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ormulas" sheetId="1" r:id="rId3"/>
    <sheet state="hidden" name="Hoja 59" sheetId="2" r:id="rId4"/>
    <sheet state="hidden" name="Hoja 56" sheetId="3" r:id="rId5"/>
    <sheet state="hidden" name="Intereses" sheetId="4" r:id="rId6"/>
    <sheet state="hidden" name="Codigos de planillas historicas" sheetId="5" r:id="rId7"/>
    <sheet state="visible" name="Pagos" sheetId="6" r:id="rId8"/>
    <sheet state="visible" name="Resumen" sheetId="7" r:id="rId9"/>
    <sheet state="visible" name="PADRON" sheetId="8" r:id="rId10"/>
    <sheet state="visible" name="Detalle entregas" sheetId="9" r:id="rId11"/>
    <sheet state="hidden" name="Consulta de pagos " sheetId="10" r:id="rId12"/>
    <sheet state="hidden" name="Planes" sheetId="11" r:id="rId13"/>
    <sheet state="hidden" name="Tablas" sheetId="12" r:id="rId14"/>
    <sheet state="hidden" name="Reg.en web" sheetId="13" r:id="rId15"/>
    <sheet state="hidden" name="Altas al Padron" sheetId="14" r:id="rId16"/>
    <sheet state="hidden" name="Entregas parciales" sheetId="15" r:id="rId17"/>
    <sheet state="visible" name="Resumen entregas" sheetId="16" r:id="rId18"/>
    <sheet state="visible" name="CUNAS-KAYAK" sheetId="17" r:id="rId19"/>
    <sheet state="hidden" name="Data" sheetId="18" r:id="rId20"/>
    <sheet state="visible" name="CUNAS WS" sheetId="19" r:id="rId21"/>
    <sheet state="visible" name="VELEROS" sheetId="20" r:id="rId22"/>
    <sheet state="visible" name="VELAS WINDSURF" sheetId="21" r:id="rId23"/>
    <sheet state="visible" name="LOCKERS" sheetId="22" r:id="rId24"/>
    <sheet state="visible" name="Bajas por deuda mayor" sheetId="23" r:id="rId25"/>
    <sheet state="visible" name="Hoja 60" sheetId="24" r:id="rId26"/>
    <sheet state="visible" name="Vitalicios" sheetId="25" r:id="rId27"/>
    <sheet state="hidden" name="LOCKERS KITE" sheetId="26" r:id="rId28"/>
    <sheet state="visible" name="SECUESTRADOS" sheetId="27" r:id="rId29"/>
    <sheet state="hidden" name="Copia de SECUESTRADOS anterior" sheetId="28" r:id="rId30"/>
    <sheet state="visible" name="Valores vigentes" sheetId="29" r:id="rId31"/>
    <sheet state="visible" name="Cuadro tarifario" sheetId="30" r:id="rId32"/>
    <sheet state="visible" name="Periodos tarifarios" sheetId="31" r:id="rId33"/>
    <sheet state="visible" name="NroCT" sheetId="32" r:id="rId34"/>
    <sheet state="hidden" name="Controles guarderías" sheetId="33" r:id="rId35"/>
    <sheet state="hidden" name="NOVEDADES viejo" sheetId="34" r:id="rId36"/>
    <sheet state="hidden" name="Geocoding" sheetId="35" r:id="rId37"/>
  </sheets>
  <definedNames>
    <definedName name="Periodostarifarios">'Periodos tarifarios'!$A:$C</definedName>
    <definedName localSheetId="14" name="Entregas_aceptadas">'Entregas parciales'!$F$2:$G$101</definedName>
    <definedName name="Comision">Resumen!$G$16</definedName>
    <definedName localSheetId="14" name="Cabecera">'Entregas parciales'!$A$1:$G$1</definedName>
    <definedName name="CTarifvigente">'Valores vigentes'!$B$2</definedName>
    <definedName name="CuadroTarifario">'Cuadro tarifario'!$A:$E</definedName>
    <definedName name="Periodovigente">'Valores vigentes'!$B$2</definedName>
    <definedName name="Recaudado">Resumen!$H$16</definedName>
    <definedName name="Mes">'Valores vigentes'!$B$3</definedName>
    <definedName name="efectivo">Resumen!$E$16</definedName>
    <definedName localSheetId="14" name="Entregas">'Entregas parciales'!$A$2:$E$101</definedName>
    <definedName name="Transferencias">Resumen!$F$16</definedName>
    <definedName hidden="1" localSheetId="7" name="_xlnm._FilterDatabase">PADRON!$D$1:$D$1241</definedName>
    <definedName hidden="1" localSheetId="5" name="Z_352A52D4_4F3C_4E23_967D_C0CD7221BF52_.wvu.FilterData">Pagos!$A$1:$L$186</definedName>
    <definedName hidden="1" localSheetId="5" name="Z_0749D97B_8FE7_48D2_ACAB_86A689401E8B_.wvu.FilterData">Pagos!$A$1:$L$186</definedName>
    <definedName hidden="1" localSheetId="5" name="Z_F63CEC2F_4C02_459B_A404_1028B48AF853_.wvu.FilterData">Pagos!$A$1:$Q$476</definedName>
    <definedName hidden="1" localSheetId="5" name="Z_72FD442D_D753_498F_85A3_224A28EFC9E6_.wvu.FilterData">Pagos!$A$1:$Q$199</definedName>
    <definedName hidden="1" localSheetId="5" name="Z_94D373B7_28E4_4353_830C_0AB80791DC84_.wvu.FilterData">Pagos!$A$1:$Q$476</definedName>
    <definedName hidden="1" localSheetId="7" name="Z_D6C6D3C3_9AD2_4EE5_9398_183844902329_.wvu.FilterData">PADRON!$A$1:$M$904</definedName>
    <definedName hidden="1" localSheetId="7" name="Z_EB997252_46BC_438B_B2B1_709C24EBDE82_.wvu.FilterData">PADRON!$A$1:$M$904</definedName>
    <definedName hidden="1" localSheetId="5" name="Z_5CB3DDD7_20A9_4CCF_977D_3BF837D95351_.wvu.FilterData">Pagos!$A$1:$L$186</definedName>
    <definedName hidden="1" localSheetId="5" name="Z_11F839EE_A93C_4979_9B17_37A2BE987ECD_.wvu.FilterData">Pagos!$A$1:$L$186</definedName>
    <definedName hidden="1" localSheetId="7" name="Z_AA888CBF_472B_4699_8404_5E3D2F41DC57_.wvu.FilterData">PADRON!$A$1:$M$904</definedName>
    <definedName hidden="1" localSheetId="5" name="Z_0239D8C0_5AEF_4189_BB79_D11225AC2EA5_.wvu.FilterData">Pagos!$A$1:$L$186</definedName>
    <definedName hidden="1" localSheetId="5" name="Z_031EBBDD_8E08_4993_8490_0A73E192E4E8_.wvu.FilterData">Pagos!$A$1:$L$186</definedName>
    <definedName hidden="1" localSheetId="5" name="Z_059B1C2F_23FD_48E7_AB2D_18AEF508F594_.wvu.FilterData">Pagos!$A$1:$L$186</definedName>
    <definedName hidden="1" localSheetId="5" name="Z_CB15F193_9A03_4D40_9F24_8EC5F9FA53AD_.wvu.FilterData">Pagos!$A$1:$L$186</definedName>
  </definedNames>
  <calcPr/>
  <customWorkbookViews>
    <customWorkbookView activeSheetId="0" maximized="1" windowHeight="0" windowWidth="0" guid="{D6C6D3C3-9AD2-4EE5-9398-183844902329}" name="Socios Activos"/>
    <customWorkbookView activeSheetId="0" maximized="1" windowHeight="0" windowWidth="0" guid="{5CB3DDD7-20A9-4CCF-977D-3BF837D95351}" name="Velero"/>
    <customWorkbookView activeSheetId="0" maximized="1" windowHeight="0" windowWidth="0" guid="{72FD442D-D753-498F-85A3-224A28EFC9E6}" name="Pagos a desglozar en 2"/>
    <customWorkbookView activeSheetId="0" maximized="1" windowHeight="0" windowWidth="0" guid="{059B1C2F-23FD-48E7-AB2D-18AEF508F594}" name="Socios"/>
    <customWorkbookView activeSheetId="0" maximized="1" windowHeight="0" windowWidth="0" guid="{031EBBDD-8E08-4993-8490-0A73E192E4E8}" name="Locker grandes"/>
    <customWorkbookView activeSheetId="0" maximized="1" windowHeight="0" windowWidth="0" guid="{0749D97B-8FE7-48D2-ACAB-86A689401E8B}" name="Vela"/>
    <customWorkbookView activeSheetId="0" maximized="1" windowHeight="0" windowWidth="0" guid="{AA888CBF-472B-4699-8404-5E3D2F41DC57}" name="Socios honorarios"/>
    <customWorkbookView activeSheetId="0" maximized="1" windowHeight="0" windowWidth="0" guid="{11F839EE-A93C-4979-9B17-37A2BE987ECD}" name="Cuna windsurf"/>
    <customWorkbookView activeSheetId="0" maximized="1" windowHeight="0" windowWidth="0" guid="{CB15F193-9A03-4D40-9F24-8EC5F9FA53AD}" name="Lockers de Kite"/>
    <customWorkbookView activeSheetId="0" maximized="1" windowHeight="0" windowWidth="0" guid="{0239D8C0-5AEF-4189-BB79-D11225AC2EA5}" name="Cuna Kayak"/>
    <customWorkbookView activeSheetId="0" maximized="1" windowHeight="0" windowWidth="0" guid="{EB997252-46BC-438B-B2B1-709C24EBDE82}" name="Socios Vitalicios"/>
    <customWorkbookView activeSheetId="0" maximized="1" windowHeight="0" windowWidth="0" guid="{352A52D4-4F3C-4E23-967D-C0CD7221BF52}" name="Locker chicos"/>
    <customWorkbookView activeSheetId="0" maximized="1" windowHeight="0" windowWidth="0" guid="{94D373B7-28E4-4353-830C-0AB80791DC84}" name="Filtro 1"/>
    <customWorkbookView activeSheetId="0" maximized="1" windowHeight="0" windowWidth="0" guid="{F63CEC2F-4C02-459B-A404-1028B48AF853}" name="Filtro 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La persona que ha respondido ha actualizado este valor.</t>
      </text>
    </comment>
    <comment authorId="0" ref="H2">
      <text>
        <t xml:space="preserve">La persona que ha respondido ha actualizado este valor.</t>
      </text>
    </comment>
    <comment authorId="0" ref="H47">
      <text>
        <t xml:space="preserve">La persona que ha respondido ha actualizado este valor.</t>
      </text>
    </comment>
    <comment authorId="0" ref="G165">
      <text>
        <t xml:space="preserve">La persona que ha respondido ha actualizado este valor.</t>
      </text>
    </comment>
    <comment authorId="0" ref="E377">
      <text>
        <t xml:space="preserve">La persona que ha respondido ha actualizado este valor.</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I35">
      <text>
        <t xml:space="preserve">La persona que ha respondido ha actualizado este valor.</t>
      </text>
    </comment>
    <comment authorId="0" ref="C44">
      <text>
        <t xml:space="preserve">La persona que ha respondido ha actualizado este valor.</t>
      </text>
    </comment>
    <comment authorId="0" ref="I44">
      <text>
        <t xml:space="preserve">La persona que ha respondido ha actualizado este valor.</t>
      </text>
    </comment>
  </commentList>
</comments>
</file>

<file path=xl/sharedStrings.xml><?xml version="1.0" encoding="utf-8"?>
<sst xmlns="http://schemas.openxmlformats.org/spreadsheetml/2006/main" count="16113" uniqueCount="5639">
  <si>
    <t>mes</t>
  </si>
  <si>
    <t>Dif% mes anterior</t>
  </si>
  <si>
    <t>Cuota actualizada</t>
  </si>
  <si>
    <t>% acumulado</t>
  </si>
  <si>
    <t>cargo por mora</t>
  </si>
  <si>
    <t>Interes a cobrar por mes</t>
  </si>
  <si>
    <t>asdas</t>
  </si>
  <si>
    <t>asdasd</t>
  </si>
  <si>
    <t>Año</t>
  </si>
  <si>
    <t>Planilla</t>
  </si>
  <si>
    <t>Codigo</t>
  </si>
  <si>
    <t>Historico de pagos Enero-Diciembre 2018</t>
  </si>
  <si>
    <t>1kxrxmwdGk8B3vlkUVw7Gx35qnQsFuj1RIgh4JYLRAp0</t>
  </si>
  <si>
    <t>Historico de pagos Enero-Diciembre 2019</t>
  </si>
  <si>
    <t>1GAraB510gMRfJe187nm7j3dWhEpl9jmrL0xArJiHOEY</t>
  </si>
  <si>
    <t>Historico de pagos Enero-Diciembre 2020</t>
  </si>
  <si>
    <t>1hj5sMliLrLbSj6DjnPo-841VNR8fVWIYoYsgS3YFqBc</t>
  </si>
  <si>
    <t>Historico de pagos Enero-Diciembre 2021</t>
  </si>
  <si>
    <t>1dkuXstucivWgAQj0qjhBiSCUEJXE19STDthD4ML6EHY</t>
  </si>
  <si>
    <t>Historico de pagos Enero-Diciembre 2022</t>
  </si>
  <si>
    <t>1Ur_n7OeZVB8uSJzd35UwKcL-IZY0nQ3wQVuJmwPFkRA</t>
  </si>
  <si>
    <t>Historico de pagos Enero-Diciembre 2023</t>
  </si>
  <si>
    <t>1lxu-MMzlbjm8a-2HMSRYOi9Cw4Ofl0QtMyrPQTFpK_w</t>
  </si>
  <si>
    <t>Nro. Tipo</t>
  </si>
  <si>
    <t>Socio</t>
  </si>
  <si>
    <t>Apellido y Nombre</t>
  </si>
  <si>
    <t>Tiene pago hasta</t>
  </si>
  <si>
    <t>Paga hasta</t>
  </si>
  <si>
    <t>Medio de pago</t>
  </si>
  <si>
    <t>P.U.</t>
  </si>
  <si>
    <t>Cant.meses</t>
  </si>
  <si>
    <t>Adeuda meses</t>
  </si>
  <si>
    <t>Deuda $</t>
  </si>
  <si>
    <t>Observaciones</t>
  </si>
  <si>
    <t>Secuestrado</t>
  </si>
  <si>
    <t>En plan de pago</t>
  </si>
  <si>
    <t>Conteo de rubros</t>
  </si>
  <si>
    <t>Repetidos</t>
  </si>
  <si>
    <t>Bono canon</t>
  </si>
  <si>
    <t>Transferencia</t>
  </si>
  <si>
    <t>cuna windsurf</t>
  </si>
  <si>
    <t>A19</t>
  </si>
  <si>
    <t>vela</t>
  </si>
  <si>
    <t>G34</t>
  </si>
  <si>
    <t>F06</t>
  </si>
  <si>
    <t>F07</t>
  </si>
  <si>
    <t>C04</t>
  </si>
  <si>
    <t>B09</t>
  </si>
  <si>
    <t>velero</t>
  </si>
  <si>
    <t>v50</t>
  </si>
  <si>
    <t>locker</t>
  </si>
  <si>
    <t>L43</t>
  </si>
  <si>
    <t>lockerG</t>
  </si>
  <si>
    <t>L6</t>
  </si>
  <si>
    <t>L17</t>
  </si>
  <si>
    <t>BONIF. ESCUELA</t>
  </si>
  <si>
    <t>Efectivo</t>
  </si>
  <si>
    <t>v54</t>
  </si>
  <si>
    <t xml:space="preserve">  </t>
  </si>
  <si>
    <t>B04</t>
  </si>
  <si>
    <t>L35</t>
  </si>
  <si>
    <t>G90</t>
  </si>
  <si>
    <t>G91</t>
  </si>
  <si>
    <t>B31</t>
  </si>
  <si>
    <t>A40</t>
  </si>
  <si>
    <t>L7</t>
  </si>
  <si>
    <t>G60</t>
  </si>
  <si>
    <t>C20</t>
  </si>
  <si>
    <t>A39</t>
  </si>
  <si>
    <t>L5</t>
  </si>
  <si>
    <t>L69</t>
  </si>
  <si>
    <t>.socio</t>
  </si>
  <si>
    <t>C25</t>
  </si>
  <si>
    <t>L19</t>
  </si>
  <si>
    <t>G75</t>
  </si>
  <si>
    <t>B22</t>
  </si>
  <si>
    <t>B32</t>
  </si>
  <si>
    <t>v49</t>
  </si>
  <si>
    <t>G77</t>
  </si>
  <si>
    <t>G78</t>
  </si>
  <si>
    <t>v53</t>
  </si>
  <si>
    <t>C18</t>
  </si>
  <si>
    <t>cuna kayak</t>
  </si>
  <si>
    <t>K19</t>
  </si>
  <si>
    <t>A21</t>
  </si>
  <si>
    <t>L46</t>
  </si>
  <si>
    <t>C23</t>
  </si>
  <si>
    <t>V13</t>
  </si>
  <si>
    <t>bonif</t>
  </si>
  <si>
    <t>V8</t>
  </si>
  <si>
    <t>L14</t>
  </si>
  <si>
    <t>L40</t>
  </si>
  <si>
    <t>B20</t>
  </si>
  <si>
    <t>G105</t>
  </si>
  <si>
    <t>v67</t>
  </si>
  <si>
    <t>OPT</t>
  </si>
  <si>
    <t>K10</t>
  </si>
  <si>
    <t>B26</t>
  </si>
  <si>
    <t>G85</t>
  </si>
  <si>
    <t>V32</t>
  </si>
  <si>
    <t>L33</t>
  </si>
  <si>
    <t>BONIF</t>
  </si>
  <si>
    <t>A35</t>
  </si>
  <si>
    <t>G61</t>
  </si>
  <si>
    <t>A46</t>
  </si>
  <si>
    <t>v2</t>
  </si>
  <si>
    <t>E31</t>
  </si>
  <si>
    <t>G66</t>
  </si>
  <si>
    <t>A41</t>
  </si>
  <si>
    <t>B03</t>
  </si>
  <si>
    <t>L18</t>
  </si>
  <si>
    <t>E10</t>
  </si>
  <si>
    <t>G59</t>
  </si>
  <si>
    <t>L22</t>
  </si>
  <si>
    <t>K54</t>
  </si>
  <si>
    <t>B24</t>
  </si>
  <si>
    <t>B23</t>
  </si>
  <si>
    <t>L29</t>
  </si>
  <si>
    <t>G101</t>
  </si>
  <si>
    <t>G102</t>
  </si>
  <si>
    <t>v55</t>
  </si>
  <si>
    <t>C02</t>
  </si>
  <si>
    <t>G37</t>
  </si>
  <si>
    <t>G38</t>
  </si>
  <si>
    <t>L32</t>
  </si>
  <si>
    <t>V12</t>
  </si>
  <si>
    <t>L65</t>
  </si>
  <si>
    <t>G33</t>
  </si>
  <si>
    <t>F02</t>
  </si>
  <si>
    <t>F01</t>
  </si>
  <si>
    <t>v52</t>
  </si>
  <si>
    <t>E29</t>
  </si>
  <si>
    <t>L58</t>
  </si>
  <si>
    <t>B05</t>
  </si>
  <si>
    <t>L39</t>
  </si>
  <si>
    <t>C33</t>
  </si>
  <si>
    <t>G73</t>
  </si>
  <si>
    <t>G57</t>
  </si>
  <si>
    <t>G53</t>
  </si>
  <si>
    <t>K64</t>
  </si>
  <si>
    <t>V31</t>
  </si>
  <si>
    <t>C28</t>
  </si>
  <si>
    <t>F04</t>
  </si>
  <si>
    <t>L70</t>
  </si>
  <si>
    <t>A20</t>
  </si>
  <si>
    <t>G86</t>
  </si>
  <si>
    <t>V4</t>
  </si>
  <si>
    <t>V11</t>
  </si>
  <si>
    <t>v47</t>
  </si>
  <si>
    <t>V14</t>
  </si>
  <si>
    <t>L52</t>
  </si>
  <si>
    <t>k13</t>
  </si>
  <si>
    <t>K18</t>
  </si>
  <si>
    <t>A13</t>
  </si>
  <si>
    <t xml:space="preserve"> </t>
  </si>
  <si>
    <t>L8</t>
  </si>
  <si>
    <t>K14</t>
  </si>
  <si>
    <t>K50</t>
  </si>
  <si>
    <t>B15</t>
  </si>
  <si>
    <t>L47</t>
  </si>
  <si>
    <t>G50</t>
  </si>
  <si>
    <t>G49</t>
  </si>
  <si>
    <t>K21</t>
  </si>
  <si>
    <t>L38</t>
  </si>
  <si>
    <t>V10</t>
  </si>
  <si>
    <t>B38</t>
  </si>
  <si>
    <t>G54</t>
  </si>
  <si>
    <t>G55</t>
  </si>
  <si>
    <t>A47</t>
  </si>
  <si>
    <t>V5</t>
  </si>
  <si>
    <t>L12</t>
  </si>
  <si>
    <t>V24</t>
  </si>
  <si>
    <t>V25</t>
  </si>
  <si>
    <t>A04</t>
  </si>
  <si>
    <t>L37</t>
  </si>
  <si>
    <t>V30</t>
  </si>
  <si>
    <t>C09</t>
  </si>
  <si>
    <t>A38</t>
  </si>
  <si>
    <t>G116</t>
  </si>
  <si>
    <t>A29</t>
  </si>
  <si>
    <t>L51</t>
  </si>
  <si>
    <t>G44</t>
  </si>
  <si>
    <t>V34</t>
  </si>
  <si>
    <t>E60</t>
  </si>
  <si>
    <t>L21</t>
  </si>
  <si>
    <t>K09</t>
  </si>
  <si>
    <t>k36</t>
  </si>
  <si>
    <t>V26</t>
  </si>
  <si>
    <t>L41</t>
  </si>
  <si>
    <t>K38</t>
  </si>
  <si>
    <t>C06</t>
  </si>
  <si>
    <t>V48</t>
  </si>
  <si>
    <t>L4</t>
  </si>
  <si>
    <t>K60</t>
  </si>
  <si>
    <t>k71</t>
  </si>
  <si>
    <t>k72</t>
  </si>
  <si>
    <t>K73</t>
  </si>
  <si>
    <t>K74</t>
  </si>
  <si>
    <t>K75</t>
  </si>
  <si>
    <t>L44</t>
  </si>
  <si>
    <t>k28</t>
  </si>
  <si>
    <t>k29</t>
  </si>
  <si>
    <t>k49</t>
  </si>
  <si>
    <t>K26</t>
  </si>
  <si>
    <t>K04</t>
  </si>
  <si>
    <t>A32</t>
  </si>
  <si>
    <t>G115</t>
  </si>
  <si>
    <t>V9</t>
  </si>
  <si>
    <t>A33</t>
  </si>
  <si>
    <t>G31</t>
  </si>
  <si>
    <t>C17</t>
  </si>
  <si>
    <t>B33</t>
  </si>
  <si>
    <t>K53</t>
  </si>
  <si>
    <t>V44</t>
  </si>
  <si>
    <t>K34</t>
  </si>
  <si>
    <t>B27</t>
  </si>
  <si>
    <t>V15</t>
  </si>
  <si>
    <t>L28</t>
  </si>
  <si>
    <t>B11</t>
  </si>
  <si>
    <t>L11</t>
  </si>
  <si>
    <t>G81</t>
  </si>
  <si>
    <t>G30</t>
  </si>
  <si>
    <t>F11</t>
  </si>
  <si>
    <t>C26</t>
  </si>
  <si>
    <t>c35</t>
  </si>
  <si>
    <t>c10</t>
  </si>
  <si>
    <t>v28</t>
  </si>
  <si>
    <t>G46</t>
  </si>
  <si>
    <t>L3</t>
  </si>
  <si>
    <t>F08</t>
  </si>
  <si>
    <t>B13</t>
  </si>
  <si>
    <t>C34</t>
  </si>
  <si>
    <t>C32</t>
  </si>
  <si>
    <t>C19</t>
  </si>
  <si>
    <t>E11</t>
  </si>
  <si>
    <t>L10</t>
  </si>
  <si>
    <t>C27</t>
  </si>
  <si>
    <t>C21</t>
  </si>
  <si>
    <t>G47</t>
  </si>
  <si>
    <t>L48</t>
  </si>
  <si>
    <t>B16</t>
  </si>
  <si>
    <t>K12</t>
  </si>
  <si>
    <t>k67</t>
  </si>
  <si>
    <t>k70</t>
  </si>
  <si>
    <t>A05</t>
  </si>
  <si>
    <t>K05</t>
  </si>
  <si>
    <t>C01</t>
  </si>
  <si>
    <t>k47</t>
  </si>
  <si>
    <t>A28</t>
  </si>
  <si>
    <t>G80</t>
  </si>
  <si>
    <t>L25</t>
  </si>
  <si>
    <t>E04</t>
  </si>
  <si>
    <t>D04</t>
  </si>
  <si>
    <t>b35</t>
  </si>
  <si>
    <t>A01</t>
  </si>
  <si>
    <t>A03</t>
  </si>
  <si>
    <t>G43</t>
  </si>
  <si>
    <t>L26</t>
  </si>
  <si>
    <t>F05</t>
  </si>
  <si>
    <t>C11</t>
  </si>
  <si>
    <t>G39</t>
  </si>
  <si>
    <t>D12</t>
  </si>
  <si>
    <t>F03</t>
  </si>
  <si>
    <t>V19</t>
  </si>
  <si>
    <t>C05</t>
  </si>
  <si>
    <t>k57</t>
  </si>
  <si>
    <t>k59</t>
  </si>
  <si>
    <t>L1</t>
  </si>
  <si>
    <t>G62</t>
  </si>
  <si>
    <t>A14</t>
  </si>
  <si>
    <t>B30</t>
  </si>
  <si>
    <t>E38</t>
  </si>
  <si>
    <t>E37</t>
  </si>
  <si>
    <t>B37</t>
  </si>
  <si>
    <t>LockerK</t>
  </si>
  <si>
    <t>L68</t>
  </si>
  <si>
    <t>k78</t>
  </si>
  <si>
    <t>A18</t>
  </si>
  <si>
    <t>B12</t>
  </si>
  <si>
    <t>D05</t>
  </si>
  <si>
    <t>D02</t>
  </si>
  <si>
    <t>L63</t>
  </si>
  <si>
    <t>D01</t>
  </si>
  <si>
    <t>D03</t>
  </si>
  <si>
    <t>k37</t>
  </si>
  <si>
    <t>L9</t>
  </si>
  <si>
    <t>E15</t>
  </si>
  <si>
    <t>K24</t>
  </si>
  <si>
    <t>D19</t>
  </si>
  <si>
    <t>D09</t>
  </si>
  <si>
    <t>D08</t>
  </si>
  <si>
    <t>k03</t>
  </si>
  <si>
    <t>B06</t>
  </si>
  <si>
    <t>D10</t>
  </si>
  <si>
    <t>E43</t>
  </si>
  <si>
    <t>A02</t>
  </si>
  <si>
    <t>k55</t>
  </si>
  <si>
    <t>E19</t>
  </si>
  <si>
    <t>B34</t>
  </si>
  <si>
    <t>L13</t>
  </si>
  <si>
    <t>D15</t>
  </si>
  <si>
    <t>G72</t>
  </si>
  <si>
    <t>D17</t>
  </si>
  <si>
    <t>G42</t>
  </si>
  <si>
    <t>A23</t>
  </si>
  <si>
    <t>b07</t>
  </si>
  <si>
    <t>k61</t>
  </si>
  <si>
    <t>K16</t>
  </si>
  <si>
    <t>k30</t>
  </si>
  <si>
    <t>D06</t>
  </si>
  <si>
    <t>A34</t>
  </si>
  <si>
    <t>G82</t>
  </si>
  <si>
    <t>timonel</t>
  </si>
  <si>
    <t>E27</t>
  </si>
  <si>
    <t>V38</t>
  </si>
  <si>
    <t>L57</t>
  </si>
  <si>
    <t>D13</t>
  </si>
  <si>
    <t>K77</t>
  </si>
  <si>
    <t>E39</t>
  </si>
  <si>
    <t>D14</t>
  </si>
  <si>
    <t>G32</t>
  </si>
  <si>
    <t>V29</t>
  </si>
  <si>
    <t>E28</t>
  </si>
  <si>
    <t>G71</t>
  </si>
  <si>
    <t>E06</t>
  </si>
  <si>
    <t>E35</t>
  </si>
  <si>
    <t>E32</t>
  </si>
  <si>
    <t>E08</t>
  </si>
  <si>
    <t>V1</t>
  </si>
  <si>
    <t>E41</t>
  </si>
  <si>
    <t>A17</t>
  </si>
  <si>
    <t>B18</t>
  </si>
  <si>
    <t>B10</t>
  </si>
  <si>
    <t>B19</t>
  </si>
  <si>
    <t>V45</t>
  </si>
  <si>
    <t>A15</t>
  </si>
  <si>
    <t>E22</t>
  </si>
  <si>
    <t>k17</t>
  </si>
  <si>
    <t>C03</t>
  </si>
  <si>
    <t>L42</t>
  </si>
  <si>
    <t>C24</t>
  </si>
  <si>
    <t>E12</t>
  </si>
  <si>
    <t>A16</t>
  </si>
  <si>
    <t>B39</t>
  </si>
  <si>
    <t>L45</t>
  </si>
  <si>
    <t>E30</t>
  </si>
  <si>
    <t>k39</t>
  </si>
  <si>
    <t>L72</t>
  </si>
  <si>
    <t>k43</t>
  </si>
  <si>
    <t>L54</t>
  </si>
  <si>
    <t>k65</t>
  </si>
  <si>
    <t>V42</t>
  </si>
  <si>
    <t>L64</t>
  </si>
  <si>
    <t>V27</t>
  </si>
  <si>
    <t>E53</t>
  </si>
  <si>
    <t>c07</t>
  </si>
  <si>
    <t>B29</t>
  </si>
  <si>
    <t>L71</t>
  </si>
  <si>
    <t>E07</t>
  </si>
  <si>
    <t>G56</t>
  </si>
  <si>
    <t>k69</t>
  </si>
  <si>
    <t>V33</t>
  </si>
  <si>
    <t>k79</t>
  </si>
  <si>
    <t>E59</t>
  </si>
  <si>
    <t>E58</t>
  </si>
  <si>
    <t>L59</t>
  </si>
  <si>
    <t>e48</t>
  </si>
  <si>
    <t>E57</t>
  </si>
  <si>
    <t>V41</t>
  </si>
  <si>
    <t>E63</t>
  </si>
  <si>
    <t>E47</t>
  </si>
  <si>
    <t>e49</t>
  </si>
  <si>
    <t>L36</t>
  </si>
  <si>
    <t>E50</t>
  </si>
  <si>
    <t>V17</t>
  </si>
  <si>
    <t>V18</t>
  </si>
  <si>
    <t>K20</t>
  </si>
  <si>
    <t>V22</t>
  </si>
  <si>
    <t>D16</t>
  </si>
  <si>
    <t>V35</t>
  </si>
  <si>
    <t>E54</t>
  </si>
  <si>
    <t>D20</t>
  </si>
  <si>
    <t>D18</t>
  </si>
  <si>
    <t>e20</t>
  </si>
  <si>
    <t>G79</t>
  </si>
  <si>
    <t>G83</t>
  </si>
  <si>
    <t>L2</t>
  </si>
  <si>
    <t>k15</t>
  </si>
  <si>
    <t>V46</t>
  </si>
  <si>
    <t>F09</t>
  </si>
  <si>
    <t>L66</t>
  </si>
  <si>
    <t>V39</t>
  </si>
  <si>
    <t>B40</t>
  </si>
  <si>
    <t>G74</t>
  </si>
  <si>
    <t>E17</t>
  </si>
  <si>
    <t>V21</t>
  </si>
  <si>
    <t>E45</t>
  </si>
  <si>
    <t>L56</t>
  </si>
  <si>
    <t>E13</t>
  </si>
  <si>
    <t>L61</t>
  </si>
  <si>
    <t>b02</t>
  </si>
  <si>
    <t>K41</t>
  </si>
  <si>
    <t>V37</t>
  </si>
  <si>
    <t>V23</t>
  </si>
  <si>
    <t>L16</t>
  </si>
  <si>
    <t>k35</t>
  </si>
  <si>
    <t>K42</t>
  </si>
  <si>
    <t>E09</t>
  </si>
  <si>
    <t>E33</t>
  </si>
  <si>
    <t>K48</t>
  </si>
  <si>
    <t>V3</t>
  </si>
  <si>
    <t>E14</t>
  </si>
  <si>
    <t>L62</t>
  </si>
  <si>
    <t>k08</t>
  </si>
  <si>
    <t>A06</t>
  </si>
  <si>
    <t>k23</t>
  </si>
  <si>
    <t>e34</t>
  </si>
  <si>
    <t>F10</t>
  </si>
  <si>
    <t>L15</t>
  </si>
  <si>
    <t>c30</t>
  </si>
  <si>
    <t>k06</t>
  </si>
  <si>
    <t>B41</t>
  </si>
  <si>
    <t>K66</t>
  </si>
  <si>
    <t>E23</t>
  </si>
  <si>
    <t>k32</t>
  </si>
  <si>
    <t>E66</t>
  </si>
  <si>
    <t>B17</t>
  </si>
  <si>
    <t>G58</t>
  </si>
  <si>
    <t>G63</t>
  </si>
  <si>
    <t>G41</t>
  </si>
  <si>
    <t>E44</t>
  </si>
  <si>
    <t>K80</t>
  </si>
  <si>
    <t>C13</t>
  </si>
  <si>
    <t>L34</t>
  </si>
  <si>
    <t>E46</t>
  </si>
  <si>
    <t>k40</t>
  </si>
  <si>
    <t>E65</t>
  </si>
  <si>
    <t>L73</t>
  </si>
  <si>
    <t>B25</t>
  </si>
  <si>
    <t>E02</t>
  </si>
  <si>
    <t>D07</t>
  </si>
  <si>
    <t>k25</t>
  </si>
  <si>
    <t>k01</t>
  </si>
  <si>
    <t>E40</t>
  </si>
  <si>
    <t>E18</t>
  </si>
  <si>
    <t>k33</t>
  </si>
  <si>
    <t>E01</t>
  </si>
  <si>
    <t>Cadete</t>
  </si>
  <si>
    <t>v36</t>
  </si>
  <si>
    <t>c31</t>
  </si>
  <si>
    <t>K68</t>
  </si>
  <si>
    <t>E05</t>
  </si>
  <si>
    <t>V20</t>
  </si>
  <si>
    <t>E64</t>
  </si>
  <si>
    <t>D11</t>
  </si>
  <si>
    <t>K58</t>
  </si>
  <si>
    <t>b08</t>
  </si>
  <si>
    <t>K63</t>
  </si>
  <si>
    <t>E24</t>
  </si>
  <si>
    <t>G36</t>
  </si>
  <si>
    <t>E52</t>
  </si>
  <si>
    <t>B36</t>
  </si>
  <si>
    <t>K56</t>
  </si>
  <si>
    <t>E03</t>
  </si>
  <si>
    <t>V40</t>
  </si>
  <si>
    <t>E36</t>
  </si>
  <si>
    <t>k52</t>
  </si>
  <si>
    <t>A22</t>
  </si>
  <si>
    <t>G51</t>
  </si>
  <si>
    <t>C16</t>
  </si>
  <si>
    <t>E21</t>
  </si>
  <si>
    <t>k62</t>
  </si>
  <si>
    <t>k81</t>
  </si>
  <si>
    <t>e42</t>
  </si>
  <si>
    <t>K76</t>
  </si>
  <si>
    <t>k02</t>
  </si>
  <si>
    <t>k07</t>
  </si>
  <si>
    <t>E62</t>
  </si>
  <si>
    <t>L23</t>
  </si>
  <si>
    <t>k44</t>
  </si>
  <si>
    <t>k45</t>
  </si>
  <si>
    <t>k46</t>
  </si>
  <si>
    <t>c15</t>
  </si>
  <si>
    <t>E61</t>
  </si>
  <si>
    <t>E56</t>
  </si>
  <si>
    <t>TIMONEL</t>
  </si>
  <si>
    <t>k51</t>
  </si>
  <si>
    <t>E26</t>
  </si>
  <si>
    <t>e16</t>
  </si>
  <si>
    <t>e25</t>
  </si>
  <si>
    <t>k27</t>
  </si>
  <si>
    <t>v43</t>
  </si>
  <si>
    <t>Der.Inscrip.</t>
  </si>
  <si>
    <t>k31</t>
  </si>
  <si>
    <t>Tipo</t>
  </si>
  <si>
    <t>Cantidad</t>
  </si>
  <si>
    <t>Pagan</t>
  </si>
  <si>
    <t>Cuotas</t>
  </si>
  <si>
    <t>Comision</t>
  </si>
  <si>
    <t>Gasav</t>
  </si>
  <si>
    <t>Transferencias</t>
  </si>
  <si>
    <t>lockerK</t>
  </si>
  <si>
    <t>Multa</t>
  </si>
  <si>
    <t>TOTALES</t>
  </si>
  <si>
    <t>Nro.socio</t>
  </si>
  <si>
    <t>Apellido y nombre</t>
  </si>
  <si>
    <t>Lugar de pago</t>
  </si>
  <si>
    <t>Actividad</t>
  </si>
  <si>
    <t>Domicilio</t>
  </si>
  <si>
    <t>telefono 1</t>
  </si>
  <si>
    <t>telefono 2</t>
  </si>
  <si>
    <t>E-Mail</t>
  </si>
  <si>
    <t>Pago hasta</t>
  </si>
  <si>
    <t>Estado</t>
  </si>
  <si>
    <t>Fecha de alta</t>
  </si>
  <si>
    <t>Fecha de baja</t>
  </si>
  <si>
    <t>Antiguedad</t>
  </si>
  <si>
    <t>Observaciones Comision Directiva</t>
  </si>
  <si>
    <t xml:space="preserve"> LOPEZ D'AMATO FERNANDO</t>
  </si>
  <si>
    <t>Club</t>
  </si>
  <si>
    <t>Windsurf</t>
  </si>
  <si>
    <t>DIAG 770  AVELLANEDA</t>
  </si>
  <si>
    <t>ferlopezdamato@yahoo.com.ar</t>
  </si>
  <si>
    <t>Activo</t>
  </si>
  <si>
    <t>VUELVE A SOCIARSE OCTUBRE 2020</t>
  </si>
  <si>
    <t>ABEIRO, JORGE LUIS</t>
  </si>
  <si>
    <t>club</t>
  </si>
  <si>
    <t>Kayak</t>
  </si>
  <si>
    <t>221-4890182</t>
  </si>
  <si>
    <t>Baja o renuncia</t>
  </si>
  <si>
    <t>ABEIRO,HECTOR</t>
  </si>
  <si>
    <t>ABOY, OMAR</t>
  </si>
  <si>
    <t>KAYAK</t>
  </si>
  <si>
    <t>ARANA ENTRE 139 Y 142, ARTURO SEGUI</t>
  </si>
  <si>
    <t>omaraboy@gmail.com</t>
  </si>
  <si>
    <t>al dia</t>
  </si>
  <si>
    <t>ABRHAM, JULIETA</t>
  </si>
  <si>
    <t>banco</t>
  </si>
  <si>
    <t>SUP</t>
  </si>
  <si>
    <t>38 N° 508 3° A</t>
  </si>
  <si>
    <t>julirunning@gmail.com</t>
  </si>
  <si>
    <t>ACOSTA ANABELA</t>
  </si>
  <si>
    <t>7 Nro. 2035</t>
  </si>
  <si>
    <t>anabelaacosta@gmail.com</t>
  </si>
  <si>
    <t>Hasta Octubre 2018 figuraba como "estado"= activo y "pago hasta"= sin actividad . SE REINCORPORAN SALDANDO DEUDA DE 2 KAYAKS Y CON CUOTA SOCIAL AL DIA. ( MANCINI). acosta renuncia finalmente</t>
  </si>
  <si>
    <t>ACOSTA, CINTIA SABRINA</t>
  </si>
  <si>
    <t>146 N° 638 BERAZATEGUI</t>
  </si>
  <si>
    <t>cintiacosta@hotmail.com</t>
  </si>
  <si>
    <t>ACHINELLI, FABIO GERMAN</t>
  </si>
  <si>
    <t>WIND</t>
  </si>
  <si>
    <t>28 N° 1720</t>
  </si>
  <si>
    <t>fachinelli@gmail.com</t>
  </si>
  <si>
    <t xml:space="preserve">ADANO, GABRIEL </t>
  </si>
  <si>
    <t>46 N°1635</t>
  </si>
  <si>
    <t>gabrielbadano@hotmail.com</t>
  </si>
  <si>
    <t>AGUEDA JULIO CESAR</t>
  </si>
  <si>
    <t>otras actividades</t>
  </si>
  <si>
    <t>75 NRO. 495</t>
  </si>
  <si>
    <t>452 3260</t>
  </si>
  <si>
    <t>15 558 7930</t>
  </si>
  <si>
    <t xml:space="preserve">Hasta Octubre 2018 figuraba como "estado"= activo y "pago hasta"= sin actividad </t>
  </si>
  <si>
    <t>AGUERRE, LAUTARO</t>
  </si>
  <si>
    <t>BVARD. 83 N.267 E/37 Y 38 LP</t>
  </si>
  <si>
    <t>AGUIAR, FEDERICO</t>
  </si>
  <si>
    <t>no definido</t>
  </si>
  <si>
    <t>AGUILAR, IVAN MAURICIO</t>
  </si>
  <si>
    <t>509 N° 2172</t>
  </si>
  <si>
    <t>ivanm.aguilar75@gmail.com</t>
  </si>
  <si>
    <t>AGUILAR, MARINA</t>
  </si>
  <si>
    <t>ARISTOBULO DEL VALLE NRO. 170</t>
  </si>
  <si>
    <t>ALBARIÑO, DEBORA</t>
  </si>
  <si>
    <t xml:space="preserve">43 Nº 2233 </t>
  </si>
  <si>
    <t>de_sal@yahoo.com.ar</t>
  </si>
  <si>
    <t>ALBARRACIN, JORGE</t>
  </si>
  <si>
    <t>19 234 city bell</t>
  </si>
  <si>
    <t>horacio12001@hotmail.com</t>
  </si>
  <si>
    <t>ALESI, ITATI</t>
  </si>
  <si>
    <t>cobrador</t>
  </si>
  <si>
    <t>67 N°519 ENTRE 5 Y 6</t>
  </si>
  <si>
    <t>itatialesi@gmail.com</t>
  </si>
  <si>
    <t>ALMADA, GUILLERMO MARTIN</t>
  </si>
  <si>
    <t>26 N° 525</t>
  </si>
  <si>
    <t>guillermoalmada325@gmail.com</t>
  </si>
  <si>
    <t>ALTAMIRANO, MIGUEL</t>
  </si>
  <si>
    <t>22 ENTRE 7 Y 9 PUNTA LARA</t>
  </si>
  <si>
    <t>mgl_77@hotmail.com</t>
  </si>
  <si>
    <t>ALTINSENCH, JAVIER</t>
  </si>
  <si>
    <t>3 nro. 1854 . Diiag/75 y 120</t>
  </si>
  <si>
    <t>javier1860@hotmail.com</t>
  </si>
  <si>
    <t>Renuncia al dia</t>
  </si>
  <si>
    <t>ALONSO, GASTON GABRIEL</t>
  </si>
  <si>
    <t>PERU, N° 569</t>
  </si>
  <si>
    <t>gasgelp@hotmail.com</t>
  </si>
  <si>
    <t>ALONSO, MORENA</t>
  </si>
  <si>
    <t>alonsomorena01@gmail.com</t>
  </si>
  <si>
    <t>ALTUBE, RICARDO</t>
  </si>
  <si>
    <t>KITE</t>
  </si>
  <si>
    <t>5 N° 3561</t>
  </si>
  <si>
    <t>rickyaltube@gmail.com</t>
  </si>
  <si>
    <t>ALTEREIB, DIEGO</t>
  </si>
  <si>
    <t>68 N°320</t>
  </si>
  <si>
    <t>daltereib@yahoo.com</t>
  </si>
  <si>
    <t>ALVAREZ MATIAS</t>
  </si>
  <si>
    <t>13 NRO. 2735 VILLA DEL PLATA</t>
  </si>
  <si>
    <t>alvarezmatias@gmail.com</t>
  </si>
  <si>
    <t>ALVAREZ, LAURA BEATRIZ</t>
  </si>
  <si>
    <t>IPIRANGA N° 90</t>
  </si>
  <si>
    <t>laura.b.alvarez@gmail.com</t>
  </si>
  <si>
    <t>ALVAREZ WALTER</t>
  </si>
  <si>
    <t>496 NRO. 2979 GONNET</t>
  </si>
  <si>
    <t>wealvarez@yahoo.com</t>
  </si>
  <si>
    <t>ALVAREZ, UBALDO</t>
  </si>
  <si>
    <t>144 N° 1374</t>
  </si>
  <si>
    <t>ubalvet@outlook.com.ar</t>
  </si>
  <si>
    <t>AL DIA</t>
  </si>
  <si>
    <t>ALZOGARAY, CATALINA</t>
  </si>
  <si>
    <t>3 N° 1462</t>
  </si>
  <si>
    <t>catalinaalzogaray@gmail.com</t>
  </si>
  <si>
    <t>ALEGRE, ALEJANDRO</t>
  </si>
  <si>
    <t>alejandroalegre2006@gmail.com</t>
  </si>
  <si>
    <t>dejo de pagar, timonel</t>
  </si>
  <si>
    <t>AMATO., LORENA</t>
  </si>
  <si>
    <t>13 N 3818 BERAZATEGUI</t>
  </si>
  <si>
    <t>lore.amato@hotmail.com</t>
  </si>
  <si>
    <t>AMEGHINO, CLAUDIO</t>
  </si>
  <si>
    <t>SIDOTTI 772, EDA.</t>
  </si>
  <si>
    <t>claudiosinzer@gmail.com</t>
  </si>
  <si>
    <t>AMBROSIS, ROBERTO</t>
  </si>
  <si>
    <t>VELERO</t>
  </si>
  <si>
    <t>28 N° 4153</t>
  </si>
  <si>
    <t>robemaambrosis@htomail.com</t>
  </si>
  <si>
    <t>BAJA DEUDA</t>
  </si>
  <si>
    <t>AMOREO, MONICA</t>
  </si>
  <si>
    <t>51 N° 1351</t>
  </si>
  <si>
    <t>mamoreo@hotmail.com</t>
  </si>
  <si>
    <t>ANE, SANTIAGO</t>
  </si>
  <si>
    <t>WIND, FOIL</t>
  </si>
  <si>
    <t>489 Nº 2958</t>
  </si>
  <si>
    <t>santiagoane@gmail.com</t>
  </si>
  <si>
    <t>ANGELINETTI, CARLOS</t>
  </si>
  <si>
    <t>11 N° 1129 7°A, LP.</t>
  </si>
  <si>
    <t>federicoangelinetti@hotmail.com</t>
  </si>
  <si>
    <t>ANTINI, PABLO</t>
  </si>
  <si>
    <t>dr.favaloro 3451 el calafate</t>
  </si>
  <si>
    <t>02966 15415198</t>
  </si>
  <si>
    <t>ANTONIETTI, MAXIMILIANO</t>
  </si>
  <si>
    <t>SUP, WIND</t>
  </si>
  <si>
    <t>15 BIS Y 60 VILLA DEL PLATA</t>
  </si>
  <si>
    <t>antoniettimaximiliano@gmail.com</t>
  </si>
  <si>
    <t>ANTONOW, NICOLAS</t>
  </si>
  <si>
    <t>501 Nª 2997</t>
  </si>
  <si>
    <t>nicolasantonow@hotmail.com</t>
  </si>
  <si>
    <t>renuncia timonel</t>
  </si>
  <si>
    <t>AÑON SUAREZ, MANUEL</t>
  </si>
  <si>
    <t>506 2339 gonnet</t>
  </si>
  <si>
    <t>15-5554843</t>
  </si>
  <si>
    <t>DE BAJA AL DIA</t>
  </si>
  <si>
    <t>ARANAGA, FERNANDO</t>
  </si>
  <si>
    <t>chiclana 28 bernal</t>
  </si>
  <si>
    <t>ARAMBURU,MELINA</t>
  </si>
  <si>
    <t>ARCE, ALEJANDRO</t>
  </si>
  <si>
    <t>21 N°1233, BERAZATEGUI</t>
  </si>
  <si>
    <t>uliseskingdom@yahoo.com.ar</t>
  </si>
  <si>
    <t>ARCE, LEANDRO MARTIN</t>
  </si>
  <si>
    <t>7 NRO. 374 LP</t>
  </si>
  <si>
    <t>ARENS, JUAN SIMON</t>
  </si>
  <si>
    <t>VELERO- KAYAK</t>
  </si>
  <si>
    <t>96 N 538</t>
  </si>
  <si>
    <t>juansimonarens@gmail.com</t>
  </si>
  <si>
    <t>Archipretre, Maria</t>
  </si>
  <si>
    <t xml:space="preserve">SARMIENTO N°382 </t>
  </si>
  <si>
    <t>archiarchipretre@gmail.com</t>
  </si>
  <si>
    <t>ARCONDO, ABIGAIL ANAKE</t>
  </si>
  <si>
    <t>53 N° 1185</t>
  </si>
  <si>
    <t>arcondo@live.com</t>
  </si>
  <si>
    <t>ARANDIA, MAURICIO</t>
  </si>
  <si>
    <t>55 N° 942</t>
  </si>
  <si>
    <t>mauricioarandia73@gmail.com</t>
  </si>
  <si>
    <t>ARDISSINO, AUGUSTO SEBASTIAN</t>
  </si>
  <si>
    <t>BANCO</t>
  </si>
  <si>
    <t xml:space="preserve">140 N 760 </t>
  </si>
  <si>
    <t>ardissino_as@hotmail.com</t>
  </si>
  <si>
    <t>ARLIA PEREZ, ANTONELLA SOLANGE</t>
  </si>
  <si>
    <t>55 nª 1591</t>
  </si>
  <si>
    <t>arliaantonela@gmail.com</t>
  </si>
  <si>
    <t>baja por atraso de cuotas, timonel</t>
  </si>
  <si>
    <t>ARMAN, ALEJANDRO</t>
  </si>
  <si>
    <t>15 BIS ENTRE 52 Y 54 N° 2855 VILLA DEL PLATA</t>
  </si>
  <si>
    <t>alerarman@hotmail.com</t>
  </si>
  <si>
    <t>ARNAU, JUAN ARIEL</t>
  </si>
  <si>
    <t>64nro1925 1/2</t>
  </si>
  <si>
    <t>dobleaakayak@yahoo.com.ar</t>
  </si>
  <si>
    <t>AROZAMENA, GUSTAVO</t>
  </si>
  <si>
    <t>Velero</t>
  </si>
  <si>
    <t>85 y 116</t>
  </si>
  <si>
    <t>gusaroza@gmail.com</t>
  </si>
  <si>
    <t>Arrastia, Natalia</t>
  </si>
  <si>
    <t>10 entre 510 y 511 Ringuelet</t>
  </si>
  <si>
    <t>nataliacarrastia@hotmail.com</t>
  </si>
  <si>
    <t>renuncia por se mudo al sur</t>
  </si>
  <si>
    <t>ARRASTIA, TOMAS</t>
  </si>
  <si>
    <t xml:space="preserve">13 N° 134  7° A </t>
  </si>
  <si>
    <t>arrastiatomas@live.com.ar</t>
  </si>
  <si>
    <t>baja deuda</t>
  </si>
  <si>
    <t>ARRI JAVIER</t>
  </si>
  <si>
    <t>24 NRO 4386 BERISSO</t>
  </si>
  <si>
    <t>ARRIEN DANIEL MARCELO</t>
  </si>
  <si>
    <t>27 625 villa elisa</t>
  </si>
  <si>
    <t>ARRONDO, JOSE IGNACIO</t>
  </si>
  <si>
    <t>Vela ligera</t>
  </si>
  <si>
    <t>146 N° 1212 CITY BELL</t>
  </si>
  <si>
    <t>arrondojose@me.com</t>
  </si>
  <si>
    <t>se vuelve a asociar</t>
  </si>
  <si>
    <t>ARROQUY, MA. FERNANDA</t>
  </si>
  <si>
    <t xml:space="preserve">42 Nª 430 </t>
  </si>
  <si>
    <t>farroquy@gmail.com</t>
  </si>
  <si>
    <t>renuncia al dia</t>
  </si>
  <si>
    <t>ARTURI, BETINA CLAUDIA</t>
  </si>
  <si>
    <t>11 N° 1534 1/2</t>
  </si>
  <si>
    <t>arturibettinaclau@hotmail.com</t>
  </si>
  <si>
    <t>FALLECIO</t>
  </si>
  <si>
    <t>ASCARZA, GERARDO</t>
  </si>
  <si>
    <t>TUYUTI 3035 VILLA ALSINA</t>
  </si>
  <si>
    <t>ASCARZA, JUAN CARLOS</t>
  </si>
  <si>
    <t>F. CHICLANA NRO. 3175</t>
  </si>
  <si>
    <t>ASPREA,NESTOR</t>
  </si>
  <si>
    <t>17 N° 1407, RINGUELET</t>
  </si>
  <si>
    <t>nestorasprea@gmail.com</t>
  </si>
  <si>
    <t>ASSAD, VERÓNICA PATRICIA</t>
  </si>
  <si>
    <t>8 N° 3910</t>
  </si>
  <si>
    <t>veronicaassad_87@hotmail.com</t>
  </si>
  <si>
    <t>ASPREA, MARTIN</t>
  </si>
  <si>
    <t>517 N° 4611</t>
  </si>
  <si>
    <t>martin_asprea@yahoo.com.ar</t>
  </si>
  <si>
    <t>AUDE, FLAVIO ANDRES</t>
  </si>
  <si>
    <t>61 Nª 1555</t>
  </si>
  <si>
    <t>flavioaude@hotmail.com</t>
  </si>
  <si>
    <t>AVELLANEDA, LUIS EDUARDO</t>
  </si>
  <si>
    <t>21 N° 1241</t>
  </si>
  <si>
    <t>luis.avellaneda@arba.gov.ar</t>
  </si>
  <si>
    <t xml:space="preserve">Renuncia al dia. </t>
  </si>
  <si>
    <t>AVILA, HERNAN</t>
  </si>
  <si>
    <t>calle 9 nro 1604</t>
  </si>
  <si>
    <t>hernan_rott@hotmail.com.ar</t>
  </si>
  <si>
    <t>AYALA, RUBEN</t>
  </si>
  <si>
    <t>47º 1281</t>
  </si>
  <si>
    <t>pfrayala@gmail.com</t>
  </si>
  <si>
    <t>AYERDI, DOLORES</t>
  </si>
  <si>
    <t>492 Nª 3745</t>
  </si>
  <si>
    <t>dolores.ayerdi@gmail.com</t>
  </si>
  <si>
    <t>ASOREY, PATRICIO</t>
  </si>
  <si>
    <t>19 Nº 966</t>
  </si>
  <si>
    <t>patricioasorey@gmail.com</t>
  </si>
  <si>
    <t>BABINI, CRISTIAN</t>
  </si>
  <si>
    <t>BACCHIEGA, JOSE PEDRO</t>
  </si>
  <si>
    <t>LASER</t>
  </si>
  <si>
    <t>13 Nº 3034</t>
  </si>
  <si>
    <t>bacchiega.jose@gmail.com</t>
  </si>
  <si>
    <t>BADARACCO, MELISA</t>
  </si>
  <si>
    <t>28 N° 5459</t>
  </si>
  <si>
    <t>melisabadaracco@gmail.com</t>
  </si>
  <si>
    <t>BAILO, SEBASTIAN</t>
  </si>
  <si>
    <t>AV. CORRALES N° 7195</t>
  </si>
  <si>
    <t>sebastereo@yahoo.com.ar</t>
  </si>
  <si>
    <t>BALBO, GERARDO</t>
  </si>
  <si>
    <t>aranguren 1339cap fed.</t>
  </si>
  <si>
    <t>011 44331972</t>
  </si>
  <si>
    <t>BALDASSARRE, PABLO</t>
  </si>
  <si>
    <t>15 Nro. 39 528 bis y 529 TOLOSA</t>
  </si>
  <si>
    <t>BALDOVI, ALEJANDRO</t>
  </si>
  <si>
    <t>Kitesurf</t>
  </si>
  <si>
    <t>V. SARFIELD 2941 MARTINEZ</t>
  </si>
  <si>
    <t>BAJA CON DEUDA  Y PROBLEMAS</t>
  </si>
  <si>
    <t>BALLERINI, MARCELO</t>
  </si>
  <si>
    <t>61 nro. 1016</t>
  </si>
  <si>
    <t>marceloballerini@gmail.com</t>
  </si>
  <si>
    <t>BALLESTERO, BRENDA</t>
  </si>
  <si>
    <t>12 BIS  N° 2205</t>
  </si>
  <si>
    <t>brenballestero@gmail.com</t>
  </si>
  <si>
    <t>BALLBE, MARCELA</t>
  </si>
  <si>
    <t>62 N° 1319</t>
  </si>
  <si>
    <t>marcelaballbe@gmail.com</t>
  </si>
  <si>
    <t>BALLETO, PABLO</t>
  </si>
  <si>
    <t>DIAG 73 N° 739</t>
  </si>
  <si>
    <t>pabloballeto@hotmail.com</t>
  </si>
  <si>
    <t>BALTAR, MERCEDES</t>
  </si>
  <si>
    <t>nenu133@gmail.com</t>
  </si>
  <si>
    <t>BALDONI, JUAN PABLO</t>
  </si>
  <si>
    <t>sup y wing foil</t>
  </si>
  <si>
    <t>baldonijuanpablo@gmail.com</t>
  </si>
  <si>
    <t>BANEGAS, JUAN MANUEL</t>
  </si>
  <si>
    <t>29 N° 1786</t>
  </si>
  <si>
    <t>juanmanuelbanegas4@gmail.com</t>
  </si>
  <si>
    <t>BARANDIARAN, LUIS</t>
  </si>
  <si>
    <t>13 n° 2650 villa del plata</t>
  </si>
  <si>
    <t>15-5566772</t>
  </si>
  <si>
    <t>luisbarandiaran@gmail.com</t>
  </si>
  <si>
    <t>Se reincorpora como socio sep 2020 Y AHORA EN ENERO RENUNCIA NUEVAMENTEEE</t>
  </si>
  <si>
    <t>BARLA, MARIA PÌA</t>
  </si>
  <si>
    <t>44 Nº 118</t>
  </si>
  <si>
    <t>piabarla19@gmail.com</t>
  </si>
  <si>
    <t>BARANDICA, MARIA ELEONORA</t>
  </si>
  <si>
    <t>PLAZA PASO N° 75 Y MEDIO</t>
  </si>
  <si>
    <t>221|5658351</t>
  </si>
  <si>
    <t>mponcedeleon207@gmail.com</t>
  </si>
  <si>
    <t>BARAVALLE, JOSE LUIS</t>
  </si>
  <si>
    <t>BARAVALLE, MARIA ESPERANZA</t>
  </si>
  <si>
    <t>ARANA Y 9 TORRE 12 6 V.ELISA</t>
  </si>
  <si>
    <t>BARAVALLE, RAMON</t>
  </si>
  <si>
    <t>61 NRO. 166</t>
  </si>
  <si>
    <t>BARCELONA, IMANOL</t>
  </si>
  <si>
    <t>531 N° 1597</t>
  </si>
  <si>
    <t>imabarce1990@gmail.com</t>
  </si>
  <si>
    <t>BARCELONA, EDUARDO</t>
  </si>
  <si>
    <t>eduardobarcelona12@gmail.com</t>
  </si>
  <si>
    <t>BARCENA, VERONICA</t>
  </si>
  <si>
    <t>501 ESQ 25</t>
  </si>
  <si>
    <t>verbacena@gmail.com</t>
  </si>
  <si>
    <t>BARGIANO, CARLOS DANIEL</t>
  </si>
  <si>
    <t>figueredo 2776 haedo</t>
  </si>
  <si>
    <t>muy atrasado!</t>
  </si>
  <si>
    <t>BARLETTA, SEBASTIAN</t>
  </si>
  <si>
    <t>windsurf</t>
  </si>
  <si>
    <t>55 Mro. 968 2do piso dto 7</t>
  </si>
  <si>
    <t>s_barletta@hotmail.com</t>
  </si>
  <si>
    <t>BARRIOS, LUCRECIA</t>
  </si>
  <si>
    <t>4 N° 625</t>
  </si>
  <si>
    <t>barrioslucre@gmail.com</t>
  </si>
  <si>
    <t>BARRIOS, BETIANA</t>
  </si>
  <si>
    <t>PERU 569</t>
  </si>
  <si>
    <t>betianabarrios@hotmail.com</t>
  </si>
  <si>
    <t>BARRIOS, JUAN MANUEL</t>
  </si>
  <si>
    <t>KAYAK, SUP</t>
  </si>
  <si>
    <t>SARMIENTO 264, EDA.</t>
  </si>
  <si>
    <t>juanmanuelbarrioe11@hotmail.com</t>
  </si>
  <si>
    <t>BARRIONUEVO, LORENA</t>
  </si>
  <si>
    <t>423 Nª 389</t>
  </si>
  <si>
    <t>loreflamenco@hotmail.com</t>
  </si>
  <si>
    <t>BARZABAL, JULIAN</t>
  </si>
  <si>
    <t>kite</t>
  </si>
  <si>
    <t>460 Nro. 1616 City Bell</t>
  </si>
  <si>
    <t>BASOALTO, CLAUDIA</t>
  </si>
  <si>
    <t>32 E/ 22 Y 23 IMPRENTA</t>
  </si>
  <si>
    <t>impresoscitygraf@yahoo.com.ar</t>
  </si>
  <si>
    <t>BASOALTO, RAUL ALBERTO</t>
  </si>
  <si>
    <t>32 E/ 22 Y 23</t>
  </si>
  <si>
    <t>Vitalicio</t>
  </si>
  <si>
    <t>BASOALTO, ROY</t>
  </si>
  <si>
    <t>154 N° 782</t>
  </si>
  <si>
    <t>basoaltoroymartin@gmail.com</t>
  </si>
  <si>
    <t>BASSINO, DIEGO</t>
  </si>
  <si>
    <t>25 NRO. 4531 GONNET</t>
  </si>
  <si>
    <t>atrasado, pero pago en octubre 12</t>
  </si>
  <si>
    <t>BASALO, DAMIAN EZEQUIEL</t>
  </si>
  <si>
    <t>53 Nª 1323</t>
  </si>
  <si>
    <t>damibassi@gmail.com</t>
  </si>
  <si>
    <t>BASILE, ENZO</t>
  </si>
  <si>
    <t>BAJA POR FALTA DE PAGO, TIMONEL</t>
  </si>
  <si>
    <t>BASUALDO, MIGUEL ANGEL</t>
  </si>
  <si>
    <t xml:space="preserve">122 N° 308 </t>
  </si>
  <si>
    <t>vr46motos@hotmail.com</t>
  </si>
  <si>
    <t>se reincorpora como socio</t>
  </si>
  <si>
    <t>BATISTA, DAMIAN</t>
  </si>
  <si>
    <t>50 NRO. 889 PISO 2</t>
  </si>
  <si>
    <t>BATTIATO, DIEGO</t>
  </si>
  <si>
    <t>66 15 Y 17 VILLA DEL PLATA</t>
  </si>
  <si>
    <t>diego_bat@hotmail.com</t>
  </si>
  <si>
    <t>BAUMGAERTNER, STELLA</t>
  </si>
  <si>
    <t>58 Nro. 1322 e! 21 y 22</t>
  </si>
  <si>
    <t>15 6515275</t>
  </si>
  <si>
    <t>BAUMANN, PABLO EMILIO</t>
  </si>
  <si>
    <t>IPINAGA Nº 90</t>
  </si>
  <si>
    <t>pablobaumann@gmail.com</t>
  </si>
  <si>
    <t>BEART, XAVIER</t>
  </si>
  <si>
    <t>Kenedy 2970 piso 4</t>
  </si>
  <si>
    <t>xavierbeart@hotmail.com</t>
  </si>
  <si>
    <t>BEAURAIN, OSCAR</t>
  </si>
  <si>
    <t>447 n° 6062 city bell</t>
  </si>
  <si>
    <t>oscar@estudiocad.com.ar</t>
  </si>
  <si>
    <t>BEDUCCI, ROBERTO</t>
  </si>
  <si>
    <t>19 NRO. 1108</t>
  </si>
  <si>
    <t>BEDUCCIROBERTO@GMAIL.COM</t>
  </si>
  <si>
    <t>BELLONE, ROBERTO</t>
  </si>
  <si>
    <t>23 N° 1395 LP</t>
  </si>
  <si>
    <t>453-5974</t>
  </si>
  <si>
    <t>belloner@yahoo.com</t>
  </si>
  <si>
    <t>BELTRAMI, CARMEN ALICIA</t>
  </si>
  <si>
    <t>473 BIS N° 978 CITY BELL</t>
  </si>
  <si>
    <t>BELTRAMI, NAZARENO</t>
  </si>
  <si>
    <t>15 N° 2980</t>
  </si>
  <si>
    <t>beltrami.n@hotmail.com</t>
  </si>
  <si>
    <t>BENITEZ COLLANTE, CRISTINA</t>
  </si>
  <si>
    <t>Anchorena 1451</t>
  </si>
  <si>
    <t>benitezcollantecristina@hotmail.com</t>
  </si>
  <si>
    <t>Sin deuda</t>
  </si>
  <si>
    <t>BERMEDO, FERNANDO</t>
  </si>
  <si>
    <t>fbernedo@live.com.ar</t>
  </si>
  <si>
    <t>con deuda, curso timonel</t>
  </si>
  <si>
    <t>BERMUDEZ, SANDRA</t>
  </si>
  <si>
    <t>Bernave, Pablo</t>
  </si>
  <si>
    <t>526 e/13 y 14</t>
  </si>
  <si>
    <t>pablobernabe@live.com.ar</t>
  </si>
  <si>
    <t>BERARDINELLI, LIA FERNANDA</t>
  </si>
  <si>
    <t>133 BIS N° 806 CITY BELL</t>
  </si>
  <si>
    <t>liaber2005@hotmail.com</t>
  </si>
  <si>
    <t>BESEL RIGGER, FEDERICO</t>
  </si>
  <si>
    <t>55 NRO. 648 LP</t>
  </si>
  <si>
    <t>BAJA AL DIA</t>
  </si>
  <si>
    <t>BESUTTI, MARIANO</t>
  </si>
  <si>
    <t>BETROSQUI, GERMÀN</t>
  </si>
  <si>
    <t>12  Y 170</t>
  </si>
  <si>
    <t>germanbetrosqui2019@gmail.com</t>
  </si>
  <si>
    <t>BETTIOL, DIEGO</t>
  </si>
  <si>
    <t>20 N° 2329</t>
  </si>
  <si>
    <t>bettioldiego@hotmail.com</t>
  </si>
  <si>
    <t>baja</t>
  </si>
  <si>
    <t>BIAIN, SEBASTIAN</t>
  </si>
  <si>
    <t>522 BIS NRO. 36 V.ELISA</t>
  </si>
  <si>
    <t>BIASOTTI, JULIO</t>
  </si>
  <si>
    <t>ROJAS 957, MONTE</t>
  </si>
  <si>
    <t>0111549865302</t>
  </si>
  <si>
    <t>julioluisbiasotti@yahoo.com.ar</t>
  </si>
  <si>
    <t>BIANCHI, SANTIAGO</t>
  </si>
  <si>
    <t>21 Nº  1075</t>
  </si>
  <si>
    <t>santiagoegg@hotmail.com</t>
  </si>
  <si>
    <t>BIGGERI, VALERIA</t>
  </si>
  <si>
    <t>PUERTO ARGENTINO 5264  GONZALEZ CATAN</t>
  </si>
  <si>
    <t>valeria.biggeri@gmail.com</t>
  </si>
  <si>
    <t>BILOS, CLAUDIO</t>
  </si>
  <si>
    <t>Calle 9 nro 614 P.B. B</t>
  </si>
  <si>
    <t>BIZET, NICOLAS</t>
  </si>
  <si>
    <t>501 N° 3760</t>
  </si>
  <si>
    <t>+5491131741448</t>
  </si>
  <si>
    <t>nicolasbizet0@gmail.com</t>
  </si>
  <si>
    <t>BLANCO, GUILLERMO</t>
  </si>
  <si>
    <t>CHARCAS Nro. 2814</t>
  </si>
  <si>
    <t>011 1561934611</t>
  </si>
  <si>
    <t>011 48268597</t>
  </si>
  <si>
    <t>BLANCOREGOJO, MARIANO</t>
  </si>
  <si>
    <t>51 Nª 1018</t>
  </si>
  <si>
    <t>marianoblancodx@gmail.com</t>
  </si>
  <si>
    <t>BOLCICH, RUBEN RICARDO</t>
  </si>
  <si>
    <t>Estanislao del Campo 1690</t>
  </si>
  <si>
    <t>rubenbolcich@hotmail.com</t>
  </si>
  <si>
    <t>BOMBELLI, JUAN FERNANDO</t>
  </si>
  <si>
    <t>15 NRO. 618 LP</t>
  </si>
  <si>
    <t>baja por fallecimiento</t>
  </si>
  <si>
    <t>BOMBELLI, JUAN IGNACIO</t>
  </si>
  <si>
    <t>18 Nº 1472 DPTO 8</t>
  </si>
  <si>
    <t>lic.juanbombelli@gmail.com</t>
  </si>
  <si>
    <t>BONAURA, M. CANDELA</t>
  </si>
  <si>
    <t>Banco</t>
  </si>
  <si>
    <t>bonaura874@hotmail.com</t>
  </si>
  <si>
    <t>renuncia al da</t>
  </si>
  <si>
    <t>BONIFETTO, GERMAN ESTEBAN</t>
  </si>
  <si>
    <t>24 N° 3950</t>
  </si>
  <si>
    <t>gbonifettolp@yahoo.com.ar</t>
  </si>
  <si>
    <t>BORGOGNONI, CARLA</t>
  </si>
  <si>
    <t>18 N° 1472</t>
  </si>
  <si>
    <t>estudioborgognoni@gmail.com</t>
  </si>
  <si>
    <t>BORRAJO, MARIA JUSTINA</t>
  </si>
  <si>
    <t>43 N° 922 PISO 4 DTO A</t>
  </si>
  <si>
    <t>majuborrajo@hotmail.com</t>
  </si>
  <si>
    <t>BORRAJO, RAMON HORACIO</t>
  </si>
  <si>
    <t>1 N° 713 3 °C</t>
  </si>
  <si>
    <t>ramon57@hotmail.com</t>
  </si>
  <si>
    <t>BORZULA,ADRIANA</t>
  </si>
  <si>
    <t>BOZZA, GONZALO</t>
  </si>
  <si>
    <t>2 BIS Nº 1429 RINGUELET</t>
  </si>
  <si>
    <t>gonzalobozza@yahoo.com.ar</t>
  </si>
  <si>
    <t>BRACCIALE, ADRIAN</t>
  </si>
  <si>
    <t>49 N° 1295 6°C</t>
  </si>
  <si>
    <t>adrianpb1970@hotmail.com</t>
  </si>
  <si>
    <t>BRACCO, MARCOS</t>
  </si>
  <si>
    <t>530 Nro 762 Tolosa</t>
  </si>
  <si>
    <t>marcosbracco@gmail.com</t>
  </si>
  <si>
    <t>BRALO, PAULA</t>
  </si>
  <si>
    <t>Atrasado</t>
  </si>
  <si>
    <t>BRANDOLINO , PABLO</t>
  </si>
  <si>
    <t>55 N° 380</t>
  </si>
  <si>
    <t>pablobrandolino@northsails.com</t>
  </si>
  <si>
    <t>BRAVO, JOSE MAURICIO</t>
  </si>
  <si>
    <t>CLUB</t>
  </si>
  <si>
    <t>145 Nº 456</t>
  </si>
  <si>
    <t>mauricio08@hotmail.com</t>
  </si>
  <si>
    <t>BRAVO, GERMAN</t>
  </si>
  <si>
    <t>vel</t>
  </si>
  <si>
    <t>150 entre 19 y 20</t>
  </si>
  <si>
    <t>cantotestimonio@gmail.com</t>
  </si>
  <si>
    <t>BRAZIUNAS , DIEGO</t>
  </si>
  <si>
    <t>505 N° 2238</t>
  </si>
  <si>
    <t>diegobraziunasgmail.com</t>
  </si>
  <si>
    <t>BRAZIUNAS, DENIS</t>
  </si>
  <si>
    <t>116 NRO 1914</t>
  </si>
  <si>
    <t>Al dia</t>
  </si>
  <si>
    <t>BRAZIUNAS, HECTOR</t>
  </si>
  <si>
    <t>11 NRO. 2914 BERISSO</t>
  </si>
  <si>
    <t>cachobraziunas@gmail.com</t>
  </si>
  <si>
    <t>BRAZIUNAS, MELINA</t>
  </si>
  <si>
    <t>BREM , RAFAEL</t>
  </si>
  <si>
    <t>27 N 3544</t>
  </si>
  <si>
    <t>rbrafa@yahoo.com.ar</t>
  </si>
  <si>
    <t>BRETAL, GUILLERMO</t>
  </si>
  <si>
    <t>12 E7 48 Y 49</t>
  </si>
  <si>
    <t>BROLESE, FLORENCIA</t>
  </si>
  <si>
    <t>11 N° 2415</t>
  </si>
  <si>
    <t>florecnciasofiabrolese@gmail.com</t>
  </si>
  <si>
    <t>BUCHIARDI PAZ, AMPARO</t>
  </si>
  <si>
    <t>148 Nª 1439</t>
  </si>
  <si>
    <t>somospazdeco@gmail.com</t>
  </si>
  <si>
    <t>BULFON, RAFAEL</t>
  </si>
  <si>
    <t>20 Nª  2329</t>
  </si>
  <si>
    <t>rafaelbulfon@gmail.com</t>
  </si>
  <si>
    <t>al dia renuncia</t>
  </si>
  <si>
    <t>BULFON, MARCELO</t>
  </si>
  <si>
    <t>15 BIS Nª 312</t>
  </si>
  <si>
    <t>mbulfon@jpsargentina.com</t>
  </si>
  <si>
    <t>BURGOS, MELISA</t>
  </si>
  <si>
    <t>14 N 238 PD 2</t>
  </si>
  <si>
    <t>entrenamiento.expresivo@gmail.com</t>
  </si>
  <si>
    <t>CABADA, SONIA</t>
  </si>
  <si>
    <t>ALBARIÑOS NRO. 2629 LANUS</t>
  </si>
  <si>
    <t>011-42463087</t>
  </si>
  <si>
    <t>Renuncia sin deuda</t>
  </si>
  <si>
    <t>CABO VIEITEZ, SOFIA</t>
  </si>
  <si>
    <t>Actividades recreativas fuera del agua</t>
  </si>
  <si>
    <t>38 n 145</t>
  </si>
  <si>
    <t>so_n1@hotmail.com</t>
  </si>
  <si>
    <t>CABO, HECTOR ANGEL</t>
  </si>
  <si>
    <t>117 Y 38 NRO. 145</t>
  </si>
  <si>
    <t xml:space="preserve">baja </t>
  </si>
  <si>
    <t>DEJO DE PAGAR, ES BAJA AUNQ ES VITALICIO</t>
  </si>
  <si>
    <t>CABRERA, RICARDO JORGE</t>
  </si>
  <si>
    <t>22 E/62 Y 63</t>
  </si>
  <si>
    <t>ricardobacter@yahoo.com.ar</t>
  </si>
  <si>
    <t>CABRERA, SEBASTIAN</t>
  </si>
  <si>
    <t>466 nro. 1599 C.BELL</t>
  </si>
  <si>
    <t>CABRAL, DANTE</t>
  </si>
  <si>
    <t>25 N° 1915</t>
  </si>
  <si>
    <t>dantedavidcabral@gmail.com</t>
  </si>
  <si>
    <t>CACERES, FLORENCIA</t>
  </si>
  <si>
    <t>13 N° 568 6TO B</t>
  </si>
  <si>
    <t>maflo_87_3@hotmail.com</t>
  </si>
  <si>
    <t>CAFFESE, GABRIEL</t>
  </si>
  <si>
    <t>19 Nro. 541</t>
  </si>
  <si>
    <t>gcaffese@yahoo.com</t>
  </si>
  <si>
    <t>CAGIGAS, GERMAN</t>
  </si>
  <si>
    <t>2 Nro. 1558</t>
  </si>
  <si>
    <t>0347 15419927</t>
  </si>
  <si>
    <t>germancagigas@hotmail.com</t>
  </si>
  <si>
    <t>Si bien se dio de baja en Marzo 2019, se lo reincorporó para imputarle un pago en junio y luego se volvió a dar de baja</t>
  </si>
  <si>
    <t>CALVELO, FEDERICO</t>
  </si>
  <si>
    <t>44 Y 115 TENIS HIPODROMO</t>
  </si>
  <si>
    <t>baja con deuda y equipo</t>
  </si>
  <si>
    <t>CALANDRIA, Sol</t>
  </si>
  <si>
    <t>67 N° 215</t>
  </si>
  <si>
    <t>sol.calandria@gmail.com</t>
  </si>
  <si>
    <t>CALVELO, GONZALO</t>
  </si>
  <si>
    <t>32 NRO. 488</t>
  </si>
  <si>
    <t>gonzalocalvelo@gmail.com</t>
  </si>
  <si>
    <t>baja con deuda. SE LO REINCORPORA CON PLAN DE PAGO FEB 2021,baja por falta de pago nuevamente , no paga desde dic 2021, baja marzo2023</t>
  </si>
  <si>
    <t>CALVELO, MARIA JULIETA</t>
  </si>
  <si>
    <t>132 # 4041</t>
  </si>
  <si>
    <t>julietacalvelo@hotmail.com</t>
  </si>
  <si>
    <t>CALVO, SEBASTIAN</t>
  </si>
  <si>
    <t>13 N°2539 ENTRE 44 Y 45 VILLA DEL PLATA</t>
  </si>
  <si>
    <t>sebaalejocalvo@gmail.com</t>
  </si>
  <si>
    <t>CAMARA, ANA</t>
  </si>
  <si>
    <t xml:space="preserve">59 Nº 677 </t>
  </si>
  <si>
    <t>anapcamara@yahoo.com.ar</t>
  </si>
  <si>
    <t>CAMIÑA, REGINA</t>
  </si>
  <si>
    <t>29 Nº 1233</t>
  </si>
  <si>
    <t>reginotis.22@gmail.com</t>
  </si>
  <si>
    <t>1-19</t>
  </si>
  <si>
    <t>CAMPARO, CARLOS</t>
  </si>
  <si>
    <t>11 Nª 4806</t>
  </si>
  <si>
    <t>lw6dig@yahoo.com.ar</t>
  </si>
  <si>
    <t>CAMPOS, ANDRES LEONARDO</t>
  </si>
  <si>
    <t>DG, 74 NRO. 450</t>
  </si>
  <si>
    <t>andrescampos329@gmail.com</t>
  </si>
  <si>
    <t>CAMPOS, SARA</t>
  </si>
  <si>
    <t>CAMPOS, SERGIO ARIEL</t>
  </si>
  <si>
    <t>Kite</t>
  </si>
  <si>
    <t>VALLEJOS NRO. 3254 CAP. FEDERAL</t>
  </si>
  <si>
    <t>factorykiters@hotmail.com</t>
  </si>
  <si>
    <t>INSTRUCTOR KITE</t>
  </si>
  <si>
    <t>CAMPOS, PABLO FERNANDO</t>
  </si>
  <si>
    <t>Pedro Echague 1654</t>
  </si>
  <si>
    <t>pablo.mirasoles@gmail.com</t>
  </si>
  <si>
    <t>CAMPOAMOR, RODRIGO</t>
  </si>
  <si>
    <t>WIND, SUP</t>
  </si>
  <si>
    <t>485 N°3046</t>
  </si>
  <si>
    <t>rodricampoamor@gmail.com</t>
  </si>
  <si>
    <t>CANALI, FABIAN ALEJANDRO</t>
  </si>
  <si>
    <t>163 N°840</t>
  </si>
  <si>
    <t>argosnavi@gmail.com</t>
  </si>
  <si>
    <t>instructor curso timonel</t>
  </si>
  <si>
    <t>CANALI, FACUNDO EZEQUIEL</t>
  </si>
  <si>
    <t>121 N° 91</t>
  </si>
  <si>
    <t>facundo canali@gmail.com</t>
  </si>
  <si>
    <t xml:space="preserve">instructor curso timonel, dejo de pagar </t>
  </si>
  <si>
    <t>CANELAS, CARINA</t>
  </si>
  <si>
    <t>515 N° 1022</t>
  </si>
  <si>
    <t>carinaacanelas@gmail.com</t>
  </si>
  <si>
    <t>CANCELA, JONATAN</t>
  </si>
  <si>
    <t>161 N° 2342</t>
  </si>
  <si>
    <t>jony_mxd@hotmail.com</t>
  </si>
  <si>
    <t>CANDOTTI, ALEJANDRO</t>
  </si>
  <si>
    <t xml:space="preserve"> 52 N°1785, LA PLATA</t>
  </si>
  <si>
    <t>alecandotti@hotmail.com.</t>
  </si>
  <si>
    <t>CANU, GUILLERMO</t>
  </si>
  <si>
    <t>131 ESQ. 62 SOL SHOP</t>
  </si>
  <si>
    <t>CAÑÓN, FABIAN</t>
  </si>
  <si>
    <t>471 N° 1672</t>
  </si>
  <si>
    <t>fabiancanon@gmail.com</t>
  </si>
  <si>
    <t>CAÑEDO, FELIPE</t>
  </si>
  <si>
    <t>15 Nª 1592</t>
  </si>
  <si>
    <t>fcanedo@caliditas.com</t>
  </si>
  <si>
    <t>CAPELLINI, LUIS</t>
  </si>
  <si>
    <t>18 e/ 42 y 43 LP</t>
  </si>
  <si>
    <t>capelliniluis@hotmail.com</t>
  </si>
  <si>
    <t>vitalicio</t>
  </si>
  <si>
    <t>CAPETTA, LUCIANA</t>
  </si>
  <si>
    <t>lucianacapetta@gmail.com</t>
  </si>
  <si>
    <t>CAPONERA, LAURA</t>
  </si>
  <si>
    <t>72 NRO. 1456</t>
  </si>
  <si>
    <t>15 671 9031</t>
  </si>
  <si>
    <t>CAPOBIANCO, CRISTIAN</t>
  </si>
  <si>
    <t>494 N° 1742</t>
  </si>
  <si>
    <t>cristianjcapobianco@gmail.com</t>
  </si>
  <si>
    <t>CAPORALE, SANDRA</t>
  </si>
  <si>
    <t>116 Nº 583</t>
  </si>
  <si>
    <t>sandracaporale@yahoo.com.ar</t>
  </si>
  <si>
    <t>CAPROTTI, SORAYA</t>
  </si>
  <si>
    <t>60 N° 723</t>
  </si>
  <si>
    <t>soraya11c@hotmail.com</t>
  </si>
  <si>
    <t>SE REINCORPORA YA Q TUVO Q RENUNCIAR POR LA PANDEMIA</t>
  </si>
  <si>
    <t>CAPURSO, GASTON</t>
  </si>
  <si>
    <t>66 N° 370</t>
  </si>
  <si>
    <t>capursogaston00@gmail.com</t>
  </si>
  <si>
    <t>CARASSAI, PABLO</t>
  </si>
  <si>
    <t xml:space="preserve">60 N° 1020 </t>
  </si>
  <si>
    <t>pablocarassai@gmail.com</t>
  </si>
  <si>
    <t>CARBAJO, SUSANA</t>
  </si>
  <si>
    <t>123 NRO. 922</t>
  </si>
  <si>
    <t xml:space="preserve">CARBALLO, ALEJANDRO  </t>
  </si>
  <si>
    <t>525 nª 1872</t>
  </si>
  <si>
    <t>baja dejo de pagar ( ya se habia reincorporado antes)</t>
  </si>
  <si>
    <t>CARDOZO, FRANCISCO</t>
  </si>
  <si>
    <t>CRUCERO G. BELGRANO 5485</t>
  </si>
  <si>
    <t>CARDOZO GADDI, LIHUE AILIN</t>
  </si>
  <si>
    <t>wind</t>
  </si>
  <si>
    <t>PARQUE PEREYRA N° 52</t>
  </si>
  <si>
    <t>lihue@live.com</t>
  </si>
  <si>
    <t>CAROT, GONZALO</t>
  </si>
  <si>
    <t>54 N° 1168 7 A</t>
  </si>
  <si>
    <t>gonzalocarot@hotmail.com</t>
  </si>
  <si>
    <t>CARLONI, MARINA</t>
  </si>
  <si>
    <t>´531 N° 704</t>
  </si>
  <si>
    <t>lamaricarlo@gmail.com</t>
  </si>
  <si>
    <t>CARRASQUET, GASTON</t>
  </si>
  <si>
    <t>50 NRO. 832 LP</t>
  </si>
  <si>
    <t>CARRASQUET, JUAN</t>
  </si>
  <si>
    <t>453 NRO. 1664 C.BELL</t>
  </si>
  <si>
    <t>CARRASQUET, PABLO</t>
  </si>
  <si>
    <t>37 NRO. 920 4 A</t>
  </si>
  <si>
    <t>pablocarrasquet@hotmail.com</t>
  </si>
  <si>
    <t>CARUSO, VERONICA CARUSO</t>
  </si>
  <si>
    <t>37 N° 487</t>
  </si>
  <si>
    <t>silcaruso91@gmail.com</t>
  </si>
  <si>
    <t>baja por no pagar</t>
  </si>
  <si>
    <t>CASADO ,EDUARDO</t>
  </si>
  <si>
    <t>3 NRO. 1117 ESQ DIAG. 78</t>
  </si>
  <si>
    <t>Edu1ca@yahoo.com.ar</t>
  </si>
  <si>
    <t>CASADO, MARTÍN</t>
  </si>
  <si>
    <t>tinchocasado@hotmail.com</t>
  </si>
  <si>
    <t>CASALI,DIEGO</t>
  </si>
  <si>
    <t>MONTEVIDEO 3946 BERISSO</t>
  </si>
  <si>
    <t>CASAS, VERONICA</t>
  </si>
  <si>
    <t>480 esq 18</t>
  </si>
  <si>
    <t>verocasas_4@hotmail.com</t>
  </si>
  <si>
    <t>CASCALLANA, PABLO PATRICIO</t>
  </si>
  <si>
    <t>44 Nª 1378</t>
  </si>
  <si>
    <t>casaca@hotmail.com</t>
  </si>
  <si>
    <t>CASIELLES, ANDREA</t>
  </si>
  <si>
    <t>REPUBLICA DEL LIBANO 1218</t>
  </si>
  <si>
    <t>fernandacasielles.02@gmail.com</t>
  </si>
  <si>
    <t>CASTILLA, AUGUSTO MANUEL</t>
  </si>
  <si>
    <t xml:space="preserve"> 48 N° 520</t>
  </si>
  <si>
    <t>augustomanuelcastilla@hotmail.com</t>
  </si>
  <si>
    <t>CASSTORINA, FERNANDO JAVIER</t>
  </si>
  <si>
    <t>6 NRO. 1926 E/ 512 Y 513</t>
  </si>
  <si>
    <t>CASTAGNARI, CLAUDIA</t>
  </si>
  <si>
    <t>ccastagnari@citarella.com.ar</t>
  </si>
  <si>
    <t>CASTAÑEDA, MARIA AMELIA</t>
  </si>
  <si>
    <t>134 N° 562</t>
  </si>
  <si>
    <t>maria.amelia.castaneda@gmail.com</t>
  </si>
  <si>
    <t>CASTILLO, DARDO</t>
  </si>
  <si>
    <t>118 NRO. 1561</t>
  </si>
  <si>
    <t>dardo0221@hotmail.com.ar</t>
  </si>
  <si>
    <t>CASTORINA, JULIETA</t>
  </si>
  <si>
    <t>RENUNCIA AL DIA</t>
  </si>
  <si>
    <t>CASTRO, FABIAN</t>
  </si>
  <si>
    <t>KITE Y SUP</t>
  </si>
  <si>
    <t>7 ESQ 605</t>
  </si>
  <si>
    <t>angelesykaos@hotmail.com</t>
  </si>
  <si>
    <t>CATALAN, MARCELO</t>
  </si>
  <si>
    <t>138 Y 458 C.BELL</t>
  </si>
  <si>
    <t>CATALDO, CLAUDIO</t>
  </si>
  <si>
    <t>kayak</t>
  </si>
  <si>
    <t>60 Nro. 2047 LA PLATA</t>
  </si>
  <si>
    <t>CATALDO , SOLEDAD</t>
  </si>
  <si>
    <t>67 N° 1652</t>
  </si>
  <si>
    <t>ciudadaniaescuela25@gmail.com</t>
  </si>
  <si>
    <t>CATZ, CARLOS RODOLFO</t>
  </si>
  <si>
    <t>Kitesurf, natacion aguas abiertas</t>
  </si>
  <si>
    <t>PUEYRREDON 2995 L.ZAMORA</t>
  </si>
  <si>
    <t>cozazaco@hotmail.com</t>
  </si>
  <si>
    <t>CATTENAZZI, FEDERICO</t>
  </si>
  <si>
    <t>509 N 2637</t>
  </si>
  <si>
    <t>federico.cattenazzi@yahoo.com</t>
  </si>
  <si>
    <t>NO PAGO MAS, BAJA</t>
  </si>
  <si>
    <t>CEBALLOS, NICOLAS</t>
  </si>
  <si>
    <t>29 NRO. 574 TORRE 2 2 B LP</t>
  </si>
  <si>
    <t>choloruta@gmailo.com</t>
  </si>
  <si>
    <t xml:space="preserve">CEBALLOS, MARISA BEATRIZ </t>
  </si>
  <si>
    <t>OSLO 1051 LOMAS DE ZAMORA</t>
  </si>
  <si>
    <t>marisaceballos1967@gmail.com</t>
  </si>
  <si>
    <t>dejo de pagar</t>
  </si>
  <si>
    <t>GARCIA CEPEDA, MARIA LAURA</t>
  </si>
  <si>
    <t>36 N 1129</t>
  </si>
  <si>
    <t>mlgarciacepeda@yahoo.com.ar</t>
  </si>
  <si>
    <t>CELLI, HERNAN HORACIO</t>
  </si>
  <si>
    <t>20 N° 4649</t>
  </si>
  <si>
    <t>hernancelli@gmail.com</t>
  </si>
  <si>
    <t>CEDOLA, GERMAN</t>
  </si>
  <si>
    <t>gercedola@yahoo.com.ar</t>
  </si>
  <si>
    <t>CEPEDA, MATIAS</t>
  </si>
  <si>
    <t>115 N°271</t>
  </si>
  <si>
    <t>matiascepeda@gmail.com</t>
  </si>
  <si>
    <t>CERDA, DIEGO</t>
  </si>
  <si>
    <t>11 N° 504</t>
  </si>
  <si>
    <t>gustosur@hotmail.com</t>
  </si>
  <si>
    <t>CERDEIRO, DIEGO</t>
  </si>
  <si>
    <t>AV. CABILDO N. 3900 2 D</t>
  </si>
  <si>
    <t>CERIANA, CINTHIA</t>
  </si>
  <si>
    <t>476 n ° 3038</t>
  </si>
  <si>
    <t>cinthia_cer@hotmail.com</t>
  </si>
  <si>
    <t>CERRUTI, MARISA</t>
  </si>
  <si>
    <t>pza. italia nro. 27 1 D LP</t>
  </si>
  <si>
    <t>CESPEDES, LEANDRO</t>
  </si>
  <si>
    <t>BRASIL N° 26 1/2</t>
  </si>
  <si>
    <t>Excento</t>
  </si>
  <si>
    <t xml:space="preserve"> LEANDRO ES DE SUP ADAPTADO está excento de pago. C.D.</t>
  </si>
  <si>
    <t>CESTONA, MARCOS</t>
  </si>
  <si>
    <t>506 Nº 1071</t>
  </si>
  <si>
    <t>marcestona@hotmail.com</t>
  </si>
  <si>
    <t>CHARIS, GUILLER</t>
  </si>
  <si>
    <t xml:space="preserve">47 Nº 1416 </t>
  </si>
  <si>
    <t>charisguiller@yahoo.com.ar</t>
  </si>
  <si>
    <t>RENUNCIA AL DIA. Se reincorpora cuando reabre el club, por excepcion. renuncia nuevamente, ultmio pago feb 2023</t>
  </si>
  <si>
    <t>CHARREUN, HERNAN</t>
  </si>
  <si>
    <t>36 N° 579</t>
  </si>
  <si>
    <t>hernancharreun@gmail.com</t>
  </si>
  <si>
    <t>CHEAUG, LETICIA</t>
  </si>
  <si>
    <t>V. SARFIELD QUILMES</t>
  </si>
  <si>
    <t>leticiach@yahoo.com.ar(Banco)</t>
  </si>
  <si>
    <t>CHENA, PABLO IGNACIO</t>
  </si>
  <si>
    <t>16 Nro. 1585</t>
  </si>
  <si>
    <t>CHIAPPE, PABLO DARIO</t>
  </si>
  <si>
    <t xml:space="preserve">CLAZETA Nº 522 </t>
  </si>
  <si>
    <t>pdchiappe@gmail.com</t>
  </si>
  <si>
    <t>CIACIA, ANDREA</t>
  </si>
  <si>
    <t>8 NRO. 790</t>
  </si>
  <si>
    <t>Renuncia con deuda. Ultimo registro en planilla Pagos Enero 2015 - Esposa de un socio que dijo que habia renunciado antes y que esta pagando como invitada</t>
  </si>
  <si>
    <t>CIALCETA, BEATRIZ</t>
  </si>
  <si>
    <t xml:space="preserve">50 N° 1292 </t>
  </si>
  <si>
    <t>bettycial@gmail.com</t>
  </si>
  <si>
    <t>RENUNCIA AL DIA POR VIAJE</t>
  </si>
  <si>
    <t>CIAPPINA, GERARDO</t>
  </si>
  <si>
    <t>43 N° 410</t>
  </si>
  <si>
    <t>fede.ciappina@gmail.com</t>
  </si>
  <si>
    <t>CIBIARA, JORGELINA</t>
  </si>
  <si>
    <t>493 N° 2064</t>
  </si>
  <si>
    <t>jolycibiara@hotmail.com</t>
  </si>
  <si>
    <t>CICHINO, JULIAN</t>
  </si>
  <si>
    <t>475 E/21 Y 21A C.BELL</t>
  </si>
  <si>
    <t>CIDALE, LIDIA</t>
  </si>
  <si>
    <t>85 NRO. 198 LP</t>
  </si>
  <si>
    <t>CINGOLANI, CELIA</t>
  </si>
  <si>
    <t>1 N° 1197 3°C</t>
  </si>
  <si>
    <t>celiacingolani@gmail.com</t>
  </si>
  <si>
    <t xml:space="preserve">VUELVE A RENUNCIAR, AL DIA </t>
  </si>
  <si>
    <t>CINGOLANI, DIEGO</t>
  </si>
  <si>
    <t>50 N° 1120 2° A</t>
  </si>
  <si>
    <t>cingolanidiego@hotmail.com</t>
  </si>
  <si>
    <t>CIPOLLA, JULIO</t>
  </si>
  <si>
    <t>135 N° 1891 L.P</t>
  </si>
  <si>
    <t>julio47lp@gmail.com</t>
  </si>
  <si>
    <t>CISNEROS, MARIA ESTER</t>
  </si>
  <si>
    <t>DIAGONAL 75 N 1056 3º 4º</t>
  </si>
  <si>
    <t>mariacisneros@hotmail.com</t>
  </si>
  <si>
    <t>CHIODO, PAULA GABRIELA</t>
  </si>
  <si>
    <t>SIDOTTI 772</t>
  </si>
  <si>
    <t>pauchiodo@gmail.com</t>
  </si>
  <si>
    <t>CLAUSEN, FERNANDO</t>
  </si>
  <si>
    <t>Conde 982 (CABA)</t>
  </si>
  <si>
    <t>fernandoclausen@hotmail.com</t>
  </si>
  <si>
    <t>CLUA, SEBASTIAN</t>
  </si>
  <si>
    <t>14 Nº 54</t>
  </si>
  <si>
    <t>sebas.clua@hotmail.com</t>
  </si>
  <si>
    <t>CLUA, MARIA</t>
  </si>
  <si>
    <t>11 Nº 4141 1/2</t>
  </si>
  <si>
    <t>mariaclua26@gmail.com</t>
  </si>
  <si>
    <t>COBEÑAS, CARLOS</t>
  </si>
  <si>
    <t>56 N° 815</t>
  </si>
  <si>
    <t>carlos.cobenas@hotmail.com</t>
  </si>
  <si>
    <t>COLLENZ, JUSTINA</t>
  </si>
  <si>
    <t>60 Nª 1409</t>
  </si>
  <si>
    <t>jcollenz@gmail.com</t>
  </si>
  <si>
    <t>COLOMBO, LAURA</t>
  </si>
  <si>
    <t>489 nº 2867</t>
  </si>
  <si>
    <t>lcolombo48@hotmail.com</t>
  </si>
  <si>
    <t>COLOTTA, RUBEN</t>
  </si>
  <si>
    <t>76 NRO. 1936 E/133 Y 134 BIS</t>
  </si>
  <si>
    <t>COMINI, GIANNI</t>
  </si>
  <si>
    <t>38 Nro 1135</t>
  </si>
  <si>
    <t>15 6029987</t>
  </si>
  <si>
    <t>COMISSO, RAMIRO</t>
  </si>
  <si>
    <t>20 Nro. 1315 E/ 59 Y 60</t>
  </si>
  <si>
    <t>CONDE, CLAUDIO</t>
  </si>
  <si>
    <t>AV. SAN MARTIN N° 1186</t>
  </si>
  <si>
    <t>claudiomangano@gmail.com</t>
  </si>
  <si>
    <t>CONDE, GUSTAVO</t>
  </si>
  <si>
    <t>76 NRO. 1636 E727 BIS Y 28</t>
  </si>
  <si>
    <t>gaitacain@gmail.com</t>
  </si>
  <si>
    <t>CONDE, AGUSTINA</t>
  </si>
  <si>
    <t>139 Nª 667</t>
  </si>
  <si>
    <t>agustinaconde13@hotmail.com</t>
  </si>
  <si>
    <t>CONSTANZO, FABIAN</t>
  </si>
  <si>
    <t>50 NRO. 1771 2 C LP</t>
  </si>
  <si>
    <t>CONTI, HUGO DANIEL</t>
  </si>
  <si>
    <t>8 BIS N° 174</t>
  </si>
  <si>
    <t>danielconti62@hotmail.com</t>
  </si>
  <si>
    <t>CONTINI, VICTORIA</t>
  </si>
  <si>
    <t>CURSO TIMONEL</t>
  </si>
  <si>
    <t xml:space="preserve"> LAVALE 778 QUILMES</t>
  </si>
  <si>
    <t>victoriacontini6@gmail.com</t>
  </si>
  <si>
    <t>COPANI, JUAN CARLOS</t>
  </si>
  <si>
    <t>54 Nº 1084 PISO 3, LP</t>
  </si>
  <si>
    <t>COPELLO, RICARDO</t>
  </si>
  <si>
    <t>133 N° 623</t>
  </si>
  <si>
    <t>jccopani@hotmail.com</t>
  </si>
  <si>
    <t>CORBETTO, GERMÁN</t>
  </si>
  <si>
    <t>TRES DE FEBRERO 2865,</t>
  </si>
  <si>
    <t>jereceto@gmail.com</t>
  </si>
  <si>
    <t>CORREA GENARO, MANUEL</t>
  </si>
  <si>
    <t>2 NRO. 2442 LP</t>
  </si>
  <si>
    <t xml:space="preserve">Este socio es el mismo que el 1518 y esta repetido porque registra pagos con los 2 numeros de socios </t>
  </si>
  <si>
    <t>CORREA, FLORENCIA</t>
  </si>
  <si>
    <t xml:space="preserve">50 N° 369 </t>
  </si>
  <si>
    <t>florcicorrea@hotmail.com</t>
  </si>
  <si>
    <t>CORTE, TATIANA</t>
  </si>
  <si>
    <t>26 Nª 1389</t>
  </si>
  <si>
    <t>tatianacortetc@gmail.com</t>
  </si>
  <si>
    <t>CORTEZ, JOAQUIN</t>
  </si>
  <si>
    <t>baja por deuda, curso timonel</t>
  </si>
  <si>
    <t>CORTINA, FRANCO</t>
  </si>
  <si>
    <t>41 NRO. 928 LP</t>
  </si>
  <si>
    <t>CORTINA, MARCELO OSVALDO</t>
  </si>
  <si>
    <t>cmo928@hotmail.com</t>
  </si>
  <si>
    <t>COSENTINO, JUAN SEBASTIAN</t>
  </si>
  <si>
    <t>22 Nro. 58  5to B</t>
  </si>
  <si>
    <t>juansebas-tian@hotmail.com</t>
  </si>
  <si>
    <t>COSETINO, JUAN SEBASTIAN</t>
  </si>
  <si>
    <t>22 NRO. 28 E/ 32 Y 33 LP</t>
  </si>
  <si>
    <t>COSTA MARIA LILIANA</t>
  </si>
  <si>
    <t>VEL</t>
  </si>
  <si>
    <t>476 N 629</t>
  </si>
  <si>
    <t>mcostaserra@gmail.com</t>
  </si>
  <si>
    <t>COTELO, MARA</t>
  </si>
  <si>
    <t>LUJAN 191</t>
  </si>
  <si>
    <t>maracotelo@hotmail.com.ar</t>
  </si>
  <si>
    <t>COTIGNOLA, AGUSTÍN</t>
  </si>
  <si>
    <t>20 N° 1593</t>
  </si>
  <si>
    <t>aguscotignola@hotmail.com</t>
  </si>
  <si>
    <t>COUSILLAS, RUBEN DANIEL</t>
  </si>
  <si>
    <t>303 A NRO. 1090 RANELAGH</t>
  </si>
  <si>
    <t>danielcousillas@yahoo.com.ar</t>
  </si>
  <si>
    <t>COUYET, FERNANDO</t>
  </si>
  <si>
    <t>41 NRO. 1049 ESQ 16 ASEGUR.</t>
  </si>
  <si>
    <t xml:space="preserve">couyetfernando@gmail.com </t>
  </si>
  <si>
    <t>CREEVY, HUGO</t>
  </si>
  <si>
    <t>13 E/ 48 Y 50 UDEC</t>
  </si>
  <si>
    <t>mora_creevy@hotmail.com</t>
  </si>
  <si>
    <t>CREVANI, FRANCO</t>
  </si>
  <si>
    <t>29 Nª 1633</t>
  </si>
  <si>
    <t>gutierrezdeunzue@gmail.com</t>
  </si>
  <si>
    <t>CTIBOR, FRANCISCO</t>
  </si>
  <si>
    <t>WIND Y KITE</t>
  </si>
  <si>
    <t>514 N° 1870</t>
  </si>
  <si>
    <t>fctibor@segavial.com.ar</t>
  </si>
  <si>
    <t>con deuda, baja</t>
  </si>
  <si>
    <t>CUADRA,MATIAS</t>
  </si>
  <si>
    <t>CUELLO, JULIO CESAR</t>
  </si>
  <si>
    <t>50 N1262 depto.1 e 20 y 21</t>
  </si>
  <si>
    <t>juliocesarcuello@hotmail.com</t>
  </si>
  <si>
    <t>CURELL, MARIA JULIA</t>
  </si>
  <si>
    <t xml:space="preserve"> 522 N° 675</t>
  </si>
  <si>
    <t>macurell@hotmail.com</t>
  </si>
  <si>
    <t>CURUBETO, GIANLUCA</t>
  </si>
  <si>
    <t>10 NRO. 1379 E/ 60 Y 61</t>
  </si>
  <si>
    <t>CURUBETO, SERGIO</t>
  </si>
  <si>
    <t>10 NRO. 1379</t>
  </si>
  <si>
    <t>scurubeto@gmail.com</t>
  </si>
  <si>
    <t>CURUCHAGA,LUIS ADOLFO</t>
  </si>
  <si>
    <t>116 NRO. 1573</t>
  </si>
  <si>
    <t>D´Agosto , Rodrigo</t>
  </si>
  <si>
    <t>salta 470 4° B</t>
  </si>
  <si>
    <t>01165333944</t>
  </si>
  <si>
    <t>rodrigo.dagosto@gmail.com</t>
  </si>
  <si>
    <t>D´Alessandro, Ma. Elena</t>
  </si>
  <si>
    <t>2 n° 1084</t>
  </si>
  <si>
    <t>mariela.dale@hotmail.com</t>
  </si>
  <si>
    <t>D´AGOSTINO, SILVANA</t>
  </si>
  <si>
    <t>43 N°1090 4TO B</t>
  </si>
  <si>
    <t>silvanavada@hotmail.com</t>
  </si>
  <si>
    <t>DALCEGGIO, MARTIN</t>
  </si>
  <si>
    <t>68 ª 529</t>
  </si>
  <si>
    <t>mdalceggio@gmail.com</t>
  </si>
  <si>
    <t>DALLA VIA, MARIA JOSE</t>
  </si>
  <si>
    <t>13 NRO. 527 DTO. B LP</t>
  </si>
  <si>
    <t>majodav@hotmail.com</t>
  </si>
  <si>
    <t>DA LUZ, INES</t>
  </si>
  <si>
    <t>483 N° 2587</t>
  </si>
  <si>
    <t>inesdaluz@hotmail.com</t>
  </si>
  <si>
    <t>DAMI, FERNANDO</t>
  </si>
  <si>
    <t>22 N° 1310</t>
  </si>
  <si>
    <t>ferroberto@yahoo.com.ar</t>
  </si>
  <si>
    <t>DAVAGNINO, LUCIANO</t>
  </si>
  <si>
    <t>511 N° 12452</t>
  </si>
  <si>
    <t>lucianodavagnino@hotmail.com</t>
  </si>
  <si>
    <t>DE ANGELIS, JUAN</t>
  </si>
  <si>
    <t>3 de febrero nº 1797</t>
  </si>
  <si>
    <t>juanblas.deangelis@gmail.com</t>
  </si>
  <si>
    <t>DE ALBUQUERQUE, ALEJANDRA</t>
  </si>
  <si>
    <t>19 N° 70</t>
  </si>
  <si>
    <t>alealbuquerque@gamil.com</t>
  </si>
  <si>
    <t>DE CASTRO, LUCAS</t>
  </si>
  <si>
    <t>60 1679 la plata</t>
  </si>
  <si>
    <t>15-5428017</t>
  </si>
  <si>
    <t>DE FELIPE, GUILLERMO</t>
  </si>
  <si>
    <t>29 E/ 522 Y 523 LP</t>
  </si>
  <si>
    <t>DE GROOT, SEBASTIAN</t>
  </si>
  <si>
    <t>24 N° 2682 Gonnet</t>
  </si>
  <si>
    <t>sdegroot@oufaster.com.ar</t>
  </si>
  <si>
    <t>DE LUCA, GUSTAVO</t>
  </si>
  <si>
    <t>132 BIS N° 1049 , VILLA ELISA</t>
  </si>
  <si>
    <t>011 156309720</t>
  </si>
  <si>
    <t>gustavordeluca@gmail.com</t>
  </si>
  <si>
    <t>DE NICOLA, JULIAN</t>
  </si>
  <si>
    <t xml:space="preserve">403 S/N ENTRE CENTENARIO Y 6 </t>
  </si>
  <si>
    <t>juliandenicola@gmail.com</t>
  </si>
  <si>
    <t>DE PIERRIS, ESTEBAN</t>
  </si>
  <si>
    <t>Windsurf, Vela ligera</t>
  </si>
  <si>
    <t>120 NRO. 1905 LP</t>
  </si>
  <si>
    <t>edepierris@yahoo.com</t>
  </si>
  <si>
    <t>DE PIERRIS, GASTON</t>
  </si>
  <si>
    <t>508 N°2761, GONNET</t>
  </si>
  <si>
    <t>depierris@hotmail.com</t>
  </si>
  <si>
    <t>DE PIERRIS, THEO</t>
  </si>
  <si>
    <t>120 N° 1905</t>
  </si>
  <si>
    <t>theodepierri@gmail.com</t>
  </si>
  <si>
    <t>DE PORZI, ADRIANA CATALINA</t>
  </si>
  <si>
    <t>47 N° 566</t>
  </si>
  <si>
    <t>deporzicatalina@gmail.com</t>
  </si>
  <si>
    <t>DE ROSA, MARIANO</t>
  </si>
  <si>
    <t>11 NRO. 1414 DTO. 2 LP</t>
  </si>
  <si>
    <t>pestecanina@hotmail.com</t>
  </si>
  <si>
    <t>DE ROSA, PABLO</t>
  </si>
  <si>
    <t>19 1463 61/62</t>
  </si>
  <si>
    <t>15-5430947</t>
  </si>
  <si>
    <t>DE SANTI, ANTONIO</t>
  </si>
  <si>
    <t>151 NRO. 817 BERISSO</t>
  </si>
  <si>
    <t>cachods@yahoo.com.ar</t>
  </si>
  <si>
    <t>DE SANTI, FERNANDO</t>
  </si>
  <si>
    <t>66 NRO. 986 1/2 LP</t>
  </si>
  <si>
    <t>DE VARGAS, ANDREA</t>
  </si>
  <si>
    <t>15 N° 1735</t>
  </si>
  <si>
    <t>devargas@arba.com.ar</t>
  </si>
  <si>
    <t>DEFRANCO, DANIEL FABIAN</t>
  </si>
  <si>
    <t xml:space="preserve">Windsurf, Kitesurf, Kayak, </t>
  </si>
  <si>
    <t>14 nro.1693 LP</t>
  </si>
  <si>
    <t>ddefrranco@hotmail.com</t>
  </si>
  <si>
    <t>DEL PERO, ROBERTO</t>
  </si>
  <si>
    <t>8 N° 1546</t>
  </si>
  <si>
    <t>elsibaritaxxI@hotmail.com</t>
  </si>
  <si>
    <t>DEL PRADO, LIA</t>
  </si>
  <si>
    <t>65 Nro. 370 PB 1 La plata</t>
  </si>
  <si>
    <t>15 6045491</t>
  </si>
  <si>
    <t>liadelprado@gmail.com</t>
  </si>
  <si>
    <t>Tuvo baja con deuda en marzo 2019 y se la reincorpora en Junio 2019 para que pague la deuda</t>
  </si>
  <si>
    <t>pago deuda kayak y retiro octubre 2020</t>
  </si>
  <si>
    <t>DEL RIO, HUGO HORACIO</t>
  </si>
  <si>
    <t>7 Nro 5395 Pta Lata</t>
  </si>
  <si>
    <t>466 0005</t>
  </si>
  <si>
    <t>DEL RIO MARIANA</t>
  </si>
  <si>
    <t>426 Nº 2395</t>
  </si>
  <si>
    <t>marianadelr@hotmail.com</t>
  </si>
  <si>
    <t>DEL RIO, MARIANO</t>
  </si>
  <si>
    <t>Calle 27 Nro 730</t>
  </si>
  <si>
    <t>delriomariano@hotmail.com</t>
  </si>
  <si>
    <t>DEL MONTE, GASTON</t>
  </si>
  <si>
    <t>DELAS, ARIEL</t>
  </si>
  <si>
    <t>Pasaje Groussac Nro 37</t>
  </si>
  <si>
    <t>15-40718274</t>
  </si>
  <si>
    <t>DELUCCHI, FLORENCIA</t>
  </si>
  <si>
    <t>fdelu@icloud.com</t>
  </si>
  <si>
    <t>DELUCCHI, GUSTAVO</t>
  </si>
  <si>
    <t>´44 N° 3370</t>
  </si>
  <si>
    <t>elpsi@me.com</t>
  </si>
  <si>
    <t>DELIZZIA, LEONARDO</t>
  </si>
  <si>
    <t>ELISTONDO N. 5284 quilmes</t>
  </si>
  <si>
    <t>011 42536928</t>
  </si>
  <si>
    <t xml:space="preserve">Baja con deuda 23 cuotas de socio </t>
  </si>
  <si>
    <t>DELLAQUA, ALEJANDRO</t>
  </si>
  <si>
    <t>71 NRO. 33 E/ 119 Y 120</t>
  </si>
  <si>
    <t>DEMAESTRI, DIEGO</t>
  </si>
  <si>
    <t>136 NRO. 68 E/ 531 Y 532 LP</t>
  </si>
  <si>
    <t>DEMONTE, GISEL</t>
  </si>
  <si>
    <t>68 Nª 529</t>
  </si>
  <si>
    <t>giseldem@hotmail.com</t>
  </si>
  <si>
    <t>DENINO, FLORENCIA</t>
  </si>
  <si>
    <t>FRANCISCO BOGA 884</t>
  </si>
  <si>
    <t>florencia.m.denino@gmail.com</t>
  </si>
  <si>
    <t>DENOFRIO, GERMAN</t>
  </si>
  <si>
    <t>SAN MARTIN 1012</t>
  </si>
  <si>
    <t>gerdeno@hotmail.com</t>
  </si>
  <si>
    <t>DENTI, MARCELO</t>
  </si>
  <si>
    <t>COSTANERA NRO. 190 P.LARA</t>
  </si>
  <si>
    <t>atrasadisimo!</t>
  </si>
  <si>
    <t>DEPRATI, ARTURO</t>
  </si>
  <si>
    <t>153 Nro. 879 BERISSO</t>
  </si>
  <si>
    <t>reconstruccionarturo@gmail.com</t>
  </si>
  <si>
    <t>DEPRATI, GASTON</t>
  </si>
  <si>
    <t>38 N° 982 PISO 6 DTO 12</t>
  </si>
  <si>
    <t>gprati@hotmail.com</t>
  </si>
  <si>
    <t>DESCHAMPS, FEDERICO</t>
  </si>
  <si>
    <t>47 NRO. 322 E/ 1 Y 2</t>
  </si>
  <si>
    <t>federicodeschamps@hotmail.com</t>
  </si>
  <si>
    <t>DESCHAMPS,JULIANA</t>
  </si>
  <si>
    <t>32 NRO. 752 5 A</t>
  </si>
  <si>
    <t>DESSY, DIEGO</t>
  </si>
  <si>
    <t>363 N° 524</t>
  </si>
  <si>
    <t>diegodessy1@hotmail.com</t>
  </si>
  <si>
    <t>DESILIO, PATRICIA LILIANA</t>
  </si>
  <si>
    <t>29 N° 274</t>
  </si>
  <si>
    <t>patriciadesilio78@gmail.com</t>
  </si>
  <si>
    <t>DEVESA, AUGUSTO</t>
  </si>
  <si>
    <t>58 NRO 798 8 A</t>
  </si>
  <si>
    <t>DIBIACE, ALEJANDRO</t>
  </si>
  <si>
    <t>FOIL</t>
  </si>
  <si>
    <t>8 N° 1470</t>
  </si>
  <si>
    <t>dibiacealejandro1@gmail.com</t>
  </si>
  <si>
    <t>DI CARLO, JOSE</t>
  </si>
  <si>
    <t>6 ESQ. 37 PELUQUERIA</t>
  </si>
  <si>
    <t>DI CARLO,MAURO</t>
  </si>
  <si>
    <t>21 N° 56 ESQ 475 CITY BELL</t>
  </si>
  <si>
    <t>citybell@viverosdicarlo.com.ar</t>
  </si>
  <si>
    <t>DI CROCE, GUSTAVO</t>
  </si>
  <si>
    <t>18 NRO. 834 BERISSO</t>
  </si>
  <si>
    <t>DI LUCA, ALEJANDRO</t>
  </si>
  <si>
    <t>baja deuda mas de 2 años sin pagar</t>
  </si>
  <si>
    <t>DI PINO, MIGUEL ANGEL</t>
  </si>
  <si>
    <t>30 N° 312</t>
  </si>
  <si>
    <t>migueldipino@gmail.com</t>
  </si>
  <si>
    <t>DI SANTI LEONARDO (darlo de baja)</t>
  </si>
  <si>
    <t>24 Nro. 1878 1/2 La Plata</t>
  </si>
  <si>
    <t>453 0196</t>
  </si>
  <si>
    <t>DI FRANCESCO, GABRIEL</t>
  </si>
  <si>
    <t>55 n° 673 dptop 2</t>
  </si>
  <si>
    <t>difrancescogabriel@gmail.com</t>
  </si>
  <si>
    <t>se reincorpora</t>
  </si>
  <si>
    <t>DIAGO, ANDRES</t>
  </si>
  <si>
    <t>RUTA 11 Y CALLE 610</t>
  </si>
  <si>
    <t>DIAS, PAULO</t>
  </si>
  <si>
    <t>133 N 2606 CASA B, HERNANDEZ</t>
  </si>
  <si>
    <t>estudiodiasbarale@gmail.com</t>
  </si>
  <si>
    <t>DIAZ MENDOZA, GUSTAVO</t>
  </si>
  <si>
    <t>LASR- KAYAK</t>
  </si>
  <si>
    <t>61 N° 1159</t>
  </si>
  <si>
    <t>gadiazmendoza@gmail.com</t>
  </si>
  <si>
    <t>DIAZ VAZQUEZ, LUCAS</t>
  </si>
  <si>
    <t>Zapiola 825, Turdera</t>
  </si>
  <si>
    <t>01169115115</t>
  </si>
  <si>
    <t>lucasoo24@hotmail.com</t>
  </si>
  <si>
    <t>DIAZ GIRORD, MA. CONSTANZA</t>
  </si>
  <si>
    <t>1 N°112</t>
  </si>
  <si>
    <t>constanzadiazgirord@gmail.com</t>
  </si>
  <si>
    <t>DIAZ, MATIAS</t>
  </si>
  <si>
    <t>42 N° 1306 2A</t>
  </si>
  <si>
    <t>diazmatias1990@gmail.com</t>
  </si>
  <si>
    <t>DIEZ MARCOS</t>
  </si>
  <si>
    <t>16 NRO. 274</t>
  </si>
  <si>
    <t>diezmarcos@yahoo.com.ar</t>
  </si>
  <si>
    <t>DIEZ, ANA SOFIA</t>
  </si>
  <si>
    <t>laser</t>
  </si>
  <si>
    <t>39 # 873</t>
  </si>
  <si>
    <t>anasofiadiez@gmail.com</t>
  </si>
  <si>
    <t>DIEZ, MA. MAGDALENA</t>
  </si>
  <si>
    <t>diezmariamagdalena@gmail.com</t>
  </si>
  <si>
    <t>BAJA POR FALTA DE PAGO</t>
  </si>
  <si>
    <t>DILLON, MARGARITA</t>
  </si>
  <si>
    <t xml:space="preserve">15 BIS ENTRE 52 Y 54 N° 2855 VILLA DEL PLATA </t>
  </si>
  <si>
    <t>dillonmar@hotmail.com</t>
  </si>
  <si>
    <t>DIOTTO, PABLO</t>
  </si>
  <si>
    <t>453 E/28 Y CORTADA C.BELL</t>
  </si>
  <si>
    <t>DOBROWLAÑSKI, ALDO ARIEL</t>
  </si>
  <si>
    <t>160 NRO. 874 BERISSO</t>
  </si>
  <si>
    <t>aadobro@gmail.com</t>
  </si>
  <si>
    <t>DOMINGUEZ, IGNACIO</t>
  </si>
  <si>
    <t>AV. DE LOS INCAS 5048</t>
  </si>
  <si>
    <t>011 15 40417860</t>
  </si>
  <si>
    <t>DONADIO, JUAN</t>
  </si>
  <si>
    <t>458 Y 138 C.BELL</t>
  </si>
  <si>
    <t>DONAMARI, NORA</t>
  </si>
  <si>
    <t>AV. JARDIN DE HUDSON 6368</t>
  </si>
  <si>
    <t>donamari2808@gmail.com</t>
  </si>
  <si>
    <t>DOLCE, PABLO</t>
  </si>
  <si>
    <t>WIND FOIL</t>
  </si>
  <si>
    <t>4 N° 3408</t>
  </si>
  <si>
    <t>pabloantoniodolce@gmail.com</t>
  </si>
  <si>
    <t>DORATI, ALICIA</t>
  </si>
  <si>
    <t>11 NRO. 6021 C.BELL</t>
  </si>
  <si>
    <t>DUBOR, TEOFILO</t>
  </si>
  <si>
    <t>529 NRO. 1523</t>
  </si>
  <si>
    <t>DUBERTTI, ANDREA</t>
  </si>
  <si>
    <t>andreafabanadubertti@gmail.com</t>
  </si>
  <si>
    <t>DUCROS, CHRISTIAN</t>
  </si>
  <si>
    <t>16 Nº 1673</t>
  </si>
  <si>
    <t>christianducros@hotmail.com</t>
  </si>
  <si>
    <t>DURO ,GONZALO</t>
  </si>
  <si>
    <t>58 NRO. 718 10 A</t>
  </si>
  <si>
    <t>Con Licencia</t>
  </si>
  <si>
    <t>DUTRA MARIA SOL</t>
  </si>
  <si>
    <t>6 N° 1444</t>
  </si>
  <si>
    <t>soldutra@hotmail.com</t>
  </si>
  <si>
    <t>ECHEVESTE, HORACIO</t>
  </si>
  <si>
    <t>Calle 3 N 1666</t>
  </si>
  <si>
    <t>hecheves@inremi.unlp.edu.ar</t>
  </si>
  <si>
    <t>ELGARTE, MARILINA</t>
  </si>
  <si>
    <t>7 N° 1209 ENTRE 57 Y 58 5° C</t>
  </si>
  <si>
    <t>marilina.elgarte@gmail.com</t>
  </si>
  <si>
    <t>LICENCIA MEDICA</t>
  </si>
  <si>
    <t>ELLERO, SEBASTIAN</t>
  </si>
  <si>
    <t>158 N° 1444</t>
  </si>
  <si>
    <t>dselleros@gmail.com</t>
  </si>
  <si>
    <t>ERRECART, RODOLFO</t>
  </si>
  <si>
    <t>45 NRO. 532 DTO. C</t>
  </si>
  <si>
    <t>ETCHEVERS, PABLO</t>
  </si>
  <si>
    <t>2 Nª 1529</t>
  </si>
  <si>
    <t>pabloiica@gmail.com</t>
  </si>
  <si>
    <t>ETCHEVERS, BAUTISTA</t>
  </si>
  <si>
    <t>66 N° 243</t>
  </si>
  <si>
    <t>ETCHEVERS, CATALINA</t>
  </si>
  <si>
    <t>65 N° 370</t>
  </si>
  <si>
    <t>catalinaetchevers@gmail.com</t>
  </si>
  <si>
    <t>ERPEN, NATALIA</t>
  </si>
  <si>
    <t>11 N° 5955</t>
  </si>
  <si>
    <t>natyerpen@gmail.com</t>
  </si>
  <si>
    <t>ESCALANTE, MANUELA</t>
  </si>
  <si>
    <t>5 Nº 519</t>
  </si>
  <si>
    <t>manuescab@hotmail.com</t>
  </si>
  <si>
    <t>ESCOBAR, GASTON MIGUEL</t>
  </si>
  <si>
    <t>16 N° 335 5°B</t>
  </si>
  <si>
    <t>gaston.escobar@live.com.ar</t>
  </si>
  <si>
    <t>ESCOBAR, ALEJANDRA</t>
  </si>
  <si>
    <t>SALLARES 592 FLORENCIO VARELA</t>
  </si>
  <si>
    <t>alejandraescobar1888@gmail.com</t>
  </si>
  <si>
    <t>ESPOSITO, ADRIAN</t>
  </si>
  <si>
    <t>VILLA DEL PLATA P.LARA</t>
  </si>
  <si>
    <t>ESQUIVEL, TEODORO RUBEN</t>
  </si>
  <si>
    <t>la plata</t>
  </si>
  <si>
    <t>rvesquivel@yahoo.com.ar</t>
  </si>
  <si>
    <t>ESTEVEZ, EMILCE</t>
  </si>
  <si>
    <t>CONSTITUCION N°1920</t>
  </si>
  <si>
    <t>01161934963</t>
  </si>
  <si>
    <t>emilceestevez@hotmail.com</t>
  </si>
  <si>
    <t>ESTEBAN, SILVIA FABIANA</t>
  </si>
  <si>
    <t>25 N° 238 CITY BELL</t>
  </si>
  <si>
    <t>esteban@hotmail.com.ar</t>
  </si>
  <si>
    <t>ESTEBAN , JULIO</t>
  </si>
  <si>
    <t>9 Nª 1519</t>
  </si>
  <si>
    <t>julioesteban13@gmail.com</t>
  </si>
  <si>
    <t>ESTREMERA,FABIO</t>
  </si>
  <si>
    <t>ETCHETTO, SEBASTIAN</t>
  </si>
  <si>
    <t xml:space="preserve">76 Nº 1421 </t>
  </si>
  <si>
    <t>ETCHEVESE, HORACIO</t>
  </si>
  <si>
    <t>3 NRO. 1160 E/ 66 Y 77</t>
  </si>
  <si>
    <t>tiene q abonar deuda del velero</t>
  </si>
  <si>
    <t>ETCHEVERRIA, MARTIN FEDERICO</t>
  </si>
  <si>
    <t>21C N° 2070</t>
  </si>
  <si>
    <t>FAILLA, NATALIA</t>
  </si>
  <si>
    <t>120 N 2198</t>
  </si>
  <si>
    <t>natalia_failla@hotmail.com</t>
  </si>
  <si>
    <t>FALBO, ANIBAL JOSE</t>
  </si>
  <si>
    <t>48 Nº892</t>
  </si>
  <si>
    <t>anibalfalbo@yahoo.com.ar</t>
  </si>
  <si>
    <t>FARESTAIE, SANTIAGO</t>
  </si>
  <si>
    <t>FAVA, FELIX</t>
  </si>
  <si>
    <t>Diag.109 nº 83 (e/ 65 y 20)</t>
  </si>
  <si>
    <t>felixfava@hotmail.com</t>
  </si>
  <si>
    <t>FEDRIANI, MARIANA</t>
  </si>
  <si>
    <t>sup</t>
  </si>
  <si>
    <t>30 n° 436 2do b</t>
  </si>
  <si>
    <t>marianfedriani@gmail.com</t>
  </si>
  <si>
    <t>FEGAN, GLADIS</t>
  </si>
  <si>
    <t>4 N° 1997</t>
  </si>
  <si>
    <t>gladisfegan@hotmail.com</t>
  </si>
  <si>
    <t>FERNANDEZ BABAGLIO SANTIAGO</t>
  </si>
  <si>
    <t>464 N° 967 CITY BELL</t>
  </si>
  <si>
    <t>santyfb@gmail.com</t>
  </si>
  <si>
    <t>FERNANDEZ CASTILLO, EZEQUIEL</t>
  </si>
  <si>
    <t>41 NRO. 1745 LP</t>
  </si>
  <si>
    <t>FERNANDEZ CASTILLO, J. MANUEL</t>
  </si>
  <si>
    <t>22 E/38 Y 39</t>
  </si>
  <si>
    <t>FERNANDEZ, ADRIAN</t>
  </si>
  <si>
    <t>63 NRO. 177 E/ 117 Y DIAG. 79</t>
  </si>
  <si>
    <t>FERNANDEZ, DAMIAN</t>
  </si>
  <si>
    <t>VELA</t>
  </si>
  <si>
    <t>62 N° 173</t>
  </si>
  <si>
    <t>damianjore@hotmail.com</t>
  </si>
  <si>
    <t>curso timonel</t>
  </si>
  <si>
    <t>FERNANDEZ, GERARDO</t>
  </si>
  <si>
    <t>R. ROJAS N. 4215 QUILMES</t>
  </si>
  <si>
    <t>FERNANDEZ, MARCOS</t>
  </si>
  <si>
    <t>117 N° 1435</t>
  </si>
  <si>
    <t>marcosfernandez@gmail.com</t>
  </si>
  <si>
    <t>FERNANDEZ, NAHUEL</t>
  </si>
  <si>
    <t>1 BIS N° 6957</t>
  </si>
  <si>
    <t>nahuelf@yahoo.com.ar</t>
  </si>
  <si>
    <t>FERNANDEZ, VIRGILIO</t>
  </si>
  <si>
    <t>68 NRO. 1361</t>
  </si>
  <si>
    <t>virgilium@yahoo.com</t>
  </si>
  <si>
    <t>FERNANDEZ,PEREIRA L</t>
  </si>
  <si>
    <t>44 Nro. 681 1/2 e/ 8 y 9</t>
  </si>
  <si>
    <t>leofp22@yahoo.comm</t>
  </si>
  <si>
    <t>Reincorporacion . tenia renuncia al día. Baja en enero 2022 por dejar de pagar</t>
  </si>
  <si>
    <t>FERNANDEZ, MA. LORENA</t>
  </si>
  <si>
    <t>39 N° 1245</t>
  </si>
  <si>
    <t>loy_fernandez@hotmail.com</t>
  </si>
  <si>
    <t>FERNANDEZ RUIZ, JUAN MANUEL</t>
  </si>
  <si>
    <t>13 Nº 733</t>
  </si>
  <si>
    <t>juanfr37@gmail.com</t>
  </si>
  <si>
    <t>FERNANDEZ, VICTOR</t>
  </si>
  <si>
    <t>27 Nº 1525</t>
  </si>
  <si>
    <t>vicnandez@outlook.com</t>
  </si>
  <si>
    <t>FERNANDEZ, LAURA</t>
  </si>
  <si>
    <t>478 Nº 2963</t>
  </si>
  <si>
    <t>lrfer1324@gmail.com</t>
  </si>
  <si>
    <t>FERRARIS, GRACIELA</t>
  </si>
  <si>
    <t>gefleon@gmail.com</t>
  </si>
  <si>
    <t>FERREIRA, GABRIEL</t>
  </si>
  <si>
    <t>MINISTRO ABRIL Nº 3072, LANUS</t>
  </si>
  <si>
    <t>01126890034</t>
  </si>
  <si>
    <t>gferreira0675@gmail.com</t>
  </si>
  <si>
    <t>FERREYRA, MARCELA</t>
  </si>
  <si>
    <t xml:space="preserve">63 Nº 322 </t>
  </si>
  <si>
    <t>marcorres@hotmail.com</t>
  </si>
  <si>
    <t>FERREYRA, FEDERICO</t>
  </si>
  <si>
    <t>11 N° 1705</t>
  </si>
  <si>
    <t>fededav1975@hotmail.com</t>
  </si>
  <si>
    <t>FERZOLA, ANDRES</t>
  </si>
  <si>
    <t>69 Nº1177 172</t>
  </si>
  <si>
    <t>andresferzola@gmail.com</t>
  </si>
  <si>
    <t>FERZOLA, CESAR ALEJANDRO</t>
  </si>
  <si>
    <t xml:space="preserve">69 Nº 1179 </t>
  </si>
  <si>
    <t>cesarferzola@gmail.com</t>
  </si>
  <si>
    <t>FIGUEIRA, GERMÁN</t>
  </si>
  <si>
    <t>figueiragerman@gmail.com</t>
  </si>
  <si>
    <t>FIGUEIRAS, ALEJANDRO</t>
  </si>
  <si>
    <t>4 ESQ 60 NRO. 1350</t>
  </si>
  <si>
    <t>FIUZA, FRANCO</t>
  </si>
  <si>
    <t>116 N° 2270 1/2 DPTO 2</t>
  </si>
  <si>
    <t>francofiuz@gmail.com</t>
  </si>
  <si>
    <t>FIUZA, MARIANA</t>
  </si>
  <si>
    <t>10 Nº 264</t>
  </si>
  <si>
    <t>mariana_fiuza@hotmail.com</t>
  </si>
  <si>
    <t>FLORES, EDGARDO HUGO</t>
  </si>
  <si>
    <t>13 Nº 1527</t>
  </si>
  <si>
    <t>edhuflores@gmail.com</t>
  </si>
  <si>
    <t>FLORES, AGUSTIN</t>
  </si>
  <si>
    <t>56 Nº 524 13 B</t>
  </si>
  <si>
    <t>agustinflores@gmail.com</t>
  </si>
  <si>
    <t>FOLTYN, ROSANA</t>
  </si>
  <si>
    <t>512 BIS N° 2929</t>
  </si>
  <si>
    <t>FONSECA, FERMIN</t>
  </si>
  <si>
    <t>69 NRO. 666</t>
  </si>
  <si>
    <t>FONSECA , IGNACIO</t>
  </si>
  <si>
    <t>DIAG 74 Nª 1947</t>
  </si>
  <si>
    <t>joseignaciofonseca@hotmail.com</t>
  </si>
  <si>
    <t>FORTE, ULISES</t>
  </si>
  <si>
    <t>121 Nro. 2284</t>
  </si>
  <si>
    <t>ulisesforte@hotmail.com</t>
  </si>
  <si>
    <t>FRANCO, FERNANDO</t>
  </si>
  <si>
    <t>65 N°721</t>
  </si>
  <si>
    <t>FRANCO.FERRANDO@BBVA.COM</t>
  </si>
  <si>
    <t>FREZZINI, ESTEBAN</t>
  </si>
  <si>
    <t>frezzinie@gmail.com</t>
  </si>
  <si>
    <t>FREIJO, MA. JOSE</t>
  </si>
  <si>
    <t>160 ENTRE 11 Y 12</t>
  </si>
  <si>
    <t>majo22freijo@gmail.com</t>
  </si>
  <si>
    <t>FRONTINI, SEBASTIAN</t>
  </si>
  <si>
    <t>17 n°2633 Villa del Plata</t>
  </si>
  <si>
    <t>sebafrontini@gmail.com</t>
  </si>
  <si>
    <t>vuleva a asicarse, curso timonel y vuelvo a bajarlo pq no pago nunca!!</t>
  </si>
  <si>
    <t>FUMAGALLI, CARLA</t>
  </si>
  <si>
    <t>33 N° 812</t>
  </si>
  <si>
    <t>carfum@hotmail.com</t>
  </si>
  <si>
    <t>FUMAGALLI, SOLEDAD</t>
  </si>
  <si>
    <t>132 Nº 4044</t>
  </si>
  <si>
    <t>soledadf@hotmail.com</t>
  </si>
  <si>
    <t>GABOTTO, PAUL</t>
  </si>
  <si>
    <t>84 NRO. 65</t>
  </si>
  <si>
    <t>pgabotto@solaeringenieria.com</t>
  </si>
  <si>
    <t>GABRIEL, GABRIELA VICTORIA</t>
  </si>
  <si>
    <t>15 N° 230 3 ° A</t>
  </si>
  <si>
    <t>gabriela@estudiobrujula.com.ar</t>
  </si>
  <si>
    <t>GALAFASSI, GUIDO</t>
  </si>
  <si>
    <t>316 NRO. 712 RANELAGH</t>
  </si>
  <si>
    <t>GALAFASSI, M. SOLEDAD</t>
  </si>
  <si>
    <t>cadete</t>
  </si>
  <si>
    <t>GALAN, RODRIGO</t>
  </si>
  <si>
    <t>ro_laser@hotmail.com</t>
  </si>
  <si>
    <t>expulsado</t>
  </si>
  <si>
    <t>GALARZA, LEONEL</t>
  </si>
  <si>
    <t>VELA LIGERA</t>
  </si>
  <si>
    <t>GALARZA, JUAN MANUEL</t>
  </si>
  <si>
    <t>26 Nº 506</t>
  </si>
  <si>
    <t>juanmanuelglrz@gmail.com</t>
  </si>
  <si>
    <t>GALCERAN, VIRGINIA EDITH</t>
  </si>
  <si>
    <t>DIAG 76 entre 21 y 46</t>
  </si>
  <si>
    <t>vegalceran@gmail.com</t>
  </si>
  <si>
    <t>GALEAZI, SEBASTIAN</t>
  </si>
  <si>
    <t>126 NRO. 737 LP</t>
  </si>
  <si>
    <t>sebastiangaleazzi@hotmail.com</t>
  </si>
  <si>
    <t>RENUNCIA AL DIA. se vuelve a asociar</t>
  </si>
  <si>
    <t>GALIANO, ROBERTO</t>
  </si>
  <si>
    <t xml:space="preserve">36 n°1735 </t>
  </si>
  <si>
    <t>galianorf@gmail.com</t>
  </si>
  <si>
    <t>RENUNCIA AL DIA. se reincorpora como socio 21-1-2022, vuelve a renucias por mudanza</t>
  </si>
  <si>
    <t>GALLEGO LAURA</t>
  </si>
  <si>
    <t>50 Nº 5778</t>
  </si>
  <si>
    <t>laurecelinagallego@hotmail.com</t>
  </si>
  <si>
    <t>GALLINA, JULIO</t>
  </si>
  <si>
    <t>529 NRO. 148 LP</t>
  </si>
  <si>
    <t>Gallina, Julio</t>
  </si>
  <si>
    <t>529 n° 148</t>
  </si>
  <si>
    <t>423-2126</t>
  </si>
  <si>
    <t>GALVAN, MA. LUZ</t>
  </si>
  <si>
    <t>20 N° 561</t>
  </si>
  <si>
    <t>luz_galvan@hotmail.com</t>
  </si>
  <si>
    <t>GALVAN, MANUEL</t>
  </si>
  <si>
    <t>manumagdala@gmail.com</t>
  </si>
  <si>
    <t>476 BIS 13B Y 13C N° 235</t>
  </si>
  <si>
    <t>manulgalv@gmail.com</t>
  </si>
  <si>
    <t>RENUCIA AL DIA PQ SE MUDA</t>
  </si>
  <si>
    <t>GALVANI JUAN</t>
  </si>
  <si>
    <t>71 Nro. 1446 E/ 24 Y 25</t>
  </si>
  <si>
    <t>GALVANI, ALEJANDRO</t>
  </si>
  <si>
    <t>422 NRO. 3367 V.ELISA</t>
  </si>
  <si>
    <t>GALHARRETBORDE, JAVIER</t>
  </si>
  <si>
    <t>SUP- KAYAK</t>
  </si>
  <si>
    <t>500 N° 3570</t>
  </si>
  <si>
    <t>galharretborde@gmail.com</t>
  </si>
  <si>
    <t>GAMALERI, SERGIO</t>
  </si>
  <si>
    <t>sgamaleri@hotmail.com</t>
  </si>
  <si>
    <t>GAMBIN, IVANA</t>
  </si>
  <si>
    <t>SUP Y KAYAK</t>
  </si>
  <si>
    <t>511 N° 1067</t>
  </si>
  <si>
    <t>ivanagambin@hotmail.com</t>
  </si>
  <si>
    <t>GANDULFO, VANESA</t>
  </si>
  <si>
    <t>PERITO MORENO Nª 223 TEMPERLEY</t>
  </si>
  <si>
    <t>01150978927</t>
  </si>
  <si>
    <t>vanesagandulfo@gmail.com</t>
  </si>
  <si>
    <t>GANUZA, MARIA JOSE</t>
  </si>
  <si>
    <t>5 E/ 102 Y 104 P.LATA</t>
  </si>
  <si>
    <t>GARAY, ANALIA</t>
  </si>
  <si>
    <t>50 NRO. 470 3 A</t>
  </si>
  <si>
    <t>GARCIA DE LA MATA, LUIS</t>
  </si>
  <si>
    <t>SUP- WIND</t>
  </si>
  <si>
    <t>lgarcia1925@gmail.com</t>
  </si>
  <si>
    <t>GARCIA, ADRIANA PATRICIA</t>
  </si>
  <si>
    <t>30 # 312</t>
  </si>
  <si>
    <t>GARCIA, FACUNDO</t>
  </si>
  <si>
    <t>3 Y 43 TORRE 1 dto. B VILLA ELISA</t>
  </si>
  <si>
    <t>fakgarcialive.com.ar.</t>
  </si>
  <si>
    <t>GARCIA, SANDRO DANIEL</t>
  </si>
  <si>
    <t>AV.CORDOBA 3775 8 B C.FED.</t>
  </si>
  <si>
    <t>sandro.daniel.garcia@gmail.com</t>
  </si>
  <si>
    <t>GARCIA, SEBASTIAN</t>
  </si>
  <si>
    <t>31 NRO. 834 LP</t>
  </si>
  <si>
    <t>GARCÌA, M.MILAGROS</t>
  </si>
  <si>
    <t>2 Nº 1139</t>
  </si>
  <si>
    <t>m_milagrosgarcia@hotmail.com</t>
  </si>
  <si>
    <t>GARCIA DIEGUEZ, SEBASTIAN</t>
  </si>
  <si>
    <t>WINDSURF</t>
  </si>
  <si>
    <t>1 N| 112</t>
  </si>
  <si>
    <t>sebayd79@hotmail.com</t>
  </si>
  <si>
    <t>GARIBALDI, AGUSTINA</t>
  </si>
  <si>
    <t>AZOPARDO NRO. 765 CAP. FED.</t>
  </si>
  <si>
    <t>O11 1555136641</t>
  </si>
  <si>
    <t>e</t>
  </si>
  <si>
    <t>GARIBALDI, JOSE LUIS</t>
  </si>
  <si>
    <t>529 N° 3413</t>
  </si>
  <si>
    <t>garibaldijoseluis@yahoo.com.ar</t>
  </si>
  <si>
    <t>GAROFALO, GASTON</t>
  </si>
  <si>
    <t>510 Nro. 1916 GONNET</t>
  </si>
  <si>
    <t>gastongarofalo_arq@hotmail.com</t>
  </si>
  <si>
    <t>GAROFALO, JAVIER GUSTAVO</t>
  </si>
  <si>
    <t>14 N° 2190</t>
  </si>
  <si>
    <t>javiergarofalo@hotmail.com</t>
  </si>
  <si>
    <t>se vuelte a asociar, VUELVE A RENUN CIAR</t>
  </si>
  <si>
    <t>GARZON, DIEGO</t>
  </si>
  <si>
    <t>SARMIENTO N° 1067</t>
  </si>
  <si>
    <t>diego_degz@hotmail.com</t>
  </si>
  <si>
    <t>GARRITANO, MIGUEL ANGEL</t>
  </si>
  <si>
    <t>1 Nª 2021</t>
  </si>
  <si>
    <t>miguelgarritano@yahoo.com.ar</t>
  </si>
  <si>
    <t>GARRO,DIEGO</t>
  </si>
  <si>
    <t>DON TORCUATO</t>
  </si>
  <si>
    <t>GASCO, DANIEL</t>
  </si>
  <si>
    <t>danielgasco@hotmail.com</t>
  </si>
  <si>
    <t>GAUTO,RAUL</t>
  </si>
  <si>
    <t>carudire@yahoo.com.ar</t>
  </si>
  <si>
    <t>baja con deuda y 2 kayaks</t>
  </si>
  <si>
    <t>GAVIO, ANIBAL</t>
  </si>
  <si>
    <t>GELATTI, PABLO</t>
  </si>
  <si>
    <t>20 NRO. 1683 PB 2 LP</t>
  </si>
  <si>
    <t>GENATTI, ANDRES</t>
  </si>
  <si>
    <t>44 N° 2225 1/2</t>
  </si>
  <si>
    <t>arq_genatti@hotmail.com</t>
  </si>
  <si>
    <t>GENTILE, MIGUEL ANGEL</t>
  </si>
  <si>
    <t>22 N° 1144</t>
  </si>
  <si>
    <t>gentilemiguel@hotmail.com</t>
  </si>
  <si>
    <t>GENTILETTI MARTIN</t>
  </si>
  <si>
    <t>461 E/ 14B Y 14C NRO 451</t>
  </si>
  <si>
    <t>GENOUD, GASTON</t>
  </si>
  <si>
    <t>46 N° 1347</t>
  </si>
  <si>
    <t>gfgenoud@gmail.com</t>
  </si>
  <si>
    <t>GERARDI, JOAQUIN</t>
  </si>
  <si>
    <t>se asocio por curso timonel, renuncia</t>
  </si>
  <si>
    <t>GERBELLI, FERNANDO</t>
  </si>
  <si>
    <t>68 NRO. 534 LP</t>
  </si>
  <si>
    <t>GERGO, GONZALO</t>
  </si>
  <si>
    <t>2 BIS N° 157</t>
  </si>
  <si>
    <t>gonzalogergo@gmail.com</t>
  </si>
  <si>
    <t>GHIGLIONE, JUAN PABLO</t>
  </si>
  <si>
    <t>122 Nª 142</t>
  </si>
  <si>
    <t>juanpabloghiglione@gmail.com</t>
  </si>
  <si>
    <t>GIACOY, MAGALI</t>
  </si>
  <si>
    <t>116 N° 96</t>
  </si>
  <si>
    <t>magaligiacoy@hotmail.com</t>
  </si>
  <si>
    <t>GRAZIANI, ADRIANO</t>
  </si>
  <si>
    <t>WINFOIL</t>
  </si>
  <si>
    <t>504 N° 2422</t>
  </si>
  <si>
    <t>grazianiadrianoa13@gmail.com</t>
  </si>
  <si>
    <t>GIANNINI GABRIEL</t>
  </si>
  <si>
    <t>141 Nro 654</t>
  </si>
  <si>
    <t>GIBA, CARLOS</t>
  </si>
  <si>
    <t>V. LOPEZ 1841 AVELLANED</t>
  </si>
  <si>
    <t>GIL CONNERS, NESTOR</t>
  </si>
  <si>
    <t>73 N° 415</t>
  </si>
  <si>
    <t>nestorgilconners@gmail.com</t>
  </si>
  <si>
    <t>GIL, ANA MARIA</t>
  </si>
  <si>
    <t>37 Nª 668</t>
  </si>
  <si>
    <t>gilanam@hotmail.com</t>
  </si>
  <si>
    <t>GIL, SABRINA ELIZABETH</t>
  </si>
  <si>
    <t>1 BIS N° 6957 PUNTA LARA</t>
  </si>
  <si>
    <t>gil_sabrina@hotmail.com</t>
  </si>
  <si>
    <t>GILBERT, MARIA DE LA PAZ</t>
  </si>
  <si>
    <t>Diag 73 n° 960</t>
  </si>
  <si>
    <t>cero21mariadelapza@gmail.com</t>
  </si>
  <si>
    <t>GIMENEZ MARTIN</t>
  </si>
  <si>
    <t>M.ESTEVEZ 147 P24 D.6 C.FED.</t>
  </si>
  <si>
    <t>GIOISA, GERMAN</t>
  </si>
  <si>
    <t>16 N 1536</t>
  </si>
  <si>
    <t>gergio@hotmail.com</t>
  </si>
  <si>
    <t>GIOMMI, FEDERICO</t>
  </si>
  <si>
    <t>DIAG 73 Nº 1985</t>
  </si>
  <si>
    <t>flgiommi@gmail.com</t>
  </si>
  <si>
    <t>GIQUIARDO,SEBASTIAN</t>
  </si>
  <si>
    <t>no renuncio?</t>
  </si>
  <si>
    <t>GIROTTI, BETIANA</t>
  </si>
  <si>
    <t>120  nº 2010</t>
  </si>
  <si>
    <t>betianagirotti@gmail.com</t>
  </si>
  <si>
    <t>GIUDICE, RODOLFO</t>
  </si>
  <si>
    <t>marques de aviles 523</t>
  </si>
  <si>
    <t>ofogiudice@yahoo.com.ar</t>
  </si>
  <si>
    <t>GUICHON, JULIA</t>
  </si>
  <si>
    <t>10 N° 7165 CITY BELL</t>
  </si>
  <si>
    <t>juliaguichon700@gmail.com</t>
  </si>
  <si>
    <t>GIUFRIDA, ANDRES</t>
  </si>
  <si>
    <t>31 Nro 467 E/ 527 Y 528</t>
  </si>
  <si>
    <t>GIUSTI ,CLAUDIA</t>
  </si>
  <si>
    <t>65 N° 721 DPTO 4</t>
  </si>
  <si>
    <t>claugiusti@gmail.com</t>
  </si>
  <si>
    <t>GOBBI SILVINA</t>
  </si>
  <si>
    <t>GODOY, PATRICIA</t>
  </si>
  <si>
    <t>Windsurf, SUP</t>
  </si>
  <si>
    <t xml:space="preserve">DIAG 75 Nº 85 </t>
  </si>
  <si>
    <t>patriciagodoy63@hotmail.com</t>
  </si>
  <si>
    <t>GOLDENBERG, DEMIAN</t>
  </si>
  <si>
    <t>VELER0</t>
  </si>
  <si>
    <t>4 N° 86</t>
  </si>
  <si>
    <t>demiangoldenberg@gmail.com</t>
  </si>
  <si>
    <t>GOMEZ MARIA EUGENIA</t>
  </si>
  <si>
    <t>475 N° 1631 CITY BELL</t>
  </si>
  <si>
    <t>uge46@hotmail.com</t>
  </si>
  <si>
    <t>Gomez, Celia</t>
  </si>
  <si>
    <t>7 nº 2371</t>
  </si>
  <si>
    <t>GOMEZ LACCHINI, ULISES</t>
  </si>
  <si>
    <t>13 N° 1515</t>
  </si>
  <si>
    <t>ulisesgomezlancchini@gmail.com</t>
  </si>
  <si>
    <t>GOMEZ, GERARDO</t>
  </si>
  <si>
    <t>ATUEL NRO. 321 C.FED.</t>
  </si>
  <si>
    <t>ggomez@iscar.com.ar</t>
  </si>
  <si>
    <t>canoa afuera</t>
  </si>
  <si>
    <t>GOMEZ, JORGE</t>
  </si>
  <si>
    <t>476 N° 955. CITY BELL</t>
  </si>
  <si>
    <t>15-30554780</t>
  </si>
  <si>
    <t>jagomez154@gmail.com</t>
  </si>
  <si>
    <t>GOMEZ, RAUL JOAQUIN</t>
  </si>
  <si>
    <t>11 Nº 320</t>
  </si>
  <si>
    <t>gomez.raul.j69@gmail.com</t>
  </si>
  <si>
    <t>GONZALEZ, ARIEL</t>
  </si>
  <si>
    <t>121 N° 1494</t>
  </si>
  <si>
    <t>arielgonzalez1970@hotmail.com</t>
  </si>
  <si>
    <t>GONZALES, ERNESTO</t>
  </si>
  <si>
    <t>RUIZ DIAZ DE GUZMAN 48 1 A</t>
  </si>
  <si>
    <t>GONZALES, GUSTAVO EDUARDO</t>
  </si>
  <si>
    <t>34 N° 509</t>
  </si>
  <si>
    <t>gallegoge56@gmail.com</t>
  </si>
  <si>
    <t>baja con deuda</t>
  </si>
  <si>
    <t>GONZALEZ DIEGO a.</t>
  </si>
  <si>
    <t>8 n° 1870</t>
  </si>
  <si>
    <t>gonzalezdiego@hotmail.com</t>
  </si>
  <si>
    <t>vuelve a asociarse. baja por deuda feb 2025</t>
  </si>
  <si>
    <t>GONZALEZ SMITH, LUCAS</t>
  </si>
  <si>
    <t>115 Nº 205 TOLOSA</t>
  </si>
  <si>
    <t>0111531787020</t>
  </si>
  <si>
    <t>lucasgsmith@gmail.com</t>
  </si>
  <si>
    <t>GONZALEZ, DIEGO</t>
  </si>
  <si>
    <t>408 N° 2112</t>
  </si>
  <si>
    <t>diegogonzalezcasabianca@gmail.com</t>
  </si>
  <si>
    <t>GONZALEZ, ESTELA NORA</t>
  </si>
  <si>
    <t>60 NRO. 1569</t>
  </si>
  <si>
    <t>noaconi@yahoo.com.ar</t>
  </si>
  <si>
    <t xml:space="preserve">GONZALEZ, MAURO </t>
  </si>
  <si>
    <t>KAYAK-SUP</t>
  </si>
  <si>
    <t>152 N° 1041</t>
  </si>
  <si>
    <t>maurogti@hotmail.com</t>
  </si>
  <si>
    <t>GONZALEZ GRILLO, RENATA</t>
  </si>
  <si>
    <t>411 Nº 2705</t>
  </si>
  <si>
    <t>renata_gonzalez@hotmail.com</t>
  </si>
  <si>
    <t>baja por dejar de pagar, ceo timonel</t>
  </si>
  <si>
    <t>GONZALEZ, MARIA GABRIELA</t>
  </si>
  <si>
    <t>gabrielagonzalezhdm@gmail.com</t>
  </si>
  <si>
    <t>GORDILLO, LIZA</t>
  </si>
  <si>
    <t>17 N° 2633 VILLA DEL PLATA</t>
  </si>
  <si>
    <t>liza.gordillo@gmail.com</t>
  </si>
  <si>
    <t>GORDILLO,SANTIAGO</t>
  </si>
  <si>
    <t>6 NRO. 1628 TORRE 2 P4 DTO. A</t>
  </si>
  <si>
    <t>santiagogordillo38@yahoo.com</t>
  </si>
  <si>
    <t>GORLERO, ADRIANA</t>
  </si>
  <si>
    <t>MARCELO T DE ALVEAR N°1675 8°C</t>
  </si>
  <si>
    <t>adrianacarlagorlero@gmail.com</t>
  </si>
  <si>
    <t>GORGA, ALFREDO</t>
  </si>
  <si>
    <t>29 NRO. 562 LP</t>
  </si>
  <si>
    <t>GORGONE MACHE, MALEN</t>
  </si>
  <si>
    <t xml:space="preserve">15 N° 2980 </t>
  </si>
  <si>
    <t>malengorgonemg@gmail.com</t>
  </si>
  <si>
    <t>GONGORA, DANIEL</t>
  </si>
  <si>
    <t>429 Nº 3629</t>
  </si>
  <si>
    <t>dani-gongora@hotmail.com</t>
  </si>
  <si>
    <t>GOUDAK, JORGE</t>
  </si>
  <si>
    <t>M. bravo nro. 1078 3 A</t>
  </si>
  <si>
    <t>011 49640920</t>
  </si>
  <si>
    <t>jorgegowdak@yahoo.com.ar</t>
  </si>
  <si>
    <t>GOYENECHE, ALEJANDRO</t>
  </si>
  <si>
    <t>14 N° 2060</t>
  </si>
  <si>
    <t>alegoyeneche@hotmail.com</t>
  </si>
  <si>
    <t>GRASSI, MARIANO</t>
  </si>
  <si>
    <t>38 NRO. 884 DTO. 1 E/ 12 Y 13</t>
  </si>
  <si>
    <t>GRIMALDI, ALEJANDRA</t>
  </si>
  <si>
    <t>474 N 3332</t>
  </si>
  <si>
    <t>alegrimaldi741@gmail.com</t>
  </si>
  <si>
    <t>GRIGERA, JOSE RAUL</t>
  </si>
  <si>
    <t>jgrigera2002@yahoo.com.ar</t>
  </si>
  <si>
    <t>GRIMAUX, ALEJANDRO</t>
  </si>
  <si>
    <t>GRIMAUX,FERNANDO</t>
  </si>
  <si>
    <t>123 BIS ESQ 47</t>
  </si>
  <si>
    <t>BAJA CON DEUDA</t>
  </si>
  <si>
    <t>GRIFFIN, BRIGIDA</t>
  </si>
  <si>
    <t>68 Nª 1038</t>
  </si>
  <si>
    <t>brigidagriffin@gmail.com</t>
  </si>
  <si>
    <t>GROBA, HORACIO</t>
  </si>
  <si>
    <t>DIAG. 73 NRO. 3586</t>
  </si>
  <si>
    <t>DIAG 73 N° 3586</t>
  </si>
  <si>
    <t>horaciogroba@hotmail.com</t>
  </si>
  <si>
    <t>GROETZNER, JULIETA</t>
  </si>
  <si>
    <t>146 Nro. 509</t>
  </si>
  <si>
    <t>414 2812</t>
  </si>
  <si>
    <t>GUADARRAMA, GABRIEL</t>
  </si>
  <si>
    <t>208 Y 516 ABASTO</t>
  </si>
  <si>
    <t>gua_ga@outlook.com</t>
  </si>
  <si>
    <t>GUANCIARROSA MARCELA</t>
  </si>
  <si>
    <t>46 N° 996 PISO 6 DTO 2</t>
  </si>
  <si>
    <t>marcelaguanciarrosa@hotmail.com</t>
  </si>
  <si>
    <t>GUAS, MARILEN</t>
  </si>
  <si>
    <t>11 ENTRE 52 Y 54</t>
  </si>
  <si>
    <t>marilenguas@hotmail.com</t>
  </si>
  <si>
    <t>GUERINI, NICOLAS</t>
  </si>
  <si>
    <t xml:space="preserve">461 N° 2923 </t>
  </si>
  <si>
    <t>nicoguerrini@yahoo.com.ar</t>
  </si>
  <si>
    <t>GUERRERO, GLADYS MARTA</t>
  </si>
  <si>
    <t>GUERRA, CAROLA</t>
  </si>
  <si>
    <t>519 N° 4109</t>
  </si>
  <si>
    <t>carolaguerra@yahoo.com.ar</t>
  </si>
  <si>
    <t>GUERRERO, LUISINA</t>
  </si>
  <si>
    <t>HORACIO CESTINO N° 436</t>
  </si>
  <si>
    <t>luliguerrero97@gmail.com</t>
  </si>
  <si>
    <t>GUERRERO, M. LUZ</t>
  </si>
  <si>
    <t>lushiguerrero@gmail.com</t>
  </si>
  <si>
    <t>GULLO, MAXIMILIANO</t>
  </si>
  <si>
    <t>GUICHON, CINTIA</t>
  </si>
  <si>
    <t>506 Nª 1071</t>
  </si>
  <si>
    <t>cinguich@hotmail.com</t>
  </si>
  <si>
    <t>GUILENEA, CARLOS</t>
  </si>
  <si>
    <t>60 NRO. 391 LP</t>
  </si>
  <si>
    <t>GUGLIARA, JORGE DANIEL</t>
  </si>
  <si>
    <t>27 Nº 395</t>
  </si>
  <si>
    <t>jorgegugliara@gmail.com</t>
  </si>
  <si>
    <t>GUGGER, CLAUDIA  ALEJANDRA</t>
  </si>
  <si>
    <t>alejandragugger1618@gmail.com</t>
  </si>
  <si>
    <t>GUTAVSKAS, RICARDO</t>
  </si>
  <si>
    <t xml:space="preserve"> 3 Nº 674</t>
  </si>
  <si>
    <t>ricardo.gutavskas@gmail.com</t>
  </si>
  <si>
    <t>GUTIERREZ GREGORIC, CECILIA</t>
  </si>
  <si>
    <t>637 ESQ 14 S/N</t>
  </si>
  <si>
    <t>gutierrezcecilia@gmail.com</t>
  </si>
  <si>
    <t>GUTIERREZ, DARDO</t>
  </si>
  <si>
    <t>33 NRO. 480 2 C LP</t>
  </si>
  <si>
    <t>GUTIERREZ, SANDRA</t>
  </si>
  <si>
    <t>atrasadismo!!</t>
  </si>
  <si>
    <t>GUTIERREZ, NICOLAS</t>
  </si>
  <si>
    <t>72 Nª 4363</t>
  </si>
  <si>
    <t>nicolasgutierrez63@hotmail.com</t>
  </si>
  <si>
    <t>baja , dejo de pagar, timonel</t>
  </si>
  <si>
    <t>HABURA, SERGIO</t>
  </si>
  <si>
    <t>CAVALE NRO. 4770 ADROGUE</t>
  </si>
  <si>
    <t>HALECKA, JUAN GABRIEL</t>
  </si>
  <si>
    <t xml:space="preserve">50 N 997 </t>
  </si>
  <si>
    <t>haleckajuan@hotmail.com</t>
  </si>
  <si>
    <t>HEGUILAR, GUSTAVO</t>
  </si>
  <si>
    <t>511 E/ 15 Y 16 NRO. 2063</t>
  </si>
  <si>
    <t>baja deuda desde feb 2025</t>
  </si>
  <si>
    <t>HENRIQUEZ, DANIEL</t>
  </si>
  <si>
    <t>HERNANDEZ, MARIA FERNANDA</t>
  </si>
  <si>
    <t>HERNANDEZ, MAXIMILIANO</t>
  </si>
  <si>
    <t>33 # 812</t>
  </si>
  <si>
    <t>maxih.lp@gmail.com</t>
  </si>
  <si>
    <t>HERNANDEZ, OMAR</t>
  </si>
  <si>
    <t>138 N° 2448</t>
  </si>
  <si>
    <t>dan.ohlp@gmail.com</t>
  </si>
  <si>
    <t>HERRERA SANTIAGO</t>
  </si>
  <si>
    <t>55 N° 882</t>
  </si>
  <si>
    <t>santiherrera75@gmail.com</t>
  </si>
  <si>
    <t xml:space="preserve">EN CONVENIO DE PAGO- no lo cumplio- </t>
  </si>
  <si>
    <t>HERRERA, JUAN CARLOS</t>
  </si>
  <si>
    <t>66 N° 415 1° B</t>
  </si>
  <si>
    <t>jcarlosh1@yahoo.com</t>
  </si>
  <si>
    <t>HERRERA, ELIANA</t>
  </si>
  <si>
    <t>17 N° 3749</t>
  </si>
  <si>
    <t>herrera_elizabeth@hotmail.com</t>
  </si>
  <si>
    <t>HERRERA, LEOPOLDO</t>
  </si>
  <si>
    <t>76e28y29tira23 casa2</t>
  </si>
  <si>
    <t>pololherrera@gmail.com</t>
  </si>
  <si>
    <t>HIRSCH, MARCELO GUSTAVO</t>
  </si>
  <si>
    <t>SUP-VELERO</t>
  </si>
  <si>
    <t>526 N° 457</t>
  </si>
  <si>
    <t>marcelohirsch@hotmail.com</t>
  </si>
  <si>
    <t>HOFER, IGNACIO</t>
  </si>
  <si>
    <t>53 Nº 1395</t>
  </si>
  <si>
    <t>nachohofer@hotmail.com</t>
  </si>
  <si>
    <t>HOLLENDER, JOSE MANUEL</t>
  </si>
  <si>
    <t>60 N º  1705</t>
  </si>
  <si>
    <t>chino_hollender@hotmail.com</t>
  </si>
  <si>
    <t>renuncia ( quedo con 7 cuotas pendientes)</t>
  </si>
  <si>
    <t>HOLSTEIN, MARIELA ANDREA</t>
  </si>
  <si>
    <t>510 N° 3663</t>
  </si>
  <si>
    <t>mlholstein@gmail.com</t>
  </si>
  <si>
    <t>HOREISBERGUER, ALEJANDRO</t>
  </si>
  <si>
    <t>S. SOREDO NRO. 5915 WILDE</t>
  </si>
  <si>
    <t>alejandrohorisberger@hotmail.com</t>
  </si>
  <si>
    <t xml:space="preserve">baja con deuda </t>
  </si>
  <si>
    <t>HUALDE, ALBERTO</t>
  </si>
  <si>
    <t>10 NRO. 700 esqu. 46</t>
  </si>
  <si>
    <t>HUMBERTO, ELIANA</t>
  </si>
  <si>
    <t>362 N° 1475  RANELAGH</t>
  </si>
  <si>
    <t>elihum24@gmail.com</t>
  </si>
  <si>
    <t>HURTADO, ANDRES</t>
  </si>
  <si>
    <t>62 Nº 2944</t>
  </si>
  <si>
    <t>r.andreshurtado@gmail.com</t>
  </si>
  <si>
    <t>IANNUZZI, MATILDE</t>
  </si>
  <si>
    <t>68 N° 320</t>
  </si>
  <si>
    <t>iannuzzimatilde@gmail.com</t>
  </si>
  <si>
    <t>IBAÑEZ, RAUL</t>
  </si>
  <si>
    <t>9 NRO. 1930 LP</t>
  </si>
  <si>
    <t>IBAÑEZ NICOLAS</t>
  </si>
  <si>
    <t>LAVALLE 778</t>
  </si>
  <si>
    <t>nicolasibañez@gmaill.com</t>
  </si>
  <si>
    <t>IBARLUCIA, JAVIER</t>
  </si>
  <si>
    <t>47 ° 2101</t>
  </si>
  <si>
    <t>javier_ibarlucia@hotmail.com</t>
  </si>
  <si>
    <t>SE REINCORPORA COMO SOCIO, PAGA DEUDA</t>
  </si>
  <si>
    <t>ICARDI, NESTOR</t>
  </si>
  <si>
    <t>DIAG. 74 NRO. 39 LP</t>
  </si>
  <si>
    <t>naic1969@gmaill.com</t>
  </si>
  <si>
    <t>IDIAZABAL JUAN</t>
  </si>
  <si>
    <t>20 N!° 825</t>
  </si>
  <si>
    <t>arq-juanidiazabal@hotmail.com</t>
  </si>
  <si>
    <t>IGLESIAS, CELIA</t>
  </si>
  <si>
    <t>UNAMUNU BIS 3804 QUILMES</t>
  </si>
  <si>
    <t>IGLESIAS, LAURA</t>
  </si>
  <si>
    <t>FLORIDA NRO. 156 A. KORN</t>
  </si>
  <si>
    <t>INSAUSTI, NOELIA</t>
  </si>
  <si>
    <t>5 N° 1485 6TO A</t>
  </si>
  <si>
    <t>noeliaceciliainsaustigmail.com</t>
  </si>
  <si>
    <t>Iriarte , Adrián</t>
  </si>
  <si>
    <t>68 n° 669</t>
  </si>
  <si>
    <t>arqiriarte@gmail.com</t>
  </si>
  <si>
    <t>IRIGOYEN , PABLO</t>
  </si>
  <si>
    <t>494 Nº 2235</t>
  </si>
  <si>
    <t>pablomartin.irigoyen@gmail.com</t>
  </si>
  <si>
    <t>IRIGOYEN, ANDRÉS</t>
  </si>
  <si>
    <t>andres-pacifico@hotmail.com</t>
  </si>
  <si>
    <t>IRIGOYEN , FERNANDO</t>
  </si>
  <si>
    <t>132 Nª 525</t>
  </si>
  <si>
    <t>fernando.irigoyen.tecna@gmail.com</t>
  </si>
  <si>
    <t>ISRAEL, ROBINO</t>
  </si>
  <si>
    <t>13 N° 559 1/2 DTO B</t>
  </si>
  <si>
    <t>Isralisados@hotmail.com</t>
  </si>
  <si>
    <t>JAIME CARLOS OSCAR</t>
  </si>
  <si>
    <t>116 Nª 954</t>
  </si>
  <si>
    <t>jaimecarlososcar@gmail.com</t>
  </si>
  <si>
    <t>JAUREGUI, AYLEN</t>
  </si>
  <si>
    <t>CAMINO REGATAS Y LOS ROBLES EDA.</t>
  </si>
  <si>
    <t>aylenjauregui7@gmail.com</t>
  </si>
  <si>
    <t>JAUREGUI, MAITE</t>
  </si>
  <si>
    <t>494 N ° 2235</t>
  </si>
  <si>
    <t>maitejauregui@gmail.com</t>
  </si>
  <si>
    <t>JAUREGUI, EYLA</t>
  </si>
  <si>
    <t>457 N° 3138</t>
  </si>
  <si>
    <t>eyrajauregui@hotmail.com</t>
  </si>
  <si>
    <t>JENSEN, ROBERTO</t>
  </si>
  <si>
    <t>21 N° 6117, LA PLATA</t>
  </si>
  <si>
    <t>totopalito@yahoo.com.ar</t>
  </si>
  <si>
    <t>JOURDAN, SILVANA</t>
  </si>
  <si>
    <t>Kyte</t>
  </si>
  <si>
    <t>21 NRO. 1064 2 A</t>
  </si>
  <si>
    <t>joursil@gmail.com</t>
  </si>
  <si>
    <t>JUILLERAT, CARLOS</t>
  </si>
  <si>
    <t>ALEM NRO. 86 ENSENADA</t>
  </si>
  <si>
    <t>JULIANO CARMEN</t>
  </si>
  <si>
    <t>69 NRO. 577 LA PLATA</t>
  </si>
  <si>
    <t>427 5759</t>
  </si>
  <si>
    <t>KANDUS, CRISTIAN</t>
  </si>
  <si>
    <t>VALLEJOS NRO. 3412 C.FED.</t>
  </si>
  <si>
    <t>KALISZUK, ROMINA</t>
  </si>
  <si>
    <t>rkaliszuk@yahoo.com.ar</t>
  </si>
  <si>
    <t>KAIP, GERARDO</t>
  </si>
  <si>
    <t>37 N° 364</t>
  </si>
  <si>
    <t>gerkaip@@gmail.com</t>
  </si>
  <si>
    <t>KARAGENZIAN, MATIAS</t>
  </si>
  <si>
    <t>23 Nº 623</t>
  </si>
  <si>
    <t>matiaskaran@hotmail.com</t>
  </si>
  <si>
    <t>KARAKACHOFF, MARIA AGUSTINA</t>
  </si>
  <si>
    <t>11 N° 421</t>
  </si>
  <si>
    <t>makarakachoff@gmail.com</t>
  </si>
  <si>
    <t>KACZAN, ALEJO</t>
  </si>
  <si>
    <t>SUP-KITE</t>
  </si>
  <si>
    <t>501 N° 709</t>
  </si>
  <si>
    <t>alejokaczan@gmail.com</t>
  </si>
  <si>
    <t>KINDT, MARIA SOL</t>
  </si>
  <si>
    <t>473 BIS N°235</t>
  </si>
  <si>
    <t>sol_kindt@hotmail.com</t>
  </si>
  <si>
    <t>RENUCIA AL DIA POR MUDANZA</t>
  </si>
  <si>
    <t>KHOURY, NORA CLAUDIA</t>
  </si>
  <si>
    <t>37 N° 1965</t>
  </si>
  <si>
    <t>nora96k@gmail.com</t>
  </si>
  <si>
    <t>KLAPPENBACH, MARIA MERCEDES</t>
  </si>
  <si>
    <t>481 Y 19 N° 5043</t>
  </si>
  <si>
    <t>mmercedesk@gmail.com</t>
  </si>
  <si>
    <t>KOLODYNSI, CRISTINA</t>
  </si>
  <si>
    <t>115 BIS N° 205 TOLOSA</t>
  </si>
  <si>
    <t>0116390532</t>
  </si>
  <si>
    <t>cristinakolodynski@gmail.com</t>
  </si>
  <si>
    <t>KOWALESUK, MARIANO</t>
  </si>
  <si>
    <t>12 NRO. 3126 BERISSO</t>
  </si>
  <si>
    <t>KULIONIS, RAQUEL</t>
  </si>
  <si>
    <t>raquelkulinois@yahoo.com.ar</t>
  </si>
  <si>
    <t>LAGO, GERMAN</t>
  </si>
  <si>
    <t>144 BIS Nº 1232</t>
  </si>
  <si>
    <t>germanlago.e@gmail.com</t>
  </si>
  <si>
    <t>LANCELLOTTI, NICOLAS</t>
  </si>
  <si>
    <t>COCHABAMBA NRO. 886  8 PISO DTO. A</t>
  </si>
  <si>
    <t>nicolas.lance@gmail.com</t>
  </si>
  <si>
    <t>LANDABURU, PEDRO</t>
  </si>
  <si>
    <t>64 NRO. 1166 DTO. 3 LP</t>
  </si>
  <si>
    <t>LANGONI, MARCELA</t>
  </si>
  <si>
    <t>488 Nº 3380</t>
  </si>
  <si>
    <t>marcelalangoni@hotmail.com</t>
  </si>
  <si>
    <t>LANTERI, MARCELO</t>
  </si>
  <si>
    <t>136 N° 1316</t>
  </si>
  <si>
    <t>marcelolanteri@gmail.com</t>
  </si>
  <si>
    <t>LARROZA, ALVARO</t>
  </si>
  <si>
    <t>VERLA LIGERA</t>
  </si>
  <si>
    <t>48 N° 1488</t>
  </si>
  <si>
    <t>alvarolarroza@hotmail.com</t>
  </si>
  <si>
    <t>LARRONDE PIÑERO, NICOLÁS</t>
  </si>
  <si>
    <t>llarronde@gmail.com</t>
  </si>
  <si>
    <t>LAYANA, CLAUDIO</t>
  </si>
  <si>
    <t>5 N° 1606</t>
  </si>
  <si>
    <t>claudio@layana.com.ar</t>
  </si>
  <si>
    <t>LEANDRINI, MARIANO</t>
  </si>
  <si>
    <t>146 NRO. 509 E/ 42 Y 43</t>
  </si>
  <si>
    <t>leandrinimariano@hotmail.com</t>
  </si>
  <si>
    <t>LECOT, CECILIA</t>
  </si>
  <si>
    <t>478 BIS 2327 CITY BELL</t>
  </si>
  <si>
    <t>cecilialecot@yahoo.com.ar</t>
  </si>
  <si>
    <t>LEDESMA, MANUEL</t>
  </si>
  <si>
    <t>39 NRO. 491 1/2 7 A LP</t>
  </si>
  <si>
    <t>manuel.ledesma86@gmail.com</t>
  </si>
  <si>
    <t>LEONARDELLI, CARLOS</t>
  </si>
  <si>
    <t>de_sol@yahoo.com.ar</t>
  </si>
  <si>
    <t>LESCANO FABIAN MARCELO</t>
  </si>
  <si>
    <t>505 E7 BELGRANO Y 19</t>
  </si>
  <si>
    <t>LESCANOFABIAN@yahoo.com.ar</t>
  </si>
  <si>
    <t>LESCANO, FABIAN</t>
  </si>
  <si>
    <t>505 N° 2745</t>
  </si>
  <si>
    <t>lescanofabian65@gmail.com</t>
  </si>
  <si>
    <t>LEONE, NAHUEL</t>
  </si>
  <si>
    <t>137 N 559</t>
  </si>
  <si>
    <t>nahuleone88@gmail.com</t>
  </si>
  <si>
    <t>LEYRO DIAZ, MA. DANIELA</t>
  </si>
  <si>
    <t>485 N° 4554</t>
  </si>
  <si>
    <t>221-6751604</t>
  </si>
  <si>
    <t>madaledi@hotmail.com</t>
  </si>
  <si>
    <t>LEYENDA, MARIA ALEJANDRA</t>
  </si>
  <si>
    <t>63 Nª 615</t>
  </si>
  <si>
    <t>aleleyenda@gmail.com</t>
  </si>
  <si>
    <t>LEQUIO, LIDIA MARCELA</t>
  </si>
  <si>
    <t>lidialiquio@hotmail.com</t>
  </si>
  <si>
    <t>LIBANO, LUDMILA</t>
  </si>
  <si>
    <t>56 NRO. 694 LP</t>
  </si>
  <si>
    <t>lud_libano@hotmail.com</t>
  </si>
  <si>
    <t>LÍBANO, MA. JOSE</t>
  </si>
  <si>
    <t>64 N° 46</t>
  </si>
  <si>
    <t>mjlibano@hotmail.com</t>
  </si>
  <si>
    <t>LIBARDONI, MARIA LAURA</t>
  </si>
  <si>
    <t>485 NRO. 2471 GONNET</t>
  </si>
  <si>
    <t>mllibardoni@hotmail.com</t>
  </si>
  <si>
    <t>LIBERTO, FAVIO</t>
  </si>
  <si>
    <t>58 N° 1706 PB, "B"</t>
  </si>
  <si>
    <t>faviohl@gmail.com</t>
  </si>
  <si>
    <t>LIGORNIA, HUGO</t>
  </si>
  <si>
    <t>BELGRANO N°53, VILLA ELISA</t>
  </si>
  <si>
    <t>hugoligornia@hotmail.com</t>
  </si>
  <si>
    <t>LINDE, CARLOS</t>
  </si>
  <si>
    <t>kyte</t>
  </si>
  <si>
    <t>69 nro. 577 LA PLATA</t>
  </si>
  <si>
    <t>LINDE, VICTORIA</t>
  </si>
  <si>
    <t>142 NRO. 47</t>
  </si>
  <si>
    <t>LINSCHINSKY, jDIEGO JAVIER</t>
  </si>
  <si>
    <t>1 N° 2226</t>
  </si>
  <si>
    <t>lisdiego2015@gmail.com</t>
  </si>
  <si>
    <t>LODOLA, MARCELO FELIPE</t>
  </si>
  <si>
    <t>45 N° 1478 DTO 1</t>
  </si>
  <si>
    <t>mflodola@hotmail.com</t>
  </si>
  <si>
    <t>LOFEUNDO GALINDO ELIAS</t>
  </si>
  <si>
    <t>QUINTA PEREYRA N° 52</t>
  </si>
  <si>
    <t>LOFEUDO, LISANDRO</t>
  </si>
  <si>
    <t>KITE, WIND</t>
  </si>
  <si>
    <t>466 Nº 505</t>
  </si>
  <si>
    <t>lisandrolofeudo@gmail.com</t>
  </si>
  <si>
    <t>LOIDI MARIA LUISA</t>
  </si>
  <si>
    <t>kitesurf</t>
  </si>
  <si>
    <t>LLERA, DANIELA</t>
  </si>
  <si>
    <t>licdanielallera@gmail.com</t>
  </si>
  <si>
    <t>LUISI, GASTON</t>
  </si>
  <si>
    <t>116 Nª 583</t>
  </si>
  <si>
    <t>gastonluisi@hotmail.com</t>
  </si>
  <si>
    <t>LUPANO, MATIAS</t>
  </si>
  <si>
    <t>PERU Nª 832</t>
  </si>
  <si>
    <t>amenabarmato@gmail.com</t>
  </si>
  <si>
    <t>LOPEZ GARCIA, FERNANDO</t>
  </si>
  <si>
    <t>132 BIS N° 5069</t>
  </si>
  <si>
    <t>lopezgarciaef@hotmail.com</t>
  </si>
  <si>
    <t>baja con deuda, kayak</t>
  </si>
  <si>
    <t>LOPEZ LEON, MICAELA</t>
  </si>
  <si>
    <t>SUP, KITE</t>
  </si>
  <si>
    <t>502 C N° 1468</t>
  </si>
  <si>
    <t>mmica_lopez@hotmail.com</t>
  </si>
  <si>
    <t>LOPEZ MAXIMILIANO</t>
  </si>
  <si>
    <t>MENDOZA 1071 EZPELETA</t>
  </si>
  <si>
    <t>15 5786433</t>
  </si>
  <si>
    <t>maxi.lopez.2006@gmail.com</t>
  </si>
  <si>
    <t>Renuncia al día</t>
  </si>
  <si>
    <t>LOPEZ, NORA</t>
  </si>
  <si>
    <t>SAENZ PEÑA 135</t>
  </si>
  <si>
    <t>nora.r.lopez46@gmail.com</t>
  </si>
  <si>
    <t>LOPEZ, BETIANA</t>
  </si>
  <si>
    <t>Actividades no náuticas</t>
  </si>
  <si>
    <t>64 N° 718 1/2</t>
  </si>
  <si>
    <t>461- 54 13</t>
  </si>
  <si>
    <t>betiana_13@hotmail.com</t>
  </si>
  <si>
    <t>LOPEZ, GUILLERMO</t>
  </si>
  <si>
    <t>35 N° 1417</t>
  </si>
  <si>
    <t>glopez@ext.ing.unlp.edu.ar</t>
  </si>
  <si>
    <t>LOPEZ, OMAR</t>
  </si>
  <si>
    <t>MARMOL NRO. 608 QUILMES</t>
  </si>
  <si>
    <t>BAJA CON DEUDA Y SECUESTRO</t>
  </si>
  <si>
    <t>LOPEZ VASEK, FERNANDO</t>
  </si>
  <si>
    <t>509 N 2080</t>
  </si>
  <si>
    <t>fervasek@hotmail.com</t>
  </si>
  <si>
    <t>LORENZO HELENA</t>
  </si>
  <si>
    <t>51 NRO. 1082</t>
  </si>
  <si>
    <t>IOSKYN, JUSTINA</t>
  </si>
  <si>
    <t>44 Nº 1136</t>
  </si>
  <si>
    <t>LOZANO, VICTOR</t>
  </si>
  <si>
    <t>LOZANO, SILVINA</t>
  </si>
  <si>
    <t>13 Nª 948</t>
  </si>
  <si>
    <t>lozanosil@hotmail.com</t>
  </si>
  <si>
    <t>LUBRANO, JULIETA</t>
  </si>
  <si>
    <t>31 ESQ 490</t>
  </si>
  <si>
    <t>julilubrano@outlook.com</t>
  </si>
  <si>
    <t>LUCENTINI VANESA</t>
  </si>
  <si>
    <t>44 N° 681 PB C</t>
  </si>
  <si>
    <t>valelucentini@gmail.com</t>
  </si>
  <si>
    <t>LUCINO, DARDO</t>
  </si>
  <si>
    <t>LLUCH CASTELLI, CARLOS DAMIAN</t>
  </si>
  <si>
    <t xml:space="preserve">122 n° 3901 </t>
  </si>
  <si>
    <t>damianclluch@gmail.com</t>
  </si>
  <si>
    <t>LUJAMBIO, CARLOS</t>
  </si>
  <si>
    <t>41 NRO. 705</t>
  </si>
  <si>
    <t>LUNA D. AMICIS, FROILAN</t>
  </si>
  <si>
    <t>LUNA, MA. EUGENIA</t>
  </si>
  <si>
    <t xml:space="preserve"> 35 N°1266</t>
  </si>
  <si>
    <t>o</t>
  </si>
  <si>
    <t>arqlunaeugenia@gmail.com</t>
  </si>
  <si>
    <t>LUNELLI, LEANDRO</t>
  </si>
  <si>
    <t>LIBERTAD Y FERRARA S/N</t>
  </si>
  <si>
    <t>rusolunelli@yahoo.com.ar</t>
  </si>
  <si>
    <t>MACCALLINI, MARCELO</t>
  </si>
  <si>
    <t>526 Y 10</t>
  </si>
  <si>
    <t>MACEDO, SERGIO</t>
  </si>
  <si>
    <t>474 NRO. 2867 E/ 23 Y 24</t>
  </si>
  <si>
    <t>mazo2004@hotmail.com</t>
  </si>
  <si>
    <t>MACHI MAURICIO</t>
  </si>
  <si>
    <t>macchimj@yahoo.com.ar</t>
  </si>
  <si>
    <t>MACCHI, CARLOS MARCELO</t>
  </si>
  <si>
    <t>443 N° 1612</t>
  </si>
  <si>
    <t>profemacchi@hotmail.com</t>
  </si>
  <si>
    <t>Maciejewski, Alejandro</t>
  </si>
  <si>
    <t>Portela nº 820 caba</t>
  </si>
  <si>
    <t>011 49161849</t>
  </si>
  <si>
    <t>myrnadenoia@hotmail.com</t>
  </si>
  <si>
    <t>MAFFIA ERNESTO</t>
  </si>
  <si>
    <t>BOULEVARD 83 Nro. 256 E/ 115 y 115 Bis  1ro  G</t>
  </si>
  <si>
    <t>15 5046609</t>
  </si>
  <si>
    <t>MAGALNIK DIEGO</t>
  </si>
  <si>
    <t>503 Nro. 1042 esq 546</t>
  </si>
  <si>
    <t>MAGNANO, NATALIA</t>
  </si>
  <si>
    <t>AV. SAN MARTIN N 1186 4TO A</t>
  </si>
  <si>
    <t>magnanonatalia82@gmail.com</t>
  </si>
  <si>
    <t>MAIER, MARIANO</t>
  </si>
  <si>
    <t>69 N° 1431</t>
  </si>
  <si>
    <t>452-4658</t>
  </si>
  <si>
    <t>marianomaier77@hotmail.com</t>
  </si>
  <si>
    <t>Baja por fallecimiento</t>
  </si>
  <si>
    <t>MAISANO, NATALIA</t>
  </si>
  <si>
    <t>11 BIS Nª 3369</t>
  </si>
  <si>
    <t>natipaisa@hotmail.com</t>
  </si>
  <si>
    <t>MAIDANA, CLARA</t>
  </si>
  <si>
    <t>27 N° 270</t>
  </si>
  <si>
    <t>clara.maidanagorlero@gmail.com</t>
  </si>
  <si>
    <t>MAIZTEGUI, SEBASTI N</t>
  </si>
  <si>
    <t>62 NRO. 686</t>
  </si>
  <si>
    <t>buscar fecha exacta de baja</t>
  </si>
  <si>
    <t>MAIZTEGUI, MARIA ESTHER</t>
  </si>
  <si>
    <t>62 N° 686</t>
  </si>
  <si>
    <t>terci12@hotmail.com</t>
  </si>
  <si>
    <t>MALLO HUERGO, FEDERICO</t>
  </si>
  <si>
    <t>38 N° 524</t>
  </si>
  <si>
    <t>fedemallo@gmail.com</t>
  </si>
  <si>
    <t>Malmoria, Ianina Soledad</t>
  </si>
  <si>
    <t>9 Nº 3112, ENSENADA</t>
  </si>
  <si>
    <t>ianinavs@hotmail.com</t>
  </si>
  <si>
    <t>MANCEBO, NESTOR</t>
  </si>
  <si>
    <t>Windsurf, Kayak</t>
  </si>
  <si>
    <t>27 3678 495/496</t>
  </si>
  <si>
    <t>ngman@live.com.ar</t>
  </si>
  <si>
    <t>MANCINI FLAVIO</t>
  </si>
  <si>
    <t>manflaservicios@yahoo.com.ar</t>
  </si>
  <si>
    <t>Hasta Octubre 2018 figuraba como "estado"= activo y "pago hasta"= sin actividad . SE REINCORPORAN CON ACOSTA SALDANDO LAS DEUDAS DE LOS KAYAKS EN OCT 2020 Y CON CUOTA AL DIA. Vuelve a deber desde marzo 2021 hasta marzo 2023, baja y secuestro equipo</t>
  </si>
  <si>
    <t>MANCINO, SERGIO ARIEL</t>
  </si>
  <si>
    <t>29 NRO. 574 LP</t>
  </si>
  <si>
    <t>samancino@hotmail.com</t>
  </si>
  <si>
    <t>MANCUSO, MARCELO</t>
  </si>
  <si>
    <t>487 N 2061</t>
  </si>
  <si>
    <t>marmanflute@gmail.com</t>
  </si>
  <si>
    <t>MANCUSO, DAMIAN</t>
  </si>
  <si>
    <t>37 Nª 1624</t>
  </si>
  <si>
    <t>damianmancu68@gmail.com</t>
  </si>
  <si>
    <t>MANDRINI, LEOPOLDO</t>
  </si>
  <si>
    <t>3 nro. 1206. 10 .a.</t>
  </si>
  <si>
    <t>15-4198318</t>
  </si>
  <si>
    <t>leontriple6@gmail.com</t>
  </si>
  <si>
    <t>MANGANO, JORGELINA</t>
  </si>
  <si>
    <t>74 N° 369</t>
  </si>
  <si>
    <t>jormangano@yahoo.com.ar</t>
  </si>
  <si>
    <t>MANGIORE, ALEJANDRO</t>
  </si>
  <si>
    <t>CENTENERA NRO. 2559 C.FED.</t>
  </si>
  <si>
    <t>MANSILLA, JOSE</t>
  </si>
  <si>
    <t>GUEMES N°265 EDA</t>
  </si>
  <si>
    <t>jocheman67@gmail.com</t>
  </si>
  <si>
    <t>MANSILLA, FRANCISCO</t>
  </si>
  <si>
    <t>franchumas@gmail.dir</t>
  </si>
  <si>
    <t>renuncia  al dia</t>
  </si>
  <si>
    <t>MANSULLO, SEBASTIAN</t>
  </si>
  <si>
    <t>30  Nª 1137</t>
  </si>
  <si>
    <t>estudiomasullo@gmail.com</t>
  </si>
  <si>
    <t>MARATEA, PATRICIO</t>
  </si>
  <si>
    <t>4 NRO. 1588 DTO. C LP</t>
  </si>
  <si>
    <t>MARCELINO, GABRIELA</t>
  </si>
  <si>
    <t>674 ENTRE 126 Y 127 BERISSO</t>
  </si>
  <si>
    <t>gmarcelino@msn.com</t>
  </si>
  <si>
    <t>MARCHAN, SEBASTIAN</t>
  </si>
  <si>
    <t>MARCOS, SILVINA</t>
  </si>
  <si>
    <t>silvinamarcos3@hotmail.com</t>
  </si>
  <si>
    <t>MARCHETTI , JUAN FRANCISCO</t>
  </si>
  <si>
    <t>Windsurf, Kitesurf</t>
  </si>
  <si>
    <t>22 n•2555 e/450 y 451</t>
  </si>
  <si>
    <t>juanchom79@hotmail.com</t>
  </si>
  <si>
    <t>MARCORI, ESTEBAN</t>
  </si>
  <si>
    <t>18 1568 LP</t>
  </si>
  <si>
    <t>MARCOS MARIA ALEJANDRA</t>
  </si>
  <si>
    <t>500 NRO. 2768</t>
  </si>
  <si>
    <t>alemarcos42@hotmail.com</t>
  </si>
  <si>
    <t>MARDAGAS FACUNDO</t>
  </si>
  <si>
    <t>BOLIVIA 1749  CAP. FEDERAL</t>
  </si>
  <si>
    <t>MAREGA, GUSTAVO</t>
  </si>
  <si>
    <t>137 ESQ 450</t>
  </si>
  <si>
    <t>gustavomarega.0@gmail.com</t>
  </si>
  <si>
    <t>MARIA NATALIA COIRO</t>
  </si>
  <si>
    <t>493 N° 3717</t>
  </si>
  <si>
    <t>nataliacoiro@gmailo.com</t>
  </si>
  <si>
    <t>MARIANI CARLOS ALBERTO</t>
  </si>
  <si>
    <t>PUIG 187 TURDERA L. DE ZAMORA</t>
  </si>
  <si>
    <t>camlu8@hotmail.com</t>
  </si>
  <si>
    <t>MARIANI VICTORIA</t>
  </si>
  <si>
    <t>vick.rhcp.pk@hotmail.com</t>
  </si>
  <si>
    <t>MARIN, SEBASTIAN</t>
  </si>
  <si>
    <t>25 N° 1178</t>
  </si>
  <si>
    <t>marinlaplata@gmail.com</t>
  </si>
  <si>
    <t>MARINELLI, CRISTIAN</t>
  </si>
  <si>
    <t>637 ESQ 14</t>
  </si>
  <si>
    <t>cristianmachi@gmail.com</t>
  </si>
  <si>
    <t>Marino, Fernando</t>
  </si>
  <si>
    <t>9 n° 1167</t>
  </si>
  <si>
    <t>fmarino@fcv.unlp.edu.ar</t>
  </si>
  <si>
    <t>MARMISSOLLE, MARCOS</t>
  </si>
  <si>
    <t>34 Nª 682</t>
  </si>
  <si>
    <t>xeneisem3@gmail.com</t>
  </si>
  <si>
    <t>MARMISOLLE, FABIANA</t>
  </si>
  <si>
    <t>69 Nº 786</t>
  </si>
  <si>
    <t>oncologa@gmail.com</t>
  </si>
  <si>
    <t>MARKARIAN, DANIEL</t>
  </si>
  <si>
    <t>COLON 745, LANUS OESTE</t>
  </si>
  <si>
    <t>011 35359612</t>
  </si>
  <si>
    <t>danielmarkarian@yahoo.com.ar</t>
  </si>
  <si>
    <t>MARKOTA, FERNANDO</t>
  </si>
  <si>
    <t>328 NRO. 3525 QUILMES</t>
  </si>
  <si>
    <t>MARTINOLI, MARIA ALEXANDRA</t>
  </si>
  <si>
    <t>525 N° 1142</t>
  </si>
  <si>
    <t>mamartinoli@gmail.com</t>
  </si>
  <si>
    <t>MAFFEI, JUAN PABLO</t>
  </si>
  <si>
    <t>525 NH° 1142</t>
  </si>
  <si>
    <t>juanpablomaffei@gmail.com</t>
  </si>
  <si>
    <t>MARPEGAN MARIA EUGENIA</t>
  </si>
  <si>
    <t>115 BIS ENTRE 529 Y 530 N 266</t>
  </si>
  <si>
    <t>mmapegan@gmail.com</t>
  </si>
  <si>
    <t>baja deuda desde enero25</t>
  </si>
  <si>
    <t>MARQUEZ, MARIANO</t>
  </si>
  <si>
    <t>62 NRO. 1321 DTO. 2</t>
  </si>
  <si>
    <t>MARSICO, FLORENCIA</t>
  </si>
  <si>
    <t>39 Nº 1024</t>
  </si>
  <si>
    <t>florenciamarsico@hotmail.com</t>
  </si>
  <si>
    <t>MARTIARENA, JOSE ANTONIO</t>
  </si>
  <si>
    <t>150 ESQ 64</t>
  </si>
  <si>
    <t>losmartia@gmail.com</t>
  </si>
  <si>
    <t>MARTINEZ, VALERIA SOLEDAD</t>
  </si>
  <si>
    <t>24 N° 1938</t>
  </si>
  <si>
    <t>coresport.lp@gmail.com</t>
  </si>
  <si>
    <t>MARTIN, MARISA</t>
  </si>
  <si>
    <t>16 N 1543</t>
  </si>
  <si>
    <t>marisasoledadmartin@gmail.com</t>
  </si>
  <si>
    <t>MARTINCUS, ALBERTO</t>
  </si>
  <si>
    <t>156 NORTE N° 675 BERISSO</t>
  </si>
  <si>
    <t>amartincus@gmail.com</t>
  </si>
  <si>
    <t>SE REINCORPORA COMO SOCIO</t>
  </si>
  <si>
    <t>MARTINEZ  EGOZCUE, BEATRIZ</t>
  </si>
  <si>
    <t>M.Brin 570 PB 6 (CABA)</t>
  </si>
  <si>
    <t>beatriz.martinez@undp.org</t>
  </si>
  <si>
    <t>paga en banco</t>
  </si>
  <si>
    <t>MARTINEZ ARIEL</t>
  </si>
  <si>
    <t>BVARD. 82 ESQ 34 LP</t>
  </si>
  <si>
    <t xml:space="preserve">ariel_vet@hotmail.com  </t>
  </si>
  <si>
    <t>MARTINEZ PASS, ELIANA</t>
  </si>
  <si>
    <t>30 N° 4057</t>
  </si>
  <si>
    <t>martinezpasseliana@gmail.com</t>
  </si>
  <si>
    <t>MARTINEZ, GASTON</t>
  </si>
  <si>
    <t>121 NRO. 1928 LP</t>
  </si>
  <si>
    <t>MARTINEZ, IVANA NATALIA</t>
  </si>
  <si>
    <t>100 N° 642 PUNTA LARA</t>
  </si>
  <si>
    <t>ivana.martinez82@gmail.com</t>
  </si>
  <si>
    <t>MARTINEZ DUMONT, LETICIA</t>
  </si>
  <si>
    <t xml:space="preserve">521 N° </t>
  </si>
  <si>
    <t>leti17.12@gmail.com</t>
  </si>
  <si>
    <t>MARTINEZ, CLAUDIA</t>
  </si>
  <si>
    <t>claudiagmartinez@gmail.com</t>
  </si>
  <si>
    <t>MAS JAVIER IGNACIO</t>
  </si>
  <si>
    <t>12 ° 481 DPTO 5C</t>
  </si>
  <si>
    <t>javierignaciomas@gmail.com</t>
  </si>
  <si>
    <t>MASSACCESI, CLAUDIO</t>
  </si>
  <si>
    <t>ARAMBOURE NRO 143 ENSENA</t>
  </si>
  <si>
    <t>masaceclau@yahoo.com.ar</t>
  </si>
  <si>
    <t>licencia por viaje</t>
  </si>
  <si>
    <t>MASSACCESI, TOMAS</t>
  </si>
  <si>
    <t>tomasmassaccesi@gmail.com</t>
  </si>
  <si>
    <t>MASETTO, RAMONA</t>
  </si>
  <si>
    <t>bmasetto@yahoo.com.ar</t>
  </si>
  <si>
    <t>MASSI, MARIA EUGENIA</t>
  </si>
  <si>
    <t xml:space="preserve">55 n° 338 </t>
  </si>
  <si>
    <t>mariaeugeniamassi@hotmail.com</t>
  </si>
  <si>
    <t>MASSON, IVANA</t>
  </si>
  <si>
    <t>56 413</t>
  </si>
  <si>
    <t>15-4858971</t>
  </si>
  <si>
    <t>MASTANDREA, VICTOR</t>
  </si>
  <si>
    <t>531 n° 500</t>
  </si>
  <si>
    <t>victormastandrea@gmail.com</t>
  </si>
  <si>
    <t>MAURI, MARIANGEL</t>
  </si>
  <si>
    <t>13 BIS Nª6028</t>
  </si>
  <si>
    <t>mariangelmauri@gmail.com</t>
  </si>
  <si>
    <t>MATENELLA, CATERINA</t>
  </si>
  <si>
    <t>DIAG 78 N° 418</t>
  </si>
  <si>
    <t>caterinadeco@gmail.com</t>
  </si>
  <si>
    <t>MATTENELLA, SEBASTIAN</t>
  </si>
  <si>
    <t>60 Nº 723 4TO B</t>
  </si>
  <si>
    <t>sebastian.mattenella@gmail.com</t>
  </si>
  <si>
    <t>MAZZINI, HORACIO</t>
  </si>
  <si>
    <t>Av.120  N°514 E(526 y 527)</t>
  </si>
  <si>
    <t>mhoracioadrian@gmail.com</t>
  </si>
  <si>
    <t>MEDEL SANTIAGO HERNAN</t>
  </si>
  <si>
    <t>17 NRO. 1716</t>
  </si>
  <si>
    <t>santiagomedel@hotmail.com</t>
  </si>
  <si>
    <t>MEDINA, MARCOS</t>
  </si>
  <si>
    <t>56 414</t>
  </si>
  <si>
    <t>MELINGER, EMILIANO</t>
  </si>
  <si>
    <t>MARTIN GARCIA 3282 QUILMES</t>
  </si>
  <si>
    <t>MENDEZ PABLO</t>
  </si>
  <si>
    <t xml:space="preserve">Teodoro garcía n ° 3745
</t>
  </si>
  <si>
    <t>15 1843821</t>
  </si>
  <si>
    <t>pablomendez@gmail.com</t>
  </si>
  <si>
    <t>MENDEZ, OSVALDO</t>
  </si>
  <si>
    <t>RIVADAVIA 33 DON BOSCO</t>
  </si>
  <si>
    <t>MENDICINO DENISSE</t>
  </si>
  <si>
    <t>CALLE 20 N° 1816 L.P</t>
  </si>
  <si>
    <t>denisse.mendicino@hotmail.com</t>
  </si>
  <si>
    <t>MENDICINO, MARTIN</t>
  </si>
  <si>
    <t>20 Nº 1816</t>
  </si>
  <si>
    <t>martin_mendicino@hotmail.com</t>
  </si>
  <si>
    <t>MENESCARDI, MARIA DEL CARMEN</t>
  </si>
  <si>
    <t>MENGUEL, GUILLERMO</t>
  </si>
  <si>
    <t>PASCO 365 BALVANERA</t>
  </si>
  <si>
    <t>alemangm@hotmail.com</t>
  </si>
  <si>
    <t>MENVIELLE, FERNANDO</t>
  </si>
  <si>
    <t>DIAG. 79 ESQ 55 CLINICA MANO</t>
  </si>
  <si>
    <t>MENZANO, LUCAS</t>
  </si>
  <si>
    <t>MERCERAT, FERNANDO</t>
  </si>
  <si>
    <t>47 Nª 482</t>
  </si>
  <si>
    <t>fermercerat@gmail.com</t>
  </si>
  <si>
    <t>MERLO, RAUL</t>
  </si>
  <si>
    <t>525 Nro. 1260</t>
  </si>
  <si>
    <t>MERONI DIEGO</t>
  </si>
  <si>
    <t>KITE Y WIND</t>
  </si>
  <si>
    <t>8 N° 2896</t>
  </si>
  <si>
    <t>meronidiego@hotmail.com</t>
  </si>
  <si>
    <t>MERONI, FACUNDO</t>
  </si>
  <si>
    <t>facundomeroni@hotmai.com</t>
  </si>
  <si>
    <t>MERONI, FERNANDO</t>
  </si>
  <si>
    <t>489 N° 1750</t>
  </si>
  <si>
    <t>masdivx@yahoo.com.ar</t>
  </si>
  <si>
    <t>MICO, LUCIANA</t>
  </si>
  <si>
    <t>492 N° 3895</t>
  </si>
  <si>
    <t>micoluciana@gmail.com</t>
  </si>
  <si>
    <t>MIRENDA LOPEZ, LAURA</t>
  </si>
  <si>
    <t>MIRENDA, CRISTINA</t>
  </si>
  <si>
    <t>3 1206 10.a.</t>
  </si>
  <si>
    <t>15-4198294</t>
  </si>
  <si>
    <t>crismirenda@gmail.com</t>
  </si>
  <si>
    <t>MIRIUKA SEBASTIAN</t>
  </si>
  <si>
    <t>4 NRO. 1106 5 C LP</t>
  </si>
  <si>
    <t>sebastianmiriuka@gmail.com</t>
  </si>
  <si>
    <t>Mombiella, Juan</t>
  </si>
  <si>
    <t>20 n° 683</t>
  </si>
  <si>
    <t>jim1974@outlook.com</t>
  </si>
  <si>
    <t>MONEDA, PABLO</t>
  </si>
  <si>
    <t>BVARD. 82 N.207 E/37 y 38 lp</t>
  </si>
  <si>
    <t>MONTENEGRO ARRIGO</t>
  </si>
  <si>
    <t xml:space="preserve">diag. 75 </t>
  </si>
  <si>
    <t>arrigomontenegro@hotmail.com</t>
  </si>
  <si>
    <t>MONTES DE OCA, ERNESTO</t>
  </si>
  <si>
    <t>17 N° 3832</t>
  </si>
  <si>
    <t>Montesino, Ma. Florencia</t>
  </si>
  <si>
    <t>VICENTE CLAZETA Nº 522</t>
  </si>
  <si>
    <t>mfmont@hotmail.com</t>
  </si>
  <si>
    <t>MONZA, ALEJANDRO</t>
  </si>
  <si>
    <t>489 N° 1885 DUPLEX 6</t>
  </si>
  <si>
    <t>alemonza@gmail.com</t>
  </si>
  <si>
    <t>MONZON, CARLA LUCIANA</t>
  </si>
  <si>
    <t>MOORE CASTELLI, MARTIN</t>
  </si>
  <si>
    <t>485 N° 2414</t>
  </si>
  <si>
    <t>martinmoorcastelli@gmail.com</t>
  </si>
  <si>
    <t>MUÑOZ, MARCELO</t>
  </si>
  <si>
    <t>GUIDO N° 445 QUILMES</t>
  </si>
  <si>
    <t>ninjamr@yahoo.com</t>
  </si>
  <si>
    <t>MUÑOZ, JEREMIAS</t>
  </si>
  <si>
    <t>5 N° 1223</t>
  </si>
  <si>
    <t>jereanatomia@gmail.com</t>
  </si>
  <si>
    <t>MORA , ANA SABRINA</t>
  </si>
  <si>
    <t>15  N° 383</t>
  </si>
  <si>
    <t>sabrinamora@gmail.com</t>
  </si>
  <si>
    <t>MORALES, LEONARDO</t>
  </si>
  <si>
    <t>CONSTITUCION 170 BANFIELD</t>
  </si>
  <si>
    <t>MORALES, SERGIO</t>
  </si>
  <si>
    <t>Renuncia con deuda de 400 (Mayo 2014)</t>
  </si>
  <si>
    <t>MORCHON, MA. EUGENIA</t>
  </si>
  <si>
    <t>14 n° 661</t>
  </si>
  <si>
    <t>eugeniamorcon@hotmail.com</t>
  </si>
  <si>
    <t>MORENO, OMAR</t>
  </si>
  <si>
    <t>6 BIS NRO. 3393</t>
  </si>
  <si>
    <t>MORENO,HECTOR</t>
  </si>
  <si>
    <t>HECTORMAIL47@YAHOO.COM.AR</t>
  </si>
  <si>
    <t>MORENO,LEANDRO</t>
  </si>
  <si>
    <t>100 n° 642 punta lara</t>
  </si>
  <si>
    <t>ln_moreno@hotmail.com</t>
  </si>
  <si>
    <t>reincorporacion. tenia renuncia al dia, vuelve a renunciar</t>
  </si>
  <si>
    <t>MORENO,MAURO</t>
  </si>
  <si>
    <t>60 E 26 Y 27</t>
  </si>
  <si>
    <t>msmoreno@hotmail.com</t>
  </si>
  <si>
    <t>MORESCO ESTEBAN</t>
  </si>
  <si>
    <t>425 NRO. 1857 VILLA ELISA</t>
  </si>
  <si>
    <t>MORGAN, JUAN FRANCISCO</t>
  </si>
  <si>
    <t>150 E/ 454 Y 450</t>
  </si>
  <si>
    <t>morganortale2@yahoo.com.ar</t>
  </si>
  <si>
    <t>MORGANTI, FEDERICO</t>
  </si>
  <si>
    <t>MORIANO FABIAN</t>
  </si>
  <si>
    <t>SAN BLAS NRO. 2555 6 A C.FED</t>
  </si>
  <si>
    <t>MORILLO, MAXIMILIANO</t>
  </si>
  <si>
    <t>MOROSI, SERGIO</t>
  </si>
  <si>
    <t>44 N° 862½, Piso 7°</t>
  </si>
  <si>
    <t>sergio@fincap.com.ar</t>
  </si>
  <si>
    <t>MOROSI, ANTON</t>
  </si>
  <si>
    <t>44 Nº   ENTRE 122 Y 123</t>
  </si>
  <si>
    <t>anton.morosi@gmail.com</t>
  </si>
  <si>
    <t>MORSANTI, GUIDO</t>
  </si>
  <si>
    <t>AV. ARANA S/N V.ELISA</t>
  </si>
  <si>
    <t>MOSCI, GRACIELA</t>
  </si>
  <si>
    <t>18 N° 843</t>
  </si>
  <si>
    <t>hgdecorar@tahoo.com.ar</t>
  </si>
  <si>
    <t>MOSQUERA, FEDERICO</t>
  </si>
  <si>
    <t>federicomosquera1969@gmail.com</t>
  </si>
  <si>
    <t>MOYANO, FABIAN</t>
  </si>
  <si>
    <t>fabianmoyano1966@gmail.com</t>
  </si>
  <si>
    <t>MULLEN, MALENA</t>
  </si>
  <si>
    <t>478 BIS N ° 2327</t>
  </si>
  <si>
    <t>malenamullen@hotmail.com</t>
  </si>
  <si>
    <t>MULLEN, WALDO</t>
  </si>
  <si>
    <t>478 BIS N° 2327</t>
  </si>
  <si>
    <t>waldomuller@gmail.com</t>
  </si>
  <si>
    <t>MUSARRA, MARCELO</t>
  </si>
  <si>
    <t>NACUS, JUAN PABLO</t>
  </si>
  <si>
    <t>TAPIALES N° 1443 VICENTE LOPEZ</t>
  </si>
  <si>
    <t>nacusijuan@gmail.com</t>
  </si>
  <si>
    <t>NADAL, NELVA HILDA</t>
  </si>
  <si>
    <t xml:space="preserve"> SUP</t>
  </si>
  <si>
    <t>25 N° 358</t>
  </si>
  <si>
    <t>nelvanadal@gmail.com</t>
  </si>
  <si>
    <t>NATALE, JAIRO</t>
  </si>
  <si>
    <t>133 Nª 786</t>
  </si>
  <si>
    <t>jairon10@hotmail.com</t>
  </si>
  <si>
    <t>NATALE, AGATA</t>
  </si>
  <si>
    <t xml:space="preserve">47 N° 1028 </t>
  </si>
  <si>
    <t>nataleagata@hotmail.com</t>
  </si>
  <si>
    <t>NAVIA, GUILLERMO</t>
  </si>
  <si>
    <t>527 NRO. 1183 TOLOSA</t>
  </si>
  <si>
    <t>NEGRI, VANESA GISELE</t>
  </si>
  <si>
    <t>46 N° 1371 DTO 12</t>
  </si>
  <si>
    <t>vanesanegri@hotmail.com</t>
  </si>
  <si>
    <t>NEGRUZZI, ALEJANDRO</t>
  </si>
  <si>
    <t>71 NRO. 25 1/2 LP</t>
  </si>
  <si>
    <t>alenegruzzi@hotmail.com</t>
  </si>
  <si>
    <t>NEMCIK, GERMAN</t>
  </si>
  <si>
    <t>VELA MAYOR</t>
  </si>
  <si>
    <t>75 Nª 1128</t>
  </si>
  <si>
    <t>germannemcik@yahoo.com.ar</t>
  </si>
  <si>
    <t>NEUVILLE, JUAN JOSE</t>
  </si>
  <si>
    <t>83 N 37</t>
  </si>
  <si>
    <t>esego10@hotmail.com</t>
  </si>
  <si>
    <t>NICOLOFF CHACANOFF, SEBASTIAN</t>
  </si>
  <si>
    <t>22 N°  264</t>
  </si>
  <si>
    <t>sebanch@hotmail.com</t>
  </si>
  <si>
    <t>NIETO, CECILIA</t>
  </si>
  <si>
    <t>56 N° 763 DTO 2 , L P</t>
  </si>
  <si>
    <t>cecilianieto7@gmail.com</t>
  </si>
  <si>
    <t>al dia, licencia por viaje</t>
  </si>
  <si>
    <t>NIEVAS, MAURICIO</t>
  </si>
  <si>
    <t>485 NRO. 2358 GONNET</t>
  </si>
  <si>
    <t>NIEVES, GUSTAVO DANIEL</t>
  </si>
  <si>
    <t>40 N| 249</t>
  </si>
  <si>
    <t>gustavon@hotmail.com</t>
  </si>
  <si>
    <t>NIÑO GOMEZ, MARIANO</t>
  </si>
  <si>
    <t>532 N° 535</t>
  </si>
  <si>
    <t>RENUNCIA AL DIA, SE VUELVE A ASOCIAR</t>
  </si>
  <si>
    <t>NOUZEILLES, ANDREA</t>
  </si>
  <si>
    <t>55 Nª 324</t>
  </si>
  <si>
    <t>ac72n@yahoo.com.ar</t>
  </si>
  <si>
    <t>NOLI,M. PAULA</t>
  </si>
  <si>
    <t>488 N°244 GONNET</t>
  </si>
  <si>
    <t>mariapaulanoli@gmail.com</t>
  </si>
  <si>
    <t>NOVELLI, MATíAS</t>
  </si>
  <si>
    <t>NOVELLI, ALBERTO</t>
  </si>
  <si>
    <t>8 Nª 5973</t>
  </si>
  <si>
    <t>albertonovelli@hotmail.com</t>
  </si>
  <si>
    <t>NOVARINI, ANDREA PAOLA</t>
  </si>
  <si>
    <t>11 N° 4806</t>
  </si>
  <si>
    <t>paolanovarini@yahoo.com.ar</t>
  </si>
  <si>
    <t>NUCITTELLI, LEONARDO</t>
  </si>
  <si>
    <t>37 NRO. 514 3 B</t>
  </si>
  <si>
    <t>NUÑEZ, JORGE LUIS</t>
  </si>
  <si>
    <t>DEAN FUNES 244</t>
  </si>
  <si>
    <t>jlnunez@gmail.com</t>
  </si>
  <si>
    <t>OCCHI FEDERICO</t>
  </si>
  <si>
    <t>30 N°212</t>
  </si>
  <si>
    <t>occhif@yahoo.com.ar</t>
  </si>
  <si>
    <t>OCARLI, JAVIER ALEJANDRO</t>
  </si>
  <si>
    <t>javier.ocarli@gmail.com</t>
  </si>
  <si>
    <t>OCHOA FLORENCIA</t>
  </si>
  <si>
    <t>529 N° 1614</t>
  </si>
  <si>
    <t>flor8a@hotmail.com</t>
  </si>
  <si>
    <t>OJEDA, SEBASTIAN</t>
  </si>
  <si>
    <t>498 Nª 871</t>
  </si>
  <si>
    <t>seba.ojeda@live.com.ar</t>
  </si>
  <si>
    <t>RENUNCIA</t>
  </si>
  <si>
    <t>OJEDA RODRIGO</t>
  </si>
  <si>
    <t>37 N° 870 9° A</t>
  </si>
  <si>
    <t>rodrigoojeda.87@gmail.com</t>
  </si>
  <si>
    <t>ODELLO, ALBERTO</t>
  </si>
  <si>
    <t>141 Nª 446</t>
  </si>
  <si>
    <t>alberodello@gmail.com</t>
  </si>
  <si>
    <t>1-12- 2023</t>
  </si>
  <si>
    <t>OLANO,LUCAS</t>
  </si>
  <si>
    <t>508 NRO. 684 LP</t>
  </si>
  <si>
    <t>OLEASTRO , MARIA SOCORRO</t>
  </si>
  <si>
    <t>48 N° 520</t>
  </si>
  <si>
    <t>msoleastro@gmail.com</t>
  </si>
  <si>
    <t>OLIVA, GUILLERMO</t>
  </si>
  <si>
    <t>6 N° 520</t>
  </si>
  <si>
    <t>anfesrl@gmail.com</t>
  </si>
  <si>
    <t>ORCALI, JAVIER, ALEJANDRO</t>
  </si>
  <si>
    <t>115 N° 177</t>
  </si>
  <si>
    <t>javier.orcali@gmail.com</t>
  </si>
  <si>
    <t>OTHAZ, LORENA</t>
  </si>
  <si>
    <t xml:space="preserve">35 N°828 1°D </t>
  </si>
  <si>
    <t>othazlorena@gmail.com</t>
  </si>
  <si>
    <t>OTERO,  MARINA LAURA</t>
  </si>
  <si>
    <t>RAMELLA 776</t>
  </si>
  <si>
    <t>oteromarina25@gmail.com</t>
  </si>
  <si>
    <t>OLIVERAS, MAXIMILIANO</t>
  </si>
  <si>
    <t>3 N° 1857</t>
  </si>
  <si>
    <t>maximiliano.oliveras@hotmail.com</t>
  </si>
  <si>
    <t>rastrear cuando se dio el alta</t>
  </si>
  <si>
    <t>OLMOS, FEDERICO JOSE</t>
  </si>
  <si>
    <t>523 NRO, 2758</t>
  </si>
  <si>
    <t>Fallecido</t>
  </si>
  <si>
    <t>OLMOS, MAURO</t>
  </si>
  <si>
    <t>33 NRO. 2768</t>
  </si>
  <si>
    <t>saldo deuda velero</t>
  </si>
  <si>
    <t>ONOFRI, PABLO</t>
  </si>
  <si>
    <t>44 N° 1063 PUNTA LARA</t>
  </si>
  <si>
    <t>onofripablo@gmail.com</t>
  </si>
  <si>
    <t>ONTIVEROS, OSCAR</t>
  </si>
  <si>
    <t>119 N° 1730</t>
  </si>
  <si>
    <t>oscar.ontiveros.hector@gmail.com</t>
  </si>
  <si>
    <t>ONZARI, GUSTAVO</t>
  </si>
  <si>
    <t>wind. sup</t>
  </si>
  <si>
    <t xml:space="preserve">3 n° 11771  </t>
  </si>
  <si>
    <t>gonzari4@hotmail.com</t>
  </si>
  <si>
    <t>ORBEA, MARIA EUGENIA</t>
  </si>
  <si>
    <t>8 Nª 1716</t>
  </si>
  <si>
    <t>eugeniaorbea@gmail.com</t>
  </si>
  <si>
    <t>OTAVIANELLI, JORGE</t>
  </si>
  <si>
    <t>51 NRO. 401 V. DEL PLATA</t>
  </si>
  <si>
    <t>OTERO, MARIA SOL</t>
  </si>
  <si>
    <t>DIAG 73 Nº 1065</t>
  </si>
  <si>
    <t>oteromariasol@gmail.com</t>
  </si>
  <si>
    <t>ORTIZ, PABLO</t>
  </si>
  <si>
    <t>25 Nº 358</t>
  </si>
  <si>
    <t>ortizmendiorozpablojorge@gmail.com</t>
  </si>
  <si>
    <t>OSTOLAZA, M. VICTORIA</t>
  </si>
  <si>
    <t>1 BIS Y BOULEVARD 85</t>
  </si>
  <si>
    <t>mavictoriaostolaza@yahoo.com.ar</t>
  </si>
  <si>
    <t>OSTOLAZA, M. SOLEDAD</t>
  </si>
  <si>
    <t>41 N° 1432</t>
  </si>
  <si>
    <t>solyostolaza@hotmail.com</t>
  </si>
  <si>
    <t>OTONELLO, CAROLINA</t>
  </si>
  <si>
    <t>518 N° 603</t>
  </si>
  <si>
    <t>carotonello@gmail.com</t>
  </si>
  <si>
    <t>OTERO, JUAN MARTIN</t>
  </si>
  <si>
    <t>jotero@live.com.ar</t>
  </si>
  <si>
    <t>OVIEDO, LUCAS</t>
  </si>
  <si>
    <t>QUINTANA 231</t>
  </si>
  <si>
    <t>oviedo978@gmail.com</t>
  </si>
  <si>
    <t>OYOLA, ENRIQUE</t>
  </si>
  <si>
    <t>enrrych@yahoo.com.ar</t>
  </si>
  <si>
    <t>OXAGARAY, MANUEL</t>
  </si>
  <si>
    <t>1 NRO. 1229 LP</t>
  </si>
  <si>
    <t>0299 155161646</t>
  </si>
  <si>
    <t>Renuncio al dia</t>
  </si>
  <si>
    <t>PACOTTI, CAROLINA</t>
  </si>
  <si>
    <t>425 N° 2648 VILLA ELISA</t>
  </si>
  <si>
    <t>cpaccotti@gmail.com</t>
  </si>
  <si>
    <t>PACHAME</t>
  </si>
  <si>
    <t>PAGANI, LUCIANO</t>
  </si>
  <si>
    <t>53 NRO. 1358</t>
  </si>
  <si>
    <t>PAGNANELLI, SANTIAGO</t>
  </si>
  <si>
    <t>PAGNANELLI,ANTONELLA</t>
  </si>
  <si>
    <t>32 E/22 Y 23 IMPRENTA</t>
  </si>
  <si>
    <t>PAGNANELLI,FRANCO</t>
  </si>
  <si>
    <t>PAGNANELLI,GUSTAVO</t>
  </si>
  <si>
    <t>17 N° 1231</t>
  </si>
  <si>
    <t>gustavpagna@gmail.com</t>
  </si>
  <si>
    <t>PAGNANO, OCTAVIO</t>
  </si>
  <si>
    <t>5 Nª 526</t>
  </si>
  <si>
    <t>opvehiculos@hotmail.com</t>
  </si>
  <si>
    <t>PAIONE, DE FAVA, CLAUDIA</t>
  </si>
  <si>
    <t>Diag. 109 nº 83 (e/ 65 y 20)</t>
  </si>
  <si>
    <t>claudiapaione@yahoo.com.ar</t>
  </si>
  <si>
    <t>PAIS, VERONICA</t>
  </si>
  <si>
    <t>verap474@gmail.com</t>
  </si>
  <si>
    <t>PALACIO, MAURICIO</t>
  </si>
  <si>
    <t>80 E/12 Y 12BIS MBLOK 8 3 C</t>
  </si>
  <si>
    <t>mauriciopalacio76@gmail.com</t>
  </si>
  <si>
    <t>PALACIOS, ADRIANA</t>
  </si>
  <si>
    <t>517 N°2323 ENTRE 18 Y 19</t>
  </si>
  <si>
    <t>ariadnapalc@hotmail.com</t>
  </si>
  <si>
    <t>PALAVICINI, MAXIMILIANO</t>
  </si>
  <si>
    <t>S. DE BUSTAMANTE 2480 PB 6to</t>
  </si>
  <si>
    <t>maxi_mx2@hotmail.com</t>
  </si>
  <si>
    <t>PANETTE, GUIDO CESAR</t>
  </si>
  <si>
    <t>54 Nº 519</t>
  </si>
  <si>
    <t>nano_panette@hotmail.com</t>
  </si>
  <si>
    <t>PANIZZA, MA. EUGENIA</t>
  </si>
  <si>
    <t>55 N° 647</t>
  </si>
  <si>
    <t>eugipanizza@hotmail.com</t>
  </si>
  <si>
    <t>Pantano, Agustín Alberto</t>
  </si>
  <si>
    <t>7 e/ Arana y 420</t>
  </si>
  <si>
    <t>pantanoagustin@gmail.com</t>
  </si>
  <si>
    <t>PANZA, MARIANO</t>
  </si>
  <si>
    <t>43 N° 4167</t>
  </si>
  <si>
    <t>mpanza0808@gmail.com</t>
  </si>
  <si>
    <t>PAOLOCA, BARBARA</t>
  </si>
  <si>
    <t>467 N° 2785</t>
  </si>
  <si>
    <t>barbara.bragado.1985@gmail.com</t>
  </si>
  <si>
    <t>PARDO, AUGUSTO</t>
  </si>
  <si>
    <t>133 E/ 40 Y 41 LP</t>
  </si>
  <si>
    <t>auganibal@yahoo.com.ar</t>
  </si>
  <si>
    <t>PARODI, DANIEL</t>
  </si>
  <si>
    <t>AV, MITRE NRO. 2060</t>
  </si>
  <si>
    <t>dapa58@hotmail.com (Banco)</t>
  </si>
  <si>
    <t>PASSO, M. CECILIA</t>
  </si>
  <si>
    <t>3 N° 114  PTA. LARA</t>
  </si>
  <si>
    <t>01150271700</t>
  </si>
  <si>
    <t>tec.passo.maria.cecilia@gmail.com</t>
  </si>
  <si>
    <t>PASCUAL LOPEZ, VALENTIN</t>
  </si>
  <si>
    <t>20 Nº 586</t>
  </si>
  <si>
    <t>valentinpascual93@gmail.com</t>
  </si>
  <si>
    <t>PASTORE, MARIANO</t>
  </si>
  <si>
    <t>8 NRO. 232 DTO- B</t>
  </si>
  <si>
    <t>PASTORI, MARCELO</t>
  </si>
  <si>
    <t>WIND Y KAYAK</t>
  </si>
  <si>
    <t>7 N° 5180 PUNTA LARA</t>
  </si>
  <si>
    <t>marcepastori1977@gmail.com</t>
  </si>
  <si>
    <t>PASTRANA, PABLO GASTON</t>
  </si>
  <si>
    <t>INDEPENDENCIA 935</t>
  </si>
  <si>
    <t>ruso0612@hotmail.com</t>
  </si>
  <si>
    <t>PAVLETIC, CAMILA</t>
  </si>
  <si>
    <t>6 N° 1072  PISO 15 F</t>
  </si>
  <si>
    <t>camipavletic@hotmail.com</t>
  </si>
  <si>
    <t>PAVLETIC, TATIANA</t>
  </si>
  <si>
    <t xml:space="preserve">57 N° 618 </t>
  </si>
  <si>
    <t>tpavletic@hotmail.com</t>
  </si>
  <si>
    <t>PEDERSOLI, FRANCO</t>
  </si>
  <si>
    <t>412 nª 1224</t>
  </si>
  <si>
    <t>fpedersoli@gmail.com</t>
  </si>
  <si>
    <t>PEJENAUTE, FABIAN</t>
  </si>
  <si>
    <t>DON BODCO N° 782</t>
  </si>
  <si>
    <t>pejenautefabian@hotmail.com</t>
  </si>
  <si>
    <t>PELLEGRINI, ANDREA</t>
  </si>
  <si>
    <t>48 NRO. 1725</t>
  </si>
  <si>
    <t xml:space="preserve">PELLEGRINI, LUIS </t>
  </si>
  <si>
    <t>48 nro. 1725</t>
  </si>
  <si>
    <t>Honorario</t>
  </si>
  <si>
    <t>PELLEGRINI, LUIS FABIAN</t>
  </si>
  <si>
    <t>49 NRO. 1725</t>
  </si>
  <si>
    <t>PELLEGRINO, ANTONIO MARCOS</t>
  </si>
  <si>
    <t>11 BIS N 3369</t>
  </si>
  <si>
    <t>antoniopellegrinopef@gmail.com</t>
  </si>
  <si>
    <t>PELLETIERI, GUSTAVO</t>
  </si>
  <si>
    <t>GRAL. URQUIZA 2088 C.FED.</t>
  </si>
  <si>
    <t>guspel@hotmail.com</t>
  </si>
  <si>
    <t>PELLIZZARI, KARINA</t>
  </si>
  <si>
    <t>6 Nª 616</t>
  </si>
  <si>
    <t>PELUSO, MARIA LETICIA</t>
  </si>
  <si>
    <t>7 N° 6161</t>
  </si>
  <si>
    <t>letipeluso@gmailcom</t>
  </si>
  <si>
    <t>PELUSO, MIGUEL ANDRES</t>
  </si>
  <si>
    <t>14 nro 770 City Bell</t>
  </si>
  <si>
    <t>andrespeluso@gmail.com</t>
  </si>
  <si>
    <t>PENA, OSCAR</t>
  </si>
  <si>
    <t>35 NRO. 1631 PB 4 LP</t>
  </si>
  <si>
    <t>opena@scba.gov.ar</t>
  </si>
  <si>
    <t>con deuda</t>
  </si>
  <si>
    <t>PENELA, SERGIO</t>
  </si>
  <si>
    <t>10 N° 1615</t>
  </si>
  <si>
    <t>sergiopenelalp@hotmail.com</t>
  </si>
  <si>
    <t>PENNA, GONZALO</t>
  </si>
  <si>
    <t>25 N° 4266</t>
  </si>
  <si>
    <t>0111562751876</t>
  </si>
  <si>
    <t>gonzalopenna@hotmail.com</t>
  </si>
  <si>
    <t>PEON, LEONARDO</t>
  </si>
  <si>
    <t>PIAGGIO N° 27</t>
  </si>
  <si>
    <t>leonardo_peon@hotmail.com</t>
  </si>
  <si>
    <t>PEREA, MARIANO</t>
  </si>
  <si>
    <t>488 N° 1619</t>
  </si>
  <si>
    <t>marianoperea@gmail.com</t>
  </si>
  <si>
    <t>PEREZ CANDREVA, LEONARDO</t>
  </si>
  <si>
    <t>15 n° 607 Villa del plata</t>
  </si>
  <si>
    <t>leoperezcandreva@gmail.com</t>
  </si>
  <si>
    <t>renuncio en feb del 2016 al dia, vuelve a reintegrarse on el numerio de antes</t>
  </si>
  <si>
    <t>PEREDA, DIEGO</t>
  </si>
  <si>
    <t>522 N° 675</t>
  </si>
  <si>
    <t>peredadiego@gmail.com</t>
  </si>
  <si>
    <t>PEREZ CERRA, GUSTAVO</t>
  </si>
  <si>
    <t>500 Y CAM. GRAL BELG. 2768</t>
  </si>
  <si>
    <t>gpcerra@hotmail.com</t>
  </si>
  <si>
    <t>PEREZ DAMIAN</t>
  </si>
  <si>
    <t xml:space="preserve">wind </t>
  </si>
  <si>
    <t>49 n° 2181</t>
  </si>
  <si>
    <t>perezdamian@gmail.com</t>
  </si>
  <si>
    <t>PEREZ, MARCELO FABIO</t>
  </si>
  <si>
    <t>120 E/ 69 Y 70</t>
  </si>
  <si>
    <t>marcelofabio.p@hotmail.com</t>
  </si>
  <si>
    <t>PEREIRA PEDRO</t>
  </si>
  <si>
    <t>pedrococo78@gmail.com</t>
  </si>
  <si>
    <t>PERLOTTI, RUBEN</t>
  </si>
  <si>
    <t>SAN JOSE NRO. 994 C.FED</t>
  </si>
  <si>
    <t>PERSICO, JIMENA</t>
  </si>
  <si>
    <t>13 Nª 1942</t>
  </si>
  <si>
    <t>jimepersico@gmail.com</t>
  </si>
  <si>
    <t>PESCI, JOSE PEDRO</t>
  </si>
  <si>
    <t>57 ESQ. 3</t>
  </si>
  <si>
    <t>arquitectopesci@gmail.com</t>
  </si>
  <si>
    <t>PIAGGIO, FERMIN</t>
  </si>
  <si>
    <t>6 N° 63 1/2</t>
  </si>
  <si>
    <t>piaggiofermin@gmail.com</t>
  </si>
  <si>
    <t>PICASSO, ALEJANDRO</t>
  </si>
  <si>
    <t>PIETRA FIGUEREDO, GUILLERMO</t>
  </si>
  <si>
    <t>527 NRO. 1463 E/ 9 Y 10</t>
  </si>
  <si>
    <t xml:space="preserve">guillermopietra@yahoo.com </t>
  </si>
  <si>
    <t>PIETROMONACO, EZEQUIEL</t>
  </si>
  <si>
    <t>11 N º 2125</t>
  </si>
  <si>
    <t>surcador81@gmail.com</t>
  </si>
  <si>
    <t>PINEDO, GERONIMO</t>
  </si>
  <si>
    <t>69 NRO. 1137 LP</t>
  </si>
  <si>
    <t>PIOMMBO, RAMIRO</t>
  </si>
  <si>
    <t>RENUNCIO</t>
  </si>
  <si>
    <t>PIERRESTEGUEY, JULIETA</t>
  </si>
  <si>
    <t>Kayak, SUP</t>
  </si>
  <si>
    <t>ALMIRANTE BROWN Nº 424</t>
  </si>
  <si>
    <t>julieta.pierresteguey@gmail.com</t>
  </si>
  <si>
    <t>POCH, LUCIA</t>
  </si>
  <si>
    <t>55 Nª 942 4ªC</t>
  </si>
  <si>
    <t>luciapoch22@gmail.com</t>
  </si>
  <si>
    <t>PODESTA, DANIELA</t>
  </si>
  <si>
    <t>6 N° 546 10 B</t>
  </si>
  <si>
    <t>drapodesta@yahoo.com.ar</t>
  </si>
  <si>
    <t>POLANSKI, ROMINA</t>
  </si>
  <si>
    <t>163 Nº850</t>
  </si>
  <si>
    <t>harlelprc@gmail.com</t>
  </si>
  <si>
    <t>POLO, JAVIER</t>
  </si>
  <si>
    <t>SUP, KAYAK</t>
  </si>
  <si>
    <t>531 N° 1151</t>
  </si>
  <si>
    <t>javierpolo_@hotmail.com</t>
  </si>
  <si>
    <t>PONCE DE LEON, CESAR OSCAR</t>
  </si>
  <si>
    <t>43 Nº 2338</t>
  </si>
  <si>
    <t>cesarp.de.leon142@gmail.com</t>
  </si>
  <si>
    <t>PONCE, GRACIELA</t>
  </si>
  <si>
    <t>38 NRO. 792 PB C LP</t>
  </si>
  <si>
    <t>gpponce@hotmail.com</t>
  </si>
  <si>
    <t>PORTAL, RAUL</t>
  </si>
  <si>
    <t>PORTALES, MARIA LAURA</t>
  </si>
  <si>
    <t>44 E/ 16 Y 17 9 A</t>
  </si>
  <si>
    <t>PORTALL, RAUL</t>
  </si>
  <si>
    <t>PORTOS, MA. EUGENIA</t>
  </si>
  <si>
    <t xml:space="preserve">40 N° 249 </t>
  </si>
  <si>
    <t>eugeportos@hotmail.com</t>
  </si>
  <si>
    <t>POUCHOU, ANDREA</t>
  </si>
  <si>
    <t>461 Nª 1446</t>
  </si>
  <si>
    <t>andypouchou@gmail.com</t>
  </si>
  <si>
    <t>POZZI, ALEJANDRA</t>
  </si>
  <si>
    <t>69 N° 1616</t>
  </si>
  <si>
    <t>alejacamara@yahoo.com.ar</t>
  </si>
  <si>
    <t>PUGLIATTI, LEANDRO</t>
  </si>
  <si>
    <t>wingfoil. widsurf,kite.sup</t>
  </si>
  <si>
    <t>13 n° 2567</t>
  </si>
  <si>
    <t>leandropugliatti@gmail.com</t>
  </si>
  <si>
    <t>SE REINCORPORA CON PLAN DE PAGO. RENUNCIA NUEVAMENTE. SEA ASOCIA DE VUELTA MARZO 2024</t>
  </si>
  <si>
    <t>PUPO, JOSE</t>
  </si>
  <si>
    <t>Cobrador</t>
  </si>
  <si>
    <t>63 N° 1583</t>
  </si>
  <si>
    <t>josepupoypupo@gmail.com</t>
  </si>
  <si>
    <t>QUARANTA, M. CRISTINA</t>
  </si>
  <si>
    <t>133 NRO. 4260 LP</t>
  </si>
  <si>
    <t>macritanni@yahoo.com.ar</t>
  </si>
  <si>
    <t>QUARTI, CARMEN</t>
  </si>
  <si>
    <t>3 NRO. 1117 ESQ. DIAG. 78</t>
  </si>
  <si>
    <t>carmen.quarti.cq@gmail.com</t>
  </si>
  <si>
    <t>QUINTANA, MARTIN</t>
  </si>
  <si>
    <t>16 Y 66, PUNTA LARA</t>
  </si>
  <si>
    <t>quintanamartin_73@hotmail.com</t>
  </si>
  <si>
    <t>QUINTANA, GUSTAVO</t>
  </si>
  <si>
    <t>WINDFOIL</t>
  </si>
  <si>
    <t>116 N°86</t>
  </si>
  <si>
    <t>quintgus@gmail.com</t>
  </si>
  <si>
    <t>QUINTANS, CLAUDIO</t>
  </si>
  <si>
    <t>QUINTERO BLANCO, SERGIO</t>
  </si>
  <si>
    <t xml:space="preserve">8 n° 1575 </t>
  </si>
  <si>
    <t>15 5375929</t>
  </si>
  <si>
    <t>quinteroblancosergio@gmail.com</t>
  </si>
  <si>
    <t>QUINTEROS, ALEJANDRO</t>
  </si>
  <si>
    <t>467 N 2785 CITY BELL</t>
  </si>
  <si>
    <t>amq0856@hotmail.com</t>
  </si>
  <si>
    <t>QUINTEROS, MARIO</t>
  </si>
  <si>
    <t>39 N°48</t>
  </si>
  <si>
    <t>maritoq@hotmail.com</t>
  </si>
  <si>
    <t>RABASSA, MILAGROS</t>
  </si>
  <si>
    <t>29 Nº 1901</t>
  </si>
  <si>
    <t>mili.rabasa@gmail.com</t>
  </si>
  <si>
    <t>RABINO, MARTIN</t>
  </si>
  <si>
    <t>Calle 15 nro 4350</t>
  </si>
  <si>
    <t>011-15-32737348</t>
  </si>
  <si>
    <t>rabinom@gmail.com</t>
  </si>
  <si>
    <t>RADI ,NORA EDITH</t>
  </si>
  <si>
    <t>noraradi@hotmail.com</t>
  </si>
  <si>
    <t xml:space="preserve">SE REINCORPORA </t>
  </si>
  <si>
    <t>RAHAMAN, EMILIANO</t>
  </si>
  <si>
    <t>16 N° 335</t>
  </si>
  <si>
    <t>Emiraj01@hotmail.com</t>
  </si>
  <si>
    <t>RAMACCIOTTI, SOFIA</t>
  </si>
  <si>
    <t>135 Nª 464</t>
  </si>
  <si>
    <t>RAMACCIOTTI, NORBERTO</t>
  </si>
  <si>
    <t>42 Nª 1991</t>
  </si>
  <si>
    <t>aero.nelo77@gmail.com</t>
  </si>
  <si>
    <t>RAMAYON, FERNANDO</t>
  </si>
  <si>
    <t>SAN MARTIN 326 CIUDADELA</t>
  </si>
  <si>
    <t>atrasadisimo</t>
  </si>
  <si>
    <t>RAMIREZ, MATIAS</t>
  </si>
  <si>
    <t>44 N° 714 E/ 127 Y 128</t>
  </si>
  <si>
    <t>fotosmatias2015@gmail.com</t>
  </si>
  <si>
    <t>RAMIREZ, DIANA SOFIA</t>
  </si>
  <si>
    <t>26 N° 535</t>
  </si>
  <si>
    <t>sofia.ramirez@gmail.com</t>
  </si>
  <si>
    <t>RAMIREZ, BIBIANA EDITH</t>
  </si>
  <si>
    <t>529 N° 864</t>
  </si>
  <si>
    <t>bibianart10@gmail.com</t>
  </si>
  <si>
    <t>RAMON, MARIA SUSANA</t>
  </si>
  <si>
    <t>137  ESQ 450 S/N</t>
  </si>
  <si>
    <t>sramon@hotmail.com</t>
  </si>
  <si>
    <t>RAMOS DELGADO, MARISA</t>
  </si>
  <si>
    <t>GARAY N° 180 QUILMES</t>
  </si>
  <si>
    <t>abuelos1214@gmail.com</t>
  </si>
  <si>
    <t>RAMOS, ANDREA IRENE</t>
  </si>
  <si>
    <t>General conesa 87, ramos mejia</t>
  </si>
  <si>
    <t>ramosandi@gmail.com</t>
  </si>
  <si>
    <t>ROMERO, PABLO</t>
  </si>
  <si>
    <t>SAN MARTIN 199 ENSENADA</t>
  </si>
  <si>
    <t>pablosromero@hotmail.com</t>
  </si>
  <si>
    <t>RAMPOLDI, JUAN IGNACIO</t>
  </si>
  <si>
    <t>9 Nº 3162</t>
  </si>
  <si>
    <t>juanirampoldi@hotmail.com</t>
  </si>
  <si>
    <t>RANDAZO, CONSTANZA</t>
  </si>
  <si>
    <t>randazzoconstanza@gmail.com</t>
  </si>
  <si>
    <t>RASILLA, TOMAS</t>
  </si>
  <si>
    <t>133 N°418</t>
  </si>
  <si>
    <t>tomasrasilla@yahoo.com</t>
  </si>
  <si>
    <t>RAYO, GUADALUPE</t>
  </si>
  <si>
    <t>19 N° 961 CITY BELL</t>
  </si>
  <si>
    <t>guadarayo@hotmail.com</t>
  </si>
  <si>
    <t>RE, CARLOS</t>
  </si>
  <si>
    <t>DIAG. 25 DE MAYO 179 C.BELL</t>
  </si>
  <si>
    <t>RE, JUAN SEBASTIAN</t>
  </si>
  <si>
    <t>CASEROS NRO. 35 LOMAS</t>
  </si>
  <si>
    <t>REALES, ALEJANDRO</t>
  </si>
  <si>
    <t>40 NRO. 722 LP</t>
  </si>
  <si>
    <t>aereales@gmail.com</t>
  </si>
  <si>
    <t>RECOFSKY, MARIA DE LOS ANGELES</t>
  </si>
  <si>
    <t>59 Nª 311</t>
  </si>
  <si>
    <t>angelesre@gmail.com</t>
  </si>
  <si>
    <t>RECONDO, IGNACIO</t>
  </si>
  <si>
    <t xml:space="preserve">DIAG. 75 NRO. 490  3  B </t>
  </si>
  <si>
    <t>REDONDO, MA. DE LA PAZ</t>
  </si>
  <si>
    <t>47 ESQ 152</t>
  </si>
  <si>
    <t>redondopaz@hotmail.com</t>
  </si>
  <si>
    <t>REINHARD, JUAN CRUZ</t>
  </si>
  <si>
    <t>115 N° 179</t>
  </si>
  <si>
    <t>juancruz-seh@hotmail.com</t>
  </si>
  <si>
    <t>REINHARDTH, FEDERICO GABRIEL</t>
  </si>
  <si>
    <t>518 N° 4375</t>
  </si>
  <si>
    <t>federico.reinhardt@gmail.com</t>
  </si>
  <si>
    <t>REMES LENICOV, ANA PAULA</t>
  </si>
  <si>
    <t>493 N° 3034 ENTRE 25 Y 26</t>
  </si>
  <si>
    <t>anapremes@gmail.com</t>
  </si>
  <si>
    <t>RENDANI, GUSTAVO</t>
  </si>
  <si>
    <t>36 E/ 13 Y 14 MUDADORA</t>
  </si>
  <si>
    <t>REPETTO, MARIA</t>
  </si>
  <si>
    <t>38 N° 1791</t>
  </si>
  <si>
    <t>mariarepetto84@gmail.com</t>
  </si>
  <si>
    <t>RESIA, MARCELO</t>
  </si>
  <si>
    <t>no hay ficha!!!</t>
  </si>
  <si>
    <t>REY, ROXANA MONTSERRAT</t>
  </si>
  <si>
    <t>201  ENTRE 405 Y 406</t>
  </si>
  <si>
    <t>roxanamontserratrey@hotmail.com</t>
  </si>
  <si>
    <t>REYES, HECTOR FABIÁN</t>
  </si>
  <si>
    <t>59 N° 783, LP</t>
  </si>
  <si>
    <t>hfabito@gmail.com</t>
  </si>
  <si>
    <t>REYNOSO, CARLOS ALBERTO</t>
  </si>
  <si>
    <t>44 NRO. 1417 LP</t>
  </si>
  <si>
    <t>REYNOSO, NATALIA</t>
  </si>
  <si>
    <t>7 NRO. 374 1 F LP</t>
  </si>
  <si>
    <t>REZALA, MARCELO</t>
  </si>
  <si>
    <t>Constituyentes 181 Florencio Varela</t>
  </si>
  <si>
    <t>mrezala@yahoo.com.ar</t>
  </si>
  <si>
    <t>RICA, ANIELA</t>
  </si>
  <si>
    <t>BOLULEVARD 83, N° 281</t>
  </si>
  <si>
    <t>RICCIARDI, JUAN FRANCO</t>
  </si>
  <si>
    <t>INDEPENDENCIA Nº 119, ENSENADA</t>
  </si>
  <si>
    <t>juanfranco@hotmail.com</t>
  </si>
  <si>
    <t>DEUDA DESDE SEPT 2020, BAJA. CUOTA Y CUNA</t>
  </si>
  <si>
    <t>RICCIARDI, MARIA JULIETA</t>
  </si>
  <si>
    <t xml:space="preserve"> TIMONEL</t>
  </si>
  <si>
    <t>13 ENTRE 47 Y 48 VILLA DEL PLATA</t>
  </si>
  <si>
    <t>julieta-ricciardi@hotmail.com</t>
  </si>
  <si>
    <t>RICCIO, GUSTAVO</t>
  </si>
  <si>
    <t>59 N ° 2018</t>
  </si>
  <si>
    <t>bobysgr@hotmail.com</t>
  </si>
  <si>
    <t>RICCIO, CECILIA</t>
  </si>
  <si>
    <t>40 ENTRE 153 Y 154</t>
  </si>
  <si>
    <t>ceciliariccio@yahoo.com.ar</t>
  </si>
  <si>
    <t>RICHICHI, RICARDO</t>
  </si>
  <si>
    <t>RICO, LILIANA</t>
  </si>
  <si>
    <t>496 N°2979, GONNET</t>
  </si>
  <si>
    <t>liligrico@yahoo.com.ar</t>
  </si>
  <si>
    <t>Hasta Octubre 2018 figuraba como "estado"= activo y "pago hasta"= sin actividad Se le dio baja con deuda en diciembre 2017 con 19 cuotas de deuda/En junio 2019 se la vuelve a incorporar sin deuda por orden de la C.D.</t>
  </si>
  <si>
    <t>reuncia en marzo 2020</t>
  </si>
  <si>
    <t>RIERA GIULIANA</t>
  </si>
  <si>
    <t>61  N° 154</t>
  </si>
  <si>
    <t>0280 154328713</t>
  </si>
  <si>
    <t>giulianariera@gmail.com</t>
  </si>
  <si>
    <t>SE REINORPORA COMO SOCIA</t>
  </si>
  <si>
    <t>RIO, DAVID ALFREDO</t>
  </si>
  <si>
    <t>467 N° 5000</t>
  </si>
  <si>
    <t>drioalfredo2009@hotmail.com</t>
  </si>
  <si>
    <t>RIOS EZEQUIEL</t>
  </si>
  <si>
    <t>1 NRO. 1959 LA PLATA</t>
  </si>
  <si>
    <t>RIOS, BRUNO</t>
  </si>
  <si>
    <t>117 Nro. 2333 E/ 79 Y 80</t>
  </si>
  <si>
    <t>15 4115012</t>
  </si>
  <si>
    <t>452 8222</t>
  </si>
  <si>
    <t>brunolp@msn.com</t>
  </si>
  <si>
    <t>Este socio figuraba con una deuda de 6 cuotas vencidas y cuando fue contactado dijo que se fue en enero de 2015 después d una discusion que tuvo con un directivo del club. Tengo mail que envió dando explicaciones.</t>
  </si>
  <si>
    <t>RIPOLL CARLOS GABRIEL</t>
  </si>
  <si>
    <t>51 NRO. 432 P11 B LP</t>
  </si>
  <si>
    <t>RISCOSA, GUSTAVO</t>
  </si>
  <si>
    <t>DIAG 112 N° 34</t>
  </si>
  <si>
    <t>griscosa@gmail.com</t>
  </si>
  <si>
    <t>RISSO, ANALIA LORENA</t>
  </si>
  <si>
    <t>477 N° 3358</t>
  </si>
  <si>
    <t>anasrisso@yahoo.com.ar</t>
  </si>
  <si>
    <t>renuncia</t>
  </si>
  <si>
    <t>RIVEIRO, GRACIELA NOEMI</t>
  </si>
  <si>
    <t>DEFENSA N° 119 PISO 10 CABA</t>
  </si>
  <si>
    <t>0111541687606</t>
  </si>
  <si>
    <t>gnriveira@yahoo.com.ar</t>
  </si>
  <si>
    <t>renucia al dia por mudanza</t>
  </si>
  <si>
    <t xml:space="preserve">ROSAS, MAGALI </t>
  </si>
  <si>
    <t>15 N° 1134</t>
  </si>
  <si>
    <t>magrosas17@gmail.com</t>
  </si>
  <si>
    <t>ROA, FABRICIO</t>
  </si>
  <si>
    <t>44 NRO. 970 P12 DTO. B LP</t>
  </si>
  <si>
    <t>ROBINO, ISRAEL</t>
  </si>
  <si>
    <t>13 Nª 559 1/2</t>
  </si>
  <si>
    <t>RODRIGUEZ, CESAR</t>
  </si>
  <si>
    <t>6 N° 1341</t>
  </si>
  <si>
    <t>profrodriguez@outlook.com.ar</t>
  </si>
  <si>
    <t>RODRIGUEZ, EMILIANO</t>
  </si>
  <si>
    <t>105 Nro. 5502 PUNTA LARA</t>
  </si>
  <si>
    <t>466 1453</t>
  </si>
  <si>
    <t>15 30145943</t>
  </si>
  <si>
    <t>punkjazz@live.com.ar</t>
  </si>
  <si>
    <t xml:space="preserve">RODRIGUEZ, JUAN IGNACIO </t>
  </si>
  <si>
    <t>DOMICILIO: 61 N° 821 2°D , LA PLATA</t>
  </si>
  <si>
    <t>juan_eugui@hotmail.com</t>
  </si>
  <si>
    <t>RODRIGUEZ, JULIO ALEJANDRO</t>
  </si>
  <si>
    <t>35 N° 338</t>
  </si>
  <si>
    <t>alejjrodriguez@hotmail.com</t>
  </si>
  <si>
    <t>RODRIGUEZ, MANUEL</t>
  </si>
  <si>
    <t>60 NRO. 365 LP</t>
  </si>
  <si>
    <t>RODRIGUEZ, MARCELA</t>
  </si>
  <si>
    <t>119 N° 573</t>
  </si>
  <si>
    <t>marcelaguf@gmail.com</t>
  </si>
  <si>
    <t>RODRIGUEZ, ORLANDO</t>
  </si>
  <si>
    <t>LARREA 1595, QUILMES</t>
  </si>
  <si>
    <t>oscarprety@gmail.com</t>
  </si>
  <si>
    <t>RODRIGUEZ, JORGE</t>
  </si>
  <si>
    <t>CEFERINO RAMIREZ, 2410</t>
  </si>
  <si>
    <t>jorger0955@gmail.com</t>
  </si>
  <si>
    <t>RODRIGUEZ, SANTOS M.ELENA</t>
  </si>
  <si>
    <t>20 NRO. 844</t>
  </si>
  <si>
    <t>RODRIGUEZ, WALTER</t>
  </si>
  <si>
    <t>RODRIGUEZ ,MARINA</t>
  </si>
  <si>
    <t>19 Nª 5008</t>
  </si>
  <si>
    <t>mari7_arq@yahoo.com.ar</t>
  </si>
  <si>
    <t>RODRIGUEZ, JULIAN</t>
  </si>
  <si>
    <t>5 N 2312</t>
  </si>
  <si>
    <t>profjrodriguez@hotmail.com</t>
  </si>
  <si>
    <t>RODRIGUEZ FRANCO MARIA CRISTINA</t>
  </si>
  <si>
    <t>121 N° 77</t>
  </si>
  <si>
    <t>mcrodriguezfranco@gmail.com</t>
  </si>
  <si>
    <t>bakja deuda</t>
  </si>
  <si>
    <t>RODRIGUEZ, YAMILA</t>
  </si>
  <si>
    <t>9 ENTRE 500 Y 501</t>
  </si>
  <si>
    <t>yamiayelenrodriguez@gmail.com</t>
  </si>
  <si>
    <t>ROJAS, JOSE LUIS</t>
  </si>
  <si>
    <t>atrasadismo</t>
  </si>
  <si>
    <t>ROLDAN, EMILIO</t>
  </si>
  <si>
    <t>44 Nª 118</t>
  </si>
  <si>
    <t>emilioroldan09@gmail.com</t>
  </si>
  <si>
    <t>ROLLA, NICOLAS</t>
  </si>
  <si>
    <t>136 Nª 4109</t>
  </si>
  <si>
    <t>danilorolla@hotmail.com</t>
  </si>
  <si>
    <t>ROMA, KARINA</t>
  </si>
  <si>
    <t>ROMERO, IGNACIO</t>
  </si>
  <si>
    <t>nachoromero_@hotmail.com</t>
  </si>
  <si>
    <t>ROMERO, LORENA JULIA</t>
  </si>
  <si>
    <t>31 ESQ 423</t>
  </si>
  <si>
    <t>lorenaromero2705@gmail.com</t>
  </si>
  <si>
    <t>se asocio por curso timonel y dejo de pagar.</t>
  </si>
  <si>
    <t>ROMERO, ROCIO</t>
  </si>
  <si>
    <t>65 N 1377</t>
  </si>
  <si>
    <t>rochiromero@hotmail.com</t>
  </si>
  <si>
    <t>ROMERO PABLO</t>
  </si>
  <si>
    <t>ROMERO, ADRIAN ISMAEL</t>
  </si>
  <si>
    <t>info@aguadrill.com.ar</t>
  </si>
  <si>
    <t>ROMERO, ALEJANDRO</t>
  </si>
  <si>
    <t>DIAG 73 N° 2575</t>
  </si>
  <si>
    <t>alejandroromero@hotmail.com</t>
  </si>
  <si>
    <t>RONCONI, FERNANDA</t>
  </si>
  <si>
    <t>5 N° 157</t>
  </si>
  <si>
    <t>m.fernanda.ronconi@gmail.com</t>
  </si>
  <si>
    <t>ROSA, NICOLAS</t>
  </si>
  <si>
    <t>49 N° 1661</t>
  </si>
  <si>
    <t>nniiccooyyoo@gmail.com</t>
  </si>
  <si>
    <t>ROSALES, RUBEN</t>
  </si>
  <si>
    <t>526 Nº 3028</t>
  </si>
  <si>
    <t>rosalesruben@gmail.com</t>
  </si>
  <si>
    <t>ROSAS, SEBASTIAN</t>
  </si>
  <si>
    <t>25 DE MAYO QUILMES</t>
  </si>
  <si>
    <t>sebastian.rosas@icbc.com.ar</t>
  </si>
  <si>
    <t>ROSSET, FEDERICO</t>
  </si>
  <si>
    <t>50 N° 912</t>
  </si>
  <si>
    <t>federicorosset@hotmail.com</t>
  </si>
  <si>
    <t>ROSSI, JAVIER</t>
  </si>
  <si>
    <t>KAYAK- SUP</t>
  </si>
  <si>
    <t>40 N° 568</t>
  </si>
  <si>
    <t>rossijavier1234@gmail.com</t>
  </si>
  <si>
    <t>ROSSO, ALEJANDRO</t>
  </si>
  <si>
    <t>503 2458 GONNET</t>
  </si>
  <si>
    <t>ROTH, MA. CRISTINA</t>
  </si>
  <si>
    <t>135 n° 1820</t>
  </si>
  <si>
    <t>rothmariacristina@gmail.com</t>
  </si>
  <si>
    <t>ROTHER, CRISTIAN</t>
  </si>
  <si>
    <t>FOIL, SUP</t>
  </si>
  <si>
    <t>10 N 7165</t>
  </si>
  <si>
    <t>crisrother@hotmail.com</t>
  </si>
  <si>
    <t>RUABEN, DIEGO ALBERTO</t>
  </si>
  <si>
    <t>2 Nº 512</t>
  </si>
  <si>
    <t>diegoalbertoruaben@gmail.com</t>
  </si>
  <si>
    <t>RUANI, MAURO</t>
  </si>
  <si>
    <t>14 N° 4382</t>
  </si>
  <si>
    <t>ruanimauro@gmail.com</t>
  </si>
  <si>
    <t>RUBIO, ALFREDO DANIEL</t>
  </si>
  <si>
    <t>41 Nª1787</t>
  </si>
  <si>
    <t>rubioalfredo@hotmail.com</t>
  </si>
  <si>
    <t>BAJA , DEJO DE PAGAR ,TIMONEL</t>
  </si>
  <si>
    <t>RUBIO, FACUNDO RODELFO</t>
  </si>
  <si>
    <t>NO TIENE</t>
  </si>
  <si>
    <t>RUESCH, NORBERTO</t>
  </si>
  <si>
    <t>444 N° 3025, VILLA ELISA</t>
  </si>
  <si>
    <t>norbertoruesch@hotmail.com</t>
  </si>
  <si>
    <t>RUFFA, PABLO</t>
  </si>
  <si>
    <t>15 N° 2023 ENTRE 73 Y 74</t>
  </si>
  <si>
    <t>ruffacrush8@gmail.com</t>
  </si>
  <si>
    <t>RUIZ DIAZ, OSVALDO</t>
  </si>
  <si>
    <t>10 ENTRE 520 Y 521 N° 1159</t>
  </si>
  <si>
    <t>ruizdiaz@yahoo.com.ar</t>
  </si>
  <si>
    <t>RUSSO MARISOL</t>
  </si>
  <si>
    <t>26 NRO. 2564 E/450 Y 4541 C.BELL</t>
  </si>
  <si>
    <t>SAAVEDRA, SANDRA</t>
  </si>
  <si>
    <t>LA RIOJA 770 CAP. FED</t>
  </si>
  <si>
    <t>011 1532167235</t>
  </si>
  <si>
    <t>sandra@masajevital.com.ar</t>
  </si>
  <si>
    <t>SAADE, LEILA</t>
  </si>
  <si>
    <t>10 Nº 10</t>
  </si>
  <si>
    <t>leilasaade95@gmail.com</t>
  </si>
  <si>
    <t>SACO, ROBERTO</t>
  </si>
  <si>
    <t>BUYTY NRO. 3230 Quilmes Oeste</t>
  </si>
  <si>
    <t>SCHALLIBAUM, GRACIELA EMILCE</t>
  </si>
  <si>
    <t>| SUP</t>
  </si>
  <si>
    <t>526 N°457</t>
  </si>
  <si>
    <t>g.schallinbaum@hotmail.com</t>
  </si>
  <si>
    <t>SAENZ, MARCELO</t>
  </si>
  <si>
    <t>48 # 1353 villa del plata , punta lara</t>
  </si>
  <si>
    <t>chelo-elmejor@hotmail.com</t>
  </si>
  <si>
    <t>SAENZ, SANTIAGO</t>
  </si>
  <si>
    <t>63 N° 1229 LP</t>
  </si>
  <si>
    <t>santiagogf_05_15@hotmail.com</t>
  </si>
  <si>
    <t>SAFAR, JORGE</t>
  </si>
  <si>
    <t>JEREZ N° 474</t>
  </si>
  <si>
    <t>fernandosafar@hotmail.com</t>
  </si>
  <si>
    <t xml:space="preserve">PAGA DEUDA Y SE LLEVA SU KAYAK.. TENIA BAJA POR DEUDA. </t>
  </si>
  <si>
    <t>SAGGESE, MARÍA VICTORIA</t>
  </si>
  <si>
    <t>6 Y 37 PELUQUERIA</t>
  </si>
  <si>
    <t>SALABERRY, GERARDO</t>
  </si>
  <si>
    <t>60 N° 467</t>
  </si>
  <si>
    <t>gerasala@hotmail.com</t>
  </si>
  <si>
    <t>SALABERRYM MA. INES</t>
  </si>
  <si>
    <t>136 BIS, N° 471</t>
  </si>
  <si>
    <t>kisalaberry@hotmail.com</t>
  </si>
  <si>
    <t>renuncia al dia.</t>
  </si>
  <si>
    <t>SALADIUZ, HÉCTOR</t>
  </si>
  <si>
    <t>30 nº 4840</t>
  </si>
  <si>
    <t>sho375@hotmail.com</t>
  </si>
  <si>
    <t>SALAS TRIANA, FACUNDO</t>
  </si>
  <si>
    <t>504 Nª 1761</t>
  </si>
  <si>
    <t>facundost74@gmail.com</t>
  </si>
  <si>
    <t>SALDAÑA, MARIANA</t>
  </si>
  <si>
    <t>13 N° 2383</t>
  </si>
  <si>
    <t>msaldis@hotmail.com</t>
  </si>
  <si>
    <t>SALEM, JULIETA INES</t>
  </si>
  <si>
    <t xml:space="preserve">139 N° 683 </t>
  </si>
  <si>
    <t>julietasalem@yahoo.com.ar</t>
  </si>
  <si>
    <t>SALGADO, GUSTAVO</t>
  </si>
  <si>
    <t>Almirante Brown 424 Pta Lara</t>
  </si>
  <si>
    <t>estudiogustavosalgado@gmail.com</t>
  </si>
  <si>
    <t>SALICARO, JUAN CARLOS</t>
  </si>
  <si>
    <t>17 Nª 903 2ªA</t>
  </si>
  <si>
    <t>juancarlossalicaro@gmail.com</t>
  </si>
  <si>
    <t>SALMOIRAGHI, DANIEL</t>
  </si>
  <si>
    <t>SANTOS DUMONT 2484</t>
  </si>
  <si>
    <t>dasalmoiraghi@gmail.com</t>
  </si>
  <si>
    <t>SALMOIRAGHI, GUILLERMO</t>
  </si>
  <si>
    <t xml:space="preserve">26 Nº 1389 </t>
  </si>
  <si>
    <t>guillermosalmoiraghi@gmail.com</t>
  </si>
  <si>
    <t>SALVARREDY, SEBASTIAN</t>
  </si>
  <si>
    <t>sebastiansalvarredy@gmail.com</t>
  </si>
  <si>
    <t>SALOMON, LEONARDO</t>
  </si>
  <si>
    <t>BOSSINGA, Nº 598</t>
  </si>
  <si>
    <t>leonsalomon@yahoo.com.ar</t>
  </si>
  <si>
    <t>SAMBARTOLOME, MARCELO</t>
  </si>
  <si>
    <t>Este socio esta 2 veces en el padron porque registra pagos con distintos numeros de socio</t>
  </si>
  <si>
    <t>SAMPAOLI, FERNANDO</t>
  </si>
  <si>
    <t xml:space="preserve">134 N° 1634, LP. </t>
  </si>
  <si>
    <t>jovaferchu@hotmail.com</t>
  </si>
  <si>
    <t>SANTA MARIA, LEONEL</t>
  </si>
  <si>
    <t>4 Nº 1745</t>
  </si>
  <si>
    <t>SANTILLI, LEANDRO GASTON</t>
  </si>
  <si>
    <t>WING FOIL</t>
  </si>
  <si>
    <t>11 N° 2885 VILLA DEL PLATA</t>
  </si>
  <si>
    <t>leansantilli@hotmail.com</t>
  </si>
  <si>
    <t>SAN JUAN, ANDRES GUSTAVO</t>
  </si>
  <si>
    <t>3 NRO. 346</t>
  </si>
  <si>
    <t>BAJA CON DEUDA, TIENE EQUIPO!!!</t>
  </si>
  <si>
    <t>SAN ANDRES, EDUARDO JULIO</t>
  </si>
  <si>
    <t>134 Nª 562</t>
  </si>
  <si>
    <t>edu.sanandres@hotmail.com</t>
  </si>
  <si>
    <t>SANCHEZ TURI, LUIS ALEJANDRO</t>
  </si>
  <si>
    <t>2 BIS N° 355</t>
  </si>
  <si>
    <t>alejandroovalado@hotmail.com</t>
  </si>
  <si>
    <t>SANCHEZ TURI,ROXANA</t>
  </si>
  <si>
    <t>505 BIS N° 2821</t>
  </si>
  <si>
    <t>roxanasanchezturi@gmail.com</t>
  </si>
  <si>
    <t>SANCHEZ VIAMONTE, VERONICA</t>
  </si>
  <si>
    <t>12O N° 1877</t>
  </si>
  <si>
    <t>verisanchez@gmail.com</t>
  </si>
  <si>
    <t>SANCHEZ, ANTONIO JOSE</t>
  </si>
  <si>
    <t>12 Nª 1578</t>
  </si>
  <si>
    <t>antoniosanchez3012@gmail.com</t>
  </si>
  <si>
    <t>SANCHEZ, JUAN PABLO</t>
  </si>
  <si>
    <t>SANCHEZ, SEBASTIAN</t>
  </si>
  <si>
    <t>59 502 Y 502 BIS N. 3263</t>
  </si>
  <si>
    <t>SANCHEZ, ARIEL</t>
  </si>
  <si>
    <t>8 N° 79</t>
  </si>
  <si>
    <t>arielfs@gmail.com</t>
  </si>
  <si>
    <t>SANDRIN, AGUSTINA</t>
  </si>
  <si>
    <t>528 NRO. 998 1/2 ESQ 5</t>
  </si>
  <si>
    <t>SAN CRISTOBAL, JAVIER</t>
  </si>
  <si>
    <t>javiersancristobal@hotmail.com</t>
  </si>
  <si>
    <t>SAN CRISTOBAL, MARIA CANDELARIA</t>
  </si>
  <si>
    <t>40 N° 1171 DTO 4</t>
  </si>
  <si>
    <t>mariacandelariasc@hotmail.com</t>
  </si>
  <si>
    <t>SANTANA, MIGUEL</t>
  </si>
  <si>
    <t>VILLAFAÑE NRO. 1620 7 A</t>
  </si>
  <si>
    <t>rmas_55@yahoo.com.ar</t>
  </si>
  <si>
    <t>SANTILLAN, SANTIAGO</t>
  </si>
  <si>
    <t>SUP-WIND</t>
  </si>
  <si>
    <t xml:space="preserve">405 Y 118 </t>
  </si>
  <si>
    <t>santiagolije@gmail.com</t>
  </si>
  <si>
    <t>SANTILLAN, IGNACIO</t>
  </si>
  <si>
    <t>476 Nª 59</t>
  </si>
  <si>
    <t>ignaciosantillaniturres@gmail.com</t>
  </si>
  <si>
    <t>SANTILLAN, SOLEDAD</t>
  </si>
  <si>
    <t>solsantillan05@hotmail.com</t>
  </si>
  <si>
    <t>SANZ, IGNACIO</t>
  </si>
  <si>
    <t>508 NRO. 2070 GONNET</t>
  </si>
  <si>
    <t>SARAVÍ, NICOLAS</t>
  </si>
  <si>
    <t xml:space="preserve">116 N° 249 </t>
  </si>
  <si>
    <t>nicosaravi@yahoo.com.ar</t>
  </si>
  <si>
    <t>SARCO, DIEGO</t>
  </si>
  <si>
    <t>56 NRO. 694</t>
  </si>
  <si>
    <t>sarco_diego@hotmail.com</t>
  </si>
  <si>
    <t>SARDO, MARIA ISABEL</t>
  </si>
  <si>
    <t>22 E/ 62 Y 63</t>
  </si>
  <si>
    <t>mariaisab@gmail.com</t>
  </si>
  <si>
    <t>SARRIES, JOAQUIN</t>
  </si>
  <si>
    <t>PELLEGRINI NRO. 1077 C.BELL</t>
  </si>
  <si>
    <t>sarries.abogados@gmail.com</t>
  </si>
  <si>
    <t>SARTORI, GALO</t>
  </si>
  <si>
    <t>BARCO</t>
  </si>
  <si>
    <t>SARTOTI, GALA</t>
  </si>
  <si>
    <t>51 N° 462</t>
  </si>
  <si>
    <t>larasartori@live.com</t>
  </si>
  <si>
    <t>SBRASCINI, ALEJANDRO</t>
  </si>
  <si>
    <t>DE LA PAZ, Nº 274, ENSENADA</t>
  </si>
  <si>
    <t>alesbrascini@hotmail.com</t>
  </si>
  <si>
    <t>SCHESINGER, M. PAZ</t>
  </si>
  <si>
    <t>SAN JOSE NRO. 994</t>
  </si>
  <si>
    <t>SCIACCHITANO, MA. GABRIELA</t>
  </si>
  <si>
    <t>11 N° 507</t>
  </si>
  <si>
    <t>gabrielasciacchi@hotmail.com</t>
  </si>
  <si>
    <t>SCHILLACI MAURO</t>
  </si>
  <si>
    <t>26 NRO 2564 E/ 450 Y 451 C.BELL</t>
  </si>
  <si>
    <t>SCHIEL, LILIANA</t>
  </si>
  <si>
    <t>13 N° 4342</t>
  </si>
  <si>
    <t>lilianaschiel@gmail.com</t>
  </si>
  <si>
    <t>SCHLAIN, SERGIO</t>
  </si>
  <si>
    <t>21 C NRO. 2152 C.BELL</t>
  </si>
  <si>
    <t>sergioschlain@hotmail.com</t>
  </si>
  <si>
    <t>SCIARETTO JOAQUIN</t>
  </si>
  <si>
    <t>8 E/ 404 Y 406 NRO. 2647</t>
  </si>
  <si>
    <t>SEIJO, RUBEN</t>
  </si>
  <si>
    <t>MARIANO MORENO 49 2 10, QUILMES</t>
  </si>
  <si>
    <t>rubenseijo71@gmail.com</t>
  </si>
  <si>
    <t>SEMPLICI, CESAR</t>
  </si>
  <si>
    <t>semplipepi@hotmail.com</t>
  </si>
  <si>
    <t>SEQUEIRA, PAULA</t>
  </si>
  <si>
    <t>SERRA, AGUSTIN</t>
  </si>
  <si>
    <t>ARGERICH NRO. 50</t>
  </si>
  <si>
    <t>SERRA, JAVIER</t>
  </si>
  <si>
    <t>476 N° 3038</t>
  </si>
  <si>
    <t>hernansantiago34@hotmail.com</t>
  </si>
  <si>
    <t>SERRANO, ALBERTO</t>
  </si>
  <si>
    <t>SERRADILLA, ALFREDO</t>
  </si>
  <si>
    <t>24 Nª 3744</t>
  </si>
  <si>
    <t>dserra@yahoo.com.ar</t>
  </si>
  <si>
    <t>STAGLIANO, LEONARDO</t>
  </si>
  <si>
    <t>513 Nª 4083</t>
  </si>
  <si>
    <t>lionnn.omm@gmail.com</t>
  </si>
  <si>
    <t>STAGLIANO, FEDERICO</t>
  </si>
  <si>
    <t>513 Nº 4083</t>
  </si>
  <si>
    <t>staglianofederico@gmail.com</t>
  </si>
  <si>
    <t>SIDOR, MA. ELENA</t>
  </si>
  <si>
    <t>68 n° 856 PUNTA LARA</t>
  </si>
  <si>
    <t>masidor@yahoo.com.ar</t>
  </si>
  <si>
    <t>SIERRA, LUCIA</t>
  </si>
  <si>
    <t>PERU Nº 832</t>
  </si>
  <si>
    <t>lusierra2611@gmail.com</t>
  </si>
  <si>
    <t>SILVA, JUAN  MANUEL</t>
  </si>
  <si>
    <t>27 Nº 1394</t>
  </si>
  <si>
    <t>juansilvaprensa@gmail.com</t>
  </si>
  <si>
    <t>SILVA, MA. FLORENCIA</t>
  </si>
  <si>
    <t>495  N° 1057</t>
  </si>
  <si>
    <t>florencias@gmail.com</t>
  </si>
  <si>
    <t>SILVERA, EDGARDO</t>
  </si>
  <si>
    <t>esilvera@silverayasociados.com.ar</t>
  </si>
  <si>
    <t>SIMIONI, GASTON DARIO</t>
  </si>
  <si>
    <t>4 N° 2281</t>
  </si>
  <si>
    <t>cerocool6@gmail.com</t>
  </si>
  <si>
    <t>SIMON, ADRIAN</t>
  </si>
  <si>
    <t>SLOBINSKY, DEMIAN</t>
  </si>
  <si>
    <t>54 N° 1020 1°B</t>
  </si>
  <si>
    <t>ciclico45@gmail.com</t>
  </si>
  <si>
    <t>SISTI, ANDRES</t>
  </si>
  <si>
    <t>SOJA, ESTEBAN</t>
  </si>
  <si>
    <t>MARQUES DE AVILES N° 368 EDA.</t>
  </si>
  <si>
    <t>dellearti@hotmail.com</t>
  </si>
  <si>
    <t>SOLÁ, GISELA</t>
  </si>
  <si>
    <t>10 BIS ESQ 506 N°46</t>
  </si>
  <si>
    <t>gi_sola@hotmail.com</t>
  </si>
  <si>
    <t>SOLÁ, ROBERTO</t>
  </si>
  <si>
    <t>63 N° 1724</t>
  </si>
  <si>
    <t>robertocsola@gmail.com</t>
  </si>
  <si>
    <t>SOLANO, GABRIEL AGUSTIN</t>
  </si>
  <si>
    <t>7 Nª 5370</t>
  </si>
  <si>
    <t>agusmaiden@hotmail.com</t>
  </si>
  <si>
    <t>SOMER, FERNANDA</t>
  </si>
  <si>
    <t>46 NRO. 503 6P DTO. 3</t>
  </si>
  <si>
    <t>SORENSEN, CRISTIAN</t>
  </si>
  <si>
    <t>34 NRO. 974 DTO. 2 LP</t>
  </si>
  <si>
    <t>SORENSEN, HANS</t>
  </si>
  <si>
    <t>hans69@hotmail.com.ar</t>
  </si>
  <si>
    <t>SORIA MARIANO</t>
  </si>
  <si>
    <t>26 NRO. 476</t>
  </si>
  <si>
    <t>484 6503</t>
  </si>
  <si>
    <t>SOSA, HECTOR RUBEN</t>
  </si>
  <si>
    <t>133 ESQ 59 NRO. 1297</t>
  </si>
  <si>
    <t>15 3613590</t>
  </si>
  <si>
    <t>SOSA, MA. JOSEFINA</t>
  </si>
  <si>
    <t>504 # 4075</t>
  </si>
  <si>
    <t>sosajosefina2002@yahoo.com.ar</t>
  </si>
  <si>
    <t>SOUTO, JOSE LUIS</t>
  </si>
  <si>
    <t>159 Nro 685</t>
  </si>
  <si>
    <t>josesouto@gmail.com</t>
  </si>
  <si>
    <t>SORINO, CARLOS MARTIN</t>
  </si>
  <si>
    <t>WIND- SUP</t>
  </si>
  <si>
    <t>SOTO, LEANDRO</t>
  </si>
  <si>
    <t>422 N° 967</t>
  </si>
  <si>
    <t>sotelolenadro@gmail.com</t>
  </si>
  <si>
    <t>SPACAPAN, JUAN BAUTISTA</t>
  </si>
  <si>
    <t>46 N° 779 1/2</t>
  </si>
  <si>
    <t>juanbspacapan@hotmail.com</t>
  </si>
  <si>
    <t>SPACAPAN, M.VICTORIA</t>
  </si>
  <si>
    <t>SPAHR, ELISA</t>
  </si>
  <si>
    <t>474 n° 3334 e/ 28 y 30</t>
  </si>
  <si>
    <t>spahr.elisa@gmail.com</t>
  </si>
  <si>
    <t>SPANTI, GUSTAVO</t>
  </si>
  <si>
    <t>SOREDE N° 5212 PISO 14 E</t>
  </si>
  <si>
    <t>gpanti@gmail.com</t>
  </si>
  <si>
    <t>SPINOZZI, AIXA</t>
  </si>
  <si>
    <t>DIAG 75 N° 170</t>
  </si>
  <si>
    <t>aixaspinozzi@gmail.com</t>
  </si>
  <si>
    <t>SPAÑOL, LEONARDO JAVIER</t>
  </si>
  <si>
    <t>118 N° 16 1/2</t>
  </si>
  <si>
    <t>leon.j.spanol@gmail.com</t>
  </si>
  <si>
    <t>deuda, baja</t>
  </si>
  <si>
    <t>SPHAR, JORGE</t>
  </si>
  <si>
    <t>474 entre 28 y 29 city bell</t>
  </si>
  <si>
    <t>jorgespahr154@gmail.com</t>
  </si>
  <si>
    <t>RENUNCIA AL DIA ( DIC 2013) se vuelve a asociar</t>
  </si>
  <si>
    <t>STEFANOFF EMILIO</t>
  </si>
  <si>
    <t xml:space="preserve">55 N° 338 </t>
  </si>
  <si>
    <t>emiliostefanoff@hotmail.com</t>
  </si>
  <si>
    <t>STEFANOFF, MA. EUGENIA</t>
  </si>
  <si>
    <t>53 Nª 416</t>
  </si>
  <si>
    <t>stefanofftrabajosocial@hotmail.com</t>
  </si>
  <si>
    <t>STEFANOFF, ESTEBAN</t>
  </si>
  <si>
    <t>55 Nro. 338 Dto. 1 La Plata</t>
  </si>
  <si>
    <t>422 2064</t>
  </si>
  <si>
    <t>arqstefanoff@hotmail.com</t>
  </si>
  <si>
    <t>STEI, JORGE</t>
  </si>
  <si>
    <t>45 NRO. 1470</t>
  </si>
  <si>
    <t>jorge.stei@edelap.com.ar</t>
  </si>
  <si>
    <t>STEI, NEHUEN</t>
  </si>
  <si>
    <t>STETTLER HUGO</t>
  </si>
  <si>
    <t>windsurf kayak</t>
  </si>
  <si>
    <t>156 Nro. 182 Berisso</t>
  </si>
  <si>
    <t>hstettlerjsa@hotmail.com</t>
  </si>
  <si>
    <t>SUAREZ, ANGELA DEL CARMEN</t>
  </si>
  <si>
    <t>9 n 1033</t>
  </si>
  <si>
    <t>angelasuarez@intramed.net</t>
  </si>
  <si>
    <t>SUAREZ, MARISOL</t>
  </si>
  <si>
    <t>140 N° 760</t>
  </si>
  <si>
    <t>suarez.a.marisol@hotmail.com</t>
  </si>
  <si>
    <t>SUAREZ, SANTIAGO</t>
  </si>
  <si>
    <t>53 NRO. 1194 LP</t>
  </si>
  <si>
    <t>SUAREZ, GERMAN</t>
  </si>
  <si>
    <t>8 Nª 728</t>
  </si>
  <si>
    <t>pyroneutron@gmail.com</t>
  </si>
  <si>
    <t>SE ASOCIO SOLO POR CURSO TIMONEL</t>
  </si>
  <si>
    <t>SUCIC, J. PABLO</t>
  </si>
  <si>
    <t>Dom 63 n 2.289 Betazategui</t>
  </si>
  <si>
    <t>jpsucic@gmail.com</t>
  </si>
  <si>
    <t>SUAREZ, NORMA</t>
  </si>
  <si>
    <t>norbea1976@gmail.com</t>
  </si>
  <si>
    <t>SUNSERI, FABIOLA SUNSERI</t>
  </si>
  <si>
    <t>446 N° 1473</t>
  </si>
  <si>
    <t>andresunseri@hotmail.com</t>
  </si>
  <si>
    <t>SUWAK, FERNANDO</t>
  </si>
  <si>
    <t>6 No. 1167 e/ 520 y 521</t>
  </si>
  <si>
    <t>fsuwak@live.com.ar</t>
  </si>
  <si>
    <t>SZAKOLA, MARIANO</t>
  </si>
  <si>
    <t>ARISTOBULO DEL VALLE, N° 231</t>
  </si>
  <si>
    <t>marianoszakola@gmail.com</t>
  </si>
  <si>
    <t>SZYCHOWSKI, MIGUEL</t>
  </si>
  <si>
    <t>miguelszychowski@yahoo.com</t>
  </si>
  <si>
    <t>SZALAGOWSKI, ISIDORO</t>
  </si>
  <si>
    <t>504 Nª 2138</t>
  </si>
  <si>
    <t>marcelo.isidoro.sze@gmail.com</t>
  </si>
  <si>
    <t>TABOADA, SERGIO</t>
  </si>
  <si>
    <t>8 N° 1770</t>
  </si>
  <si>
    <t>smtnatacion@hotmail.com</t>
  </si>
  <si>
    <t>TANEVICH GABRIEL</t>
  </si>
  <si>
    <t>116 Nro. 1914</t>
  </si>
  <si>
    <t>TALANCZUK, JULIA</t>
  </si>
  <si>
    <t>447 N° 2973</t>
  </si>
  <si>
    <t>juliatalanczuk@gmail.com</t>
  </si>
  <si>
    <t>RECLADE, FRANCISCA</t>
  </si>
  <si>
    <t>RECLADE , SOL</t>
  </si>
  <si>
    <t>TAPIA, SERGIO</t>
  </si>
  <si>
    <t>38 NRO. 1559</t>
  </si>
  <si>
    <t>TARANTINO SEBASTIAN</t>
  </si>
  <si>
    <t>GRAL GUIDO 1219 LANUS ESTE</t>
  </si>
  <si>
    <t>sebastiantarantino@yahoo.com.ar</t>
  </si>
  <si>
    <t>TARTAGLIA, CARLOS</t>
  </si>
  <si>
    <t xml:space="preserve">4 N° 1997 </t>
  </si>
  <si>
    <t>ferreind@hotmail.com</t>
  </si>
  <si>
    <t>TASSINARI, MAXIMO</t>
  </si>
  <si>
    <t>16 N° 2123</t>
  </si>
  <si>
    <t xml:space="preserve">mltassinari@hotmail.com </t>
  </si>
  <si>
    <t>TEDESCO SEBASTIAN</t>
  </si>
  <si>
    <t>ALEM 119 12 E  QUILMES</t>
  </si>
  <si>
    <t>sebatedesco@hotmail.com</t>
  </si>
  <si>
    <t>En enero 2017 se dio de baja por error, se reincorpora en abril 2017</t>
  </si>
  <si>
    <t>TELECHEA, PILAR</t>
  </si>
  <si>
    <t>55 N 624</t>
  </si>
  <si>
    <t>pilitelechea@gmail.com</t>
  </si>
  <si>
    <t>TELLECHEA, ANALIA</t>
  </si>
  <si>
    <t>63 NRO. 1480</t>
  </si>
  <si>
    <t>TELLECHEA, SERGIO</t>
  </si>
  <si>
    <t>7 ° 3224</t>
  </si>
  <si>
    <t>s.tellechea77@gmail.com</t>
  </si>
  <si>
    <t>TERREIN, JORGE OMAR</t>
  </si>
  <si>
    <t>15 N° 532</t>
  </si>
  <si>
    <t>jorgeomar-145@hotmail.com</t>
  </si>
  <si>
    <t>renuncia la dia</t>
  </si>
  <si>
    <t>TETTAMANTI, MILAGROS</t>
  </si>
  <si>
    <t>24 N° 2301</t>
  </si>
  <si>
    <t>milagrostettamnati@hotmail.com</t>
  </si>
  <si>
    <t>TESTA, DANIELA</t>
  </si>
  <si>
    <t>427 N° 3931</t>
  </si>
  <si>
    <t>danitestu@yahoo.com</t>
  </si>
  <si>
    <t>THILL, JUAN CARLOS</t>
  </si>
  <si>
    <t>DIAG. 79 E/ 1 Y 2 ASEGURAD.</t>
  </si>
  <si>
    <t>THISTED, IVAN</t>
  </si>
  <si>
    <t>116 N° 423</t>
  </si>
  <si>
    <t>TIMKO, GISELLA</t>
  </si>
  <si>
    <t>471 Nº 446</t>
  </si>
  <si>
    <t>gi131@hotmail.com</t>
  </si>
  <si>
    <t>TINTO, FLAVIO</t>
  </si>
  <si>
    <t>487 n°1710</t>
  </si>
  <si>
    <t>tinto29@gmail.com</t>
  </si>
  <si>
    <t>TIZZANO, LEONARDO</t>
  </si>
  <si>
    <t>81 N° 640</t>
  </si>
  <si>
    <t>leito81@hotmail.com</t>
  </si>
  <si>
    <t>TOMASCO, IGNACIO GASTON</t>
  </si>
  <si>
    <t>37 N° 1584</t>
  </si>
  <si>
    <t>gtomasco@hotmail.com</t>
  </si>
  <si>
    <t>TOMBAZZI, MATIAS</t>
  </si>
  <si>
    <t>36 N° 804</t>
  </si>
  <si>
    <t>matias.tombazzi@hotmail.com</t>
  </si>
  <si>
    <t>TORANZA, DANIEL</t>
  </si>
  <si>
    <t>43 n°1886</t>
  </si>
  <si>
    <t>dtoranza@hotmail.com</t>
  </si>
  <si>
    <t>TORRE, GUILLERMO FEDERICO</t>
  </si>
  <si>
    <t>12 NRO. 659</t>
  </si>
  <si>
    <t>Buscar fecha exacta de baja</t>
  </si>
  <si>
    <t>TORRES MATIAS</t>
  </si>
  <si>
    <t>15 Nro. 2264 GONNET</t>
  </si>
  <si>
    <t>torresmat@gmail.com</t>
  </si>
  <si>
    <t>TORRES, VICTOR</t>
  </si>
  <si>
    <t>17 Nº 3881</t>
  </si>
  <si>
    <t>victorres68@yahoo.com.ar</t>
  </si>
  <si>
    <t>TORRES, JULIA</t>
  </si>
  <si>
    <t>519 Nª 1258</t>
  </si>
  <si>
    <t>jgtorrecanal@gmail.com</t>
  </si>
  <si>
    <t>TORRESI, MARIA VICTORIA</t>
  </si>
  <si>
    <t>54 Nº 1084</t>
  </si>
  <si>
    <t>01144470842</t>
  </si>
  <si>
    <t>mariavictoriat@gmail.com</t>
  </si>
  <si>
    <t>TOSCANI, AMILCAR</t>
  </si>
  <si>
    <t>72 NRO. 839 LP</t>
  </si>
  <si>
    <t>TOURNIER, LEONARDO</t>
  </si>
  <si>
    <t>39 NRO. 709</t>
  </si>
  <si>
    <t>lrtournier@gmail.com</t>
  </si>
  <si>
    <t>SE VUELVE A ASOCIAR, baja definitiva 2024 por deudor</t>
  </si>
  <si>
    <t>TRAPANI, PABLO</t>
  </si>
  <si>
    <t xml:space="preserve">55 N° 927 </t>
  </si>
  <si>
    <t>pablotrapani_09@hotmail.com</t>
  </si>
  <si>
    <t>TRAPANI, VICTOR</t>
  </si>
  <si>
    <t>55 N° 927</t>
  </si>
  <si>
    <t>TRAVERSO, MERCEDES</t>
  </si>
  <si>
    <t xml:space="preserve">11 Nº 2689 </t>
  </si>
  <si>
    <t>mercedestraverso.7@gmail.com</t>
  </si>
  <si>
    <t>TREJO, MATIAS</t>
  </si>
  <si>
    <t>61 N° 421</t>
  </si>
  <si>
    <t>matitrejo@hotmail.com</t>
  </si>
  <si>
    <t>TRONCARO, MARIANA ALEJANDRA</t>
  </si>
  <si>
    <t xml:space="preserve">34 N° 1871 </t>
  </si>
  <si>
    <t>mtroncaro@yahoo.com.ar</t>
  </si>
  <si>
    <t>RENUCNCIA AL DIA</t>
  </si>
  <si>
    <t>TORRANO, PATRICIA</t>
  </si>
  <si>
    <t>47 N° 202 VILLA ELISA</t>
  </si>
  <si>
    <t>patricia_torrano@yahoo.com.ar</t>
  </si>
  <si>
    <t>TORNO, LUCAS</t>
  </si>
  <si>
    <t>140 N° 1150 BERAZATEGUI</t>
  </si>
  <si>
    <t>lucastorno@gmail.com</t>
  </si>
  <si>
    <t>TROXLER, GUILLERMO</t>
  </si>
  <si>
    <t>21 D Nª206 ESQ 424</t>
  </si>
  <si>
    <t>guillermo.troxler@gmail.com</t>
  </si>
  <si>
    <t>TURIANSKY, VIRGINIA</t>
  </si>
  <si>
    <t>39 Nº 1236</t>
  </si>
  <si>
    <t>turianskyvir@hotmail.com</t>
  </si>
  <si>
    <t>URIEL, CRISTIAN</t>
  </si>
  <si>
    <t>ZAPIOLA 481. BERNAL</t>
  </si>
  <si>
    <t>curiel2670@gmail.com</t>
  </si>
  <si>
    <t>UNGARO, M.PILAR</t>
  </si>
  <si>
    <t>lunautramarina@gmail.com</t>
  </si>
  <si>
    <t>VALCARLOS, PABLO</t>
  </si>
  <si>
    <t>477 NRO. 2454 C.BELL</t>
  </si>
  <si>
    <t>VALENZUELA, GERMAN</t>
  </si>
  <si>
    <t>39 N° 139</t>
  </si>
  <si>
    <t>germanvfarmacia@gmail.com</t>
  </si>
  <si>
    <t>VALE, FEDERICO</t>
  </si>
  <si>
    <t>40 N° 472</t>
  </si>
  <si>
    <t>drfedericovale@gmail.com</t>
  </si>
  <si>
    <t>VALIZA, DIEGO</t>
  </si>
  <si>
    <t>507 NRO. 1622 GONNET</t>
  </si>
  <si>
    <t>VALLEJOS LILIANA</t>
  </si>
  <si>
    <t>CALLE 2 NRO. 2442</t>
  </si>
  <si>
    <t>VALLEJOS, LILIANA</t>
  </si>
  <si>
    <t>VALLEJOS, MARCELA ALEJANDRA</t>
  </si>
  <si>
    <t>VALVERDE, MARIO</t>
  </si>
  <si>
    <t>11 BIS ESQ 479 CASA 35</t>
  </si>
  <si>
    <t>VANNI, CLAUDIO</t>
  </si>
  <si>
    <t>QUILMES NRO. 681 PB 1 C.FED</t>
  </si>
  <si>
    <t>claudiohair@hotmail.com</t>
  </si>
  <si>
    <t>VARA ALEJANDRO</t>
  </si>
  <si>
    <t>VARA MAXIMILIANO</t>
  </si>
  <si>
    <t>VARA, LUCAS</t>
  </si>
  <si>
    <t>20 N° 844</t>
  </si>
  <si>
    <t>VARGAS, WALTER</t>
  </si>
  <si>
    <t>22 Nª 1615</t>
  </si>
  <si>
    <t>walvargas@gmail.com</t>
  </si>
  <si>
    <t>DEJO DE PAGAR, TIMONEL</t>
  </si>
  <si>
    <t>VARRONE CECILIA</t>
  </si>
  <si>
    <t>21 entre 655 y 656</t>
  </si>
  <si>
    <t>cecivarrone@hotmail.com</t>
  </si>
  <si>
    <t>VARRONE HUGO</t>
  </si>
  <si>
    <t>VARRONE LEONARDO</t>
  </si>
  <si>
    <t>leonardovarrone@hotmail.com</t>
  </si>
  <si>
    <t>VARRONE VALERIA</t>
  </si>
  <si>
    <t>valevarrone@hotmail.com</t>
  </si>
  <si>
    <t>VASNOISKY, DANIEL</t>
  </si>
  <si>
    <t>5 Nª 1205</t>
  </si>
  <si>
    <t>martillerodv@yahoo.com.ar</t>
  </si>
  <si>
    <t>VASQUEZ, SANDRA</t>
  </si>
  <si>
    <t>VAZQUEZ,MERCEDES</t>
  </si>
  <si>
    <t>VEGA, WALTER HORACIO</t>
  </si>
  <si>
    <t>68 N° 856 PUNTA LARA</t>
  </si>
  <si>
    <t>solidwaste.consultant@gmail.com</t>
  </si>
  <si>
    <t>VELAZCO, MA. PAULA</t>
  </si>
  <si>
    <t xml:space="preserve"> 7 n° 5180  punta lara</t>
  </si>
  <si>
    <t>mpaulavelazco@gmail.com</t>
  </si>
  <si>
    <t>VELAZQUEZ, MA. ROCIO</t>
  </si>
  <si>
    <t>3 ESQ 532 LP</t>
  </si>
  <si>
    <t>VELAZQUEZ,MARIANO</t>
  </si>
  <si>
    <t>40 N 678</t>
  </si>
  <si>
    <t>marianovelazquez2000@yahoo.com.ar</t>
  </si>
  <si>
    <t>VELISEK, SERGIO OSVALDO</t>
  </si>
  <si>
    <t>118 E/ 32 Y 33</t>
  </si>
  <si>
    <t>VENENATI, ILEANA</t>
  </si>
  <si>
    <t>13 C n° 1645 city bell</t>
  </si>
  <si>
    <t>ileanavenenati@gmail.com</t>
  </si>
  <si>
    <t>VENTIMIGLIA, FERNANDO</t>
  </si>
  <si>
    <t>531 Nº 1268 TOLOSA</t>
  </si>
  <si>
    <t>fdventimiglia@yahoo.com</t>
  </si>
  <si>
    <t>VERA RUSCITI, NORALI GISELA</t>
  </si>
  <si>
    <t>152 Nª 1041</t>
  </si>
  <si>
    <t>norali79@hotmail.com</t>
  </si>
  <si>
    <t>al dia. renuncia por razones de salud</t>
  </si>
  <si>
    <t>VERDIER, JORGE</t>
  </si>
  <si>
    <t>71 Nª 1265</t>
  </si>
  <si>
    <t>zingeiriju@gmail.com</t>
  </si>
  <si>
    <t>VERDINI, FACUNDO</t>
  </si>
  <si>
    <t>ALCORTA 80 TEMPERLEY</t>
  </si>
  <si>
    <t>facuverdini@hotmail.com</t>
  </si>
  <si>
    <t>VERNA, LUIS</t>
  </si>
  <si>
    <t>15 N° 2882 VILLA DEL PLATA</t>
  </si>
  <si>
    <t>luis.verna@ypf.com</t>
  </si>
  <si>
    <t>VERNEGO, MARIANA</t>
  </si>
  <si>
    <t>481 N°1701 CITY BELL</t>
  </si>
  <si>
    <t>maruvernego@gmail,com</t>
  </si>
  <si>
    <t>VERON, OMAR</t>
  </si>
  <si>
    <t>VERZA, RODRIGO</t>
  </si>
  <si>
    <t>2 N° 1526 ENTRE 63 Y 64</t>
  </si>
  <si>
    <t>baja por deuda</t>
  </si>
  <si>
    <t>VETERI, HUGO</t>
  </si>
  <si>
    <t>CORRALES NRO. 1651 C.FED.</t>
  </si>
  <si>
    <t>VIDAL, ARIEL</t>
  </si>
  <si>
    <t>22 N° 1440</t>
  </si>
  <si>
    <t>arielvidal22@hotmail.com</t>
  </si>
  <si>
    <t>VIDAL MORENO, VICTORIA</t>
  </si>
  <si>
    <t>1 N° 339</t>
  </si>
  <si>
    <t>victoriavidoreno0@gmail.com</t>
  </si>
  <si>
    <t>VIDELA ARIEL</t>
  </si>
  <si>
    <t>RUTA 2 KM 53300 BRANDSEN</t>
  </si>
  <si>
    <t>jugador_nr@hotmail.com</t>
  </si>
  <si>
    <t>VIDELA, SILVIA GENOUD</t>
  </si>
  <si>
    <t>CEFERINO RAMIREZ 2410, JOSE MARMOL</t>
  </si>
  <si>
    <t>silviavg@gmail.com</t>
  </si>
  <si>
    <t>VILLACORTA, GERARDO</t>
  </si>
  <si>
    <t xml:space="preserve">443 BIS N° 3518 CITY BELL </t>
  </si>
  <si>
    <t>221 1555901895</t>
  </si>
  <si>
    <t>gerardovillacorta@gmail.com</t>
  </si>
  <si>
    <t>VILLALBA, JUAN CRUZ</t>
  </si>
  <si>
    <t>30 Nº 465</t>
  </si>
  <si>
    <t>juancruzvillalba@hotmail.com</t>
  </si>
  <si>
    <t>VILLALBA, OSCAR ENRIQUE</t>
  </si>
  <si>
    <t>529 E/ 15 Y 16 BIS</t>
  </si>
  <si>
    <t>VILLAMAYOR, ALEJANDRO</t>
  </si>
  <si>
    <t>65 ° 835</t>
  </si>
  <si>
    <t>a.villamayor@hotmail.com</t>
  </si>
  <si>
    <t>VILLAMAYOR, LAURA</t>
  </si>
  <si>
    <t>65 N° 835 12° L.P</t>
  </si>
  <si>
    <t>451-1248</t>
  </si>
  <si>
    <t>laucrlp@hotmail.com</t>
  </si>
  <si>
    <t>Socia desde marzo 2016 hasta diciembre 2016 baja y posterior reincorporacion</t>
  </si>
  <si>
    <t>VILLAMAYOR, MARCELO</t>
  </si>
  <si>
    <t>villama59@hotmail.com</t>
  </si>
  <si>
    <t>VILLANUEVA, FELIX</t>
  </si>
  <si>
    <t>38 E/ 2 Y 3 MUEBLES COCINA</t>
  </si>
  <si>
    <t>renuncia por viaje al exterior</t>
  </si>
  <si>
    <t>VILLANUEVA, MARCELO</t>
  </si>
  <si>
    <t>450 N 1988 CITY BELL</t>
  </si>
  <si>
    <t>profe.marcelovillanueva@hotmail.com</t>
  </si>
  <si>
    <t>VILLAREAL, RAFAEL</t>
  </si>
  <si>
    <t>116 N° 1429</t>
  </si>
  <si>
    <t>rafaevillarreal@gmail.com</t>
  </si>
  <si>
    <t>VILLARINO, FELIPE</t>
  </si>
  <si>
    <t>443 NRO. 2980 C.BELL</t>
  </si>
  <si>
    <t>VILLARO, XIMENA</t>
  </si>
  <si>
    <t>16 N° 1412</t>
  </si>
  <si>
    <t>ximenavillaro73@gmail.com</t>
  </si>
  <si>
    <t>VILLARREAL, EZEQUIEL</t>
  </si>
  <si>
    <t>31 N° 1486</t>
  </si>
  <si>
    <t>ezequielvillarreal@live.com.ar</t>
  </si>
  <si>
    <t>VINOCUR, SEBASTIAN</t>
  </si>
  <si>
    <t>VIUDEZ MARIELA</t>
  </si>
  <si>
    <t>15 Nro. 1585</t>
  </si>
  <si>
    <t>VUCASSOVICH, GERMAN</t>
  </si>
  <si>
    <t>CAMINO BELGRANO Y C 63, FINCAS DE IRAOLA, GUTIERREZ</t>
  </si>
  <si>
    <t>germanvuca@hotmail.com</t>
  </si>
  <si>
    <t>VUCASSOVICH, SERGIO</t>
  </si>
  <si>
    <t>sergvuca@yahoo.com.ar</t>
  </si>
  <si>
    <t>WALTER MURIEL</t>
  </si>
  <si>
    <t>49 N° 1030</t>
  </si>
  <si>
    <t>murielwalter@gmail.com</t>
  </si>
  <si>
    <t>WENZEL, MARIA SOL</t>
  </si>
  <si>
    <t xml:space="preserve"> 45 N° 1027</t>
  </si>
  <si>
    <t>solwenzel02@gmail.com</t>
  </si>
  <si>
    <t>queda con deuda, curso timonel</t>
  </si>
  <si>
    <t>WILT, HORACIO</t>
  </si>
  <si>
    <t>DIAG 79 N° 209</t>
  </si>
  <si>
    <t>hw_lp@hotmail.com</t>
  </si>
  <si>
    <t>WOLCAN, JEREMIAS</t>
  </si>
  <si>
    <t>467 Nº 3142</t>
  </si>
  <si>
    <t>jeremiaswolcan@hotmail.com</t>
  </si>
  <si>
    <t>YAGAS MARISEL</t>
  </si>
  <si>
    <t>7 N° 1885 4 ° A</t>
  </si>
  <si>
    <t>YAMAWAKI, JORGE</t>
  </si>
  <si>
    <t>518 nro. 7517 LP</t>
  </si>
  <si>
    <t>YANIVELLO SEBASTIAN</t>
  </si>
  <si>
    <t>44 NRO. 1315 E/ 19B9S Y 23 V.PLATA</t>
  </si>
  <si>
    <t>ZABALETA, DARIO</t>
  </si>
  <si>
    <t>56 n° 382</t>
  </si>
  <si>
    <t>dariozabaleta@hotmail.com</t>
  </si>
  <si>
    <t>ZABALZA, JUAN IGNACIO</t>
  </si>
  <si>
    <t>AV ARANA 1430 VILLA ELISA</t>
  </si>
  <si>
    <t>lalozabalza@hotmail.com</t>
  </si>
  <si>
    <t>ZALAZAR, ANDRES JAVIER</t>
  </si>
  <si>
    <t>503 NRO. 2972 E/ 24 Y 25</t>
  </si>
  <si>
    <t>ZALAZAR, RUBEN</t>
  </si>
  <si>
    <t>S.DERQUI N 365 F.VARELA</t>
  </si>
  <si>
    <t>ZANETTI DANIEL</t>
  </si>
  <si>
    <t>22 NRO. 28</t>
  </si>
  <si>
    <t xml:space="preserve">ZAPATA, MARINA </t>
  </si>
  <si>
    <t>26 BIS S/N HERNANDEZ</t>
  </si>
  <si>
    <t>mariizapata@live.com.ar</t>
  </si>
  <si>
    <t>ZARZA, MYRIAM</t>
  </si>
  <si>
    <t xml:space="preserve">58 Nº 1338 </t>
  </si>
  <si>
    <t>myriamzarza@hotmail.com</t>
  </si>
  <si>
    <t>ZIPENKO, PABLO</t>
  </si>
  <si>
    <t>mlibardoni@hotmail.com (Banco)</t>
  </si>
  <si>
    <t>ZOVICH, ROMINA</t>
  </si>
  <si>
    <t>149 N° 1599</t>
  </si>
  <si>
    <t>rozivich@hotmail</t>
  </si>
  <si>
    <t>ZOLEZZI, DANIEL</t>
  </si>
  <si>
    <t>40 ESQ 19</t>
  </si>
  <si>
    <t>danielzolezzi@hotmail.com</t>
  </si>
  <si>
    <t>ZURITA MARIANI, MARIANA</t>
  </si>
  <si>
    <t>38 N° 3059</t>
  </si>
  <si>
    <t>zuritamariana@gmail.com</t>
  </si>
  <si>
    <t>ZURITA SEBASTIAN</t>
  </si>
  <si>
    <t xml:space="preserve">Kite </t>
  </si>
  <si>
    <t>AV. DEL LIBERTADOR 2785 9 d OLIVOS</t>
  </si>
  <si>
    <t>sebazutita@hotmail.com</t>
  </si>
  <si>
    <t>ZUVI DAMIAN ALBERTO</t>
  </si>
  <si>
    <t>TRIUNVIRATO NRO. 161 JOSE C. PAZ</t>
  </si>
  <si>
    <t>damianzuvi@gmail.com</t>
  </si>
  <si>
    <t>Columnas registradas por autoridad de la Comisión desginada</t>
  </si>
  <si>
    <t>Mes</t>
  </si>
  <si>
    <t>Tipo de Egreso</t>
  </si>
  <si>
    <t>Monto</t>
  </si>
  <si>
    <t>Fecha</t>
  </si>
  <si>
    <t xml:space="preserve">Descripción </t>
  </si>
  <si>
    <t>Verificación</t>
  </si>
  <si>
    <t>Entrega efectivo</t>
  </si>
  <si>
    <t>Gastos</t>
  </si>
  <si>
    <t>Citarella</t>
  </si>
  <si>
    <t>Raul Talonarios</t>
  </si>
  <si>
    <t>Gustavo Gastos web</t>
  </si>
  <si>
    <t>Ferreteria</t>
  </si>
  <si>
    <t>Porta carnet</t>
  </si>
  <si>
    <t>Libreria</t>
  </si>
  <si>
    <t>Carballo</t>
  </si>
  <si>
    <t>Layana Electricidad</t>
  </si>
  <si>
    <t>Gastos wix Gustavo pendiente</t>
  </si>
  <si>
    <t>Pago anual de NIC Dominio de internet (Gustavo)</t>
  </si>
  <si>
    <t>Pago a Raul reemplazo de felipe</t>
  </si>
  <si>
    <t>Pago franco guardavidas</t>
  </si>
  <si>
    <t>Arreglo maquina Leo</t>
  </si>
  <si>
    <t>perdida sobre socios 1773 y 1774</t>
  </si>
  <si>
    <t>talonarios entradas, imprenta.</t>
  </si>
  <si>
    <t>ferreteria</t>
  </si>
  <si>
    <t>citarella</t>
  </si>
  <si>
    <t>GUARDAVIDAS</t>
  </si>
  <si>
    <t>Raul</t>
  </si>
  <si>
    <t>Raul, imprenta</t>
  </si>
  <si>
    <t>tonner</t>
  </si>
  <si>
    <t>vino</t>
  </si>
  <si>
    <t>Aguinaldo Cecilia</t>
  </si>
  <si>
    <t xml:space="preserve">aguinaldo </t>
  </si>
  <si>
    <t>despositos bco.</t>
  </si>
  <si>
    <t>pago Raul y Felipe</t>
  </si>
  <si>
    <t>raul</t>
  </si>
  <si>
    <t>Layana</t>
  </si>
  <si>
    <t xml:space="preserve">Raul </t>
  </si>
  <si>
    <t>nafta</t>
  </si>
  <si>
    <t>plomero</t>
  </si>
  <si>
    <t>Plomero</t>
  </si>
  <si>
    <t>FELIPE</t>
  </si>
  <si>
    <t>libreria</t>
  </si>
  <si>
    <t>Leo seguro</t>
  </si>
  <si>
    <t>entradas, talonarios raul</t>
  </si>
  <si>
    <t>baños, Raul</t>
  </si>
  <si>
    <t>Gastos wix acumulados 6 meses 15 U$S p/mes 90 U$S = 5220 - se entregan 2800$ saldo 2420 $ (Dolar a 58 $)</t>
  </si>
  <si>
    <t>talonarios entradas inv.</t>
  </si>
  <si>
    <t>polo..cel e impresiones</t>
  </si>
  <si>
    <t>gastos de alambrados canil perros</t>
  </si>
  <si>
    <t>raul.baños. 5-10</t>
  </si>
  <si>
    <t>raul baños</t>
  </si>
  <si>
    <t>raul baños  18-10</t>
  </si>
  <si>
    <t>nafta 26-10</t>
  </si>
  <si>
    <t>raul 26/10</t>
  </si>
  <si>
    <t>raul  2-11</t>
  </si>
  <si>
    <t>layana, electricidad</t>
  </si>
  <si>
    <t>raul  baños 9-11</t>
  </si>
  <si>
    <t>raul baños 16-11</t>
  </si>
  <si>
    <t>botiquin farmacia</t>
  </si>
  <si>
    <t>raul baños 23-11</t>
  </si>
  <si>
    <t xml:space="preserve">Gastos wix mes 10 y 11 30 dolares a 63 = 1890 mas saldo de 2420 mes 9 son 4310 $, se pagan a Gustavo 3200 queda de saldo 1110 pesos </t>
  </si>
  <si>
    <t>raul baños- 30-11</t>
  </si>
  <si>
    <t>imprenta fichas 2020</t>
  </si>
  <si>
    <t>RAUL</t>
  </si>
  <si>
    <t xml:space="preserve">nafta </t>
  </si>
  <si>
    <t xml:space="preserve">mitad del medio aguinaldo correspondiente  a diciembre 2019 </t>
  </si>
  <si>
    <t>raul 4-1</t>
  </si>
  <si>
    <t>raul 11/1</t>
  </si>
  <si>
    <t>layana elect.</t>
  </si>
  <si>
    <t>Gastos wix mes 12 y 01 2020 30 dolares +iva a 81,94 + saldo de 1110  =  4084, falta imputar el iva año 2019</t>
  </si>
  <si>
    <t>talonarios</t>
  </si>
  <si>
    <t>a polo. 23/2</t>
  </si>
  <si>
    <t>robo en la secretaria</t>
  </si>
  <si>
    <t>imprenta raul. talobarios</t>
  </si>
  <si>
    <t>Gastos wix mes 02 y 03 2020 30 dolares + iva a 86 + Pago a afip por dominio gasav.com.ar 270  =  3391,3200 se pagan queda saldo a favor de gus por 191</t>
  </si>
  <si>
    <t>Reintegro Cecilia</t>
  </si>
  <si>
    <t>Gastos wix mes 04 y 05 2020 30 dolares + iva a 91,98 + saldo a favor por 191=3529 . Se pagan 3200 en concepto de cuota queda saldo a favor de Gus =329</t>
  </si>
  <si>
    <t>Gastos wix mes 06,07 y 08 2020 47,85 dolares a 100 el dolar turista son 4785  mas saldo a favor 329=5114 . Se pagan 4800 en concepto de cuota queda saldo a favor de Gus =314</t>
  </si>
  <si>
    <t>imprenta</t>
  </si>
  <si>
    <t>parte del medio aguinaldo</t>
  </si>
  <si>
    <t xml:space="preserve">NAFTA SERGIO </t>
  </si>
  <si>
    <t>entradas invitados raul imprenta</t>
  </si>
  <si>
    <t>seguro Leo</t>
  </si>
  <si>
    <t>Layana mat. electricos</t>
  </si>
  <si>
    <t xml:space="preserve">mouse secretaria </t>
  </si>
  <si>
    <t>FICHAS 2021</t>
  </si>
  <si>
    <t>Gastos wix mes 09,10 y 11 2020 47,85 dolares a 144 dolar solidario son 6890 mas saldo a favor 314=7204 Se pagan 7192 en concepto de cuota queda saldo a favor de Gus =12</t>
  </si>
  <si>
    <t>IMPRENTA</t>
  </si>
  <si>
    <t>Gastos wix mes 12 2020 y 01,02 y 03 del 2021 63,8 dolares a 160 dolar solidario son 10206 Se pagan 4800 en concepto de cuota queda saldo a favor de Gus =5406</t>
  </si>
  <si>
    <t>Layana, disyuntor</t>
  </si>
  <si>
    <t>Layana lamparas</t>
  </si>
  <si>
    <t>talonarios entradas invitados</t>
  </si>
  <si>
    <t>RECIBOS DE PAGOS SOCIOS</t>
  </si>
  <si>
    <t>primer parte del medio aguinaldo</t>
  </si>
  <si>
    <t>Gastos wix mes 04, 05, 06 y 07 de 2021 a 15,95/mes son a  63,8 dolares a 166.65 dolar solidario son 10632 + 5406 que tenía a favor : 16038 menos la deuda por cuota social de 7920 = 8018 a favor de Gus que se descuentan a continuación por lo que no queda saldo a favor de Gustavo</t>
  </si>
  <si>
    <t>Devolución por gastos WIX</t>
  </si>
  <si>
    <t>fichas lockers velas</t>
  </si>
  <si>
    <t>segunda parte del medio aguinaldo</t>
  </si>
  <si>
    <t>layana lamparas</t>
  </si>
  <si>
    <t>porta carnets</t>
  </si>
  <si>
    <t>MEMBRANA</t>
  </si>
  <si>
    <t>LLAVE COPIA</t>
  </si>
  <si>
    <t>seguro</t>
  </si>
  <si>
    <t>talonarios felipe mas picaporte</t>
  </si>
  <si>
    <t>LAYANA</t>
  </si>
  <si>
    <t>cortina</t>
  </si>
  <si>
    <t>Gastos wix mes 08, 09, 10, 11 y 12 de 2021 a 15,95/mes son en total 79,75 dolares a 176.14 dolar solidario son 14047,165 - menos la deuda por cuota social de 10932 . Quedan a favor de Gus 3115</t>
  </si>
  <si>
    <t>fichas 2022 raul</t>
  </si>
  <si>
    <t>mitad del medio aguinaldo</t>
  </si>
  <si>
    <t>LA OTRA  MITAD DEL MEDIO AGUINALDO</t>
  </si>
  <si>
    <t>portacarnets</t>
  </si>
  <si>
    <t>PLANILLAS, CARNETS, FICHAS ( RAUL)</t>
  </si>
  <si>
    <t>insumos farmacia</t>
  </si>
  <si>
    <t>layana, lamparas</t>
  </si>
  <si>
    <t>Gastos wix mes 01, 02 de 2022 a 15,95/mes son en total 31,9 dolares a 186,45 dolar solidario son 5947,75 +3115 de saldo anterior = 9062  - menos la deuda por cuota social de 7140 . Quedan a favor de Gus 1922,75</t>
  </si>
  <si>
    <t>NAFTA LANCHA</t>
  </si>
  <si>
    <t>ENTRADAS INVITADOS</t>
  </si>
  <si>
    <t>porta carnets socios</t>
  </si>
  <si>
    <t>layana</t>
  </si>
  <si>
    <t>entradas invitados</t>
  </si>
  <si>
    <t>Gastos wix mes 03, 04 y 05 de 2022 a 15,95/mes son en total 47,85 dolares a 207,07 dolar solidario son 9908.+1922 de saldo anterior = 11.830  - menos la deuda por cuota social de 4760 . Quedan a favor de Gus 7070</t>
  </si>
  <si>
    <t xml:space="preserve">1ra mitad del aguinaldo </t>
  </si>
  <si>
    <t>2da mitad aguinaldo</t>
  </si>
  <si>
    <t>imprenta Raul</t>
  </si>
  <si>
    <t>Gastos wix mes 06, 07y 08 de 2022 a 15,95/mes son en total 47,85 dolares a 239,25 dolar solidario son 11448.+7070 de saldo anterior = 18.518  - menos la deuda por cuota social de 9120 . Quedan a favor de Gus 9398</t>
  </si>
  <si>
    <t>NAFTA</t>
  </si>
  <si>
    <t>MICROFONO</t>
  </si>
  <si>
    <t>Gastos wix mes 09 y 10 de 2022 a 15,95/mes son en total 31,9 dolares a 254,51 dolar solidario son 8118.+9398 de saldo anterior = 17516,86  - menos la deuda por cuota social de 6680 . Quedan a favor de Gus 10836</t>
  </si>
  <si>
    <t>SEGURO</t>
  </si>
  <si>
    <t>fichas 2023, talonarios, entradas</t>
  </si>
  <si>
    <t>pincel, aceite, ferreteria raul</t>
  </si>
  <si>
    <t>Gastos wix mes 11 de 2022 son 15,95/mes a 287,51 dolar solidario son 4.585,78  menos la deuda por cuota social de 3340 . Quedan a favor de Gus 1245</t>
  </si>
  <si>
    <t xml:space="preserve"> 1 RA MITAD DEL MEDIO AGUINALDO </t>
  </si>
  <si>
    <t>NAFTA RAUL</t>
  </si>
  <si>
    <t>raul varios</t>
  </si>
  <si>
    <t>enytradas de invitados</t>
  </si>
  <si>
    <t>Gastos wix mes 12 de 2022 y 01/2023 son 15,95/mes son 31,9 a 288 el dolar solidario son 9187 + 1245  de saldo son 10430 menos la deuda por cuota social de 11680 . Gustavo debe 1250 se paga por transferencia</t>
  </si>
  <si>
    <t>copias llaves</t>
  </si>
  <si>
    <t>natfta</t>
  </si>
  <si>
    <t>Gastos wix mes 02  y 03  de 2023 son 15,95/mes son 31,9 a 354,75 el dolar solidario son 11316  - 1250 pendientes de enero son 10066 . Y 10066 de saldo de Gustavo menos la deuda por cuota social de 9800 queda a favor de Gustavo 266</t>
  </si>
  <si>
    <t>Gastos wix mes 04 de 2023 son 15,95/mes a 384,75 el dolar solidario son 6133 . Menos 4900 de cuota social quedan 1233 + 266 de saldo anterior quedan 1499   a favor de Gustavo</t>
  </si>
  <si>
    <t>RAUL, PINTURERIA</t>
  </si>
  <si>
    <t>Devolución del saldo anterior a Gustavo</t>
  </si>
  <si>
    <t>FERRETERIA</t>
  </si>
  <si>
    <t>1ra mitad del medio aguinaldo (JUNIO)</t>
  </si>
  <si>
    <t>2da mitad del medio aguinaldo  (agosto 7-8)</t>
  </si>
  <si>
    <t>recibos</t>
  </si>
  <si>
    <t>Aerosol</t>
  </si>
  <si>
    <t>entradas imprenta</t>
  </si>
  <si>
    <t>botiquin</t>
  </si>
  <si>
    <t>entrego polo 27/8 ( 155.250 sueldo agosto)</t>
  </si>
  <si>
    <t>raul nafta</t>
  </si>
  <si>
    <t>RAUL NAFTA</t>
  </si>
  <si>
    <t>diferencia sobre el total sueldo de octubre q fue $171.450</t>
  </si>
  <si>
    <t>diferencia sobre el total sueldo de nov q fue $187.650</t>
  </si>
  <si>
    <t>PORTA CARNETS</t>
  </si>
  <si>
    <t>sueldo nov 187.650</t>
  </si>
  <si>
    <t xml:space="preserve">fichas 2024 </t>
  </si>
  <si>
    <t>sueldo dic 203.850</t>
  </si>
  <si>
    <t>257.400-203.850= 53.550 - 88900 gastos= 35.350 a favor + aguinaldo= 135.350</t>
  </si>
  <si>
    <t>AGUINALDO: 100.000</t>
  </si>
  <si>
    <t>275.520 244.620 =  30.900 4/2</t>
  </si>
  <si>
    <t>275.300- 254.820 =20480</t>
  </si>
  <si>
    <t>sueldo ene 244.620</t>
  </si>
  <si>
    <t>sueldo feb: 254.812</t>
  </si>
  <si>
    <t>sueldo mar 292.000</t>
  </si>
  <si>
    <t>ceci libreria</t>
  </si>
  <si>
    <t xml:space="preserve">343.997 - 236.300= 107.697  + 33.700 = $141.397 </t>
  </si>
  <si>
    <t>sueldo abril  343.997</t>
  </si>
  <si>
    <t>repuestos trailer</t>
  </si>
  <si>
    <t>394959 - 193.000= 201.959  + 36.000 raul=  total reintegro: 237.959</t>
  </si>
  <si>
    <t>mayo 394.959</t>
  </si>
  <si>
    <t>RAUL ENTRADAS</t>
  </si>
  <si>
    <t>junio 414.750</t>
  </si>
  <si>
    <t>aguinaldo: 207,375</t>
  </si>
  <si>
    <t>622,125 -118,200</t>
  </si>
  <si>
    <t>503.925 +32000= 535,925</t>
  </si>
  <si>
    <t xml:space="preserve">julio 6% </t>
  </si>
  <si>
    <t>418.700 - 109000= 309.700</t>
  </si>
  <si>
    <t>462,101-244,6=217.500</t>
  </si>
  <si>
    <t>agosto 6%</t>
  </si>
  <si>
    <t>-481000-242600=</t>
  </si>
  <si>
    <t>501.596-192600= 308,996</t>
  </si>
  <si>
    <t xml:space="preserve">septiembre 5% </t>
  </si>
  <si>
    <t xml:space="preserve"> raul fichas 2025 y varios</t>
  </si>
  <si>
    <t>546.000-419.600= 126.400  +108.000 (fichas)= 234.0000</t>
  </si>
  <si>
    <t>octubre 5%</t>
  </si>
  <si>
    <t>nov 5% 520.000</t>
  </si>
  <si>
    <t>dic 5%  546.000  aguinaldo $250.000</t>
  </si>
  <si>
    <t>562.500 - 437.200= 125.300</t>
  </si>
  <si>
    <t>10.000 LIBRERIA</t>
  </si>
  <si>
    <t>ENE $ 562.500</t>
  </si>
  <si>
    <r>
      <rPr>
        <b/>
      </rPr>
      <t>562.500- 325.200 = 237.300 + $10.000 SOBRES=</t>
    </r>
    <r>
      <rPr>
        <b/>
        <sz val="15.0"/>
      </rPr>
      <t xml:space="preserve"> 247.300</t>
    </r>
  </si>
  <si>
    <t>FEB $562.500</t>
  </si>
  <si>
    <t>MARZO  5% 590.000</t>
  </si>
  <si>
    <t>49.000 raul</t>
  </si>
  <si>
    <t>abril idem marzo 590.000</t>
  </si>
  <si>
    <r>
      <rPr/>
      <t xml:space="preserve">590.000- 382.600= 207.400 + 49000= </t>
    </r>
    <r>
      <rPr>
        <b/>
      </rPr>
      <t>256.400</t>
    </r>
  </si>
  <si>
    <t>605.000 - 227000= 378.000</t>
  </si>
  <si>
    <t>mayo 2.5% 605.000</t>
  </si>
  <si>
    <t>6000 porta carnets</t>
  </si>
  <si>
    <t>junio 2.5% 630.000</t>
  </si>
  <si>
    <t>63000-164000= 465.500 + 6000=471.000</t>
  </si>
  <si>
    <t>JULIO  2% 642.600</t>
  </si>
  <si>
    <t>30.000 mes anterior</t>
  </si>
  <si>
    <t>642.600 - 375.000</t>
  </si>
  <si>
    <t>267.000+30.000=397.000</t>
  </si>
  <si>
    <t>9000+8000+3000= 20000 libreria</t>
  </si>
  <si>
    <t>agosto 2÷  655</t>
  </si>
  <si>
    <t>655-351= 304-100.000= 204.000 + 20.000 =$224.000</t>
  </si>
  <si>
    <t>remera - 30.000</t>
  </si>
  <si>
    <t>Elija número de socio:</t>
  </si>
  <si>
    <t>Pagos desde:</t>
  </si>
  <si>
    <t>Hasta</t>
  </si>
  <si>
    <t>Borrar el  número de socio después de hacer las consultas.</t>
  </si>
  <si>
    <t>Socio:</t>
  </si>
  <si>
    <t>Total pagado en el corriente mes:</t>
  </si>
  <si>
    <t>Pagos anteriores:</t>
  </si>
  <si>
    <t>Total pagado</t>
  </si>
  <si>
    <t>Detalle de pagos anteriores al corriente mes</t>
  </si>
  <si>
    <t>Ultimo pago</t>
  </si>
  <si>
    <t>Importe</t>
  </si>
  <si>
    <t>mes/año de pago</t>
  </si>
  <si>
    <t>Total a financiar en $</t>
  </si>
  <si>
    <t>Monto de cuota</t>
  </si>
  <si>
    <t>Total de cuotas</t>
  </si>
  <si>
    <t>Balance en cuotas</t>
  </si>
  <si>
    <t>Balance en pesos</t>
  </si>
  <si>
    <t>Pagadas antes</t>
  </si>
  <si>
    <t>Paga ahora</t>
  </si>
  <si>
    <t>Total pagadas</t>
  </si>
  <si>
    <t>Restan pagar</t>
  </si>
  <si>
    <t>Pagado anteriormente</t>
  </si>
  <si>
    <t>K02</t>
  </si>
  <si>
    <t>K03</t>
  </si>
  <si>
    <t>K06</t>
  </si>
  <si>
    <t>K07</t>
  </si>
  <si>
    <t>K08</t>
  </si>
  <si>
    <t>K11</t>
  </si>
  <si>
    <t>K13</t>
  </si>
  <si>
    <t>K15</t>
  </si>
  <si>
    <t>K17</t>
  </si>
  <si>
    <t>K22</t>
  </si>
  <si>
    <t>K23</t>
  </si>
  <si>
    <t>K25</t>
  </si>
  <si>
    <t>K27</t>
  </si>
  <si>
    <t>K28</t>
  </si>
  <si>
    <t>K29</t>
  </si>
  <si>
    <t>K30</t>
  </si>
  <si>
    <t>K31</t>
  </si>
  <si>
    <t>K32</t>
  </si>
  <si>
    <t>K33</t>
  </si>
  <si>
    <t>K35</t>
  </si>
  <si>
    <t>K36</t>
  </si>
  <si>
    <t>K37</t>
  </si>
  <si>
    <t>K39</t>
  </si>
  <si>
    <t>K40</t>
  </si>
  <si>
    <t>K44</t>
  </si>
  <si>
    <t>K45</t>
  </si>
  <si>
    <t>K46</t>
  </si>
  <si>
    <t>K47</t>
  </si>
  <si>
    <t>K49</t>
  </si>
  <si>
    <t>K51</t>
  </si>
  <si>
    <t>K52</t>
  </si>
  <si>
    <t>K55</t>
  </si>
  <si>
    <t>K57</t>
  </si>
  <si>
    <t>K59</t>
  </si>
  <si>
    <t>K61</t>
  </si>
  <si>
    <t>K62</t>
  </si>
  <si>
    <t>K65</t>
  </si>
  <si>
    <t>K67</t>
  </si>
  <si>
    <t>k68</t>
  </si>
  <si>
    <t>K69</t>
  </si>
  <si>
    <t>K70</t>
  </si>
  <si>
    <t>K71</t>
  </si>
  <si>
    <t>K72</t>
  </si>
  <si>
    <t>K78</t>
  </si>
  <si>
    <t>K79</t>
  </si>
  <si>
    <t>K82</t>
  </si>
  <si>
    <t>jorgepablopalacio@hotmail.com</t>
  </si>
  <si>
    <t>infourbano@yahoo.com.ar</t>
  </si>
  <si>
    <t>gustavocapitti@gmail.com</t>
  </si>
  <si>
    <t>fkm2529@hotmail.com</t>
  </si>
  <si>
    <t>ale32m@yahoo.com.ar</t>
  </si>
  <si>
    <t>rizzialvaro@gmail.com</t>
  </si>
  <si>
    <t>meucarango@hotmail.com</t>
  </si>
  <si>
    <t>dr_vara@hotmail.com</t>
  </si>
  <si>
    <t>edu1ca@yahoo.com.ar</t>
  </si>
  <si>
    <t>bandeauciel@gmail.com</t>
  </si>
  <si>
    <t>fissu377@yahoo.com.ar</t>
  </si>
  <si>
    <t>pablogarciamartorano@hotmail.com</t>
  </si>
  <si>
    <t>leonardo@mvcodificacion.com.ar</t>
  </si>
  <si>
    <t>gpcerra@gmail.com</t>
  </si>
  <si>
    <t>leofp22@yahoo.com</t>
  </si>
  <si>
    <t>support@wix.com</t>
  </si>
  <si>
    <t>Marca temporal</t>
  </si>
  <si>
    <t>Telefono 1</t>
  </si>
  <si>
    <t>Telefono 2</t>
  </si>
  <si>
    <t>Email Address</t>
  </si>
  <si>
    <t/>
  </si>
  <si>
    <t>Massi, Ma. Eugenia</t>
  </si>
  <si>
    <t>cialcetab@hotmail.com</t>
  </si>
  <si>
    <t>juancruz_sch@hotmail.com</t>
  </si>
  <si>
    <t>fedricoangelinetti@hotmail.com</t>
  </si>
  <si>
    <t>amartincus@hotmail.com</t>
  </si>
  <si>
    <t>arq_juanidiazabal@hotmail.com</t>
  </si>
  <si>
    <t>arrondojose@ne.com</t>
  </si>
  <si>
    <t>ARCHIPETRA, MAIA</t>
  </si>
  <si>
    <t>archiarchipietra@gmail.com</t>
  </si>
  <si>
    <t>nicoguerini@yahoo.com.ar</t>
  </si>
  <si>
    <t>7 N° 1045 VILLA ELISA</t>
  </si>
  <si>
    <t>quinterosergio@yahoo.com.ar</t>
  </si>
  <si>
    <t>elsibaritaxxl@hotmail.com</t>
  </si>
  <si>
    <t>FERNANDEZ LOPEZ D'AMATO</t>
  </si>
  <si>
    <t>GONZALEZ DIEGO</t>
  </si>
  <si>
    <t>148 ENTRE 517 Y 518</t>
  </si>
  <si>
    <t>Mattenella sebastian</t>
  </si>
  <si>
    <t>sebastianmattenella@hotmail.com</t>
  </si>
  <si>
    <t>Riera Giuliana</t>
  </si>
  <si>
    <t>5 nº 273 1/2 dto A</t>
  </si>
  <si>
    <t>alemuk1966@gmail.com</t>
  </si>
  <si>
    <t xml:space="preserve">Saladzius, Hector </t>
  </si>
  <si>
    <t>sh0375@hotmail.com</t>
  </si>
  <si>
    <t>Carballo, Alejandro</t>
  </si>
  <si>
    <t>SPAHAR, ELISA</t>
  </si>
  <si>
    <t>BELTRAN, CARMEN ALICIA</t>
  </si>
  <si>
    <t>Frontini, Sebastián</t>
  </si>
  <si>
    <t>nataliaarrastia@hotmail.com</t>
  </si>
  <si>
    <t>santiherrera@hotmail.com</t>
  </si>
  <si>
    <t>TOMESCO, IGNACIO</t>
  </si>
  <si>
    <t>Puglietti, Leandro</t>
  </si>
  <si>
    <t>leandropuglietti@hotmail.com</t>
  </si>
  <si>
    <t>VAZQUEZ, LUCAS</t>
  </si>
  <si>
    <t>lucas0024@hotmail.com</t>
  </si>
  <si>
    <t>PIRRESTEGUEY, JULIETA</t>
  </si>
  <si>
    <t>julietapierresteguey@gmail.com</t>
  </si>
  <si>
    <t>RLCOPELLO@HOTMAIL.COM</t>
  </si>
  <si>
    <t>sergiopenela1@hotmail.com</t>
  </si>
  <si>
    <t>NATALIA MAISANO</t>
  </si>
  <si>
    <t xml:space="preserve">ZAPALA, MARINA </t>
  </si>
  <si>
    <t>marizapala@live.com.ar</t>
  </si>
  <si>
    <t>anacamara@yahoo.com.ar</t>
  </si>
  <si>
    <t>ianimaus@hotmail.com</t>
  </si>
  <si>
    <t xml:space="preserve"> Màrsico, Florencia</t>
  </si>
  <si>
    <t>floreciamarsico@hotmail.com</t>
  </si>
  <si>
    <t>pdchiappa@gmail.com</t>
  </si>
  <si>
    <t>ALBIÑA, DEBORA</t>
  </si>
  <si>
    <t>gonzzlopenna@hotmail.com</t>
  </si>
  <si>
    <t>25 N° 1172</t>
  </si>
  <si>
    <t>Ceriana Cinthia</t>
  </si>
  <si>
    <t>adrianpb197@hotmail.com</t>
  </si>
  <si>
    <t>garibaldijoseluis@yahoo.com</t>
  </si>
  <si>
    <t>Nro de entrega</t>
  </si>
  <si>
    <t xml:space="preserve">Monto </t>
  </si>
  <si>
    <t>Fecha de entrega</t>
  </si>
  <si>
    <t>Recibido</t>
  </si>
  <si>
    <t>Sin problemas</t>
  </si>
  <si>
    <t>296 (MONOTRIBUTO) 300 BANCO (MARTINEZ/GAITAN : 10176 MAS 296 MAS 300 : 10772</t>
  </si>
  <si>
    <t>100 BANCO (MAKOTA) 7192 MAS 100: 7292</t>
  </si>
  <si>
    <t>Total entregado 8/2013</t>
  </si>
  <si>
    <t>Coincide con resumen en planilla "Historico de pagos Abril - Diciembre 2013" donde figuran 23911 el total para GASAV</t>
  </si>
  <si>
    <t>Total entregado 9/2013</t>
  </si>
  <si>
    <t>Coincide con resumen en planilla "Historico de pagos Abril - Diciembre 2013" donde figuran 20679 el total para GASAV</t>
  </si>
  <si>
    <t xml:space="preserve">entrego los 63$ </t>
  </si>
  <si>
    <t>Total entregado 10/2013</t>
  </si>
  <si>
    <t>Coincide con resumen en planilla "Historico de pagos Abril - Diciembre 2013" donde figuran 27379 el total para GASAV</t>
  </si>
  <si>
    <t>Total entregado 11/2013</t>
  </si>
  <si>
    <t>Coincide con resumen en planilla "Historico de pagos Abril - Diciembre 2013" donde figuran 35035 el total para GASAV</t>
  </si>
  <si>
    <t>Total entregado 12/2013</t>
  </si>
  <si>
    <t>Coincide con resumen en planilla "Historico de pagos Abril - Diciembre 2013" donde figuran 30749 para GASAV. De este monto se deduce aguinaldo para Cecilia teniendo en cuenta el mejor mes del último semestre por valor de 3272 $ por lo cual la entrega final es de 27477 $</t>
  </si>
  <si>
    <t>Fin del año 2013</t>
  </si>
  <si>
    <t>Total entregado 1/2014</t>
  </si>
  <si>
    <t>Coincide con resumen en planilla "Historico de pagos Enero - Diciembre 2014" donde figuran 38421 el total para GASAV</t>
  </si>
  <si>
    <t>Total entregado 2/2014</t>
  </si>
  <si>
    <t>Coincide con resumen en planilla "Historico de pagos Enero - Diciembre 2014" donde figuran 33075 el total para GASAV</t>
  </si>
  <si>
    <t>Total entregado 3/2014</t>
  </si>
  <si>
    <t>Coincide con resumen en planilla "Historico de pagos Enero - Diciembre 2014" donde figuran 33654 el total para GASAV</t>
  </si>
  <si>
    <t>Total entregado 4/2014</t>
  </si>
  <si>
    <t>Coincide con resumen en planilla "Historico de pagos Enero - Diciembre 2014" donde figuran 27782 el total para GASAV</t>
  </si>
  <si>
    <t>Total entregado 5/2014</t>
  </si>
  <si>
    <t>Coincide con resumen en planilla "Historico de pagos Enero - Diciembre 2014" donde figuran 20395 el total para GASAV</t>
  </si>
  <si>
    <t>Total entregado 6/2014</t>
  </si>
  <si>
    <t>Coincide con resumen en planilla "Historico de pagos Enero - Diciembre 2014" donde figuran 22700 el total para GASAV. Terminado el primer semestre del año y teniendo en cuenta que el mejor mes fue Enero, el monto del aguinaldo para Cecilia es de $ 3534,50. Observaciones: La comisión de Enero fue de 7069 $</t>
  </si>
  <si>
    <t>Total entregado 7/2014</t>
  </si>
  <si>
    <t>Coincide con resumen en planilla "Historico de pagos Enero - Diciembre 2014" donde figuran 33964 el total para GASAV</t>
  </si>
  <si>
    <t>Total entregado 8/2014</t>
  </si>
  <si>
    <t>Coincide con resumen en planilla "Historico de pagos Enero - Diciembre 2014" donde figuran 46398 el total para GASAV</t>
  </si>
  <si>
    <t>Total entregado 9/2014</t>
  </si>
  <si>
    <t>Coincide con resumen en planilla "Historico de pagos Enero - Diciembre 2014" donde figuran 30361,3 el total para GASAV</t>
  </si>
  <si>
    <t>Total entregado 10/2014</t>
  </si>
  <si>
    <t>Coincide con resumen en planilla "Historico de pagos Enero - Diciembre 2014" donde figuran 40536,4 el total para GASAV</t>
  </si>
  <si>
    <t>Pagos x banco: Baltar - Richichi:  $780</t>
  </si>
  <si>
    <t>Perez Candreva : $500</t>
  </si>
  <si>
    <t>Martinez- Quintans: $900</t>
  </si>
  <si>
    <t>CANNON Y MAQUINA $2.500  LEO ( DESCUENTOS)</t>
  </si>
  <si>
    <t>Total entregado 11/2014</t>
  </si>
  <si>
    <t>Coincide con resumen en planilla "Historico de pagos Enero - Diciembre 2014" donde figuran 52489,1 el total para GASAV</t>
  </si>
  <si>
    <t>Pagos x banco: PEREZ CANDREVA $ 920</t>
  </si>
  <si>
    <t>Zipenko Pablo: $2.800</t>
  </si>
  <si>
    <t>Pago fichas y entradas a Raul: $1.280</t>
  </si>
  <si>
    <t>Total banco y pagos: $5.000 ( sería una quinta entrega para completar los $50.047 de total para gasav de entregas de diciembre)</t>
  </si>
  <si>
    <t>Total entregado 12/2014</t>
  </si>
  <si>
    <t>Coincide con resumen en planilla "Historico de pagos Enero - Diciembre 2014" donde figuran 50047 el total para GASAV. Terminado el segundo semestre del año y teniendo en cuenta que el mejor mes fue Noviembre, el monto del aguinaldo para Cecilia es de $ 5155. Observaciones: La comisión de Noviembre fue de 10309,9 $</t>
  </si>
  <si>
    <t>Fin del año 2014</t>
  </si>
  <si>
    <t>PAGOS POR BANCO: SHLAIN: $390, ZIPENKO: $230, MORENO:$ 1.000</t>
  </si>
  <si>
    <t>Hans: $100 cartuchos</t>
  </si>
  <si>
    <t>Leo, le di : $3.000</t>
  </si>
  <si>
    <t>TOTAL BANCO Y PAGOS: $1720 ( SERIA UNA 5TA ENTREGA PARA COMPLETAR LOS 76.263 PARA GASAV ENERO 15)</t>
  </si>
  <si>
    <t>Falta retornar este monto a Cecilia</t>
  </si>
  <si>
    <t>y tambien este monto por error en la fecha</t>
  </si>
  <si>
    <t>Total entregado 1/2015</t>
  </si>
  <si>
    <t>Se entregaron 76263 y corresponde entregar 75015 Diferencia a favor de Cecilia de 1248 $ (Esto ocurrio por rectificacion de fecha de pago del socio 908 se cambio octubre 2015 por octubre 2014 ) - Un nuevo error similar hay que devolver otros 1248 a Ceci por rectificacion fecha en socio 508</t>
  </si>
  <si>
    <t>PAGOS POR BANCO</t>
  </si>
  <si>
    <t>.CLAUSEN: $130, MARTINEZ BEA: $710, FERRANDO $130 (DIFERENCIA), ZIPENKO:$230</t>
  </si>
  <si>
    <t>GASTOS: LIBRERIA: $90</t>
  </si>
  <si>
    <t>TALONARIOS RAUL: $420</t>
  </si>
  <si>
    <t>Total entregado 2/2015</t>
  </si>
  <si>
    <t xml:space="preserve">Coincide con resumen en planilla "Historico de pagos Enero - Diciembre 2015" donde figuran 53161 el total para GASAV. </t>
  </si>
  <si>
    <t>PAGOS POR BANCO: RABINO$ 910, ZIPENKO$230, PERZ CANDREVA $920, MARTINEZ BEA$360, NIEVAS $690</t>
  </si>
  <si>
    <t>GASTOS VARIOS: HANS: $101 Y CYBERROTULOS $1.108,</t>
  </si>
  <si>
    <t>Total entregado 3/2015</t>
  </si>
  <si>
    <t xml:space="preserve">Coincide con resumen en planilla "Historico de pagos Enero - Diciembre 2015" donde figuran 47521 el total para GASAV. </t>
  </si>
  <si>
    <t>GASTOS Y VARIOS: HANS$ 547, $100 DIFERENCIA GUSTAVO, $ 570 ALEJANDRO, $1800 LEO CANNON</t>
  </si>
  <si>
    <t>Se entregan 1560 $ menos por diferencia de Enero (Socio 508 pago hasta sep 2014 y no sept. 2015)</t>
  </si>
  <si>
    <t>Total entregado 4/2015</t>
  </si>
  <si>
    <t xml:space="preserve">Coincide con resumen en planilla "Historico de pagos Enero - Diciembre 2015" donde figuran 47867 el total para GASAV. </t>
  </si>
  <si>
    <t>PAGOS POR BANCO: MARTINEZ Y QUINTANS $720, CLAUSEN $390, DEL PRADO $100; LOIDI $130, Perez Candreva $460, ZIPENKO: 230,                        $690 Vinocur</t>
  </si>
  <si>
    <t>VARIOS: CITARELLA$237,  HUGO $600</t>
  </si>
  <si>
    <t>total desc.$3.557</t>
  </si>
  <si>
    <t>Total entregado 5/2015</t>
  </si>
  <si>
    <t xml:space="preserve">Coincide con resumen en planilla "Historico de pagos Enero - Diciembre 2015" donde figuran 33460 el total para GASAV. </t>
  </si>
  <si>
    <t>PAGOS POR BANCO: DEL PRADO:$100, LIODO$ 130, zipenko $230, MECHE $520, QUINTANS $360</t>
  </si>
  <si>
    <t>varios: Raul$320, LEO $2000 CANNON</t>
  </si>
  <si>
    <t>Total entregado 6/2015</t>
  </si>
  <si>
    <t>Coincide con resumen en planilla "Historico de pagos Enero - Diciembre 2015" donde figuran 26939 el total para GASAV. Terminado el primer semestre del año y teniendo en cuenta que el mejor mes fue Enero, el monto del aguinaldo para Cecilia es de $ 6885,95. Observaciones: La comisión de Enero fue de 13771,90 $</t>
  </si>
  <si>
    <t>PAGOS POR BANCO:</t>
  </si>
  <si>
    <t>BEA Y QUINTANS$360,Loiodi- Barzabal$260, Del Prado $100, ZIPOENKO$ 230, PEREZ CANDREVA $230, Arce $500, Clausen $520, Meche $260</t>
  </si>
  <si>
    <t>CARTZ, RODOLFO $650</t>
  </si>
  <si>
    <t>Total entregado 7/2015</t>
  </si>
  <si>
    <t xml:space="preserve">Coincide con resumen en planilla "Historico de pagos Enero - Diciembre 2015" donde figuran 42128 el total para GASAV. </t>
  </si>
  <si>
    <t>PAGOS POR BANCO: Zipenko $230, RABINO $520, Del Pardo Lia $100,Vinocur $690, LIODI BARZABAL$ 260, BALTAR$ 260, MORIANO$650, VALIZA$1.400, TOTAL: $ 4.410 BANCO</t>
  </si>
  <si>
    <t>CITARELLA:$237</t>
  </si>
  <si>
    <t>LEO: $2000</t>
  </si>
  <si>
    <t>Total entregado 8/2015</t>
  </si>
  <si>
    <t xml:space="preserve">Coincide con resumen en planilla "Historico de pagos Enero - Diciembre 2015" donde figuran 51419 el total para GASAV. </t>
  </si>
  <si>
    <t>BANCO: QUINTANS $800, Zipenko $250, Del prado lia $ 250; Barzabal $300, BALTAR $300</t>
  </si>
  <si>
    <t>varios: leo $1.500, citarella$ 237, leo $800</t>
  </si>
  <si>
    <t>Total entregado 9/2015</t>
  </si>
  <si>
    <t xml:space="preserve">Coincide con resumen en planilla "Historico de pagos Enero - Diciembre 2015" donde figuran 44942 el total para GASAV. </t>
  </si>
  <si>
    <t>BANCO: CLAUSEN: $600, Rabino $600, Baltar $300, Barzabal $150</t>
  </si>
  <si>
    <t xml:space="preserve">VARIOS: CITARELLA: $237, $400 leo seguro, $600 Shlain  </t>
  </si>
  <si>
    <t>Total entregado 10/2015</t>
  </si>
  <si>
    <t xml:space="preserve">Coincide con resumen en planilla "Historico de pagos Enero - Diciembre 2015" donde figuran 33234 el total para GASAV. </t>
  </si>
  <si>
    <t>BANCO: QUINTANS $400, BARZABAL$150, Del prado $500,BALTAR $300, ZIPENKO $250</t>
  </si>
  <si>
    <t xml:space="preserve">           21/1172015</t>
  </si>
  <si>
    <t>VARIOS: CITARELLA: $237</t>
  </si>
  <si>
    <t>Total entregado 11/2015</t>
  </si>
  <si>
    <t xml:space="preserve">Coincide con resumen en planilla "Historico de pagos Enero - Diciembre 2015" donde figuran 61089,4 el total para GASAV. </t>
  </si>
  <si>
    <t>BANCO: SCHLAIN $600, Meche $300, ZIPENKO $250</t>
  </si>
  <si>
    <t>Raul: $1.060 talonarios, $90 carnets,Citarella $236</t>
  </si>
  <si>
    <t>Aguinaldo: $6.133</t>
  </si>
  <si>
    <t>Total entregado 12/2015</t>
  </si>
  <si>
    <t xml:space="preserve">Coincide con resumen en planilla "Historico de pagos Enero - Diciembre 2015" donde figuran 53652 el total para GASAV. </t>
  </si>
  <si>
    <t>Fin del año 2015</t>
  </si>
  <si>
    <t>Raul fichas: $1.330</t>
  </si>
  <si>
    <t>Ventilador: $1:099</t>
  </si>
  <si>
    <t>Citarella enero y febrero: 265 + 265= $530</t>
  </si>
  <si>
    <t>,</t>
  </si>
  <si>
    <t>BALTAR X BANCO: $300</t>
  </si>
  <si>
    <t>nafta Sergio$ 143</t>
  </si>
  <si>
    <t>LEO CANNON, ETC: $4.000</t>
  </si>
  <si>
    <t>Total entregado 01/2016</t>
  </si>
  <si>
    <t xml:space="preserve">Coincide con resumen en planilla "Historico de pagos Enero - Diciembre 2016" donde figuran 64588 el total para GASAV. </t>
  </si>
  <si>
    <t>libreria: $145</t>
  </si>
  <si>
    <t>Total entregado 2/2016</t>
  </si>
  <si>
    <t xml:space="preserve">Coincide con resumen en planilla "Historico de pagos Enero - Diciembre 2016" donde figuran 57766,8 el total para GASAV. </t>
  </si>
  <si>
    <t>citarella $265, decuento cuota Dani $200</t>
  </si>
  <si>
    <t>baltar$400 + 200 marzo richi, LEO $2000 CANNON</t>
  </si>
  <si>
    <t>Total entregado 3/2016</t>
  </si>
  <si>
    <t xml:space="preserve">Coincide con resumen en planilla "Historico de pagos Enero - Diciembre 2016" donde figuran 51922 el total para GASAV. </t>
  </si>
  <si>
    <t>richi$200, citarella $265</t>
  </si>
  <si>
    <t>Total entregado 4/2016</t>
  </si>
  <si>
    <t xml:space="preserve">Coincide con resumen en planilla "Historico de pagos Enero - Diciembre 2016" donde figuran 38019 el total para GASAV. </t>
  </si>
  <si>
    <t>citarrella$ 313</t>
  </si>
  <si>
    <t>LEO:$2.400, RICHI MAYO $200</t>
  </si>
  <si>
    <t>Total entregado 5/2016</t>
  </si>
  <si>
    <t xml:space="preserve">Coincide con resumen en planilla "Historico de pagos Enero - Diciembre 2016" donde figuran 49958,80 el total para GASAV. </t>
  </si>
  <si>
    <t>cuota richi $200</t>
  </si>
  <si>
    <t>aguinaldo$  6.016</t>
  </si>
  <si>
    <t>Total entregado 6/2016</t>
  </si>
  <si>
    <t>Coincide con resumen en planilla "Historico de pagos Enero - Diciembre 2016" donde figuran 41625 el total para GASAV. Terminado el primer semestre del año y teniendo en cuenta que el mejor mes fue Enero, el monto del aguinaldo para Cecilia es de $ 6016. Observaciones: La comisión de Enero fue de 12032$</t>
  </si>
  <si>
    <t>citarella $626</t>
  </si>
  <si>
    <t>richi julio $200</t>
  </si>
  <si>
    <t>$2.200 CANNON</t>
  </si>
  <si>
    <t>Total entregado 7/2016</t>
  </si>
  <si>
    <t xml:space="preserve">Coincide con resumen en planilla "Historico de pagos Enero - Diciembre 2016" donde figuran 53107 el total para GASAV. </t>
  </si>
  <si>
    <t>$200 richi</t>
  </si>
  <si>
    <t>2.500 felix</t>
  </si>
  <si>
    <t>Total entregado 8/2016</t>
  </si>
  <si>
    <t xml:space="preserve">Coincide con resumen en planilla "Historico de pagos Enero - Diciembre 2016" donde figuran 80960 el total para GASAV. </t>
  </si>
  <si>
    <t>$180 art. limpieza</t>
  </si>
  <si>
    <t>$720 talonarios raul / $500 seguro leo / $626 dos meses de citarella</t>
  </si>
  <si>
    <t>Total entregado 9/2016</t>
  </si>
  <si>
    <t xml:space="preserve">Coincide con resumen en planilla "Historico de pagos Enero - Diciembre 2016" donde figuran 76809 el total para GASAV. </t>
  </si>
  <si>
    <t>Citarrella$ 313</t>
  </si>
  <si>
    <t>richi $300</t>
  </si>
  <si>
    <t>Total entregado 10/2016</t>
  </si>
  <si>
    <t xml:space="preserve">Coincide con resumen en planilla "Historico de pagos Enero - Diciembre 2016" donde figuran 82234,7 el total para GASAV. </t>
  </si>
  <si>
    <t>citarrella $313</t>
  </si>
  <si>
    <t>raul talonarios $790</t>
  </si>
  <si>
    <t>Total entregado 11/2016</t>
  </si>
  <si>
    <t xml:space="preserve">Coincide con resumen en planilla "Historico de pagos Enero - Diciembre 2016" donde figuran 77797 el total para GASAV. </t>
  </si>
  <si>
    <t>citarella $313</t>
  </si>
  <si>
    <t xml:space="preserve">richi $ 300 </t>
  </si>
  <si>
    <t>$8.374 aguinaldo</t>
  </si>
  <si>
    <t>Total entregado 12/2016</t>
  </si>
  <si>
    <t>Coincide con resumen en planilla "Historico de pagos Enero - Diciembre 2016" donde figuran 73641,6 el total para GASAV. Terminado el segundo semestre del año y teniendo en cuenta que el mejor mes fue Octubre, el monto del aguinaldo para Cecilia es de $ 8374,15. Observaciones: La comisión de Octubre fue de $16.748,30$</t>
  </si>
  <si>
    <t>Fin del año 2016</t>
  </si>
  <si>
    <t>$ 140 Sergio ferrerteria</t>
  </si>
  <si>
    <t>$1.300 Raul</t>
  </si>
  <si>
    <t>$ 300 Richi</t>
  </si>
  <si>
    <t>$270 Citarella</t>
  </si>
  <si>
    <t>Total entregado 01/2017</t>
  </si>
  <si>
    <t xml:space="preserve">Coincide con resumen planilla "Histórico de Pagos Enero - Diciembre 2017" </t>
  </si>
  <si>
    <t>$357 citarella</t>
  </si>
  <si>
    <t>$2.500 cannon</t>
  </si>
  <si>
    <t>Total entregado 02/2017</t>
  </si>
  <si>
    <t>$356.8</t>
  </si>
  <si>
    <t>$2.500 cannon leo</t>
  </si>
  <si>
    <t>820 talonarios entradas</t>
  </si>
  <si>
    <t>Total entregado 03/2017</t>
  </si>
  <si>
    <t>$356 citarella</t>
  </si>
  <si>
    <t>Total entregado 04/2017</t>
  </si>
  <si>
    <t>356 citarella</t>
  </si>
  <si>
    <t>1.200 felix</t>
  </si>
  <si>
    <t>Total entregado 05/2017</t>
  </si>
  <si>
    <t>2.400 felix 10-6</t>
  </si>
  <si>
    <t>1200 felix 17-6</t>
  </si>
  <si>
    <t>1200 felix 24-6</t>
  </si>
  <si>
    <t>$84 libreria</t>
  </si>
  <si>
    <t>cuota DANI 1.400- CITARELLA $357</t>
  </si>
  <si>
    <t>1/2 Aguinaldo $ 10.256.4</t>
  </si>
  <si>
    <t>Total entregado 06/2017</t>
  </si>
  <si>
    <t>2.500 Cannon convenio seguro</t>
  </si>
  <si>
    <t>citarella $357</t>
  </si>
  <si>
    <t>1.200 felix 8-7</t>
  </si>
  <si>
    <t>847 cartucho y varios TATI</t>
  </si>
  <si>
    <t xml:space="preserve">900 y 36 de materiales electricos y varios -es la boleta de 1144 </t>
  </si>
  <si>
    <t>1662.54 materiales</t>
  </si>
  <si>
    <t>280 garrafa</t>
  </si>
  <si>
    <t>81 sellado muni.</t>
  </si>
  <si>
    <t>1.540 tentoni</t>
  </si>
  <si>
    <t>750,50 productos de limpieza</t>
  </si>
  <si>
    <t>250 tentoni</t>
  </si>
  <si>
    <t>200 nafta</t>
  </si>
  <si>
    <t>117.70 sanicentro</t>
  </si>
  <si>
    <t>4.160 tentoni</t>
  </si>
  <si>
    <t>1.200 felix 28-7</t>
  </si>
  <si>
    <t>Total entregado 07/2017</t>
  </si>
  <si>
    <t>felix 1.200 y alimento 365</t>
  </si>
  <si>
    <t>1.000 gustavo pagina</t>
  </si>
  <si>
    <t>sergio 705</t>
  </si>
  <si>
    <t>felix 1.300</t>
  </si>
  <si>
    <t>felix 1200 27-8</t>
  </si>
  <si>
    <t>406 cena kayak</t>
  </si>
  <si>
    <t>357 Citarella</t>
  </si>
  <si>
    <t>Total entregado 08/2017</t>
  </si>
  <si>
    <t>citarella   357</t>
  </si>
  <si>
    <t xml:space="preserve">Henriquez pinturas   $2.000 </t>
  </si>
  <si>
    <t>resma  $105</t>
  </si>
  <si>
    <t>Leo cannon - convenio   $3.000 pago jul- ago y convenio servicios generales</t>
  </si>
  <si>
    <t>alimento perro   350</t>
  </si>
  <si>
    <t>combustible  200</t>
  </si>
  <si>
    <t>felix   1.200     23-9</t>
  </si>
  <si>
    <t>productos de limpieza    1.004</t>
  </si>
  <si>
    <t>mano de obra felix   1500</t>
  </si>
  <si>
    <t>ferreteria    920</t>
  </si>
  <si>
    <t>dia super 172</t>
  </si>
  <si>
    <t>Total entregado 09/2017</t>
  </si>
  <si>
    <t>entradas firmadas $ 750</t>
  </si>
  <si>
    <t>alarma $5.900</t>
  </si>
  <si>
    <t>productos de limpieza $745</t>
  </si>
  <si>
    <t>comustible $300</t>
  </si>
  <si>
    <t>ropa de trabajo $1920</t>
  </si>
  <si>
    <t>combustible cuatri $250</t>
  </si>
  <si>
    <t>felipe 1.200 14-10</t>
  </si>
  <si>
    <t>leo 3.000</t>
  </si>
  <si>
    <t>aviso 700</t>
  </si>
  <si>
    <t>corona 1900</t>
  </si>
  <si>
    <t>citarella 405</t>
  </si>
  <si>
    <t>Total entregado 10/2017</t>
  </si>
  <si>
    <t>imprenta $ 580</t>
  </si>
  <si>
    <t>felix $1200 11-11</t>
  </si>
  <si>
    <t>Total entregado 11/2017</t>
  </si>
  <si>
    <t>felix 1.200 2/12-2017</t>
  </si>
  <si>
    <t>arreglo de maquina de cortar cpasto $4.800</t>
  </si>
  <si>
    <t>reparacion freezer quincho $230 tati</t>
  </si>
  <si>
    <t>fotocopias $45 horacio</t>
  </si>
  <si>
    <t>habilitacion bajada nautica $385</t>
  </si>
  <si>
    <t>pago franqueo guardavidas $1800</t>
  </si>
  <si>
    <t>imprenta $1600</t>
  </si>
  <si>
    <t>Total entregado 12/2017</t>
  </si>
  <si>
    <t>Teniendo en cuenta que el mejor mes fue Diciembre, el monto del aguinaldo para Cecilia es de $ 13332,20 . Observaciones: La comisión de Diciembre fue de $26666,4$</t>
  </si>
  <si>
    <t>Fin del año 2017</t>
  </si>
  <si>
    <t>citarella $405</t>
  </si>
  <si>
    <t>electricidad $821</t>
  </si>
  <si>
    <t>seguro y convenio $1.300</t>
  </si>
  <si>
    <t>electricidad $127</t>
  </si>
  <si>
    <t>Total entregado 1/2018</t>
  </si>
  <si>
    <t xml:space="preserve">Coincide con resumen planilla "Histórico de Pagos Enero - Diciembre 2018" </t>
  </si>
  <si>
    <t>Total entregado 2/2018</t>
  </si>
  <si>
    <t>Gustavo, gastos WIX desde julio 2017 - Febrero 2018 8 meses 15 dolares por mes a 20 pesos el dolar son 2400 $</t>
  </si>
  <si>
    <t>Quintana Franco $1.800</t>
  </si>
  <si>
    <t>Total entregado 3/2018</t>
  </si>
  <si>
    <t>Felix  $870</t>
  </si>
  <si>
    <t>Felipe $1.000</t>
  </si>
  <si>
    <t>Citarella $405</t>
  </si>
  <si>
    <t>Raul talonarios $1360</t>
  </si>
  <si>
    <t>Leo $600</t>
  </si>
  <si>
    <t>Total entregado 4/2018</t>
  </si>
  <si>
    <t>CITARELLA $405</t>
  </si>
  <si>
    <t>felipe 2.650</t>
  </si>
  <si>
    <t>Total entregado 5/2018</t>
  </si>
  <si>
    <t>citarella $457</t>
  </si>
  <si>
    <t>leo : 1.000</t>
  </si>
  <si>
    <t>Total entregado 6/2018</t>
  </si>
  <si>
    <t>Coincide con resumen planilla "Histórico de Pagos Enero - Diciembre 2018" Teniendo en cuenta que el mejor mes del primer semestre fue Marzo, el monto del aguinaldo para Cecilia es de $ 10.526,60 . Observaciones: La comisión de Marzo fue de $21053,20$</t>
  </si>
  <si>
    <t>Gustavo, gastos WIX desde marzo 2018 - junio 2018 4 meses 15 dolares por mes a 28 pesos el dolar son 1680 $</t>
  </si>
  <si>
    <t>Total entregado 7/2018</t>
  </si>
  <si>
    <t>citarella 2 meses $1.004</t>
  </si>
  <si>
    <t>FELIPE $2.400</t>
  </si>
  <si>
    <t>Total entregado 8/2018</t>
  </si>
  <si>
    <t>citarella 600</t>
  </si>
  <si>
    <t>Total entregado 9/2018</t>
  </si>
  <si>
    <t>bateria camara sebastian tarantino$ 850</t>
  </si>
  <si>
    <t>talonarios Raul $880</t>
  </si>
  <si>
    <t>28-.10</t>
  </si>
  <si>
    <t>citarella $1040</t>
  </si>
  <si>
    <t>entradas sellado 1.500</t>
  </si>
  <si>
    <t>Total entregado 10/2018</t>
  </si>
  <si>
    <t>layana $13.628</t>
  </si>
  <si>
    <t>layana 7.250</t>
  </si>
  <si>
    <t>Total entregado 11/2018</t>
  </si>
  <si>
    <t>polo: 3.480</t>
  </si>
  <si>
    <t>raul fichas: 1660</t>
  </si>
  <si>
    <t>leo 1.000 seguro</t>
  </si>
  <si>
    <t>Total entregado 12/2018</t>
  </si>
  <si>
    <t xml:space="preserve"> Coincide con resumen planilla "Histórico de Pagos Enero - Diciembre 2018" el mejor mes del segundo semestre fue Diciembre, Corresponde Aguinaldo de 11371,1 siendo el total de la comisión 22742,2</t>
  </si>
  <si>
    <t>Fin del año 2018</t>
  </si>
  <si>
    <t>citarella $ 1.040</t>
  </si>
  <si>
    <t>raul talonarios entradas $560</t>
  </si>
  <si>
    <t>Gustavo, gastos WIX desde julio 2018 hasta Enero 2019 son 7 meses a 15 dolares por mes a 38 pesos el dolar son 3990 $ a descontar por pago de cuotas y locker quedan a favor de gustavo 1382</t>
  </si>
  <si>
    <t>Gustavo $2608</t>
  </si>
  <si>
    <t>ferreteria $275 / Porta Carnets 500$</t>
  </si>
  <si>
    <t>Total entregado 1/2019</t>
  </si>
  <si>
    <t xml:space="preserve">Coincide con resumen planilla "Histórico de Pagos Enero - Diciembre 2019" </t>
  </si>
  <si>
    <t>CITARELLA $1040</t>
  </si>
  <si>
    <t>libreria $246</t>
  </si>
  <si>
    <t>Total entregado 2/2019</t>
  </si>
  <si>
    <t>carballo 1.328</t>
  </si>
  <si>
    <t>LAYANA $ 10.911 ELECTRICIDAD</t>
  </si>
  <si>
    <t>CITARELLA 1040</t>
  </si>
  <si>
    <t>Ingresos GASAV</t>
  </si>
  <si>
    <t xml:space="preserve">Entregas </t>
  </si>
  <si>
    <t>Pendiente de entrega</t>
  </si>
  <si>
    <t>Reintegro p/cobranza</t>
  </si>
  <si>
    <t>Ingresos anuales</t>
  </si>
  <si>
    <t>Entregas anuales</t>
  </si>
  <si>
    <t>Reintegro anual pendiente</t>
  </si>
  <si>
    <t>Nro de Socio</t>
  </si>
  <si>
    <t>Control de asignación</t>
  </si>
  <si>
    <t>K01</t>
  </si>
  <si>
    <t>Nombre</t>
  </si>
  <si>
    <t>Direccion</t>
  </si>
  <si>
    <t>Other</t>
  </si>
  <si>
    <t>BASUALTO ,RAUL ALBERTO</t>
  </si>
  <si>
    <t>Avenida 32 1376, La Plata, Buenos Aires</t>
  </si>
  <si>
    <t>BASUALTO CLAUDIA</t>
  </si>
  <si>
    <t>Calle 50 889 , La Plata, Buenos Aires, Argentina</t>
  </si>
  <si>
    <t>BRETAL:GUILLERMO</t>
  </si>
  <si>
    <t>Calle 12 830, La Plata, Buenos Aires, Argentina</t>
  </si>
  <si>
    <t>CABO SOFIA</t>
  </si>
  <si>
    <t>Calle 117 145, La Plata, Buenos Aires, Argentina</t>
  </si>
  <si>
    <t>Calle 22 1500, La Plata, Buenos Aires, Argentina</t>
  </si>
  <si>
    <t>Calle 44 115, La Plata, Buenos Aires, Argentina</t>
  </si>
  <si>
    <t>Av 32 488, La Plata, Buenos Aires, Argentina</t>
  </si>
  <si>
    <t>CARBAJO SUSANA</t>
  </si>
  <si>
    <t>Calle 123 922, Ensenada, Buenos Aires</t>
  </si>
  <si>
    <t>3 1117 La Plata, Buenos Aires</t>
  </si>
  <si>
    <t>Calle 6 1926, Ringuelet, Buenos Aires, Argentina</t>
  </si>
  <si>
    <t>COMISSO RAMIRO</t>
  </si>
  <si>
    <t>Calle 20 1315 La Plata, Buenos Aires, Argentina</t>
  </si>
  <si>
    <t>COUYET FERNANDO</t>
  </si>
  <si>
    <t xml:space="preserve">Calle 41 1049 La Plata, Buenos Aires, Argentina </t>
  </si>
  <si>
    <t>CREVY, HUGO JOS‚</t>
  </si>
  <si>
    <t>13 875 La Plata, Buenos Aires</t>
  </si>
  <si>
    <t>CURUBETO GIANLUCA</t>
  </si>
  <si>
    <t>10 1379 La Plata, Buenos Aires Argentina</t>
  </si>
  <si>
    <t>CURUCHAGA,LUIS ADOLFFO</t>
  </si>
  <si>
    <t>116 1573 Buenos Aires Argentina</t>
  </si>
  <si>
    <t>71 33 La Plata Buenos Aires Argentina</t>
  </si>
  <si>
    <t>Calle 47 322, La Plata, Buenos Aires, Argentina</t>
  </si>
  <si>
    <t>Calle 6 250, La Plata, Buenos Aires, Argentina</t>
  </si>
  <si>
    <t>Calle 42, Ensenada, Buenos Aires, Argentina</t>
  </si>
  <si>
    <t>Av 32 752, La Plata, Buenos Aires, Argentina</t>
  </si>
  <si>
    <t>ETCHEVESE HORACIO</t>
  </si>
  <si>
    <t>3 1160 La Plata, Buenos Aires, Argentina</t>
  </si>
  <si>
    <t>63 177 La Plata, Buenos Aires, Argentina</t>
  </si>
  <si>
    <t>Av 60 1569, La Plata, Buenos Aires, Argentina</t>
  </si>
  <si>
    <t>6 1628 Buenos Aires Argentina</t>
  </si>
  <si>
    <t>Calle 123 Bis 50, Ensenada, Buenos Aires, Argentina</t>
  </si>
  <si>
    <t>Calle 10 700, La Plata, Buenos Aires, Argentina</t>
  </si>
  <si>
    <t>Calle 10 840, La Plata, Buenos Aires, Argentina</t>
  </si>
  <si>
    <t>Av 51 1082, La Plata, Buenos Aires, Argentina</t>
  </si>
  <si>
    <t>Calle 41 705, La Plata, Buenos Aires, Argentina</t>
  </si>
  <si>
    <t>Calle 526 1500, Tolosa, Buenos Aires, Argentina</t>
  </si>
  <si>
    <t>Calle 50 470, La Plata, Buenos Aires, Argentina</t>
  </si>
  <si>
    <t>Calle 62 686, La Plata, Buenos Aires, Argentina</t>
  </si>
  <si>
    <t>MARCHETTI , JUAN</t>
  </si>
  <si>
    <t>Calle 10 426, Tolosa, Buenos Aires, Argentina</t>
  </si>
  <si>
    <t>Calle 500 2768 Gonnet, Buenos Aires, Argentina</t>
  </si>
  <si>
    <t>62 1321 La Plata, Buenos Aires, Argentina</t>
  </si>
  <si>
    <t>Calle 525 1260, Tolosa, Buenos Aires</t>
  </si>
  <si>
    <t>Avenida 60 1569, La Plata, Buenos Aires</t>
  </si>
  <si>
    <t>Av 1 1326, La Plata, Buenos Aires</t>
  </si>
  <si>
    <t>Avenida 53 1358, La Plata, Buenos Aires</t>
  </si>
  <si>
    <t>Av 32 1376, La Plata, Buenos Aires, Argentina</t>
  </si>
  <si>
    <t>Calle 80 800, Altos de San Lorenzo, Buenos Aires</t>
  </si>
  <si>
    <t>Calle 48 1725, La Plata, Buenos Aires</t>
  </si>
  <si>
    <t>PELLEGRINI, LUIS (HONORARIO)</t>
  </si>
  <si>
    <t>PESCI, JOS‚ PEDRO</t>
  </si>
  <si>
    <t>Calle 57 400, La Plata, Buenos Aires</t>
  </si>
  <si>
    <t>PIETRA FIGUEREDO</t>
  </si>
  <si>
    <t>Calle 527 1463, Tolosa, Buenos Aires</t>
  </si>
  <si>
    <t>PORTALES MARIA LAURA</t>
  </si>
  <si>
    <t>Av 44 1075, La Plata, Buenos Aires, Argentina</t>
  </si>
  <si>
    <t>QUARTI CARMEN</t>
  </si>
  <si>
    <t>Calle 3 1117, La Plata, Buenos Aires</t>
  </si>
  <si>
    <t>Calle 36 925, La Plata, Buenos Aires, Argentina</t>
  </si>
  <si>
    <t>Calle 35 338, La Plata, Buenos Aires, Argentina</t>
  </si>
  <si>
    <t>RODRIGUEZ SANTOS M.ELENA</t>
  </si>
  <si>
    <t>Calle 20 844, La Plata, Buenos Aires, Argentina</t>
  </si>
  <si>
    <t>Calle 2 2442, Villa Elvira, Buenos Aires</t>
  </si>
  <si>
    <t>Calle 3 346, La Plata, Buenos Aires, Argentina</t>
  </si>
  <si>
    <t>Calle 528 998 1/2 , Tolosa, Buenos Aires</t>
  </si>
  <si>
    <t>Calle 22 1475, La Plata, Buenos Aires, Argentina</t>
  </si>
  <si>
    <t>Calle 46 503, La Plata, Buenos Aires, Argentina</t>
  </si>
  <si>
    <t>SPACAPAN,MA.VICTORIA</t>
  </si>
  <si>
    <t>STEI,JORGE</t>
  </si>
  <si>
    <t>Calle 45 1470, La Plata, Buenos Aires</t>
  </si>
  <si>
    <t>STEI NEHUEN</t>
  </si>
  <si>
    <t>Calle 6 1160, Tolosa, Buenos Aires</t>
  </si>
  <si>
    <t>Calle 12 659, La Plata, Buenos Aires, Argentina</t>
  </si>
  <si>
    <t>Calle 39 709, La Plata, Buenos Aires, Argentina</t>
  </si>
  <si>
    <t>Calle 6 1926, Ringuelet, Buenos Aires</t>
  </si>
  <si>
    <t>Calle 529 2025, Tolosa, Buenos Aires, Argentina</t>
  </si>
  <si>
    <t>VILLANUEVA, PATRICIO EDUARDO</t>
  </si>
  <si>
    <t>Av 38 375, La Plata, Buenos Aires, Argentina</t>
  </si>
  <si>
    <t>Calle 503 2972, Gonnet, Buenos Aires</t>
  </si>
  <si>
    <t>Cuna</t>
  </si>
  <si>
    <t>A24</t>
  </si>
  <si>
    <t>A25</t>
  </si>
  <si>
    <t>A26</t>
  </si>
  <si>
    <t>A27</t>
  </si>
  <si>
    <t>A30</t>
  </si>
  <si>
    <t>A31</t>
  </si>
  <si>
    <t>A36</t>
  </si>
  <si>
    <t>A37</t>
  </si>
  <si>
    <t>A42</t>
  </si>
  <si>
    <t>A43</t>
  </si>
  <si>
    <t>A44</t>
  </si>
  <si>
    <t>A45</t>
  </si>
  <si>
    <t>A48</t>
  </si>
  <si>
    <t>B01</t>
  </si>
  <si>
    <t>B02</t>
  </si>
  <si>
    <t>B07</t>
  </si>
  <si>
    <t>B08</t>
  </si>
  <si>
    <t>B14</t>
  </si>
  <si>
    <t>B21</t>
  </si>
  <si>
    <t>B28</t>
  </si>
  <si>
    <t>B35</t>
  </si>
  <si>
    <t>C07</t>
  </si>
  <si>
    <t>C08</t>
  </si>
  <si>
    <t>C10</t>
  </si>
  <si>
    <t>C12</t>
  </si>
  <si>
    <t>C14</t>
  </si>
  <si>
    <t>C15</t>
  </si>
  <si>
    <t>LIBRE</t>
  </si>
  <si>
    <t>C22</t>
  </si>
  <si>
    <t>C29</t>
  </si>
  <si>
    <t>C30</t>
  </si>
  <si>
    <t>C31</t>
  </si>
  <si>
    <t>C35</t>
  </si>
  <si>
    <t>E16</t>
  </si>
  <si>
    <t>E20</t>
  </si>
  <si>
    <t>E25</t>
  </si>
  <si>
    <t>E34</t>
  </si>
  <si>
    <t>E42</t>
  </si>
  <si>
    <t>E48</t>
  </si>
  <si>
    <t>E49</t>
  </si>
  <si>
    <t>E51</t>
  </si>
  <si>
    <t>E55</t>
  </si>
  <si>
    <t>Nro. Cuna</t>
  </si>
  <si>
    <t>V2</t>
  </si>
  <si>
    <t>V6</t>
  </si>
  <si>
    <t>V7</t>
  </si>
  <si>
    <t>V16</t>
  </si>
  <si>
    <t>V28</t>
  </si>
  <si>
    <t>V36</t>
  </si>
  <si>
    <t>V43</t>
  </si>
  <si>
    <t>v46</t>
  </si>
  <si>
    <t>V47</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</si>
  <si>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</si>
  <si>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</si>
  <si>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</si>
  <si>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</si>
  <si>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</si>
  <si>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</si>
  <si>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</si>
  <si>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</si>
  <si>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</si>
  <si>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</si>
  <si>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</si>
  <si>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</si>
  <si>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</si>
  <si>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</si>
  <si>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</si>
  <si>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</si>
  <si>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</si>
  <si>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</si>
  <si>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</si>
  <si>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</si>
  <si>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</si>
  <si>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</si>
  <si>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</si>
  <si>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</si>
  <si>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</si>
  <si>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</si>
  <si>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</si>
  <si>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</si>
  <si>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</si>
  <si>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</si>
  <si>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V500</t>
  </si>
  <si>
    <t>V501</t>
  </si>
  <si>
    <t>V502</t>
  </si>
  <si>
    <t>V503</t>
  </si>
  <si>
    <t>V504</t>
  </si>
  <si>
    <t>V505</t>
  </si>
  <si>
    <t>V506</t>
  </si>
  <si>
    <t>V507</t>
  </si>
  <si>
    <t>V508</t>
  </si>
  <si>
    <t>V509</t>
  </si>
  <si>
    <t>V510</t>
  </si>
  <si>
    <t>V511</t>
  </si>
  <si>
    <t>V512</t>
  </si>
  <si>
    <t>V513</t>
  </si>
  <si>
    <t>V514</t>
  </si>
  <si>
    <t>V515</t>
  </si>
  <si>
    <t>V516</t>
  </si>
  <si>
    <t>V517</t>
  </si>
  <si>
    <t>V518</t>
  </si>
  <si>
    <t>V519</t>
  </si>
  <si>
    <t>V520</t>
  </si>
  <si>
    <t>V524</t>
  </si>
  <si>
    <t>V525</t>
  </si>
  <si>
    <t>V526</t>
  </si>
  <si>
    <t>V527</t>
  </si>
  <si>
    <t>V528</t>
  </si>
  <si>
    <t>V529</t>
  </si>
  <si>
    <t>V530</t>
  </si>
  <si>
    <t>V531</t>
  </si>
  <si>
    <t>V532</t>
  </si>
  <si>
    <t>V533</t>
  </si>
  <si>
    <t>V534</t>
  </si>
  <si>
    <t>V535</t>
  </si>
  <si>
    <t>V536</t>
  </si>
  <si>
    <t>V537</t>
  </si>
  <si>
    <t>V538</t>
  </si>
  <si>
    <t>V539</t>
  </si>
  <si>
    <t>V540</t>
  </si>
  <si>
    <t>V541</t>
  </si>
  <si>
    <t>V542</t>
  </si>
  <si>
    <t>V543</t>
  </si>
  <si>
    <t>V544</t>
  </si>
  <si>
    <t>V545</t>
  </si>
  <si>
    <t>V546</t>
  </si>
  <si>
    <t>V547</t>
  </si>
  <si>
    <t>V548</t>
  </si>
  <si>
    <t>V549</t>
  </si>
  <si>
    <t>V550</t>
  </si>
  <si>
    <t>V551</t>
  </si>
  <si>
    <t>V552</t>
  </si>
  <si>
    <t>V553</t>
  </si>
  <si>
    <t>V554</t>
  </si>
  <si>
    <t>V555</t>
  </si>
  <si>
    <t>V556</t>
  </si>
  <si>
    <t>V557</t>
  </si>
  <si>
    <t>V558</t>
  </si>
  <si>
    <t>V559</t>
  </si>
  <si>
    <t>V560</t>
  </si>
  <si>
    <t>V561</t>
  </si>
  <si>
    <t>V562</t>
  </si>
  <si>
    <t>Gancho</t>
  </si>
  <si>
    <t>G1</t>
  </si>
  <si>
    <t>G2</t>
  </si>
  <si>
    <t>G3</t>
  </si>
  <si>
    <t>G4</t>
  </si>
  <si>
    <t>G5</t>
  </si>
  <si>
    <t>G6</t>
  </si>
  <si>
    <t>G7</t>
  </si>
  <si>
    <t>G8</t>
  </si>
  <si>
    <t>G9</t>
  </si>
  <si>
    <t>G10</t>
  </si>
  <si>
    <t>G11</t>
  </si>
  <si>
    <t>G12</t>
  </si>
  <si>
    <t>G13</t>
  </si>
  <si>
    <t>G14</t>
  </si>
  <si>
    <t>G15</t>
  </si>
  <si>
    <t>G16</t>
  </si>
  <si>
    <t>G17</t>
  </si>
  <si>
    <t>G18</t>
  </si>
  <si>
    <t>G19</t>
  </si>
  <si>
    <t>G20</t>
  </si>
  <si>
    <t>G21</t>
  </si>
  <si>
    <t>INCAUTADA EN MICRO</t>
  </si>
  <si>
    <t>G22</t>
  </si>
  <si>
    <t>G23</t>
  </si>
  <si>
    <t>G24</t>
  </si>
  <si>
    <t>G25</t>
  </si>
  <si>
    <t>G26</t>
  </si>
  <si>
    <t>G27</t>
  </si>
  <si>
    <t>G28</t>
  </si>
  <si>
    <t>G29</t>
  </si>
  <si>
    <t>G35</t>
  </si>
  <si>
    <t>G40</t>
  </si>
  <si>
    <t>G45</t>
  </si>
  <si>
    <t>G48</t>
  </si>
  <si>
    <t>G52</t>
  </si>
  <si>
    <t>G64</t>
  </si>
  <si>
    <t>G65</t>
  </si>
  <si>
    <t>G67</t>
  </si>
  <si>
    <t>G68</t>
  </si>
  <si>
    <t>G69</t>
  </si>
  <si>
    <t>G70</t>
  </si>
  <si>
    <t>G76</t>
  </si>
  <si>
    <t>G84</t>
  </si>
  <si>
    <t>G87</t>
  </si>
  <si>
    <t>G88</t>
  </si>
  <si>
    <t>G89</t>
  </si>
  <si>
    <t>G92</t>
  </si>
  <si>
    <t>G93</t>
  </si>
  <si>
    <t>G94</t>
  </si>
  <si>
    <t>G95</t>
  </si>
  <si>
    <t>G96</t>
  </si>
  <si>
    <t>G97</t>
  </si>
  <si>
    <t>G98</t>
  </si>
  <si>
    <t>G99</t>
  </si>
  <si>
    <t>G100</t>
  </si>
  <si>
    <t>G103</t>
  </si>
  <si>
    <t>G104</t>
  </si>
  <si>
    <t>G106</t>
  </si>
  <si>
    <t>G107</t>
  </si>
  <si>
    <t>G108</t>
  </si>
  <si>
    <t>G109</t>
  </si>
  <si>
    <t>G110</t>
  </si>
  <si>
    <t>G111</t>
  </si>
  <si>
    <t>G112</t>
  </si>
  <si>
    <t>G113</t>
  </si>
  <si>
    <t>G114</t>
  </si>
  <si>
    <t>G117</t>
  </si>
  <si>
    <t>G118</t>
  </si>
  <si>
    <t xml:space="preserve">   </t>
  </si>
  <si>
    <t>Grande</t>
  </si>
  <si>
    <t>Chico</t>
  </si>
  <si>
    <t>L20</t>
  </si>
  <si>
    <t>L24</t>
  </si>
  <si>
    <t>L27</t>
  </si>
  <si>
    <t>L30</t>
  </si>
  <si>
    <t>L31</t>
  </si>
  <si>
    <t>L49</t>
  </si>
  <si>
    <t>L50</t>
  </si>
  <si>
    <t>L53</t>
  </si>
  <si>
    <t>ARCHI SIN PUERTA</t>
  </si>
  <si>
    <t>L55</t>
  </si>
  <si>
    <t>ALAMBRE Y CANDADO???</t>
  </si>
  <si>
    <t>L60</t>
  </si>
  <si>
    <t>SIN PUERTA</t>
  </si>
  <si>
    <t>L67</t>
  </si>
  <si>
    <t>??</t>
  </si>
  <si>
    <t>SK14</t>
  </si>
  <si>
    <t>SC13</t>
  </si>
  <si>
    <t>SB07</t>
  </si>
  <si>
    <t>A11</t>
  </si>
  <si>
    <t>SK18</t>
  </si>
  <si>
    <t>LD1</t>
  </si>
  <si>
    <t>A09</t>
  </si>
  <si>
    <t>GARCIA FACUNDO</t>
  </si>
  <si>
    <t>LD2</t>
  </si>
  <si>
    <t>sec</t>
  </si>
  <si>
    <t>iglu</t>
  </si>
  <si>
    <t>Consulta de Vitalicios a partir de una fecha dada. Cambie la fecha para hacer proyecciones a futuro. Haciendo doble click sobre la fecha aparece el calendario.</t>
  </si>
  <si>
    <t xml:space="preserve">Vitalicios al </t>
  </si>
  <si>
    <t>Vitalicio desde</t>
  </si>
  <si>
    <t>Locker</t>
  </si>
  <si>
    <t>LD3</t>
  </si>
  <si>
    <t>LD4</t>
  </si>
  <si>
    <t>LD5</t>
  </si>
  <si>
    <t>LD6</t>
  </si>
  <si>
    <t>LD7</t>
  </si>
  <si>
    <t>LD8</t>
  </si>
  <si>
    <t>LD9</t>
  </si>
  <si>
    <t>LD10</t>
  </si>
  <si>
    <t>Nro.tipo</t>
  </si>
  <si>
    <t>Cant. cuotas</t>
  </si>
  <si>
    <t>Fecha de secuestro</t>
  </si>
  <si>
    <t>Fecha de devolución</t>
  </si>
  <si>
    <t>Meses en depósito</t>
  </si>
  <si>
    <t>Costo depósito</t>
  </si>
  <si>
    <t>Descripcion del equipo secuestrado</t>
  </si>
  <si>
    <t>Ubicación Física del equipo secuestrado</t>
  </si>
  <si>
    <t>TABLA HI FLIX SIN QUILLA Y BOTAVARA CHICA VELA NEILPRYDE 6.8 FUNDA NEGRA ROTA</t>
  </si>
  <si>
    <t>MICRO</t>
  </si>
  <si>
    <t>SC14</t>
  </si>
  <si>
    <t>TABLA F2 BLANCA CON ORZA Y CON QUILLA BOTAVARA AMARILLA Y CON DRIZA</t>
  </si>
  <si>
    <t>SC32</t>
  </si>
  <si>
    <t>TABLA MISTRAL SST BLANCA CON QUILLA Y ORZA, BOTAVARA CON DRIZA SOGA BLANCDA ROJA Y NEGRA</t>
  </si>
  <si>
    <t>SC09</t>
  </si>
  <si>
    <t>TABLA F2 CON QUILLA ORZA Y PIE DE MASTIL VELA NEILPRYDE 7.3 ONE DESIGN SAIL CON FUNDA GRIS</t>
  </si>
  <si>
    <t>SC17</t>
  </si>
  <si>
    <t>TABLA MISTRAL EQUIPE BLANCA CON ORZA Y QUILLA BOTAVARA AZUL CON DRIZA</t>
  </si>
  <si>
    <t>SC10</t>
  </si>
  <si>
    <t>TABLA MISTRAL TARIFA BLANCA CON QUILLA TABLA WATERLOOK BLANCA CON QUILLA BOTAVARA CHINOK AZUL VELA NAISH SAIL HAWAI I 5.75 CON FUNDA VERDOSA</t>
  </si>
  <si>
    <t>SG16</t>
  </si>
  <si>
    <t>VELA NAISH 6.4 PAÑO ROTO CHICO ARRIBA EXTENSOR CHINOK SIN PIE MASTIL NEIL RYDE 4.60 FREERIDE CODIGO 100811316</t>
  </si>
  <si>
    <t>DUEÑO DESCONOCIDO</t>
  </si>
  <si>
    <t>SG20</t>
  </si>
  <si>
    <t>GAASTRA VIEJA REPARADA 5.7 VIOLETA Y ROSA MASTIL POWEREK 4.90 2 TRAMOS CON PROTECTOR DE BOTAVARA EN PALO EXTENSOR CHINOK CORTO</t>
  </si>
  <si>
    <t>SG49</t>
  </si>
  <si>
    <t>VELA NEILPRYDE 5.5 NVA TRANSPARENCIA VERDE MASTIL CELETE FIBRA VIEJO EXTENSOR CHINOK CHICO</t>
  </si>
  <si>
    <t>SG65</t>
  </si>
  <si>
    <t>VELA MAUI NUEVA LEGEND NARANJA Y NEGRA MASTIL REFLEX 3000 EXTENSOR GAASTRA CROMADO</t>
  </si>
  <si>
    <t>SG62</t>
  </si>
  <si>
    <t>VELA NELLPRYDE 6.5 FREERIDE  MASTIL CONSTANT FLEX 1 TRAMO SIN PUNTERA EXTENSOR NEILPRYDE CON TORNILLO Y TUERCA</t>
  </si>
  <si>
    <t>SG72</t>
  </si>
  <si>
    <t>VELA WOLWORK 5.1 VIEJA MASTIL DE ALUMINIO EXTENSOR CHINOK CHICO</t>
  </si>
  <si>
    <t>SG80</t>
  </si>
  <si>
    <t>NEILPRYDE VX NARANJA Y CELESTE MASTIL 4.30 / 2 TRAMOS EXTENSOR SAVE THE WALE</t>
  </si>
  <si>
    <t>SG99</t>
  </si>
  <si>
    <t>VELA NEILPRYDE 7.0 ROJA Y AZUL MASTIL NEILPRYDE 4.60 EXTENSOR MISTRAL</t>
  </si>
  <si>
    <t>SA42</t>
  </si>
  <si>
    <t>TABLA TECHNO 283 152 LITROS AZUL CON STRAPS NEGROS SIN QUILLA CON FUNDA GRIS, SIN DUEÑO CONOCIDO EN A42 SIN PAGO **    ERA DE LA A20  ESTA AL DIA Y CAMBIADA DE LUGAR  ****</t>
  </si>
  <si>
    <t>SB14</t>
  </si>
  <si>
    <t>TABLA VELOCE RACETECH SPECTRA BLANCA CON STRAPS NEGROS Y ROJOS CON QUILLA FREE FOIL 300 CON FUNDA EPIC GEAR ROJA Y GRIS, VELA NEILPRYDE VX 5.5 FUNDA MARRON SIN DUEÑO CONOCIDO EN B14 SIN PAGO</t>
  </si>
  <si>
    <t>SK64</t>
  </si>
  <si>
    <t>NO ESTA SECUESTRADO  PERO NO PUEDO BORRAR LA LINEA  16/08/2015  HANS</t>
  </si>
  <si>
    <t>SB30</t>
  </si>
  <si>
    <t>-</t>
  </si>
  <si>
    <t>Esta cuna la tomo Esteban De Pierri, no se si el equipo de Pellettieri estaba en la cuna, ni donde esta ahora, pero lo pongo aca para que se sepa la deuda - Se la paso a Esteban Depierri, no tiene que pagar deposito</t>
  </si>
  <si>
    <t>SB16</t>
  </si>
  <si>
    <t>Esta cuna la tomo otro socio no se donde esta ahora su equipo, pero lo pongo aca para que se sepa la deuda</t>
  </si>
  <si>
    <t>Nro. Guardería</t>
  </si>
  <si>
    <t>SK40</t>
  </si>
  <si>
    <t>GUARDERIA DE KAYAK AL FONDO</t>
  </si>
  <si>
    <t>NO ESTA EL KAYAK</t>
  </si>
  <si>
    <t>MONEDA PABLO</t>
  </si>
  <si>
    <t>SPACAPAN M. VICTORIA</t>
  </si>
  <si>
    <t>desconocido</t>
  </si>
  <si>
    <t>TABLA TECHNO 283 152 LITROS AZUL CON STRAPS NEGROS SIN QUILLA CON FUNDA GRIS, SIN DUEÑO CONOCIDO EN A42 SIN PAGO</t>
  </si>
  <si>
    <t>GROBA HORACIO</t>
  </si>
  <si>
    <t>NIÑO GOMEZ MARIANO</t>
  </si>
  <si>
    <t>DELIZZIA LEONARDO</t>
  </si>
  <si>
    <t>valor vigente</t>
  </si>
  <si>
    <t>Periodo de precios</t>
  </si>
  <si>
    <t>Mes de pago</t>
  </si>
  <si>
    <t>Clave</t>
  </si>
  <si>
    <t>Periodo precio</t>
  </si>
  <si>
    <t>Precio</t>
  </si>
  <si>
    <t>% Comision</t>
  </si>
  <si>
    <t>.Socio</t>
  </si>
  <si>
    <t>cuna Kayak</t>
  </si>
  <si>
    <t>Vela</t>
  </si>
  <si>
    <t>Depósito</t>
  </si>
  <si>
    <t>Cuna Kayak</t>
  </si>
  <si>
    <t>Cuna windsurf</t>
  </si>
  <si>
    <t>Invitado (Varón)</t>
  </si>
  <si>
    <t>Invitado mujer</t>
  </si>
  <si>
    <t>Invitado</t>
  </si>
  <si>
    <t>Invitado c/acceso a bajada náutica</t>
  </si>
  <si>
    <t>Alumnos</t>
  </si>
  <si>
    <t>Periodo precios</t>
  </si>
  <si>
    <t>Desde</t>
  </si>
  <si>
    <t>Abril 2013</t>
  </si>
  <si>
    <t>Agosto 2013</t>
  </si>
  <si>
    <t>Septiembre 2013</t>
  </si>
  <si>
    <t>Diciembre 2013</t>
  </si>
  <si>
    <t>Enero 2014</t>
  </si>
  <si>
    <t>emero 2024</t>
  </si>
  <si>
    <t>Aquí es posible ver rápidamete si en alguna de las guarderías hay alguna cuna, gancho o locker asignado a mas de un socio. Si es así, hay que ir a la guardería correspondiente y revisar la columna "Control de Asignación" para verificar cual es y corregirlo.</t>
  </si>
  <si>
    <t>Guarderia</t>
  </si>
  <si>
    <t>CUNAS-KAYAK</t>
  </si>
  <si>
    <t>CUNAS WS</t>
  </si>
  <si>
    <t>LOCKERS</t>
  </si>
  <si>
    <t>LOCKERS KITE</t>
  </si>
  <si>
    <t>VELAS WINDSURF</t>
  </si>
  <si>
    <t>VELEROS</t>
  </si>
  <si>
    <t>Tipo de novedad</t>
  </si>
  <si>
    <t>Descripción de la novedad completa</t>
  </si>
  <si>
    <t>Usuario</t>
  </si>
  <si>
    <t>ALTA DE SOCIO</t>
  </si>
  <si>
    <t xml:space="preserve">NRO. 1459  DELOS ARIEL GERARDO FECHA INGRESO  </t>
  </si>
  <si>
    <t>Hans</t>
  </si>
  <si>
    <t>NRO. 1460  BILOS CLAUDIO</t>
  </si>
  <si>
    <t>hans</t>
  </si>
  <si>
    <t>NRO. 1461 CUELLO JULIO CESAR</t>
  </si>
  <si>
    <t>BAJA CUNA</t>
  </si>
  <si>
    <t>NRO. 1112  CHEANG LETICIA  CUNA A36</t>
  </si>
  <si>
    <t>NRO. 1358 SANBARTOLOME MARCELO  KAYAC  K41</t>
  </si>
  <si>
    <t>BAJA SOCIO</t>
  </si>
  <si>
    <t>NRO. 1156 MENDEZ OSVALDO   AL DIA</t>
  </si>
  <si>
    <t>NRO. 1442 BRAZIUNAS HECTOR DEJA CUNA WINDSURF B18</t>
  </si>
  <si>
    <t>TOMA KAYAC</t>
  </si>
  <si>
    <t>NRO. 1460 BILOS CLAUDIO TOMA CUNA KAYAC AFUERA</t>
  </si>
  <si>
    <t>TOMA LOCKER</t>
  </si>
  <si>
    <t>NRO. 1461 CUELLO JULIO CESAR TOMA LOCKER NRO. 22</t>
  </si>
  <si>
    <t>TOMA VELERO</t>
  </si>
  <si>
    <t xml:space="preserve">NRO. 1461 CUELLO JULIO CESAR TOMA VELERO SIN NRO. </t>
  </si>
  <si>
    <t>BAJA VELERO</t>
  </si>
  <si>
    <t>Socio 1184, tenia el V39 y V40 por pedido de Ceci borre el V40 que ahora quedo libre</t>
  </si>
  <si>
    <t>Gustavo</t>
  </si>
  <si>
    <t>NRO 1462 falta completar datos (HANS). Le asignè la cuna de kayak K06 provisoriamente porque estaba desocupada</t>
  </si>
  <si>
    <t>TOMA KAYAK</t>
  </si>
  <si>
    <t>NRO. 1454 SANCHEZ SEBASTIAN TOMA KAYAK K37 PAGO MAYO/13</t>
  </si>
  <si>
    <t>HANS</t>
  </si>
  <si>
    <t>CAMBIO KAYAK</t>
  </si>
  <si>
    <t>NRO. 1462 AGUILAR MARINA CAMBIO CUNA KAYAK k06 POR k43 PAGO MAYO/13</t>
  </si>
  <si>
    <t>MODIF. AL PADRON</t>
  </si>
  <si>
    <t xml:space="preserve">SE AGREGARON DIRECCION DE MAILS A SOCIOS QUE PAGAN POR BANCO (ENVIO MECHE)  </t>
  </si>
  <si>
    <t>NRO. 1253 SORENSEN CHRISTIAN</t>
  </si>
  <si>
    <t>NRO. 1281 GUTIERREZ DARDO</t>
  </si>
  <si>
    <t>VELAS</t>
  </si>
  <si>
    <t>NRO 1281 GUTIERREZ DARDO DEJA GANCHO G62</t>
  </si>
  <si>
    <t>LOCKER</t>
  </si>
  <si>
    <t>NRO. 1218 MARKOTA FERNANDO DEJA LOCKER L6</t>
  </si>
  <si>
    <t>NRO. 1323 AÑON SUAREZ</t>
  </si>
  <si>
    <t>CUNA WS</t>
  </si>
  <si>
    <t>NRO. 1323 AÑON SUAREZ DEJA CUNA WS A27</t>
  </si>
  <si>
    <t>NRO. 1323 AÑON SUAREZ DEJA GANCHO 48</t>
  </si>
  <si>
    <t>NRO. 13 PELLEGRINI LUIS DEJA KAYAK K39</t>
  </si>
  <si>
    <t>NRO. 1320 DESCHAMP JULIANA</t>
  </si>
  <si>
    <t>NRO. 1320 DESCHAMP JULIANA DEJA CUNA WS A13</t>
  </si>
  <si>
    <t>NRO. 1316 ESTREMERA FABIO TOMA CUNA WS A13</t>
  </si>
  <si>
    <t>NRO. 68  VELICEK SERGIO</t>
  </si>
  <si>
    <t>NRO. 1463 FERNANDEZ PEREIRA TOMA CUNA K16</t>
  </si>
  <si>
    <t>NRO. 1464 CARDOZO FRANCISCO TOMA VELERO SIN NRO.</t>
  </si>
  <si>
    <t>NRO. 1250 HENRIQUEZ DANIEL TIENE EL GANCHO 104</t>
  </si>
  <si>
    <t>SOCIO NUEVO</t>
  </si>
  <si>
    <t xml:space="preserve">NRO. 1465 SCIARRETTO JOAQUIN </t>
  </si>
  <si>
    <t>CUNA WINDSURF</t>
  </si>
  <si>
    <t>NRO. 1303 AZCARZA GERARDO DEJA CUNA C31 AL DIA</t>
  </si>
  <si>
    <t>KAYAK SOCIO NUEVO</t>
  </si>
  <si>
    <t>NRO. 1466 HEGUILAR GUSTAVO TOMA CUNA K506</t>
  </si>
  <si>
    <t>KAYAK SOCO NUEVO</t>
  </si>
  <si>
    <t>NRO. 1467 GENTILETTTI MARTIN TOMA CUNA K31</t>
  </si>
  <si>
    <t>NRO. 1185 DUBOR TEOFILO</t>
  </si>
  <si>
    <t>NRO. 1184 VAZQUEZ MERCEDES</t>
  </si>
  <si>
    <t>NRO. 1377 DORATI ALICIA</t>
  </si>
  <si>
    <t>SECUESTRO</t>
  </si>
  <si>
    <t>NRO. 1200 DEMAESTRI DIEGO SE SECUESTRO TABLA, VELAS BOTAVARA MASTIL DE CUNA C07 EN MICRO</t>
  </si>
  <si>
    <t>NRO. 1394 CAVADA SONIA SE SECUESTRO VELA DE GANCHO G18 EN MICRO</t>
  </si>
  <si>
    <t>NRO. 1328 GALVANI ALEJANDRO SE SECUESTRO VELA DE GANCHO G21 EN MICRO</t>
  </si>
  <si>
    <t>NRO. 1055 MENVIELLE  AL DIA</t>
  </si>
  <si>
    <t>NRO. 1218 MARKOTA FERNANDO AL DIA</t>
  </si>
  <si>
    <t>NRO. 1319 ARRONDO IGNACIO</t>
  </si>
  <si>
    <t>Cambio de .socio a Cadete</t>
  </si>
  <si>
    <t>NRO. 1415 (Franco Cortina) estaba en planilla de pago como .Socio y corresponde Cadete ( Observado por Cecilia) Habria que decidir que hacer con lo cobrado demás en función que ya se ha cobrado como socio desde el comienzo del nuevo sistema</t>
  </si>
  <si>
    <t>NRO. 1394 CAVADA SONIA SE SECUESTRO VELA DE GANCHO G18 EN MICRO Y TABLA EN CUNA B27 EN MICRO</t>
  </si>
  <si>
    <t>NRO. 1339 SANZ IGNACIO SE SECUESTRO KAYAK K40 EN GUARDERIA (AL FONDO) Y SE LIBERA CUNA K40</t>
  </si>
  <si>
    <t xml:space="preserve">BAJA CON DEUDA </t>
  </si>
  <si>
    <t>NRO. 1354 LOPEZ OMAR SE LIBERA CUNA K18 NO ESTA EL KAYAK</t>
  </si>
  <si>
    <t>NRO. 1255 REYNOSO CARLOS ALBERTO SE LIBERA CUNA K14 NO ESTA EL KAYAK</t>
  </si>
  <si>
    <t>GANCHO VELA LIBRE</t>
  </si>
  <si>
    <t>NRO. 1200 DEMAESTRI DIEGO SE LIBERA GANCHO G107 ERA DEUDA DEL 2009  **  INCOBRABLE  **</t>
  </si>
  <si>
    <t>Duplicado en PAGOS</t>
  </si>
  <si>
    <t>El socio 1470 aparecía duplicado en la planilla de pagos (desde Agosto 2013) lo borre en todas, deje uno solo.</t>
  </si>
  <si>
    <t>addresskey</t>
  </si>
  <si>
    <t>latitude</t>
  </si>
  <si>
    <t>longitude</t>
  </si>
  <si>
    <t>flag</t>
  </si>
  <si>
    <t>a32E22Y23BuenosAiresArgentina</t>
  </si>
  <si>
    <t>-34.91507230000001</t>
  </si>
  <si>
    <t>-57.9837949</t>
  </si>
  <si>
    <t>a32E22Y23ImprentaBuenosAiresArgentina</t>
  </si>
  <si>
    <t>-34.574606</t>
  </si>
  <si>
    <t>-58.51788920000001</t>
  </si>
  <si>
    <t>a50Nro889Piso2BuenosAiresArgentina</t>
  </si>
  <si>
    <t>-34.6952553</t>
  </si>
  <si>
    <t>-58.4464417</t>
  </si>
  <si>
    <t>a12E748Y49BuenosAiresArgentina</t>
  </si>
  <si>
    <t>-34.8954724</t>
  </si>
  <si>
    <t>-60.01914230000001</t>
  </si>
  <si>
    <t>a117Nro145Esq38BuenosAiresArgentina</t>
  </si>
  <si>
    <t>-34.6170349</t>
  </si>
  <si>
    <t>-58.5227203</t>
  </si>
  <si>
    <t>a117Y38Nro145BuenosAiresArgentina</t>
  </si>
  <si>
    <t>-34.893017</t>
  </si>
  <si>
    <t>-57.9586861</t>
  </si>
  <si>
    <t>a22E62Y63BuenosAiresArgentina</t>
  </si>
  <si>
    <t>-34.9128529</t>
  </si>
  <si>
    <t>-57.9286775</t>
  </si>
  <si>
    <t>a44Y115TenisHipodromoBuenosAiresArgentina</t>
  </si>
  <si>
    <t>-34.6037232</t>
  </si>
  <si>
    <t>-58.3815931</t>
  </si>
  <si>
    <t>a32Nro488BuenosAiresArgentina</t>
  </si>
  <si>
    <t>-27.4927184</t>
  </si>
  <si>
    <t>-64.8672309</t>
  </si>
  <si>
    <t>a123Nro922BuenosAiresArgentina</t>
  </si>
  <si>
    <t>-32.4177268</t>
  </si>
  <si>
    <t>-63.25385240000001</t>
  </si>
  <si>
    <t>a3Nro1117EsqDiag78BuenosAiresArgentina</t>
  </si>
  <si>
    <t>a6Nro1926E512Y513BuenosAiresArgentina</t>
  </si>
  <si>
    <t>-33.8797645</t>
  </si>
  <si>
    <t>-60.5644552</t>
  </si>
  <si>
    <t>a20Nro1315E59Y60BuenosAiresArgentina</t>
  </si>
  <si>
    <t>-34.6389124</t>
  </si>
  <si>
    <t>-58.550593</t>
  </si>
  <si>
    <t>a41Nro1049Esq16AsegurBuenosAiresArgentina</t>
  </si>
  <si>
    <t>a13E48Y50UdecBuenosAiresArgentina</t>
  </si>
  <si>
    <t>a10Nro1379E60Y61BuenosAiresArgentina</t>
  </si>
  <si>
    <t>-34.6407653</t>
  </si>
  <si>
    <t>-58.5481795</t>
  </si>
  <si>
    <t>a10Nro1379BuenosAiresArgentina</t>
  </si>
  <si>
    <t>-34.652157</t>
  </si>
  <si>
    <t>-58.532397</t>
  </si>
  <si>
    <t>a116Nro1573BuenosAiresArgentina</t>
  </si>
  <si>
    <t>-32.4178142</t>
  </si>
  <si>
    <t>-63.2539272</t>
  </si>
  <si>
    <t>a71Nro33E119Y120BuenosAiresArgentina</t>
  </si>
  <si>
    <t>-34.8891646</t>
  </si>
  <si>
    <t>-60.01408859999999</t>
  </si>
  <si>
    <t>a47Nro322E1Y2BuenosAiresArgentina</t>
  </si>
  <si>
    <t>-34.6952923</t>
  </si>
  <si>
    <t>-58.44202279999999</t>
  </si>
  <si>
    <t>a6Esq37PeluqueriaBuenosAiresArgentina</t>
  </si>
  <si>
    <t>avillaDelPlataPlaraBuenosAiresArgentina</t>
  </si>
  <si>
    <t>a32Nro7525ABuenosAiresArgentina</t>
  </si>
  <si>
    <t>-34.6946646</t>
  </si>
  <si>
    <t>-58.4428417</t>
  </si>
  <si>
    <t>a3Nro1160E66Y77BuenosAiresArgentina</t>
  </si>
  <si>
    <t>-38.3867717</t>
  </si>
  <si>
    <t>-60.28678649999999</t>
  </si>
  <si>
    <t>a63Nro177E117YDiag79BuenosAiresArgentina</t>
  </si>
  <si>
    <t>-34.9147633</t>
  </si>
  <si>
    <t>-57.923881</t>
  </si>
  <si>
    <t>a0BuenosAiresArgentina</t>
  </si>
  <si>
    <t>-38.09848789999999</t>
  </si>
  <si>
    <t>-57.5624123</t>
  </si>
  <si>
    <t>a60Nro1569BuenosAiresArgentina</t>
  </si>
  <si>
    <t>-27.4928714</t>
  </si>
  <si>
    <t>-64.86741049999999</t>
  </si>
  <si>
    <t>a6Nro1628Torre2P4DtoABuenosAiresArgentina</t>
  </si>
  <si>
    <t>-34.6389671</t>
  </si>
  <si>
    <t>-58.52120249999999</t>
  </si>
  <si>
    <t>a123BisEsq47BuenosAiresArgentina</t>
  </si>
  <si>
    <t>a10Nro700Esqu46BuenosAiresArgentina</t>
  </si>
  <si>
    <t>a10Nro840E48Y49BuenosAiresArgentina</t>
  </si>
  <si>
    <t>-34.6406371</t>
  </si>
  <si>
    <t>-58.5483553</t>
  </si>
  <si>
    <t>a51Nro1082BuenosAiresArgentina</t>
  </si>
  <si>
    <t>-32.4181471</t>
  </si>
  <si>
    <t>-63.2545046</t>
  </si>
  <si>
    <t>a41Nro705BuenosAiresArgentina</t>
  </si>
  <si>
    <t>-32.4181912</t>
  </si>
  <si>
    <t>-63.2545729</t>
  </si>
  <si>
    <t>a526Y10BuenosAiresArgentina</t>
  </si>
  <si>
    <t>-34.6464976</t>
  </si>
  <si>
    <t>-58.5402314</t>
  </si>
  <si>
    <t>a50Nro4703ABuenosAiresArgentina</t>
  </si>
  <si>
    <t>-34.6629154</t>
  </si>
  <si>
    <t>-58.51946280000001</t>
  </si>
  <si>
    <t>a62Nro686BuenosAiresArgentina</t>
  </si>
  <si>
    <t>-34.7401924</t>
  </si>
  <si>
    <t>-58.4827423</t>
  </si>
  <si>
    <t>a10EBelgranoY528N426BuenosAiresArgentina</t>
  </si>
  <si>
    <t>-34.61259</t>
  </si>
  <si>
    <t>-58.37370079999999</t>
  </si>
  <si>
    <t>a500Nro2768BuenosAiresArgentina</t>
  </si>
  <si>
    <t>-34.6700345</t>
  </si>
  <si>
    <t>-58.5543571</t>
  </si>
  <si>
    <t>abolivia1749CapFederalBuenosAiresArgentina</t>
  </si>
  <si>
    <t>-34.6805844</t>
  </si>
  <si>
    <t>-58.54170449999999</t>
  </si>
  <si>
    <t>a62Nro1321Dto2BuenosAiresArgentina</t>
  </si>
  <si>
    <t>a525Nro1260BuenosAiresArgentina</t>
  </si>
  <si>
    <t>-34.6531233</t>
  </si>
  <si>
    <t>-58.6428392</t>
  </si>
  <si>
    <t>a60E26Y27BuenosAiresArgentina</t>
  </si>
  <si>
    <t>-36.4874225</t>
  </si>
  <si>
    <t>-56.6926415</t>
  </si>
  <si>
    <t>a1Y60FiscDeEstadoBuenosAiresArgentina</t>
  </si>
  <si>
    <t>-37.2017285</t>
  </si>
  <si>
    <t>-59.84106969999999</t>
  </si>
  <si>
    <t>a53Nro1358BuenosAiresArgentina</t>
  </si>
  <si>
    <t>-34.550457</t>
  </si>
  <si>
    <t>-58.54740909999999</t>
  </si>
  <si>
    <t>a80E12Y12bisMblok83CBuenosAiresArgentina</t>
  </si>
  <si>
    <t>-34.9010949</t>
  </si>
  <si>
    <t>-57.9705635</t>
  </si>
  <si>
    <t>a48Nro1725BuenosAiresArgentina</t>
  </si>
  <si>
    <t>-27.4928058</t>
  </si>
  <si>
    <t>-64.8673335</t>
  </si>
  <si>
    <t>a49Nro1725BuenosAiresArgentina</t>
  </si>
  <si>
    <t>-32.4181559</t>
  </si>
  <si>
    <t>-63.25451819999999</t>
  </si>
  <si>
    <t>a500YCamGralBelg2768BuenosAiresArgentina</t>
  </si>
  <si>
    <t>a57Esq3BuenosAiresArgentina</t>
  </si>
  <si>
    <t>a527Nro1463E9Y10BuenosAiresArgentina</t>
  </si>
  <si>
    <t>-34.64652640000001</t>
  </si>
  <si>
    <t>-58.54024709999999</t>
  </si>
  <si>
    <t>a44E16Y179ABuenosAiresArgentina</t>
  </si>
  <si>
    <t>-34.8855942</t>
  </si>
  <si>
    <t>-60.03320100000001</t>
  </si>
  <si>
    <t>a36E13Y14MudadoraBuenosAiresArgentina</t>
  </si>
  <si>
    <t>-32.9729403</t>
  </si>
  <si>
    <t>-60.6389679</t>
  </si>
  <si>
    <t>a35Nro338BuenosAiresArgentina</t>
  </si>
  <si>
    <t>-32.4182176</t>
  </si>
  <si>
    <t>-63.2546139</t>
  </si>
  <si>
    <t>a20Nro844BuenosAiresArgentina</t>
  </si>
  <si>
    <t>-34.6381187</t>
  </si>
  <si>
    <t>-58.5516243</t>
  </si>
  <si>
    <t>a6Y37PeluqueriaBuenosAiresArgentina</t>
  </si>
  <si>
    <t>-34.608964</t>
  </si>
  <si>
    <t>-58.5144393</t>
  </si>
  <si>
    <t>a2Nro2442LpBuenosAiresArgentina</t>
  </si>
  <si>
    <t>-35.669136</t>
  </si>
  <si>
    <t>-63.7588501</t>
  </si>
  <si>
    <t>a3Nro346BuenosAiresArgentina</t>
  </si>
  <si>
    <t>-34.6973179</t>
  </si>
  <si>
    <t>-58.4469929</t>
  </si>
  <si>
    <t>a528Nro99812Esq5BuenosAiresArgentina</t>
  </si>
  <si>
    <t>aBuenosAiresArgentina</t>
  </si>
  <si>
    <t>a46Nro5036pDto3BuenosAiresArgentina</t>
  </si>
  <si>
    <t>-34.8993797</t>
  </si>
  <si>
    <t>-57.9687796</t>
  </si>
  <si>
    <t>a1Y60FiscalisDeEstadoBuenosAiresArgentina</t>
  </si>
  <si>
    <t>-34.9148265</t>
  </si>
  <si>
    <t>-57.9355136</t>
  </si>
  <si>
    <t>a45Nro1470BuenosAiresArgentina</t>
  </si>
  <si>
    <t>-32.4181735</t>
  </si>
  <si>
    <t>-63.25454560000001</t>
  </si>
  <si>
    <t>a6Nro1160E520Y521BuenosAiresArgentina</t>
  </si>
  <si>
    <t>-34.8841749</t>
  </si>
  <si>
    <t>-57.97561449999999</t>
  </si>
  <si>
    <t>a12Nro659BuenosAiresArgentina</t>
  </si>
  <si>
    <t>-34.5776278</t>
  </si>
  <si>
    <t>-58.3853981</t>
  </si>
  <si>
    <t>a39Nro709BuenosAiresArgentina</t>
  </si>
  <si>
    <t>-32.4182</t>
  </si>
  <si>
    <t>-63.2545866</t>
  </si>
  <si>
    <t>a21Entre655Y656BuenosAiresArgentina</t>
  </si>
  <si>
    <t>-34.6163459</t>
  </si>
  <si>
    <t>-58.39168129999999</t>
  </si>
  <si>
    <t>acalle2Nro2442BuenosAiresArgentina</t>
  </si>
  <si>
    <t>a529E15Y16BisBuenosAiresArgentina</t>
  </si>
  <si>
    <t>-34.9049698</t>
  </si>
  <si>
    <t>-57.9846932</t>
  </si>
  <si>
    <t>a38E2Y3MueblesCocinaBuenosAiresArgentina</t>
  </si>
  <si>
    <t>a503Nro2972E24Y25BuenosAiresArgentina</t>
  </si>
  <si>
    <t>-35.4362228</t>
  </si>
  <si>
    <t>-60.16788679999999</t>
  </si>
  <si>
    <t>aavenida321376LaPlataBuenosAires</t>
  </si>
  <si>
    <t>-34.9151497</t>
  </si>
  <si>
    <t>-57.9848276</t>
  </si>
  <si>
    <t>a50889</t>
  </si>
  <si>
    <t>40.8341292</t>
  </si>
  <si>
    <t>-81.3659313</t>
  </si>
  <si>
    <t>a12830</t>
  </si>
  <si>
    <t>47.11410900000001</t>
  </si>
  <si>
    <t>17.8869413</t>
  </si>
  <si>
    <t>a117145</t>
  </si>
  <si>
    <t>40.929579</t>
  </si>
  <si>
    <t>-81.1039543</t>
  </si>
  <si>
    <t>a221500</t>
  </si>
  <si>
    <t>35.228059</t>
  </si>
  <si>
    <t>-83.3511937</t>
  </si>
  <si>
    <t>a44115</t>
  </si>
  <si>
    <t>55.2433066</t>
  </si>
  <si>
    <t>24.7808921</t>
  </si>
  <si>
    <t>a32488</t>
  </si>
  <si>
    <t>40.8077935</t>
  </si>
  <si>
    <t>-81.3721939</t>
  </si>
  <si>
    <t>acalle123922EnsenadaBuenosAires</t>
  </si>
  <si>
    <t>-34.9000872</t>
  </si>
  <si>
    <t>-57.93484160000001</t>
  </si>
  <si>
    <t>a31117LaPlataBuenosAires</t>
  </si>
  <si>
    <t>-34.9137637</t>
  </si>
  <si>
    <t>-57.94203369999999</t>
  </si>
  <si>
    <t>acalle61926RingueletBuenosAiresArgentina</t>
  </si>
  <si>
    <t>-34.8833888</t>
  </si>
  <si>
    <t>-57.9896293</t>
  </si>
  <si>
    <t>acalle201315LaPlataBuenosAiresArgentina</t>
  </si>
  <si>
    <t>-34.9325303</t>
  </si>
  <si>
    <t>-57.9557861</t>
  </si>
  <si>
    <t>a411049</t>
  </si>
  <si>
    <t>40.9578732</t>
  </si>
  <si>
    <t>-81.336489</t>
  </si>
  <si>
    <t>acalle411049LaPlataBuenosAiresArgentina</t>
  </si>
  <si>
    <t>-34.91660880000001</t>
  </si>
  <si>
    <t>-57.96790009999999</t>
  </si>
  <si>
    <t>acalle50889LaPlataBuenosAiresArgentina</t>
  </si>
  <si>
    <t>-34.9203039</t>
  </si>
  <si>
    <t>-57.9556286</t>
  </si>
  <si>
    <t>acalle12830LaPlataBuenosAiresArgentina</t>
  </si>
  <si>
    <t>-34.9187466</t>
  </si>
  <si>
    <t>-57.95583359999999</t>
  </si>
  <si>
    <t>acalle117145LaPlataBuenosAiresArgentina</t>
  </si>
  <si>
    <t>-34.89465819999999</t>
  </si>
  <si>
    <t>-57.9564651</t>
  </si>
  <si>
    <t>acalle221500LaPlataBuenosAiresArgentina</t>
  </si>
  <si>
    <t>-34.9376359</t>
  </si>
  <si>
    <t>-57.95363889999999</t>
  </si>
  <si>
    <t>acalle44115LaPlataBuenosAiresArgentina</t>
  </si>
  <si>
    <t>-34.9022892</t>
  </si>
  <si>
    <t>-57.9689697</t>
  </si>
  <si>
    <t>acalle32488LaPlataBuenosAiresArgentina</t>
  </si>
  <si>
    <t>-34.8600755</t>
  </si>
  <si>
    <t>-57.9098789</t>
  </si>
  <si>
    <t>a13875LaPlataBuenosAires</t>
  </si>
  <si>
    <t>-34.9202612</t>
  </si>
  <si>
    <t>-57.9562501</t>
  </si>
  <si>
    <t>a101379LaPlataBuenosAiresArgentina</t>
  </si>
  <si>
    <t>-34.924243</t>
  </si>
  <si>
    <t>-57.9439651</t>
  </si>
  <si>
    <t>a1161573BuenosAiresArgentina</t>
  </si>
  <si>
    <t>-34.9170957</t>
  </si>
  <si>
    <t>-57.9283126</t>
  </si>
  <si>
    <t>a7133LaPlataBuenosAiresArgentina</t>
  </si>
  <si>
    <t>-34.9181409</t>
  </si>
  <si>
    <t>-57.915919</t>
  </si>
  <si>
    <t>a47322BuenosAiresArgentina</t>
  </si>
  <si>
    <t>-34.6525706</t>
  </si>
  <si>
    <t>-59.44280910000001</t>
  </si>
  <si>
    <t>acalle6250LaPlataBuenosAiresArgentina</t>
  </si>
  <si>
    <t>-34.9038114</t>
  </si>
  <si>
    <t>-57.96220940000001</t>
  </si>
  <si>
    <t>aav32752LaPlataBuenosAiresArgentina</t>
  </si>
  <si>
    <t>-34.9035233</t>
  </si>
  <si>
    <t>-57.9720344</t>
  </si>
  <si>
    <t>a31160LaPlataBuenosAiresArgentina</t>
  </si>
  <si>
    <t>-34.9142102</t>
  </si>
  <si>
    <t>-57.9413768</t>
  </si>
  <si>
    <t>a63177LaPlataBuenosAiresArgentina</t>
  </si>
  <si>
    <t>-34.9154537</t>
  </si>
  <si>
    <t>-57.9294817</t>
  </si>
  <si>
    <t>aav601569LaPlataBuenosAiresArgentina</t>
  </si>
  <si>
    <t>-34.9391444</t>
  </si>
  <si>
    <t>-57.9614703</t>
  </si>
  <si>
    <t>a61628BuenosAiresArgentina</t>
  </si>
  <si>
    <t>-34.924595</t>
  </si>
  <si>
    <t>-57.9342408</t>
  </si>
  <si>
    <t>acalle123Bis50EnsenadaBuenosAiresArgentina</t>
  </si>
  <si>
    <t>-34.8978577</t>
  </si>
  <si>
    <t>-57.93676</t>
  </si>
  <si>
    <t>acalle10700LaPlataBuenosAiresArgentina</t>
  </si>
  <si>
    <t>-34.9151649</t>
  </si>
  <si>
    <t>-57.9561588</t>
  </si>
  <si>
    <t>acalle10840LaPlataBuenosAiresArgentina</t>
  </si>
  <si>
    <t>-34.9169967</t>
  </si>
  <si>
    <t>-57.95369069999999</t>
  </si>
  <si>
    <t>aav511082LaPlataBuenosAiresArgentina</t>
  </si>
  <si>
    <t>-34.9200672</t>
  </si>
  <si>
    <t>-57.95409730000001</t>
  </si>
  <si>
    <t>acalle41705LaPlataBuenosAiresArgentina</t>
  </si>
  <si>
    <t>-34.9101885</t>
  </si>
  <si>
    <t>-57.9608769</t>
  </si>
  <si>
    <t>acalle5261500TolosaBuenosAiresArgentina</t>
  </si>
  <si>
    <t>-34.8983798</t>
  </si>
  <si>
    <t>-57.9788473</t>
  </si>
  <si>
    <t>acalle50470LaPlataBuenosAiresArgentina</t>
  </si>
  <si>
    <t>-34.9123898</t>
  </si>
  <si>
    <t>-57.9470063</t>
  </si>
  <si>
    <t>acalle62686LaPlataBuenosAiresArgentina</t>
  </si>
  <si>
    <t>-34.9242193</t>
  </si>
  <si>
    <t>-57.94105150000001</t>
  </si>
  <si>
    <t>acalle10426TolosaBuenosAiresArgentina</t>
  </si>
  <si>
    <t>-34.8998062</t>
  </si>
  <si>
    <t>-57.976952</t>
  </si>
  <si>
    <t>acalle5002768GonnetBuenosAiresArgentina</t>
  </si>
  <si>
    <t>-34.8900959</t>
  </si>
  <si>
    <t>-58.02048600000001</t>
  </si>
  <si>
    <t>acalle47322LaPlataBuenosAiresArgentina</t>
  </si>
  <si>
    <t>-34.9079019</t>
  </si>
  <si>
    <t>-57.94640500000001</t>
  </si>
  <si>
    <t>acalle42EnsenadaBuenosAiresArgentina</t>
  </si>
  <si>
    <t>-34.8586464</t>
  </si>
  <si>
    <t>-57.91599660000001</t>
  </si>
  <si>
    <t>aav32488LaPlataBuenosAiresArgentina</t>
  </si>
  <si>
    <t>-34.8985393</t>
  </si>
  <si>
    <t>-57.9666336</t>
  </si>
  <si>
    <t>a621321LaPlataBuenosAiresArgentina</t>
  </si>
  <si>
    <t>-34.93620629999999</t>
  </si>
  <si>
    <t>-57.9541947</t>
  </si>
  <si>
    <t>adiag79Esq55ClinicaMano</t>
  </si>
  <si>
    <t>ZERO_RESULTS</t>
  </si>
  <si>
    <t>acalle5251260TolosaBuenosAires</t>
  </si>
  <si>
    <t>-34.8952156</t>
  </si>
  <si>
    <t>-57.9775765</t>
  </si>
  <si>
    <t>aavenida601569LaPlataBuenosAires</t>
  </si>
  <si>
    <t>aav11326LaPlataBuenosAires</t>
  </si>
  <si>
    <t>-34.9147801</t>
  </si>
  <si>
    <t>-57.9359157</t>
  </si>
  <si>
    <t>aavenida531358LaPlataBuenosAires</t>
  </si>
  <si>
    <t>-34.9209562</t>
  </si>
  <si>
    <t>-57.95293710000001</t>
  </si>
  <si>
    <t>aav321376LaPlataBuenosAiresArgentina</t>
  </si>
  <si>
    <t>acalle80800AltosDeSanLorenzoBuenosAires</t>
  </si>
  <si>
    <t>-34.9411213</t>
  </si>
  <si>
    <t>-57.9238276</t>
  </si>
  <si>
    <t>acalle481725LaPlataBuenosAires</t>
  </si>
  <si>
    <t>-34.9348464</t>
  </si>
  <si>
    <t>-57.97430849999999</t>
  </si>
  <si>
    <t>acalle57400LaPlataBuenosAires</t>
  </si>
  <si>
    <t>-34.9147864</t>
  </si>
  <si>
    <t>-57.94058270000001</t>
  </si>
  <si>
    <t>acalle5271463TolosaBuenosAires</t>
  </si>
  <si>
    <t>-34.8988531</t>
  </si>
  <si>
    <t>-57.97735160000001</t>
  </si>
  <si>
    <t>aav441075LaPlataBuenosAiresArgentina</t>
  </si>
  <si>
    <t>-34.9196478</t>
  </si>
  <si>
    <t>-57.96500369999999</t>
  </si>
  <si>
    <t>acalle31117LaPlataBuenosAires</t>
  </si>
  <si>
    <t>acalle36925LaPlataBuenosAiresArgentina</t>
  </si>
  <si>
    <t>-34.9100679</t>
  </si>
  <si>
    <t>-57.9711079</t>
  </si>
  <si>
    <t>acalle35338LaPlataBuenosAiresArgentina</t>
  </si>
  <si>
    <t>-34.8981689</t>
  </si>
  <si>
    <t>-57.9601207</t>
  </si>
  <si>
    <t>acalle20844LaPlataBuenosAiresArgentina</t>
  </si>
  <si>
    <t>-34.9264622</t>
  </si>
  <si>
    <t>-57.9639038</t>
  </si>
  <si>
    <t>acalle22442VillaElviraBuenosAires</t>
  </si>
  <si>
    <t>-34.9340288</t>
  </si>
  <si>
    <t>-57.912816</t>
  </si>
  <si>
    <t>acalle3346LaPlataBuenosAiresArgentina</t>
  </si>
  <si>
    <t>-34.9026449</t>
  </si>
  <si>
    <t>-57.95690870000001</t>
  </si>
  <si>
    <t>acalle52899812TolosaBuenosAires</t>
  </si>
  <si>
    <t>-34.8954275</t>
  </si>
  <si>
    <t>-57.9715099</t>
  </si>
  <si>
    <t>acalle221475LaPlataBuenosAiresArgentina</t>
  </si>
  <si>
    <t>-34.9372577</t>
  </si>
  <si>
    <t>-57.95422759999999</t>
  </si>
  <si>
    <t>acalle46503LaPlataBuenosAiresArgentina</t>
  </si>
  <si>
    <t>-34.9105327</t>
  </si>
  <si>
    <t>-57.95107039999999</t>
  </si>
  <si>
    <t>acalle451470LaPlataBuenosAires</t>
  </si>
  <si>
    <t>-34.9279294</t>
  </si>
  <si>
    <t>-57.9719796</t>
  </si>
  <si>
    <t>acalle61160TolosaBuenosAires</t>
  </si>
  <si>
    <t>-34.8898683</t>
  </si>
  <si>
    <t>-57.98104539999999</t>
  </si>
  <si>
    <t>acalle12659LaPlataBuenosAiresArgentina</t>
  </si>
  <si>
    <t>-34.9164002</t>
  </si>
  <si>
    <t>-57.9590331</t>
  </si>
  <si>
    <t>acalle39709LaPlataBuenosAiresArgentina</t>
  </si>
  <si>
    <t>-34.9085843</t>
  </si>
  <si>
    <t>-57.96321989999999</t>
  </si>
  <si>
    <t>acalle61926RingueletBuenosAires</t>
  </si>
  <si>
    <t>acalle5292025TolosaBuenosAiresArgentina</t>
  </si>
  <si>
    <t>-34.9057669</t>
  </si>
  <si>
    <t>-57.9808779</t>
  </si>
  <si>
    <t>aav38375LaPlataBuenosAiresArgentina</t>
  </si>
  <si>
    <t>-34.9014088</t>
  </si>
  <si>
    <t>-57.9574707</t>
  </si>
  <si>
    <t>acalle5032972GonnetBuenosAires</t>
  </si>
  <si>
    <t>-34.8928014</t>
  </si>
  <si>
    <t>-58.0198996</t>
  </si>
</sst>
</file>

<file path=xl/styles.xml><?xml version="1.0" encoding="utf-8"?>
<styleSheet xmlns="http://schemas.openxmlformats.org/spreadsheetml/2006/main" xmlns:x14ac="http://schemas.microsoft.com/office/spreadsheetml/2009/9/ac" xmlns:mc="http://schemas.openxmlformats.org/markup-compatibility/2006">
  <numFmts count="24">
    <numFmt numFmtId="164" formatCode="mmmm&quot;-&quot;yyyy"/>
    <numFmt numFmtId="165" formatCode="[$$]#,##0"/>
    <numFmt numFmtId="166" formatCode="d-m"/>
    <numFmt numFmtId="167" formatCode="mmm yyyy"/>
    <numFmt numFmtId="168" formatCode="mmm d"/>
    <numFmt numFmtId="169" formatCode="mmmm d"/>
    <numFmt numFmtId="170" formatCode="d-m-yyyy"/>
    <numFmt numFmtId="171" formatCode="mmmm yyyy"/>
    <numFmt numFmtId="172" formatCode="mm-yyyy"/>
    <numFmt numFmtId="173" formatCode="m-yyyy"/>
    <numFmt numFmtId="174" formatCode="d/m"/>
    <numFmt numFmtId="175" formatCode="d.m"/>
    <numFmt numFmtId="176" formatCode="dd-mm"/>
    <numFmt numFmtId="177" formatCode="dd/mm/yyyy"/>
    <numFmt numFmtId="178" formatCode="mmmm&quot;-&quot;yy"/>
    <numFmt numFmtId="179" formatCode="mmmm-yyyy"/>
    <numFmt numFmtId="180" formatCode="m/d/yyyy h:mm:ss"/>
    <numFmt numFmtId="181" formatCode="d/m/yyyy"/>
    <numFmt numFmtId="182" formatCode="[$$]#,##0.00"/>
    <numFmt numFmtId="183" formatCode="#,##0[$$]"/>
    <numFmt numFmtId="184" formatCode="#,##0.00[$$]"/>
    <numFmt numFmtId="185" formatCode="MMMM-yy"/>
    <numFmt numFmtId="186" formatCode="yyyy&quot;/&quot;mm"/>
    <numFmt numFmtId="187" formatCode="yyyy/mm"/>
  </numFmts>
  <fonts count="31">
    <font>
      <sz val="10.0"/>
      <color rgb="FF000000"/>
      <name val="Arial"/>
    </font>
    <font>
      <sz val="10.0"/>
    </font>
    <font/>
    <font>
      <sz val="11.0"/>
      <color rgb="FF008000"/>
      <name val="Arial"/>
    </font>
    <font>
      <sz val="11.0"/>
      <color rgb="FF008000"/>
      <name val="Inconsolata"/>
    </font>
    <font>
      <b/>
      <sz val="12.0"/>
    </font>
    <font>
      <b/>
      <sz val="10.0"/>
    </font>
    <font>
      <b/>
    </font>
    <font>
      <name val="Arial"/>
    </font>
    <font>
      <b/>
      <name val="Arial"/>
    </font>
    <font>
      <b/>
      <sz val="14.0"/>
    </font>
    <font>
      <sz val="14.0"/>
      <color rgb="FF000000"/>
    </font>
    <font>
      <b/>
      <sz val="14.0"/>
      <color rgb="FF000000"/>
    </font>
    <font>
      <sz val="14.0"/>
    </font>
    <font>
      <b/>
      <sz val="12.0"/>
      <color rgb="FF000000"/>
    </font>
    <font>
      <sz val="8.0"/>
      <color rgb="FF162D3D"/>
      <name val="HelveticaNeueW01-65Medi"/>
    </font>
    <font>
      <u/>
      <color rgb="FF1155CC"/>
      <name val="Arial"/>
    </font>
    <font>
      <color rgb="FF000000"/>
      <name val="Roboto"/>
    </font>
    <font>
      <sz val="12.0"/>
      <color rgb="FF000000"/>
    </font>
    <font>
      <b/>
      <sz val="13.0"/>
    </font>
    <font>
      <sz val="12.0"/>
    </font>
    <font>
      <color rgb="FFFF0000"/>
    </font>
    <font>
      <b/>
      <color rgb="FF0000FF"/>
    </font>
    <font>
      <sz val="11.0"/>
    </font>
    <font>
      <b/>
      <sz val="11.0"/>
    </font>
    <font>
      <b/>
      <color rgb="FF000000"/>
    </font>
    <font>
      <b/>
      <color rgb="FF000000"/>
      <name val="Arial"/>
    </font>
    <font>
      <b/>
      <sz val="12.0"/>
      <name val="Arial"/>
    </font>
    <font>
      <sz val="10.0"/>
      <color rgb="FF000000"/>
    </font>
    <font>
      <sz val="10.0"/>
      <color rgb="FFCC0000"/>
    </font>
    <font>
      <color rgb="FF000000"/>
      <name val="Arial"/>
    </font>
  </fonts>
  <fills count="32">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F3F3F3"/>
        <bgColor rgb="FFF3F3F3"/>
      </patternFill>
    </fill>
    <fill>
      <patternFill patternType="solid">
        <fgColor rgb="FFD9D9D9"/>
        <bgColor rgb="FFD9D9D9"/>
      </patternFill>
    </fill>
    <fill>
      <patternFill patternType="solid">
        <fgColor rgb="FF9FC5E8"/>
        <bgColor rgb="FF9FC5E8"/>
      </patternFill>
    </fill>
    <fill>
      <patternFill patternType="solid">
        <fgColor rgb="FFFFE599"/>
        <bgColor rgb="FFFFE599"/>
      </patternFill>
    </fill>
    <fill>
      <patternFill patternType="solid">
        <fgColor rgb="FFB6D7A8"/>
        <bgColor rgb="FFB6D7A8"/>
      </patternFill>
    </fill>
    <fill>
      <patternFill patternType="solid">
        <fgColor rgb="FFD0E0E3"/>
        <bgColor rgb="FFD0E0E3"/>
      </patternFill>
    </fill>
    <fill>
      <patternFill patternType="solid">
        <fgColor rgb="FFF6B26B"/>
        <bgColor rgb="FFF6B26B"/>
      </patternFill>
    </fill>
    <fill>
      <patternFill patternType="solid">
        <fgColor rgb="FFC9DAF8"/>
        <bgColor rgb="FFC9DAF8"/>
      </patternFill>
    </fill>
    <fill>
      <patternFill patternType="solid">
        <fgColor rgb="FFCCCCCC"/>
        <bgColor rgb="FFCCCCCC"/>
      </patternFill>
    </fill>
    <fill>
      <patternFill patternType="solid">
        <fgColor rgb="FFD5A6BD"/>
        <bgColor rgb="FFD5A6BD"/>
      </patternFill>
    </fill>
    <fill>
      <patternFill patternType="solid">
        <fgColor rgb="FFDD7E6B"/>
        <bgColor rgb="FFDD7E6B"/>
      </patternFill>
    </fill>
    <fill>
      <patternFill patternType="solid">
        <fgColor rgb="FF93C47D"/>
        <bgColor rgb="FF93C47D"/>
      </patternFill>
    </fill>
    <fill>
      <patternFill patternType="solid">
        <fgColor rgb="FFFCE5CD"/>
        <bgColor rgb="FFFCE5CD"/>
      </patternFill>
    </fill>
    <fill>
      <patternFill patternType="solid">
        <fgColor rgb="FF783F04"/>
        <bgColor rgb="FF783F04"/>
      </patternFill>
    </fill>
    <fill>
      <patternFill patternType="solid">
        <fgColor rgb="FFCFE2F3"/>
        <bgColor rgb="FFCFE2F3"/>
      </patternFill>
    </fill>
    <fill>
      <patternFill patternType="solid">
        <fgColor rgb="FFFF9900"/>
        <bgColor rgb="FFFF9900"/>
      </patternFill>
    </fill>
    <fill>
      <patternFill patternType="solid">
        <fgColor rgb="FFEA9999"/>
        <bgColor rgb="FFEA9999"/>
      </patternFill>
    </fill>
    <fill>
      <patternFill patternType="solid">
        <fgColor rgb="FFA4C2F4"/>
        <bgColor rgb="FFA4C2F4"/>
      </patternFill>
    </fill>
    <fill>
      <patternFill patternType="solid">
        <fgColor rgb="FFEAD1DC"/>
        <bgColor rgb="FFEAD1DC"/>
      </patternFill>
    </fill>
    <fill>
      <patternFill patternType="solid">
        <fgColor rgb="FFEFEFEF"/>
        <bgColor rgb="FFEFEFEF"/>
      </patternFill>
    </fill>
    <fill>
      <patternFill patternType="solid">
        <fgColor rgb="FFD9D2E9"/>
        <bgColor rgb="FFD9D2E9"/>
      </patternFill>
    </fill>
    <fill>
      <patternFill patternType="solid">
        <fgColor rgb="FFC27BA0"/>
        <bgColor rgb="FFC27BA0"/>
      </patternFill>
    </fill>
    <fill>
      <patternFill patternType="solid">
        <fgColor rgb="FFF4CCCC"/>
        <bgColor rgb="FFF4CCCC"/>
      </patternFill>
    </fill>
    <fill>
      <patternFill patternType="solid">
        <fgColor rgb="FF00FFFF"/>
        <bgColor rgb="FF00FFFF"/>
      </patternFill>
    </fill>
    <fill>
      <patternFill patternType="solid">
        <fgColor rgb="FFCC4125"/>
        <bgColor rgb="FFCC4125"/>
      </patternFill>
    </fill>
    <fill>
      <patternFill patternType="solid">
        <fgColor rgb="FFB7B7B7"/>
        <bgColor rgb="FFB7B7B7"/>
      </patternFill>
    </fill>
    <fill>
      <patternFill patternType="solid">
        <fgColor rgb="FFFFFF00"/>
        <bgColor rgb="FFFFFF00"/>
      </patternFill>
    </fill>
  </fills>
  <borders count="19">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border>
    <border>
      <top style="thin">
        <color rgb="FF000000"/>
      </top>
    </border>
    <border>
      <left style="thin">
        <color rgb="FF000000"/>
      </left>
      <top style="thin">
        <color rgb="FF000000"/>
      </top>
    </border>
    <border>
      <top style="thick">
        <color rgb="FF000000"/>
      </top>
    </border>
    <border>
      <left style="thin">
        <color rgb="FF000000"/>
      </left>
      <top style="thick">
        <color rgb="FF000000"/>
      </top>
    </border>
    <border>
      <right style="thin">
        <color rgb="FF000000"/>
      </right>
    </border>
    <border>
      <left style="thin">
        <color rgb="FF000000"/>
      </left>
      <bottom style="thin">
        <color rgb="FF000000"/>
      </bottom>
    </border>
    <border>
      <bottom style="thin">
        <color rgb="FF000000"/>
      </bottom>
    </border>
    <border>
      <left style="thin">
        <color rgb="FF000000"/>
      </left>
      <right style="thin">
        <color rgb="FF000000"/>
      </right>
    </border>
    <border>
      <right style="thin">
        <color rgb="FF000000"/>
      </right>
      <top style="thin">
        <color rgb="FF000000"/>
      </top>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86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1" fillId="3" fontId="1" numFmtId="0" xfId="0" applyAlignment="1" applyBorder="1" applyFill="1" applyFont="1">
      <alignment horizontal="center" readingOrder="0" shrinkToFit="0" vertical="bottom" wrapText="0"/>
    </xf>
    <xf borderId="0" fillId="0" fontId="2" numFmtId="0" xfId="0" applyAlignment="1" applyFont="1">
      <alignment readingOrder="0"/>
    </xf>
    <xf borderId="0" fillId="4" fontId="3" numFmtId="0" xfId="0" applyAlignment="1" applyFill="1" applyFont="1">
      <alignment readingOrder="0"/>
    </xf>
    <xf borderId="0" fillId="4" fontId="4" numFmtId="0" xfId="0" applyAlignment="1" applyFont="1">
      <alignment readingOrder="0"/>
    </xf>
    <xf borderId="2" fillId="5" fontId="5" numFmtId="49" xfId="0" applyAlignment="1" applyBorder="1" applyFill="1" applyFont="1" applyNumberFormat="1">
      <alignment horizontal="center" readingOrder="0" vertical="center"/>
    </xf>
    <xf borderId="2" fillId="5" fontId="6" numFmtId="0" xfId="0" applyAlignment="1" applyBorder="1" applyFont="1">
      <alignment horizontal="center" readingOrder="0" vertical="center"/>
    </xf>
    <xf borderId="2" fillId="6" fontId="6" numFmtId="0" xfId="0" applyAlignment="1" applyBorder="1" applyFill="1" applyFont="1">
      <alignment horizontal="center" readingOrder="0" vertical="center"/>
    </xf>
    <xf borderId="2" fillId="7" fontId="6" numFmtId="0" xfId="0" applyAlignment="1" applyBorder="1" applyFill="1" applyFont="1">
      <alignment horizontal="center" readingOrder="0" shrinkToFit="0" vertical="center" wrapText="1"/>
    </xf>
    <xf borderId="2" fillId="7" fontId="6" numFmtId="0" xfId="0" applyAlignment="1" applyBorder="1" applyFont="1">
      <alignment horizontal="center" readingOrder="0" vertical="center"/>
    </xf>
    <xf borderId="2" fillId="8" fontId="6" numFmtId="0" xfId="0" applyAlignment="1" applyBorder="1" applyFill="1" applyFont="1">
      <alignment horizontal="center" readingOrder="0" shrinkToFit="0" vertical="center" wrapText="1"/>
    </xf>
    <xf borderId="2" fillId="8" fontId="6" numFmtId="0" xfId="0" applyAlignment="1" applyBorder="1" applyFont="1">
      <alignment horizontal="center" readingOrder="0" vertical="center"/>
    </xf>
    <xf borderId="2" fillId="9" fontId="6" numFmtId="0" xfId="0" applyAlignment="1" applyBorder="1" applyFill="1" applyFont="1">
      <alignment horizontal="center" readingOrder="0" vertical="center"/>
    </xf>
    <xf borderId="2" fillId="9" fontId="6" numFmtId="0" xfId="0" applyAlignment="1" applyBorder="1" applyFont="1">
      <alignment horizontal="left" readingOrder="0" vertical="center"/>
    </xf>
    <xf borderId="2" fillId="0" fontId="7" numFmtId="0" xfId="0" applyAlignment="1" applyBorder="1" applyFont="1">
      <alignment horizontal="center" readingOrder="0"/>
    </xf>
    <xf borderId="2" fillId="0" fontId="2" numFmtId="0" xfId="0" applyAlignment="1" applyBorder="1" applyFont="1">
      <alignment readingOrder="0"/>
    </xf>
    <xf borderId="2" fillId="0" fontId="8" numFmtId="0" xfId="0" applyAlignment="1" applyBorder="1" applyFont="1">
      <alignment horizontal="center" vertical="bottom"/>
    </xf>
    <xf borderId="2" fillId="0" fontId="8" numFmtId="0" xfId="0" applyAlignment="1" applyBorder="1" applyFont="1">
      <alignment horizontal="center" readingOrder="0" vertical="bottom"/>
    </xf>
    <xf borderId="2" fillId="5" fontId="9" numFmtId="0" xfId="0" applyAlignment="1" applyBorder="1" applyFont="1">
      <alignment horizontal="center" readingOrder="0" vertical="bottom"/>
    </xf>
    <xf borderId="2" fillId="5" fontId="8" numFmtId="0" xfId="0" applyAlignment="1" applyBorder="1" applyFont="1">
      <alignment vertical="bottom"/>
    </xf>
    <xf borderId="2" fillId="10" fontId="8" numFmtId="164" xfId="0" applyAlignment="1" applyBorder="1" applyFill="1" applyFont="1" applyNumberFormat="1">
      <alignment horizontal="center" readingOrder="0" vertical="bottom"/>
    </xf>
    <xf borderId="2" fillId="10" fontId="1" numFmtId="164" xfId="0" applyAlignment="1" applyBorder="1" applyFont="1" applyNumberFormat="1">
      <alignment horizontal="center" readingOrder="0" shrinkToFit="0" vertical="bottom" wrapText="0"/>
    </xf>
    <xf borderId="2" fillId="2" fontId="8" numFmtId="165" xfId="0" applyAlignment="1" applyBorder="1" applyFont="1" applyNumberFormat="1">
      <alignment horizontal="center" readingOrder="0" vertical="bottom"/>
    </xf>
    <xf borderId="2" fillId="2" fontId="8" numFmtId="165" xfId="0" applyAlignment="1" applyBorder="1" applyFont="1" applyNumberFormat="1">
      <alignment horizontal="center" vertical="bottom"/>
    </xf>
    <xf borderId="2" fillId="2" fontId="8" numFmtId="0" xfId="0" applyAlignment="1" applyBorder="1" applyFont="1">
      <alignment horizontal="center" vertical="bottom"/>
    </xf>
    <xf borderId="2" fillId="3" fontId="8" numFmtId="0" xfId="0" applyAlignment="1" applyBorder="1" applyFont="1">
      <alignment horizontal="center" vertical="bottom"/>
    </xf>
    <xf borderId="2" fillId="3" fontId="8" numFmtId="165" xfId="0" applyAlignment="1" applyBorder="1" applyFont="1" applyNumberFormat="1">
      <alignment horizontal="center" vertical="bottom"/>
    </xf>
    <xf borderId="2" fillId="3" fontId="8" numFmtId="165" xfId="0" applyAlignment="1" applyBorder="1" applyFont="1" applyNumberFormat="1">
      <alignment horizontal="left" vertical="bottom"/>
    </xf>
    <xf borderId="2" fillId="0" fontId="9" numFmtId="0" xfId="0" applyAlignment="1" applyBorder="1" applyFont="1">
      <alignment horizontal="right" vertical="bottom"/>
    </xf>
    <xf borderId="2" fillId="0" fontId="8" numFmtId="0" xfId="0" applyAlignment="1" applyBorder="1" applyFont="1">
      <alignment vertical="bottom"/>
    </xf>
    <xf borderId="0" fillId="0" fontId="8" numFmtId="0" xfId="0" applyAlignment="1" applyFont="1">
      <alignment horizontal="center" vertical="bottom"/>
    </xf>
    <xf borderId="2" fillId="2" fontId="8" numFmtId="0" xfId="0" applyAlignment="1" applyBorder="1" applyFont="1">
      <alignment horizontal="center" readingOrder="0" vertical="bottom"/>
    </xf>
    <xf borderId="2" fillId="11" fontId="1" numFmtId="0" xfId="0" applyAlignment="1" applyBorder="1" applyFill="1" applyFont="1">
      <alignment horizontal="center" readingOrder="0" shrinkToFit="0" vertical="bottom" wrapText="0"/>
    </xf>
    <xf borderId="2" fillId="5" fontId="1" numFmtId="0" xfId="0" applyAlignment="1" applyBorder="1" applyFont="1">
      <alignment horizontal="left" readingOrder="0" shrinkToFit="0" vertical="bottom" wrapText="0"/>
    </xf>
    <xf borderId="2" fillId="2" fontId="1" numFmtId="165" xfId="0" applyAlignment="1" applyBorder="1" applyFont="1" applyNumberFormat="1">
      <alignment horizontal="center" readingOrder="0" shrinkToFit="0" vertical="bottom" wrapText="1"/>
    </xf>
    <xf borderId="2" fillId="2" fontId="1" numFmtId="0" xfId="0" applyAlignment="1" applyBorder="1" applyFont="1">
      <alignment horizontal="center" readingOrder="0" shrinkToFit="0" vertical="bottom" wrapText="0"/>
    </xf>
    <xf borderId="2" fillId="2" fontId="1" numFmtId="165" xfId="0" applyAlignment="1" applyBorder="1" applyFont="1" applyNumberFormat="1">
      <alignment horizontal="center" readingOrder="0" shrinkToFit="0" vertical="bottom" wrapText="0"/>
    </xf>
    <xf borderId="2" fillId="3" fontId="1" numFmtId="0" xfId="0" applyAlignment="1" applyBorder="1" applyFont="1">
      <alignment horizontal="center" readingOrder="0" shrinkToFit="0" vertical="bottom" wrapText="0"/>
    </xf>
    <xf borderId="2" fillId="3" fontId="1" numFmtId="165" xfId="0" applyAlignment="1" applyBorder="1" applyFont="1" applyNumberFormat="1">
      <alignment horizontal="center" readingOrder="0" shrinkToFit="0" vertical="bottom" wrapText="0"/>
    </xf>
    <xf borderId="2" fillId="3" fontId="1" numFmtId="0" xfId="0" applyAlignment="1" applyBorder="1" applyFont="1">
      <alignment horizontal="left" readingOrder="0" shrinkToFit="0" vertical="bottom" wrapText="0"/>
    </xf>
    <xf borderId="2" fillId="12" fontId="1" numFmtId="0" xfId="0" applyAlignment="1" applyBorder="1" applyFill="1" applyFont="1">
      <alignment horizontal="center" readingOrder="0" shrinkToFit="0" vertical="bottom" wrapText="0"/>
    </xf>
    <xf borderId="2" fillId="13" fontId="1" numFmtId="0" xfId="0" applyAlignment="1" applyBorder="1" applyFill="1" applyFont="1">
      <alignment horizontal="center" readingOrder="0" shrinkToFit="0" vertical="bottom" wrapText="0"/>
    </xf>
    <xf borderId="2" fillId="13" fontId="8" numFmtId="0" xfId="0" applyAlignment="1" applyBorder="1" applyFont="1">
      <alignment horizontal="center" readingOrder="0" shrinkToFit="0" vertical="bottom" wrapText="0"/>
    </xf>
    <xf borderId="2" fillId="5" fontId="8" numFmtId="0" xfId="0" applyAlignment="1" applyBorder="1" applyFont="1">
      <alignment horizontal="left" shrinkToFit="0" vertical="bottom" wrapText="0"/>
    </xf>
    <xf borderId="2" fillId="10" fontId="8" numFmtId="164" xfId="0" applyAlignment="1" applyBorder="1" applyFont="1" applyNumberFormat="1">
      <alignment horizontal="center" readingOrder="0" shrinkToFit="0" vertical="bottom" wrapText="0"/>
    </xf>
    <xf borderId="2" fillId="2" fontId="8" numFmtId="0" xfId="0" applyAlignment="1" applyBorder="1" applyFont="1">
      <alignment horizontal="center" shrinkToFit="0" vertical="bottom" wrapText="0"/>
    </xf>
    <xf borderId="2" fillId="2" fontId="8" numFmtId="165" xfId="0" applyAlignment="1" applyBorder="1" applyFont="1" applyNumberFormat="1">
      <alignment horizontal="center" shrinkToFit="0" vertical="bottom" wrapText="0"/>
    </xf>
    <xf borderId="2" fillId="3" fontId="8" numFmtId="0" xfId="0" applyAlignment="1" applyBorder="1" applyFont="1">
      <alignment horizontal="center" shrinkToFit="0" vertical="bottom" wrapText="0"/>
    </xf>
    <xf borderId="2" fillId="3" fontId="8" numFmtId="165" xfId="0" applyAlignment="1" applyBorder="1" applyFont="1" applyNumberFormat="1">
      <alignment horizontal="center" shrinkToFit="0" vertical="bottom" wrapText="0"/>
    </xf>
    <xf borderId="2" fillId="3" fontId="8" numFmtId="165" xfId="0" applyAlignment="1" applyBorder="1" applyFont="1" applyNumberFormat="1">
      <alignment horizontal="left" shrinkToFit="0" vertical="bottom" wrapText="0"/>
    </xf>
    <xf borderId="2" fillId="14" fontId="1" numFmtId="0" xfId="0" applyAlignment="1" applyBorder="1" applyFill="1" applyFont="1">
      <alignment horizontal="center" readingOrder="0" shrinkToFit="0" vertical="bottom" wrapText="0"/>
    </xf>
    <xf borderId="0" fillId="0" fontId="8" numFmtId="0" xfId="0" applyAlignment="1" applyFont="1">
      <alignment horizontal="center" readingOrder="0" vertical="bottom"/>
    </xf>
    <xf borderId="2" fillId="12" fontId="8" numFmtId="0" xfId="0" applyAlignment="1" applyBorder="1" applyFont="1">
      <alignment horizontal="center" readingOrder="0" shrinkToFit="0" vertical="bottom" wrapText="0"/>
    </xf>
    <xf borderId="2" fillId="0" fontId="1" numFmtId="0" xfId="0" applyAlignment="1" applyBorder="1" applyFont="1">
      <alignment horizontal="center" readingOrder="0" shrinkToFit="0" vertical="bottom" wrapText="0"/>
    </xf>
    <xf borderId="2" fillId="13" fontId="8" numFmtId="0" xfId="0" applyAlignment="1" applyBorder="1" applyFont="1">
      <alignment horizontal="center" readingOrder="0" vertical="bottom"/>
    </xf>
    <xf borderId="3" fillId="13" fontId="8" numFmtId="0" xfId="0" applyAlignment="1" applyBorder="1" applyFont="1">
      <alignment horizontal="center" readingOrder="0" vertical="bottom"/>
    </xf>
    <xf borderId="3" fillId="5" fontId="8" numFmtId="0" xfId="0" applyAlignment="1" applyBorder="1" applyFont="1">
      <alignment vertical="bottom"/>
    </xf>
    <xf borderId="3" fillId="10" fontId="8" numFmtId="164" xfId="0" applyAlignment="1" applyBorder="1" applyFont="1" applyNumberFormat="1">
      <alignment horizontal="center" readingOrder="0" vertical="bottom"/>
    </xf>
    <xf borderId="3" fillId="2" fontId="8" numFmtId="165" xfId="0" applyAlignment="1" applyBorder="1" applyFont="1" applyNumberFormat="1">
      <alignment horizontal="center" readingOrder="0" vertical="bottom"/>
    </xf>
    <xf borderId="3" fillId="2" fontId="8" numFmtId="165" xfId="0" applyAlignment="1" applyBorder="1" applyFont="1" applyNumberFormat="1">
      <alignment horizontal="center" vertical="bottom"/>
    </xf>
    <xf borderId="3" fillId="2" fontId="8" numFmtId="0" xfId="0" applyAlignment="1" applyBorder="1" applyFont="1">
      <alignment horizontal="center" vertical="bottom"/>
    </xf>
    <xf borderId="3" fillId="3" fontId="8" numFmtId="0" xfId="0" applyAlignment="1" applyBorder="1" applyFont="1">
      <alignment horizontal="center" vertical="bottom"/>
    </xf>
    <xf borderId="3" fillId="3" fontId="8" numFmtId="165" xfId="0" applyAlignment="1" applyBorder="1" applyFont="1" applyNumberFormat="1">
      <alignment horizontal="center" vertical="bottom"/>
    </xf>
    <xf borderId="3" fillId="3" fontId="8" numFmtId="0" xfId="0" applyAlignment="1" applyBorder="1" applyFont="1">
      <alignment horizontal="left" vertical="bottom"/>
    </xf>
    <xf borderId="2" fillId="3" fontId="8" numFmtId="165" xfId="0" applyAlignment="1" applyBorder="1" applyFont="1" applyNumberFormat="1">
      <alignment horizontal="left" readingOrder="0" vertical="bottom"/>
    </xf>
    <xf borderId="2" fillId="0" fontId="1" numFmtId="0" xfId="0" applyAlignment="1" applyBorder="1" applyFont="1">
      <alignment horizontal="center" shrinkToFit="0" vertical="bottom" wrapText="0"/>
    </xf>
    <xf borderId="2" fillId="5" fontId="1" numFmtId="0" xfId="0" applyAlignment="1" applyBorder="1" applyFont="1">
      <alignment horizontal="left" shrinkToFit="0" vertical="bottom" wrapText="0"/>
    </xf>
    <xf borderId="2" fillId="2" fontId="1" numFmtId="0" xfId="0" applyAlignment="1" applyBorder="1" applyFont="1">
      <alignment horizontal="center" shrinkToFit="0" vertical="bottom" wrapText="0"/>
    </xf>
    <xf borderId="2" fillId="2" fontId="1" numFmtId="165" xfId="0" applyAlignment="1" applyBorder="1" applyFont="1" applyNumberFormat="1">
      <alignment horizontal="center" shrinkToFit="0" vertical="bottom" wrapText="0"/>
    </xf>
    <xf borderId="2" fillId="3" fontId="1" numFmtId="0" xfId="0" applyAlignment="1" applyBorder="1" applyFont="1">
      <alignment horizontal="center" shrinkToFit="0" vertical="bottom" wrapText="0"/>
    </xf>
    <xf borderId="2" fillId="3" fontId="1" numFmtId="165" xfId="0" applyAlignment="1" applyBorder="1" applyFont="1" applyNumberFormat="1">
      <alignment horizontal="center" shrinkToFit="0" vertical="bottom" wrapText="0"/>
    </xf>
    <xf borderId="2" fillId="3" fontId="1" numFmtId="0" xfId="0" applyAlignment="1" applyBorder="1" applyFont="1">
      <alignment horizontal="left" shrinkToFit="0" vertical="bottom" wrapText="0"/>
    </xf>
    <xf borderId="2" fillId="0" fontId="8" numFmtId="0" xfId="0" applyAlignment="1" applyBorder="1" applyFont="1">
      <alignment horizontal="center" shrinkToFit="0" vertical="bottom" wrapText="0"/>
    </xf>
    <xf borderId="2" fillId="0" fontId="8" numFmtId="0" xfId="0" applyAlignment="1" applyBorder="1" applyFont="1">
      <alignment horizontal="center" readingOrder="0" shrinkToFit="0" vertical="bottom" wrapText="0"/>
    </xf>
    <xf borderId="2" fillId="2" fontId="8" numFmtId="165" xfId="0" applyAlignment="1" applyBorder="1" applyFont="1" applyNumberFormat="1">
      <alignment horizontal="center" vertical="bottom"/>
    </xf>
    <xf borderId="2" fillId="2" fontId="8" numFmtId="165" xfId="0" applyAlignment="1" applyBorder="1" applyFont="1" applyNumberFormat="1">
      <alignment horizontal="center" shrinkToFit="0" vertical="bottom" wrapText="0"/>
    </xf>
    <xf borderId="2" fillId="3" fontId="8" numFmtId="165" xfId="0" applyAlignment="1" applyBorder="1" applyFont="1" applyNumberFormat="1">
      <alignment horizontal="center" shrinkToFit="0" vertical="bottom" wrapText="0"/>
    </xf>
    <xf borderId="2" fillId="3" fontId="8" numFmtId="0" xfId="0" applyAlignment="1" applyBorder="1" applyFont="1">
      <alignment horizontal="left" shrinkToFit="0" vertical="bottom" wrapText="0"/>
    </xf>
    <xf borderId="2" fillId="15" fontId="1" numFmtId="0" xfId="0" applyAlignment="1" applyBorder="1" applyFill="1" applyFont="1">
      <alignment horizontal="center" readingOrder="0" shrinkToFit="0" vertical="bottom" wrapText="0"/>
    </xf>
    <xf borderId="2" fillId="2" fontId="1" numFmtId="3" xfId="0" applyAlignment="1" applyBorder="1" applyFont="1" applyNumberFormat="1">
      <alignment horizontal="center" readingOrder="0" shrinkToFit="0" vertical="bottom" wrapText="1"/>
    </xf>
    <xf borderId="2" fillId="11" fontId="8" numFmtId="0" xfId="0" applyAlignment="1" applyBorder="1" applyFont="1">
      <alignment horizontal="center" shrinkToFit="0" vertical="bottom" wrapText="0"/>
    </xf>
    <xf borderId="2" fillId="5" fontId="8" numFmtId="0" xfId="0" applyAlignment="1" applyBorder="1" applyFont="1">
      <alignment horizontal="left" shrinkToFit="0" vertical="bottom" wrapText="0"/>
    </xf>
    <xf borderId="2" fillId="10" fontId="8" numFmtId="164" xfId="0" applyAlignment="1" applyBorder="1" applyFont="1" applyNumberFormat="1">
      <alignment horizontal="center" readingOrder="0" shrinkToFit="0" vertical="bottom" wrapText="0"/>
    </xf>
    <xf borderId="2" fillId="2" fontId="8" numFmtId="165" xfId="0" applyAlignment="1" applyBorder="1" applyFont="1" applyNumberFormat="1">
      <alignment horizontal="center" vertical="bottom"/>
    </xf>
    <xf borderId="2" fillId="2" fontId="8" numFmtId="0" xfId="0" applyAlignment="1" applyBorder="1" applyFont="1">
      <alignment horizontal="center" shrinkToFit="0" vertical="bottom" wrapText="0"/>
    </xf>
    <xf borderId="2" fillId="2" fontId="8" numFmtId="165" xfId="0" applyAlignment="1" applyBorder="1" applyFont="1" applyNumberFormat="1">
      <alignment horizontal="center" shrinkToFit="0" vertical="bottom" wrapText="0"/>
    </xf>
    <xf borderId="2" fillId="3" fontId="8" numFmtId="0" xfId="0" applyAlignment="1" applyBorder="1" applyFont="1">
      <alignment horizontal="center" shrinkToFit="0" vertical="bottom" wrapText="0"/>
    </xf>
    <xf borderId="2" fillId="3" fontId="8" numFmtId="165" xfId="0" applyAlignment="1" applyBorder="1" applyFont="1" applyNumberFormat="1">
      <alignment horizontal="center" shrinkToFit="0" vertical="bottom" wrapText="0"/>
    </xf>
    <xf borderId="2" fillId="3" fontId="8" numFmtId="0" xfId="0" applyAlignment="1" applyBorder="1" applyFont="1">
      <alignment horizontal="left" shrinkToFit="0" vertical="bottom" wrapText="0"/>
    </xf>
    <xf borderId="2" fillId="11" fontId="8" numFmtId="0" xfId="0" applyAlignment="1" applyBorder="1" applyFont="1">
      <alignment horizontal="center" readingOrder="0" shrinkToFit="0" vertical="bottom" wrapText="0"/>
    </xf>
    <xf borderId="2" fillId="11" fontId="8" numFmtId="0" xfId="0" applyAlignment="1" applyBorder="1" applyFont="1">
      <alignment horizontal="center" readingOrder="0" shrinkToFit="0" vertical="bottom" wrapText="0"/>
    </xf>
    <xf borderId="2" fillId="14" fontId="8" numFmtId="0" xfId="0" applyAlignment="1" applyBorder="1" applyFont="1">
      <alignment horizontal="center" readingOrder="0" vertical="bottom"/>
    </xf>
    <xf borderId="3" fillId="14" fontId="8" numFmtId="0" xfId="0" applyAlignment="1" applyBorder="1" applyFont="1">
      <alignment horizontal="center" readingOrder="0" vertical="bottom"/>
    </xf>
    <xf borderId="3" fillId="5" fontId="9" numFmtId="0" xfId="0" applyAlignment="1" applyBorder="1" applyFont="1">
      <alignment horizontal="center" vertical="bottom"/>
    </xf>
    <xf borderId="3" fillId="2" fontId="8" numFmtId="165" xfId="0" applyAlignment="1" applyBorder="1" applyFont="1" applyNumberFormat="1">
      <alignment horizontal="center" vertical="bottom"/>
    </xf>
    <xf borderId="3" fillId="3" fontId="8" numFmtId="165" xfId="0" applyAlignment="1" applyBorder="1" applyFont="1" applyNumberFormat="1">
      <alignment horizontal="center" vertical="bottom"/>
    </xf>
    <xf borderId="3" fillId="0" fontId="9" numFmtId="0" xfId="0" applyAlignment="1" applyBorder="1" applyFont="1">
      <alignment horizontal="right" vertical="bottom"/>
    </xf>
    <xf borderId="3" fillId="0" fontId="8" numFmtId="0" xfId="0" applyAlignment="1" applyBorder="1" applyFont="1">
      <alignment vertical="bottom"/>
    </xf>
    <xf borderId="3" fillId="0" fontId="8" numFmtId="0" xfId="0" applyAlignment="1" applyBorder="1" applyFont="1">
      <alignment horizontal="center" vertical="bottom"/>
    </xf>
    <xf borderId="2" fillId="15" fontId="8" numFmtId="0" xfId="0" applyAlignment="1" applyBorder="1" applyFont="1">
      <alignment horizontal="center" readingOrder="0" shrinkToFit="0" vertical="bottom" wrapText="0"/>
    </xf>
    <xf borderId="2" fillId="2" fontId="8" numFmtId="165" xfId="0" applyAlignment="1" applyBorder="1" applyFont="1" applyNumberFormat="1">
      <alignment horizontal="center" shrinkToFit="0" vertical="bottom" wrapText="0"/>
    </xf>
    <xf borderId="2" fillId="3" fontId="8" numFmtId="165" xfId="0" applyAlignment="1" applyBorder="1" applyFont="1" applyNumberFormat="1">
      <alignment horizontal="center" shrinkToFit="0" vertical="bottom" wrapText="0"/>
    </xf>
    <xf borderId="2" fillId="3" fontId="8" numFmtId="165" xfId="0" applyAlignment="1" applyBorder="1" applyFont="1" applyNumberFormat="1">
      <alignment horizontal="left" shrinkToFit="0" vertical="bottom" wrapText="0"/>
    </xf>
    <xf borderId="2" fillId="14" fontId="8" numFmtId="0" xfId="0" applyAlignment="1" applyBorder="1" applyFont="1">
      <alignment horizontal="center" vertical="bottom"/>
    </xf>
    <xf borderId="2" fillId="0" fontId="8" numFmtId="0" xfId="0" applyAlignment="1" applyBorder="1" applyFont="1">
      <alignment horizontal="center" readingOrder="0" shrinkToFit="0" vertical="bottom" wrapText="0"/>
    </xf>
    <xf borderId="2" fillId="2" fontId="8" numFmtId="0" xfId="0" applyAlignment="1" applyBorder="1" applyFont="1">
      <alignment horizontal="center" vertical="bottom"/>
    </xf>
    <xf borderId="2" fillId="2" fontId="8" numFmtId="165" xfId="0" applyAlignment="1" applyBorder="1" applyFont="1" applyNumberFormat="1">
      <alignment horizontal="center" vertical="bottom"/>
    </xf>
    <xf borderId="2" fillId="3" fontId="8" numFmtId="0" xfId="0" applyAlignment="1" applyBorder="1" applyFont="1">
      <alignment horizontal="center" vertical="bottom"/>
    </xf>
    <xf borderId="2" fillId="3" fontId="8" numFmtId="165" xfId="0" applyAlignment="1" applyBorder="1" applyFont="1" applyNumberFormat="1">
      <alignment horizontal="center" vertical="bottom"/>
    </xf>
    <xf borderId="2" fillId="3" fontId="8" numFmtId="165" xfId="0" applyAlignment="1" applyBorder="1" applyFont="1" applyNumberFormat="1">
      <alignment horizontal="left" vertical="bottom"/>
    </xf>
    <xf borderId="2" fillId="3" fontId="8" numFmtId="0" xfId="0" applyAlignment="1" applyBorder="1" applyFont="1">
      <alignment horizontal="center" readingOrder="0" shrinkToFit="0" vertical="bottom" wrapText="0"/>
    </xf>
    <xf borderId="2" fillId="15" fontId="8" numFmtId="0" xfId="0" applyAlignment="1" applyBorder="1" applyFont="1">
      <alignment horizontal="center" vertical="bottom"/>
    </xf>
    <xf borderId="2" fillId="15" fontId="8" numFmtId="0" xfId="0" applyAlignment="1" applyBorder="1" applyFont="1">
      <alignment horizontal="center" readingOrder="0" vertical="bottom"/>
    </xf>
    <xf borderId="2" fillId="13" fontId="8" numFmtId="0" xfId="0" applyAlignment="1" applyBorder="1" applyFont="1">
      <alignment horizontal="center" readingOrder="0" shrinkToFit="0" vertical="bottom" wrapText="0"/>
    </xf>
    <xf borderId="2" fillId="5" fontId="8" numFmtId="0" xfId="0" applyAlignment="1" applyBorder="1" applyFont="1">
      <alignment vertical="bottom"/>
    </xf>
    <xf borderId="3" fillId="0" fontId="8" numFmtId="0" xfId="0" applyAlignment="1" applyBorder="1" applyFont="1">
      <alignment horizontal="center" readingOrder="0" vertical="bottom"/>
    </xf>
    <xf borderId="3" fillId="2" fontId="8" numFmtId="0" xfId="0" applyAlignment="1" applyBorder="1" applyFont="1">
      <alignment horizontal="center" vertical="bottom"/>
    </xf>
    <xf borderId="3" fillId="2" fontId="8" numFmtId="165" xfId="0" applyAlignment="1" applyBorder="1" applyFont="1" applyNumberFormat="1">
      <alignment horizontal="center" vertical="bottom"/>
    </xf>
    <xf borderId="3" fillId="3" fontId="8" numFmtId="0" xfId="0" applyAlignment="1" applyBorder="1" applyFont="1">
      <alignment horizontal="center" vertical="bottom"/>
    </xf>
    <xf borderId="3" fillId="3" fontId="8" numFmtId="165" xfId="0" applyAlignment="1" applyBorder="1" applyFont="1" applyNumberFormat="1">
      <alignment horizontal="center" vertical="bottom"/>
    </xf>
    <xf borderId="3" fillId="3" fontId="8" numFmtId="165" xfId="0" applyAlignment="1" applyBorder="1" applyFont="1" applyNumberFormat="1">
      <alignment horizontal="left" vertical="bottom"/>
    </xf>
    <xf borderId="2" fillId="11" fontId="8" numFmtId="0" xfId="0" applyAlignment="1" applyBorder="1" applyFont="1">
      <alignment horizontal="center" readingOrder="0" vertical="bottom"/>
    </xf>
    <xf borderId="2" fillId="3" fontId="8" numFmtId="165" xfId="0" applyAlignment="1" applyBorder="1" applyFont="1" applyNumberFormat="1">
      <alignment horizontal="left" readingOrder="0" vertical="bottom"/>
    </xf>
    <xf borderId="2" fillId="2" fontId="8" numFmtId="165" xfId="0" applyAlignment="1" applyBorder="1" applyFont="1" applyNumberFormat="1">
      <alignment horizontal="center" readingOrder="0" vertical="bottom"/>
    </xf>
    <xf borderId="2" fillId="12" fontId="8" numFmtId="0" xfId="0" applyAlignment="1" applyBorder="1" applyFont="1">
      <alignment horizontal="center" readingOrder="0" vertical="bottom"/>
    </xf>
    <xf borderId="2" fillId="12" fontId="8" numFmtId="0" xfId="0" applyAlignment="1" applyBorder="1" applyFont="1">
      <alignment horizontal="center" vertical="bottom"/>
    </xf>
    <xf borderId="3" fillId="12" fontId="8" numFmtId="0" xfId="0" applyAlignment="1" applyBorder="1" applyFont="1">
      <alignment horizontal="center" readingOrder="0" vertical="bottom"/>
    </xf>
    <xf borderId="3" fillId="2" fontId="8" numFmtId="0" xfId="0" applyAlignment="1" applyBorder="1" applyFont="1">
      <alignment horizontal="center" readingOrder="0" vertical="bottom"/>
    </xf>
    <xf borderId="3" fillId="3" fontId="8" numFmtId="165" xfId="0" applyAlignment="1" applyBorder="1" applyFont="1" applyNumberFormat="1">
      <alignment horizontal="left" vertical="bottom"/>
    </xf>
    <xf borderId="0" fillId="0" fontId="8" numFmtId="0" xfId="0" applyAlignment="1" applyFont="1">
      <alignment vertical="bottom"/>
    </xf>
    <xf borderId="3" fillId="3" fontId="8" numFmtId="165" xfId="0" applyAlignment="1" applyBorder="1" applyFont="1" applyNumberFormat="1">
      <alignment horizontal="left" readingOrder="0" vertical="bottom"/>
    </xf>
    <xf borderId="3" fillId="0" fontId="8" numFmtId="0" xfId="0" applyAlignment="1" applyBorder="1" applyFont="1">
      <alignment horizontal="right" vertical="bottom"/>
    </xf>
    <xf borderId="3" fillId="10" fontId="8" numFmtId="164" xfId="0" applyAlignment="1" applyBorder="1" applyFont="1" applyNumberFormat="1">
      <alignment readingOrder="0" vertical="bottom"/>
    </xf>
    <xf borderId="3" fillId="10" fontId="8" numFmtId="164" xfId="0" applyAlignment="1" applyBorder="1" applyFont="1" applyNumberFormat="1">
      <alignment horizontal="right" readingOrder="0" vertical="bottom"/>
    </xf>
    <xf borderId="3" fillId="2" fontId="8" numFmtId="0" xfId="0" applyAlignment="1" applyBorder="1" applyFont="1">
      <alignment vertical="bottom"/>
    </xf>
    <xf borderId="3" fillId="3" fontId="8" numFmtId="0" xfId="0" applyAlignment="1" applyBorder="1" applyFont="1">
      <alignment vertical="bottom"/>
    </xf>
    <xf borderId="3" fillId="3" fontId="8" numFmtId="165" xfId="0" applyAlignment="1" applyBorder="1" applyFont="1" applyNumberFormat="1">
      <alignment vertical="bottom"/>
    </xf>
    <xf borderId="3" fillId="2" fontId="8" numFmtId="165" xfId="0" applyAlignment="1" applyBorder="1" applyFont="1" applyNumberFormat="1">
      <alignment vertical="bottom"/>
    </xf>
    <xf borderId="2" fillId="10" fontId="8" numFmtId="166" xfId="0" applyAlignment="1" applyBorder="1" applyFont="1" applyNumberFormat="1">
      <alignment horizontal="center" readingOrder="0" vertical="bottom"/>
    </xf>
    <xf borderId="3" fillId="5" fontId="9" numFmtId="0" xfId="0" applyAlignment="1" applyBorder="1" applyFont="1">
      <alignment horizontal="center" readingOrder="0" vertical="bottom"/>
    </xf>
    <xf borderId="4" fillId="0" fontId="8" numFmtId="0" xfId="0" applyAlignment="1" applyBorder="1" applyFont="1">
      <alignment horizontal="center" vertical="bottom"/>
    </xf>
    <xf borderId="1" fillId="0" fontId="8" numFmtId="0" xfId="0" applyAlignment="1" applyBorder="1" applyFont="1">
      <alignment horizontal="center" readingOrder="0" vertical="bottom"/>
    </xf>
    <xf borderId="1" fillId="5" fontId="9" numFmtId="0" xfId="0" applyAlignment="1" applyBorder="1" applyFont="1">
      <alignment horizontal="center" readingOrder="0" vertical="bottom"/>
    </xf>
    <xf borderId="1" fillId="5" fontId="8" numFmtId="0" xfId="0" applyAlignment="1" applyBorder="1" applyFont="1">
      <alignment vertical="bottom"/>
    </xf>
    <xf borderId="1" fillId="10" fontId="8" numFmtId="164" xfId="0" applyAlignment="1" applyBorder="1" applyFont="1" applyNumberFormat="1">
      <alignment horizontal="center" readingOrder="0" vertical="bottom"/>
    </xf>
    <xf borderId="1" fillId="2" fontId="8" numFmtId="165" xfId="0" applyAlignment="1" applyBorder="1" applyFont="1" applyNumberFormat="1">
      <alignment horizontal="center" readingOrder="0" vertical="bottom"/>
    </xf>
    <xf borderId="1" fillId="2" fontId="8" numFmtId="165" xfId="0" applyAlignment="1" applyBorder="1" applyFont="1" applyNumberFormat="1">
      <alignment horizontal="center" vertical="bottom"/>
    </xf>
    <xf borderId="1" fillId="2" fontId="8" numFmtId="0" xfId="0" applyAlignment="1" applyBorder="1" applyFont="1">
      <alignment horizontal="center" vertical="bottom"/>
    </xf>
    <xf borderId="1" fillId="3" fontId="8" numFmtId="0" xfId="0" applyAlignment="1" applyBorder="1" applyFont="1">
      <alignment horizontal="center" vertical="bottom"/>
    </xf>
    <xf borderId="1" fillId="3" fontId="8" numFmtId="165" xfId="0" applyAlignment="1" applyBorder="1" applyFont="1" applyNumberFormat="1">
      <alignment horizontal="center" vertical="bottom"/>
    </xf>
    <xf borderId="1" fillId="3" fontId="8" numFmtId="165" xfId="0" applyAlignment="1" applyBorder="1" applyFont="1" applyNumberFormat="1">
      <alignment horizontal="left" vertical="bottom"/>
    </xf>
    <xf borderId="1" fillId="0" fontId="9" numFmtId="0" xfId="0" applyAlignment="1" applyBorder="1" applyFont="1">
      <alignment horizontal="right" vertical="bottom"/>
    </xf>
    <xf borderId="1" fillId="0" fontId="8" numFmtId="0" xfId="0" applyAlignment="1" applyBorder="1" applyFont="1">
      <alignment vertical="bottom"/>
    </xf>
    <xf borderId="1" fillId="0" fontId="8" numFmtId="0" xfId="0" applyAlignment="1" applyBorder="1" applyFont="1">
      <alignment horizontal="center" vertical="bottom"/>
    </xf>
    <xf borderId="4" fillId="0" fontId="8" numFmtId="0" xfId="0" applyAlignment="1" applyBorder="1" applyFont="1">
      <alignment horizontal="center" readingOrder="0" vertical="bottom"/>
    </xf>
    <xf borderId="1" fillId="3" fontId="8" numFmtId="165" xfId="0" applyAlignment="1" applyBorder="1" applyFont="1" applyNumberFormat="1">
      <alignment horizontal="left" readingOrder="0" vertical="bottom"/>
    </xf>
    <xf borderId="1" fillId="3" fontId="8" numFmtId="167" xfId="0" applyAlignment="1" applyBorder="1" applyFont="1" applyNumberFormat="1">
      <alignment horizontal="left" readingOrder="0" vertical="bottom"/>
    </xf>
    <xf borderId="1" fillId="3" fontId="8" numFmtId="168" xfId="0" applyAlignment="1" applyBorder="1" applyFont="1" applyNumberFormat="1">
      <alignment horizontal="left" readingOrder="0" vertical="bottom"/>
    </xf>
    <xf borderId="1" fillId="2" fontId="8" numFmtId="0" xfId="0" applyAlignment="1" applyBorder="1" applyFont="1">
      <alignment horizontal="center" readingOrder="0" vertical="bottom"/>
    </xf>
    <xf borderId="1" fillId="3" fontId="8" numFmtId="169" xfId="0" applyAlignment="1" applyBorder="1" applyFont="1" applyNumberFormat="1">
      <alignment horizontal="left" readingOrder="0" vertical="bottom"/>
    </xf>
    <xf borderId="1" fillId="3" fontId="8" numFmtId="165" xfId="0" applyAlignment="1" applyBorder="1" applyFont="1" applyNumberFormat="1">
      <alignment vertical="bottom"/>
    </xf>
    <xf borderId="3" fillId="3" fontId="8" numFmtId="165" xfId="0" applyAlignment="1" applyBorder="1" applyFont="1" applyNumberFormat="1">
      <alignment readingOrder="0" vertical="bottom"/>
    </xf>
    <xf borderId="3" fillId="0" fontId="9" numFmtId="0" xfId="0" applyAlignment="1" applyBorder="1" applyFont="1">
      <alignment horizontal="center" readingOrder="0" vertical="bottom"/>
    </xf>
    <xf borderId="0" fillId="5" fontId="9" numFmtId="0" xfId="0" applyAlignment="1" applyFont="1">
      <alignment horizontal="center" readingOrder="0" vertical="bottom"/>
    </xf>
    <xf borderId="0" fillId="5" fontId="8" numFmtId="0" xfId="0" applyAlignment="1" applyFont="1">
      <alignment vertical="bottom"/>
    </xf>
    <xf borderId="0" fillId="10" fontId="8" numFmtId="164" xfId="0" applyAlignment="1" applyFont="1" applyNumberFormat="1">
      <alignment horizontal="center" readingOrder="0" vertical="bottom"/>
    </xf>
    <xf borderId="0" fillId="2" fontId="8" numFmtId="165" xfId="0" applyAlignment="1" applyFont="1" applyNumberFormat="1">
      <alignment horizontal="center" readingOrder="0" vertical="bottom"/>
    </xf>
    <xf borderId="0" fillId="2" fontId="8" numFmtId="165" xfId="0" applyAlignment="1" applyFont="1" applyNumberFormat="1">
      <alignment horizontal="center" vertical="bottom"/>
    </xf>
    <xf borderId="0" fillId="2" fontId="8" numFmtId="0" xfId="0" applyAlignment="1" applyFont="1">
      <alignment horizontal="center" vertical="bottom"/>
    </xf>
    <xf borderId="0" fillId="3" fontId="8" numFmtId="0" xfId="0" applyAlignment="1" applyFont="1">
      <alignment horizontal="center" vertical="bottom"/>
    </xf>
    <xf borderId="0" fillId="3" fontId="8" numFmtId="165" xfId="0" applyAlignment="1" applyFont="1" applyNumberFormat="1">
      <alignment horizontal="center" vertical="bottom"/>
    </xf>
    <xf borderId="0" fillId="3" fontId="8" numFmtId="165" xfId="0" applyAlignment="1" applyFont="1" applyNumberFormat="1">
      <alignment readingOrder="0" vertical="bottom"/>
    </xf>
    <xf borderId="0" fillId="0" fontId="9" numFmtId="0" xfId="0" applyAlignment="1" applyFont="1">
      <alignment horizontal="right" vertical="bottom"/>
    </xf>
    <xf borderId="5" fillId="16" fontId="10" numFmtId="0" xfId="0" applyAlignment="1" applyBorder="1" applyFill="1" applyFont="1">
      <alignment horizontal="center" vertical="center"/>
    </xf>
    <xf borderId="6" fillId="0" fontId="2" numFmtId="0" xfId="0" applyBorder="1" applyFont="1"/>
    <xf borderId="3" fillId="0" fontId="2" numFmtId="0" xfId="0" applyBorder="1" applyFont="1"/>
    <xf borderId="7" fillId="3" fontId="11" numFmtId="0" xfId="0" applyAlignment="1" applyBorder="1" applyFont="1">
      <alignment horizontal="center" readingOrder="0" shrinkToFit="0" vertical="center" wrapText="0"/>
    </xf>
    <xf borderId="5" fillId="3" fontId="12" numFmtId="0" xfId="0" applyAlignment="1" applyBorder="1" applyFont="1">
      <alignment horizontal="center" readingOrder="0" shrinkToFit="0" vertical="center" wrapText="0"/>
    </xf>
    <xf borderId="4" fillId="0" fontId="2" numFmtId="0" xfId="0" applyBorder="1" applyFont="1"/>
    <xf borderId="2" fillId="3" fontId="11" numFmtId="0" xfId="0" applyAlignment="1" applyBorder="1" applyFont="1">
      <alignment horizontal="center" readingOrder="0" shrinkToFit="0" vertical="center" wrapText="0"/>
    </xf>
    <xf borderId="2" fillId="2" fontId="11" numFmtId="0" xfId="0" applyAlignment="1" applyBorder="1" applyFont="1">
      <alignment horizontal="left" readingOrder="0" shrinkToFit="0" vertical="bottom" wrapText="0"/>
    </xf>
    <xf borderId="2" fillId="2" fontId="13" numFmtId="0" xfId="0" applyAlignment="1" applyBorder="1" applyFont="1">
      <alignment horizontal="center" vertical="bottom"/>
    </xf>
    <xf borderId="2" fillId="2" fontId="11" numFmtId="0" xfId="0" applyAlignment="1" applyBorder="1" applyFont="1">
      <alignment horizontal="center" shrinkToFit="0" vertical="bottom" wrapText="0"/>
    </xf>
    <xf borderId="2" fillId="2" fontId="11" numFmtId="0" xfId="0" applyAlignment="1" applyBorder="1" applyFont="1">
      <alignment horizontal="left" readingOrder="0" shrinkToFit="0" vertical="bottom" wrapText="0"/>
    </xf>
    <xf borderId="5" fillId="12" fontId="10" numFmtId="0" xfId="0" applyAlignment="1" applyBorder="1" applyFont="1">
      <alignment horizontal="center" readingOrder="0" vertical="bottom"/>
    </xf>
    <xf borderId="2" fillId="12" fontId="10" numFmtId="0" xfId="0" applyAlignment="1" applyBorder="1" applyFont="1">
      <alignment horizontal="center" vertical="bottom"/>
    </xf>
    <xf borderId="2" fillId="16" fontId="14" numFmtId="0" xfId="0" applyAlignment="1" applyBorder="1" applyFont="1">
      <alignment horizontal="center" readingOrder="0" shrinkToFit="0" vertical="center" wrapText="1"/>
    </xf>
    <xf borderId="2" fillId="16" fontId="14" numFmtId="164" xfId="0" applyAlignment="1" applyBorder="1" applyFont="1" applyNumberFormat="1">
      <alignment horizontal="center" readingOrder="0" shrinkToFit="0" vertical="center" wrapText="1"/>
    </xf>
    <xf borderId="2" fillId="16" fontId="14" numFmtId="0" xfId="0" applyAlignment="1" applyBorder="1" applyFont="1">
      <alignment horizontal="center" readingOrder="0" shrinkToFit="0" vertical="center" wrapText="1"/>
    </xf>
    <xf borderId="2" fillId="16" fontId="14" numFmtId="164" xfId="0" applyAlignment="1" applyBorder="1" applyFont="1" applyNumberFormat="1">
      <alignment horizontal="center" readingOrder="0" shrinkToFit="0" vertical="center" wrapText="1"/>
    </xf>
    <xf borderId="2" fillId="16" fontId="14" numFmtId="0" xfId="0" applyAlignment="1" applyBorder="1" applyFont="1">
      <alignment horizontal="center" readingOrder="0" shrinkToFit="0" vertical="center" wrapText="1"/>
    </xf>
    <xf borderId="2" fillId="16" fontId="9" numFmtId="0" xfId="0" applyAlignment="1" applyBorder="1" applyFont="1">
      <alignment horizontal="center" readingOrder="0"/>
    </xf>
    <xf borderId="2" fillId="2" fontId="8" numFmtId="0" xfId="0" applyAlignment="1" applyBorder="1" applyFont="1">
      <alignment horizontal="left" readingOrder="0"/>
    </xf>
    <xf borderId="2" fillId="2" fontId="8" numFmtId="0" xfId="0" applyAlignment="1" applyBorder="1" applyFont="1">
      <alignment horizontal="left"/>
    </xf>
    <xf borderId="2" fillId="2" fontId="8" numFmtId="0" xfId="0" applyAlignment="1" applyBorder="1" applyFont="1">
      <alignment horizontal="center" readingOrder="0"/>
    </xf>
    <xf borderId="2" fillId="2" fontId="8" numFmtId="0" xfId="0" applyAlignment="1" applyBorder="1" applyFont="1">
      <alignment horizontal="right"/>
    </xf>
    <xf borderId="2" fillId="2" fontId="1" numFmtId="164" xfId="0" applyAlignment="1" applyBorder="1" applyFont="1" applyNumberFormat="1">
      <alignment horizontal="center" readingOrder="0" shrinkToFit="0" vertical="center" wrapText="1"/>
    </xf>
    <xf borderId="2" fillId="2" fontId="1" numFmtId="0" xfId="0" applyAlignment="1" applyBorder="1" applyFont="1">
      <alignment horizontal="center" readingOrder="0"/>
    </xf>
    <xf borderId="2" fillId="2" fontId="8" numFmtId="164" xfId="0" applyAlignment="1" applyBorder="1" applyFont="1" applyNumberFormat="1">
      <alignment horizontal="right" readingOrder="0"/>
    </xf>
    <xf borderId="2" fillId="2" fontId="1" numFmtId="164" xfId="0" applyAlignment="1" applyBorder="1" applyFont="1" applyNumberFormat="1">
      <alignment readingOrder="0" vertical="bottom"/>
    </xf>
    <xf borderId="2" fillId="2" fontId="1" numFmtId="0" xfId="0" applyAlignment="1" applyBorder="1" applyFont="1">
      <alignment readingOrder="0" shrinkToFit="0" vertical="bottom" wrapText="1"/>
    </xf>
    <xf borderId="2" fillId="2" fontId="1" numFmtId="0" xfId="0" applyAlignment="1" applyBorder="1" applyFont="1">
      <alignment horizontal="center" readingOrder="0" shrinkToFit="0" vertical="center" wrapText="1"/>
    </xf>
    <xf borderId="2" fillId="2" fontId="1" numFmtId="166" xfId="0" applyAlignment="1" applyBorder="1" applyFont="1" applyNumberFormat="1">
      <alignment readingOrder="0" vertical="bottom"/>
    </xf>
    <xf borderId="2" fillId="2" fontId="8" numFmtId="170" xfId="0" applyAlignment="1" applyBorder="1" applyFont="1" applyNumberFormat="1">
      <alignment horizontal="right" readingOrder="0"/>
    </xf>
    <xf borderId="0" fillId="2" fontId="8" numFmtId="0" xfId="0" applyAlignment="1" applyFont="1">
      <alignment horizontal="left" readingOrder="0"/>
    </xf>
    <xf borderId="2" fillId="2" fontId="1" numFmtId="0" xfId="0" applyAlignment="1" applyBorder="1" applyFont="1">
      <alignment readingOrder="0" vertical="bottom"/>
    </xf>
    <xf borderId="2" fillId="2" fontId="8" numFmtId="166" xfId="0" applyAlignment="1" applyBorder="1" applyFont="1" applyNumberFormat="1">
      <alignment horizontal="right" readingOrder="0"/>
    </xf>
    <xf borderId="2" fillId="4" fontId="15" numFmtId="0" xfId="0" applyAlignment="1" applyBorder="1" applyFont="1">
      <alignment readingOrder="0"/>
    </xf>
    <xf borderId="2" fillId="2" fontId="16" numFmtId="0" xfId="0" applyAlignment="1" applyBorder="1" applyFont="1">
      <alignment horizontal="left" readingOrder="0"/>
    </xf>
    <xf borderId="2" fillId="2" fontId="8" numFmtId="0" xfId="0" applyAlignment="1" applyBorder="1" applyFont="1">
      <alignment horizontal="left" readingOrder="0"/>
    </xf>
    <xf borderId="2" fillId="16" fontId="9" numFmtId="0" xfId="0" applyAlignment="1" applyBorder="1" applyFont="1">
      <alignment horizontal="center" vertical="bottom"/>
    </xf>
    <xf borderId="2" fillId="2" fontId="8" numFmtId="0" xfId="0" applyAlignment="1" applyBorder="1" applyFont="1">
      <alignment vertical="bottom"/>
    </xf>
    <xf quotePrefix="1" borderId="2" fillId="2" fontId="8" numFmtId="0" xfId="0" applyAlignment="1" applyBorder="1" applyFont="1">
      <alignment horizontal="center" vertical="bottom"/>
    </xf>
    <xf borderId="2" fillId="2" fontId="8" numFmtId="0" xfId="0" applyAlignment="1" applyBorder="1" applyFont="1">
      <alignment horizontal="right" vertical="bottom"/>
    </xf>
    <xf borderId="2" fillId="2" fontId="8" numFmtId="164" xfId="0" applyAlignment="1" applyBorder="1" applyFont="1" applyNumberFormat="1">
      <alignment horizontal="right" readingOrder="0" vertical="bottom"/>
    </xf>
    <xf borderId="2" fillId="2" fontId="8" numFmtId="0" xfId="0" applyAlignment="1" applyBorder="1" applyFont="1">
      <alignment readingOrder="0" vertical="bottom"/>
    </xf>
    <xf borderId="2" fillId="2" fontId="8" numFmtId="0" xfId="0" applyAlignment="1" applyBorder="1" applyFont="1">
      <alignment horizontal="center"/>
    </xf>
    <xf borderId="2" fillId="2" fontId="1" numFmtId="171" xfId="0" applyAlignment="1" applyBorder="1" applyFont="1" applyNumberFormat="1">
      <alignment readingOrder="0" vertical="bottom"/>
    </xf>
    <xf quotePrefix="1" borderId="2" fillId="2" fontId="8" numFmtId="0" xfId="0" applyAlignment="1" applyBorder="1" applyFont="1">
      <alignment horizontal="center" readingOrder="0"/>
    </xf>
    <xf borderId="2" fillId="2" fontId="8" numFmtId="171" xfId="0" applyAlignment="1" applyBorder="1" applyFont="1" applyNumberFormat="1">
      <alignment horizontal="right" readingOrder="0"/>
    </xf>
    <xf borderId="2" fillId="2" fontId="8" numFmtId="0" xfId="0" applyAlignment="1" applyBorder="1" applyFont="1">
      <alignment horizontal="right" readingOrder="0"/>
    </xf>
    <xf borderId="2" fillId="4" fontId="17" numFmtId="0" xfId="0" applyAlignment="1" applyBorder="1" applyFont="1">
      <alignment readingOrder="0"/>
    </xf>
    <xf borderId="2" fillId="2" fontId="1" numFmtId="170" xfId="0" applyAlignment="1" applyBorder="1" applyFont="1" applyNumberFormat="1">
      <alignment readingOrder="0" vertical="bottom"/>
    </xf>
    <xf borderId="2" fillId="2" fontId="1" numFmtId="172" xfId="0" applyAlignment="1" applyBorder="1" applyFont="1" applyNumberFormat="1">
      <alignment readingOrder="0" vertical="bottom"/>
    </xf>
    <xf borderId="0" fillId="16" fontId="9" numFmtId="0" xfId="0" applyAlignment="1" applyFont="1">
      <alignment horizontal="center" readingOrder="0"/>
    </xf>
    <xf borderId="0" fillId="2" fontId="8" numFmtId="0" xfId="0" applyAlignment="1" applyFont="1">
      <alignment horizontal="center" readingOrder="0"/>
    </xf>
    <xf borderId="0" fillId="2" fontId="8" numFmtId="0" xfId="0" applyAlignment="1" applyFont="1">
      <alignment horizontal="right"/>
    </xf>
    <xf borderId="0" fillId="2" fontId="1" numFmtId="0" xfId="0" applyAlignment="1" applyFont="1">
      <alignment horizontal="center" readingOrder="0"/>
    </xf>
    <xf borderId="0" fillId="2" fontId="8" numFmtId="164" xfId="0" applyAlignment="1" applyFont="1" applyNumberFormat="1">
      <alignment horizontal="right" readingOrder="0"/>
    </xf>
    <xf borderId="0" fillId="2" fontId="1" numFmtId="164" xfId="0" applyAlignment="1" applyFont="1" applyNumberFormat="1">
      <alignment readingOrder="0" vertical="bottom"/>
    </xf>
    <xf borderId="0" fillId="2" fontId="1" numFmtId="0" xfId="0" applyAlignment="1" applyFont="1">
      <alignment readingOrder="0" shrinkToFit="0" vertical="bottom" wrapText="1"/>
    </xf>
    <xf borderId="0" fillId="2" fontId="1" numFmtId="0" xfId="0" applyAlignment="1" applyFont="1">
      <alignment horizontal="center" readingOrder="0" shrinkToFit="0" vertical="center" wrapText="1"/>
    </xf>
    <xf borderId="0" fillId="2" fontId="1" numFmtId="164" xfId="0" applyAlignment="1" applyFont="1" applyNumberFormat="1">
      <alignment horizontal="center" readingOrder="0" shrinkToFit="0" vertical="center" wrapText="1"/>
    </xf>
    <xf borderId="2" fillId="2" fontId="1" numFmtId="173" xfId="0" applyAlignment="1" applyBorder="1" applyFont="1" applyNumberFormat="1">
      <alignment readingOrder="0" vertical="bottom"/>
    </xf>
    <xf borderId="2" fillId="16" fontId="9" numFmtId="0" xfId="0" applyAlignment="1" applyBorder="1" applyFont="1">
      <alignment horizontal="center" readingOrder="0" vertical="bottom"/>
    </xf>
    <xf borderId="3" fillId="2" fontId="8" numFmtId="0" xfId="0" applyAlignment="1" applyBorder="1" applyFont="1">
      <alignment horizontal="left" readingOrder="0"/>
    </xf>
    <xf borderId="3" fillId="2" fontId="8" numFmtId="0" xfId="0" applyAlignment="1" applyBorder="1" applyFont="1">
      <alignment horizontal="left"/>
    </xf>
    <xf borderId="3" fillId="2" fontId="8" numFmtId="0" xfId="0" applyAlignment="1" applyBorder="1" applyFont="1">
      <alignment horizontal="center" readingOrder="0"/>
    </xf>
    <xf borderId="3" fillId="2" fontId="8" numFmtId="0" xfId="0" applyAlignment="1" applyBorder="1" applyFont="1">
      <alignment horizontal="right"/>
    </xf>
    <xf borderId="3" fillId="2" fontId="1" numFmtId="0" xfId="0" applyAlignment="1" applyBorder="1" applyFont="1">
      <alignment horizontal="center" readingOrder="0"/>
    </xf>
    <xf borderId="3" fillId="2" fontId="8" numFmtId="164" xfId="0" applyAlignment="1" applyBorder="1" applyFont="1" applyNumberFormat="1">
      <alignment horizontal="right" readingOrder="0"/>
    </xf>
    <xf borderId="3" fillId="2" fontId="1" numFmtId="164" xfId="0" applyAlignment="1" applyBorder="1" applyFont="1" applyNumberFormat="1">
      <alignment readingOrder="0" vertical="bottom"/>
    </xf>
    <xf borderId="3" fillId="2" fontId="1" numFmtId="0" xfId="0" applyAlignment="1" applyBorder="1" applyFont="1">
      <alignment readingOrder="0" shrinkToFit="0" vertical="bottom" wrapText="1"/>
    </xf>
    <xf borderId="3" fillId="2" fontId="1" numFmtId="0" xfId="0" applyAlignment="1" applyBorder="1" applyFont="1">
      <alignment horizontal="center" readingOrder="0" shrinkToFit="0" vertical="center" wrapText="1"/>
    </xf>
    <xf borderId="3" fillId="2" fontId="1" numFmtId="171" xfId="0" applyAlignment="1" applyBorder="1" applyFont="1" applyNumberFormat="1">
      <alignment readingOrder="0" vertical="bottom"/>
    </xf>
    <xf borderId="3" fillId="2" fontId="8" numFmtId="0" xfId="0" applyAlignment="1" applyBorder="1" applyFont="1">
      <alignment horizontal="right" readingOrder="0"/>
    </xf>
    <xf borderId="3" fillId="2" fontId="1" numFmtId="170" xfId="0" applyAlignment="1" applyBorder="1" applyFont="1" applyNumberFormat="1">
      <alignment readingOrder="0" vertical="bottom"/>
    </xf>
    <xf borderId="5" fillId="6" fontId="7" numFmtId="0" xfId="0" applyAlignment="1" applyBorder="1" applyFont="1">
      <alignment horizontal="center" readingOrder="0" vertical="center"/>
    </xf>
    <xf borderId="5" fillId="6" fontId="7" numFmtId="0" xfId="0" applyAlignment="1" applyBorder="1" applyFont="1">
      <alignment horizontal="center" readingOrder="0" shrinkToFit="0" vertical="center" wrapText="1"/>
    </xf>
    <xf borderId="0" fillId="17" fontId="7" numFmtId="0" xfId="0" applyAlignment="1" applyFill="1" applyFont="1">
      <alignment readingOrder="0"/>
    </xf>
    <xf borderId="0" fillId="17" fontId="7" numFmtId="0" xfId="0" applyAlignment="1" applyFont="1">
      <alignment readingOrder="0" shrinkToFit="0" wrapText="1"/>
    </xf>
    <xf borderId="8" fillId="17" fontId="7" numFmtId="0" xfId="0" applyAlignment="1" applyBorder="1" applyFont="1">
      <alignment readingOrder="0" shrinkToFit="0" wrapText="1"/>
    </xf>
    <xf borderId="0" fillId="0" fontId="2" numFmtId="1" xfId="0" applyAlignment="1" applyFont="1" applyNumberFormat="1">
      <alignment readingOrder="0"/>
    </xf>
    <xf borderId="0" fillId="0" fontId="2" numFmtId="4" xfId="0" applyAlignment="1" applyFont="1" applyNumberFormat="1">
      <alignment readingOrder="0"/>
    </xf>
    <xf borderId="0" fillId="0" fontId="2" numFmtId="174" xfId="0" applyAlignment="1" applyFont="1" applyNumberFormat="1">
      <alignment readingOrder="0"/>
    </xf>
    <xf borderId="0" fillId="0" fontId="2" numFmtId="0" xfId="0" applyAlignment="1" applyFont="1">
      <alignment shrinkToFit="0" wrapText="1"/>
    </xf>
    <xf borderId="8" fillId="0" fontId="2" numFmtId="0" xfId="0" applyAlignment="1" applyBorder="1" applyFont="1">
      <alignment readingOrder="0" shrinkToFit="0" wrapText="1"/>
    </xf>
    <xf borderId="9" fillId="0" fontId="2" numFmtId="0" xfId="0" applyAlignment="1" applyBorder="1" applyFont="1">
      <alignment readingOrder="0"/>
    </xf>
    <xf borderId="9" fillId="0" fontId="2" numFmtId="0" xfId="0" applyBorder="1" applyFont="1"/>
    <xf borderId="9" fillId="0" fontId="2" numFmtId="4" xfId="0" applyAlignment="1" applyBorder="1" applyFont="1" applyNumberFormat="1">
      <alignment readingOrder="0"/>
    </xf>
    <xf borderId="9" fillId="0" fontId="2" numFmtId="174" xfId="0" applyAlignment="1" applyBorder="1" applyFont="1" applyNumberFormat="1">
      <alignment readingOrder="0"/>
    </xf>
    <xf borderId="9" fillId="0" fontId="2" numFmtId="0" xfId="0" applyAlignment="1" applyBorder="1" applyFont="1">
      <alignment shrinkToFit="0" wrapText="1"/>
    </xf>
    <xf borderId="10" fillId="0" fontId="2" numFmtId="0" xfId="0" applyAlignment="1" applyBorder="1" applyFont="1">
      <alignment readingOrder="0" shrinkToFit="0" wrapText="1"/>
    </xf>
    <xf borderId="9" fillId="0" fontId="8" numFmtId="0" xfId="0" applyAlignment="1" applyBorder="1" applyFont="1">
      <alignment horizontal="right" vertical="bottom"/>
    </xf>
    <xf borderId="9" fillId="0" fontId="8" numFmtId="4" xfId="0" applyAlignment="1" applyBorder="1" applyFont="1" applyNumberFormat="1">
      <alignment horizontal="right" vertical="bottom"/>
    </xf>
    <xf borderId="9" fillId="0" fontId="8" numFmtId="174" xfId="0" applyAlignment="1" applyBorder="1" applyFont="1" applyNumberFormat="1">
      <alignment horizontal="right" vertical="bottom"/>
    </xf>
    <xf borderId="0" fillId="0" fontId="8" numFmtId="1" xfId="0" applyAlignment="1" applyFont="1" applyNumberFormat="1">
      <alignment horizontal="right" vertical="bottom"/>
    </xf>
    <xf borderId="0" fillId="0" fontId="8" numFmtId="4" xfId="0" applyAlignment="1" applyFont="1" applyNumberFormat="1">
      <alignment horizontal="right" vertical="bottom"/>
    </xf>
    <xf borderId="0" fillId="0" fontId="8" numFmtId="174" xfId="0" applyAlignment="1" applyFont="1" applyNumberFormat="1">
      <alignment horizontal="right" vertical="bottom"/>
    </xf>
    <xf borderId="9" fillId="0" fontId="8" numFmtId="1" xfId="0" applyAlignment="1" applyBorder="1" applyFont="1" applyNumberFormat="1">
      <alignment horizontal="right" vertical="bottom"/>
    </xf>
    <xf borderId="0" fillId="0" fontId="8" numFmtId="3" xfId="0" applyAlignment="1" applyFont="1" applyNumberFormat="1">
      <alignment horizontal="right" vertical="bottom"/>
    </xf>
    <xf borderId="0" fillId="0" fontId="8" numFmtId="174" xfId="0" applyAlignment="1" applyFont="1" applyNumberFormat="1">
      <alignment vertical="bottom"/>
    </xf>
    <xf borderId="9" fillId="0" fontId="8" numFmtId="174" xfId="0" applyAlignment="1" applyBorder="1" applyFont="1" applyNumberFormat="1">
      <alignment vertical="bottom"/>
    </xf>
    <xf borderId="0" fillId="0" fontId="8" numFmtId="174" xfId="0" applyAlignment="1" applyFont="1" applyNumberFormat="1">
      <alignment readingOrder="0" vertical="bottom"/>
    </xf>
    <xf borderId="9" fillId="0" fontId="8" numFmtId="1" xfId="0" applyAlignment="1" applyBorder="1" applyFont="1" applyNumberFormat="1">
      <alignment horizontal="right" readingOrder="0" vertical="bottom"/>
    </xf>
    <xf borderId="9" fillId="0" fontId="8" numFmtId="4" xfId="0" applyAlignment="1" applyBorder="1" applyFont="1" applyNumberFormat="1">
      <alignment horizontal="right" readingOrder="0" vertical="bottom"/>
    </xf>
    <xf borderId="9" fillId="0" fontId="2" numFmtId="0" xfId="0" applyAlignment="1" applyBorder="1" applyFont="1">
      <alignment readingOrder="0" shrinkToFit="0" wrapText="1"/>
    </xf>
    <xf borderId="0" fillId="0" fontId="8" numFmtId="1" xfId="0" applyAlignment="1" applyFont="1" applyNumberFormat="1">
      <alignment horizontal="right" readingOrder="0" vertical="bottom"/>
    </xf>
    <xf borderId="0" fillId="0" fontId="8" numFmtId="4" xfId="0" applyAlignment="1" applyFont="1" applyNumberFormat="1">
      <alignment horizontal="right" readingOrder="0" vertical="bottom"/>
    </xf>
    <xf borderId="0" fillId="0" fontId="2" numFmtId="0" xfId="0" applyAlignment="1" applyFont="1">
      <alignment readingOrder="0" shrinkToFit="0" wrapText="1"/>
    </xf>
    <xf borderId="0" fillId="0" fontId="2" numFmtId="166" xfId="0" applyAlignment="1" applyFont="1" applyNumberFormat="1">
      <alignment readingOrder="0"/>
    </xf>
    <xf borderId="0" fillId="0" fontId="2" numFmtId="3" xfId="0" applyAlignment="1" applyFont="1" applyNumberFormat="1">
      <alignment readingOrder="0"/>
    </xf>
    <xf borderId="9" fillId="0" fontId="2" numFmtId="1" xfId="0" applyAlignment="1" applyBorder="1" applyFont="1" applyNumberFormat="1">
      <alignment readingOrder="0"/>
    </xf>
    <xf borderId="9" fillId="0" fontId="2" numFmtId="166" xfId="0" applyAlignment="1" applyBorder="1" applyFont="1" applyNumberFormat="1">
      <alignment readingOrder="0"/>
    </xf>
    <xf borderId="9" fillId="0" fontId="2" numFmtId="3" xfId="0" applyAlignment="1" applyBorder="1" applyFont="1" applyNumberFormat="1">
      <alignment readingOrder="0"/>
    </xf>
    <xf borderId="0" fillId="0" fontId="2" numFmtId="175" xfId="0" applyAlignment="1" applyFont="1" applyNumberFormat="1">
      <alignment readingOrder="0"/>
    </xf>
    <xf borderId="0" fillId="0" fontId="2" numFmtId="176" xfId="0" applyAlignment="1" applyFont="1" applyNumberFormat="1">
      <alignment readingOrder="0"/>
    </xf>
    <xf borderId="0" fillId="0" fontId="2" numFmtId="1" xfId="0" applyFont="1" applyNumberFormat="1"/>
    <xf borderId="0" fillId="0" fontId="2" numFmtId="166" xfId="0" applyAlignment="1" applyFont="1" applyNumberFormat="1">
      <alignment readingOrder="0" shrinkToFit="0" wrapText="1"/>
    </xf>
    <xf borderId="9" fillId="0" fontId="2" numFmtId="166" xfId="0" applyAlignment="1" applyBorder="1" applyFont="1" applyNumberFormat="1">
      <alignment readingOrder="0" shrinkToFit="0" wrapText="1"/>
    </xf>
    <xf borderId="0" fillId="0" fontId="2" numFmtId="174" xfId="0" applyAlignment="1" applyFont="1" applyNumberFormat="1">
      <alignment readingOrder="0" shrinkToFit="0" wrapText="1"/>
    </xf>
    <xf borderId="9" fillId="0" fontId="2" numFmtId="174" xfId="0" applyAlignment="1" applyBorder="1" applyFont="1" applyNumberFormat="1">
      <alignment readingOrder="0" shrinkToFit="0" wrapText="1"/>
    </xf>
    <xf borderId="11" fillId="0" fontId="2" numFmtId="1" xfId="0" applyAlignment="1" applyBorder="1" applyFont="1" applyNumberFormat="1">
      <alignment readingOrder="0"/>
    </xf>
    <xf borderId="11" fillId="0" fontId="2" numFmtId="0" xfId="0" applyAlignment="1" applyBorder="1" applyFont="1">
      <alignment readingOrder="0"/>
    </xf>
    <xf borderId="11" fillId="0" fontId="2" numFmtId="0" xfId="0" applyBorder="1" applyFont="1"/>
    <xf borderId="11" fillId="0" fontId="2" numFmtId="0" xfId="0" applyAlignment="1" applyBorder="1" applyFont="1">
      <alignment shrinkToFit="0" wrapText="1"/>
    </xf>
    <xf borderId="12" fillId="0" fontId="2" numFmtId="0" xfId="0" applyAlignment="1" applyBorder="1" applyFont="1">
      <alignment readingOrder="0" shrinkToFit="0" wrapText="1"/>
    </xf>
    <xf borderId="0" fillId="0" fontId="2" numFmtId="177" xfId="0" applyAlignment="1" applyFont="1" applyNumberFormat="1">
      <alignment readingOrder="0"/>
    </xf>
    <xf borderId="0" fillId="0" fontId="8" numFmtId="1" xfId="0" applyAlignment="1" applyFont="1" applyNumberFormat="1">
      <alignment horizontal="right" vertical="bottom"/>
    </xf>
    <xf borderId="0" fillId="18" fontId="8" numFmtId="0" xfId="0" applyAlignment="1" applyFill="1" applyFont="1">
      <alignment horizontal="right" vertical="bottom"/>
    </xf>
    <xf borderId="0" fillId="0" fontId="8" numFmtId="0" xfId="0" applyAlignment="1" applyFont="1">
      <alignment vertical="bottom"/>
    </xf>
    <xf borderId="0" fillId="0" fontId="8" numFmtId="0" xfId="0" applyAlignment="1" applyFont="1">
      <alignment horizontal="right" vertical="bottom"/>
    </xf>
    <xf borderId="13" fillId="0" fontId="8" numFmtId="0" xfId="0" applyAlignment="1" applyBorder="1" applyFont="1">
      <alignment shrinkToFit="0" vertical="bottom" wrapText="1"/>
    </xf>
    <xf borderId="0" fillId="0" fontId="8" numFmtId="1" xfId="0" applyAlignment="1" applyFont="1" applyNumberFormat="1">
      <alignment horizontal="right" readingOrder="0" vertical="bottom"/>
    </xf>
    <xf borderId="0" fillId="18" fontId="8" numFmtId="0" xfId="0" applyAlignment="1" applyFont="1">
      <alignment horizontal="right" readingOrder="0" vertical="bottom"/>
    </xf>
    <xf borderId="0" fillId="0" fontId="8" numFmtId="0" xfId="0" applyAlignment="1" applyFont="1">
      <alignment readingOrder="0" vertical="bottom"/>
    </xf>
    <xf borderId="0" fillId="0" fontId="8" numFmtId="3" xfId="0" applyAlignment="1" applyFont="1" applyNumberFormat="1">
      <alignment horizontal="right" readingOrder="0" vertical="bottom"/>
    </xf>
    <xf borderId="0" fillId="0" fontId="8" numFmtId="0" xfId="0" applyAlignment="1" applyFont="1">
      <alignment shrinkToFit="0" vertical="bottom" wrapText="1"/>
    </xf>
    <xf borderId="13" fillId="0" fontId="8" numFmtId="0" xfId="0" applyAlignment="1" applyBorder="1" applyFont="1">
      <alignment readingOrder="0" shrinkToFit="0" vertical="bottom" wrapText="1"/>
    </xf>
    <xf borderId="0" fillId="0" fontId="7" numFmtId="0" xfId="0" applyAlignment="1" applyFont="1">
      <alignment readingOrder="0" shrinkToFit="0" wrapText="1"/>
    </xf>
    <xf borderId="0" fillId="0" fontId="2" numFmtId="3" xfId="0" applyAlignment="1" applyFont="1" applyNumberFormat="1">
      <alignment horizontal="left" readingOrder="0" shrinkToFit="0" wrapText="1"/>
    </xf>
    <xf borderId="0" fillId="0" fontId="2" numFmtId="0" xfId="0" applyAlignment="1" applyFont="1">
      <alignment horizontal="center" shrinkToFit="0" wrapText="1"/>
    </xf>
    <xf borderId="0" fillId="0" fontId="2" numFmtId="0" xfId="0" applyAlignment="1" applyFont="1">
      <alignment horizontal="left" readingOrder="0" shrinkToFit="0" wrapText="1"/>
    </xf>
    <xf borderId="0" fillId="0" fontId="7" numFmtId="0" xfId="0" applyAlignment="1" applyFont="1">
      <alignment readingOrder="0"/>
    </xf>
    <xf borderId="0" fillId="0" fontId="2" numFmtId="3" xfId="0" applyAlignment="1" applyFont="1" applyNumberFormat="1">
      <alignment horizontal="center" readingOrder="0"/>
    </xf>
    <xf borderId="0" fillId="0" fontId="18" numFmtId="0" xfId="0" applyFont="1"/>
    <xf borderId="0" fillId="0" fontId="19" numFmtId="0" xfId="0" applyAlignment="1" applyFont="1">
      <alignment readingOrder="0" shrinkToFit="0" wrapText="1"/>
    </xf>
    <xf borderId="0" fillId="0" fontId="6" numFmtId="0" xfId="0" applyAlignment="1" applyFont="1">
      <alignment horizontal="center" readingOrder="0" vertical="center"/>
    </xf>
    <xf borderId="0" fillId="0" fontId="2" numFmtId="178" xfId="0" applyAlignment="1" applyFont="1" applyNumberFormat="1">
      <alignment horizontal="center"/>
    </xf>
    <xf borderId="0" fillId="0" fontId="2" numFmtId="0" xfId="0" applyAlignment="1" applyFont="1">
      <alignment horizontal="center"/>
    </xf>
    <xf borderId="0" fillId="0" fontId="2" numFmtId="164" xfId="0" applyAlignment="1" applyFont="1" applyNumberFormat="1">
      <alignment horizontal="center"/>
    </xf>
    <xf borderId="0" fillId="0" fontId="20" numFmtId="0" xfId="0" applyAlignment="1" applyFont="1">
      <alignment horizontal="center" vertical="center"/>
    </xf>
    <xf borderId="0" fillId="0" fontId="20" numFmtId="0" xfId="0" applyAlignment="1" applyFont="1">
      <alignment horizontal="right" readingOrder="0" vertical="center"/>
    </xf>
    <xf borderId="2" fillId="0" fontId="5" numFmtId="0" xfId="0" applyAlignment="1" applyBorder="1" applyFont="1">
      <alignment horizontal="center" readingOrder="0" vertical="center"/>
    </xf>
    <xf borderId="0" fillId="0" fontId="20" numFmtId="0" xfId="0" applyAlignment="1" applyFont="1">
      <alignment horizontal="center" readingOrder="0" vertical="center"/>
    </xf>
    <xf borderId="2" fillId="0" fontId="5" numFmtId="14" xfId="0" applyAlignment="1" applyBorder="1" applyFont="1" applyNumberFormat="1">
      <alignment horizontal="center" readingOrder="0" shrinkToFit="0" vertical="center" wrapText="0"/>
    </xf>
    <xf borderId="0" fillId="0" fontId="5" numFmtId="179" xfId="0" applyAlignment="1" applyFont="1" applyNumberFormat="1">
      <alignment horizontal="left" shrinkToFit="0" vertical="center" wrapText="0"/>
    </xf>
    <xf borderId="0" fillId="0" fontId="21" numFmtId="0" xfId="0" applyAlignment="1" applyFont="1">
      <alignment horizontal="left" readingOrder="0" vertical="center"/>
    </xf>
    <xf borderId="0" fillId="6" fontId="2" numFmtId="0" xfId="0" applyFont="1"/>
    <xf borderId="0" fillId="6" fontId="22" numFmtId="0" xfId="0" applyAlignment="1" applyFont="1">
      <alignment horizontal="center" readingOrder="0"/>
    </xf>
    <xf borderId="0" fillId="6" fontId="22" numFmtId="0" xfId="0" applyAlignment="1" applyFont="1">
      <alignment horizontal="left"/>
    </xf>
    <xf borderId="0" fillId="6" fontId="2" numFmtId="178" xfId="0" applyAlignment="1" applyFont="1" applyNumberFormat="1">
      <alignment horizontal="center"/>
    </xf>
    <xf borderId="0" fillId="19" fontId="2" numFmtId="0" xfId="0" applyAlignment="1" applyFill="1" applyFont="1">
      <alignment horizontal="left"/>
    </xf>
    <xf borderId="0" fillId="19" fontId="7" numFmtId="0" xfId="0" applyFont="1"/>
    <xf borderId="0" fillId="19" fontId="7" numFmtId="0" xfId="0" applyAlignment="1" applyFont="1">
      <alignment horizontal="right" readingOrder="0"/>
    </xf>
    <xf borderId="0" fillId="19" fontId="7" numFmtId="0" xfId="0" applyAlignment="1" applyFont="1">
      <alignment horizontal="left" shrinkToFit="0" wrapText="0"/>
    </xf>
    <xf borderId="0" fillId="19" fontId="7" numFmtId="0" xfId="0" applyAlignment="1" applyFont="1">
      <alignment horizontal="right" readingOrder="0" shrinkToFit="0" wrapText="0"/>
    </xf>
    <xf borderId="0" fillId="19" fontId="7" numFmtId="0" xfId="0" applyAlignment="1" applyFont="1">
      <alignment horizontal="left"/>
    </xf>
    <xf borderId="0" fillId="19" fontId="2" numFmtId="164" xfId="0" applyAlignment="1" applyFont="1" applyNumberFormat="1">
      <alignment horizontal="center"/>
    </xf>
    <xf borderId="0" fillId="19" fontId="23" numFmtId="0" xfId="0" applyAlignment="1" applyFont="1">
      <alignment horizontal="left" vertical="center"/>
    </xf>
    <xf borderId="0" fillId="19" fontId="24" numFmtId="0" xfId="0" applyAlignment="1" applyFont="1">
      <alignment vertical="center"/>
    </xf>
    <xf borderId="0" fillId="19" fontId="24" numFmtId="0" xfId="0" applyAlignment="1" applyFont="1">
      <alignment horizontal="right" readingOrder="0" vertical="center"/>
    </xf>
    <xf borderId="0" fillId="19" fontId="24" numFmtId="0" xfId="0" applyAlignment="1" applyFont="1">
      <alignment horizontal="left" shrinkToFit="0" vertical="center" wrapText="0"/>
    </xf>
    <xf borderId="0" fillId="19" fontId="24" numFmtId="0" xfId="0" applyAlignment="1" applyFont="1">
      <alignment horizontal="right" readingOrder="0" shrinkToFit="0" vertical="center" wrapText="0"/>
    </xf>
    <xf borderId="0" fillId="19" fontId="24" numFmtId="0" xfId="0" applyAlignment="1" applyFont="1">
      <alignment horizontal="left" vertical="center"/>
    </xf>
    <xf borderId="0" fillId="19" fontId="2" numFmtId="0" xfId="0" applyFont="1"/>
    <xf borderId="0" fillId="19" fontId="2" numFmtId="0" xfId="0" applyAlignment="1" applyFont="1">
      <alignment horizontal="center"/>
    </xf>
    <xf borderId="0" fillId="19" fontId="2" numFmtId="0" xfId="0" applyAlignment="1" applyFont="1">
      <alignment horizontal="center" readingOrder="0"/>
    </xf>
    <xf borderId="5" fillId="2" fontId="7" numFmtId="0" xfId="0" applyAlignment="1" applyBorder="1" applyFont="1">
      <alignment horizontal="center" readingOrder="0" vertical="center"/>
    </xf>
    <xf borderId="2" fillId="2" fontId="2" numFmtId="0" xfId="0" applyAlignment="1" applyBorder="1" applyFont="1">
      <alignment horizontal="center"/>
    </xf>
    <xf borderId="2" fillId="2" fontId="2" numFmtId="178" xfId="0" applyAlignment="1" applyBorder="1" applyFont="1" applyNumberFormat="1">
      <alignment horizontal="center"/>
    </xf>
    <xf borderId="2" fillId="2" fontId="2" numFmtId="0" xfId="0" applyAlignment="1" applyBorder="1" applyFont="1">
      <alignment horizontal="center" readingOrder="0"/>
    </xf>
    <xf borderId="2" fillId="0" fontId="2" numFmtId="0" xfId="0" applyAlignment="1" applyBorder="1" applyFont="1">
      <alignment horizontal="center"/>
    </xf>
    <xf borderId="2" fillId="0" fontId="2" numFmtId="178" xfId="0" applyAlignment="1" applyBorder="1" applyFont="1" applyNumberFormat="1">
      <alignment horizontal="center"/>
    </xf>
    <xf borderId="2" fillId="0" fontId="2" numFmtId="0" xfId="0" applyBorder="1" applyFont="1"/>
    <xf borderId="2" fillId="0" fontId="2" numFmtId="164" xfId="0" applyAlignment="1" applyBorder="1" applyFont="1" applyNumberFormat="1">
      <alignment horizontal="center"/>
    </xf>
    <xf borderId="7" fillId="6" fontId="1" numFmtId="0" xfId="0" applyAlignment="1" applyBorder="1" applyFont="1">
      <alignment horizontal="center" readingOrder="0" vertical="center"/>
    </xf>
    <xf borderId="5" fillId="6" fontId="6" numFmtId="0" xfId="0" applyAlignment="1" applyBorder="1" applyFont="1">
      <alignment horizontal="center" readingOrder="0" vertical="center"/>
    </xf>
    <xf borderId="14" fillId="6" fontId="6" numFmtId="0" xfId="0" applyAlignment="1" applyBorder="1" applyFont="1">
      <alignment horizontal="center" readingOrder="0" vertical="center"/>
    </xf>
    <xf borderId="15" fillId="0" fontId="2" numFmtId="0" xfId="0" applyBorder="1" applyFont="1"/>
    <xf borderId="14" fillId="6" fontId="2" numFmtId="0" xfId="0" applyAlignment="1" applyBorder="1" applyFont="1">
      <alignment horizontal="center" readingOrder="0"/>
    </xf>
    <xf borderId="15" fillId="6" fontId="2" numFmtId="0" xfId="0" applyAlignment="1" applyBorder="1" applyFont="1">
      <alignment horizontal="center" readingOrder="0"/>
    </xf>
    <xf borderId="14" fillId="6" fontId="2" numFmtId="0" xfId="0" applyAlignment="1" applyBorder="1" applyFont="1">
      <alignment readingOrder="0"/>
    </xf>
    <xf borderId="15" fillId="6" fontId="2" numFmtId="0" xfId="0" applyAlignment="1" applyBorder="1" applyFont="1">
      <alignment readingOrder="0"/>
    </xf>
    <xf borderId="8" fillId="0" fontId="2" numFmtId="0" xfId="0" applyAlignment="1" applyBorder="1" applyFont="1">
      <alignment readingOrder="0"/>
    </xf>
    <xf borderId="8" fillId="0" fontId="2" numFmtId="0" xfId="0" applyAlignment="1" applyBorder="1" applyFont="1">
      <alignment horizontal="center" readingOrder="0"/>
    </xf>
    <xf borderId="0" fillId="0" fontId="2" numFmtId="0" xfId="0" applyAlignment="1" applyFont="1">
      <alignment horizontal="center" readingOrder="0"/>
    </xf>
    <xf borderId="8" fillId="0" fontId="2" numFmtId="0" xfId="0" applyBorder="1" applyFont="1"/>
    <xf borderId="8" fillId="0" fontId="2" numFmtId="0" xfId="0" applyAlignment="1" applyBorder="1" applyFont="1">
      <alignment horizontal="center"/>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1" numFmtId="1" xfId="0" applyAlignment="1" applyFont="1" applyNumberFormat="1">
      <alignment horizontal="right" vertical="bottom"/>
    </xf>
    <xf borderId="0" fillId="0" fontId="1" numFmtId="164" xfId="0" applyAlignment="1" applyFont="1" applyNumberFormat="1">
      <alignment horizontal="right" readingOrder="0" vertical="bottom"/>
    </xf>
    <xf borderId="0" fillId="0" fontId="1" numFmtId="0" xfId="0" applyAlignment="1" applyFont="1">
      <alignment vertical="bottom"/>
    </xf>
    <xf borderId="0" fillId="16" fontId="14" numFmtId="0" xfId="0" applyAlignment="1" applyFont="1">
      <alignment horizontal="center" readingOrder="0" shrinkToFit="0" vertical="center" wrapText="1"/>
    </xf>
    <xf borderId="0" fillId="0" fontId="2" numFmtId="180" xfId="0" applyAlignment="1" applyFont="1" applyNumberFormat="1">
      <alignment readingOrder="0"/>
    </xf>
    <xf borderId="0" fillId="0" fontId="2" numFmtId="0" xfId="0" applyAlignment="1" applyFont="1">
      <alignment readingOrder="0"/>
    </xf>
    <xf quotePrefix="1" borderId="0" fillId="0" fontId="2" numFmtId="0" xfId="0" applyAlignment="1" applyFont="1">
      <alignment readingOrder="0"/>
    </xf>
    <xf borderId="16" fillId="3" fontId="6" numFmtId="0" xfId="0" applyAlignment="1" applyBorder="1" applyFont="1">
      <alignment horizontal="center" readingOrder="0" vertical="center"/>
    </xf>
    <xf borderId="16" fillId="3" fontId="6" numFmtId="4" xfId="0" applyAlignment="1" applyBorder="1" applyFont="1" applyNumberFormat="1">
      <alignment horizontal="center" readingOrder="0" shrinkToFit="0" vertical="center" wrapText="1"/>
    </xf>
    <xf borderId="16" fillId="3" fontId="6" numFmtId="0" xfId="0" applyAlignment="1" applyBorder="1" applyFont="1">
      <alignment horizontal="center" readingOrder="0" shrinkToFit="0" vertical="center" wrapText="1"/>
    </xf>
    <xf borderId="16" fillId="0" fontId="2" numFmtId="0" xfId="0" applyAlignment="1" applyBorder="1" applyFont="1">
      <alignment readingOrder="0"/>
    </xf>
    <xf borderId="16" fillId="0" fontId="2" numFmtId="4" xfId="0" applyAlignment="1" applyBorder="1" applyFont="1" applyNumberFormat="1">
      <alignment readingOrder="0"/>
    </xf>
    <xf borderId="16" fillId="0" fontId="2" numFmtId="14" xfId="0" applyAlignment="1" applyBorder="1" applyFont="1" applyNumberFormat="1">
      <alignment readingOrder="0"/>
    </xf>
    <xf borderId="16" fillId="0" fontId="2" numFmtId="0" xfId="0" applyAlignment="1" applyBorder="1" applyFont="1">
      <alignment readingOrder="0" shrinkToFit="0" wrapText="1"/>
    </xf>
    <xf borderId="16" fillId="0" fontId="2" numFmtId="0" xfId="0" applyAlignment="1" applyBorder="1" applyFont="1">
      <alignment shrinkToFit="0" wrapText="1"/>
    </xf>
    <xf borderId="14" fillId="19" fontId="5" numFmtId="0" xfId="0" applyAlignment="1" applyBorder="1" applyFont="1">
      <alignment horizontal="center" readingOrder="0" vertical="center"/>
    </xf>
    <xf borderId="1" fillId="0" fontId="2" numFmtId="0" xfId="0" applyBorder="1" applyFont="1"/>
    <xf borderId="4" fillId="19" fontId="5" numFmtId="4" xfId="0" applyAlignment="1" applyBorder="1" applyFont="1" applyNumberFormat="1">
      <alignment vertical="center"/>
    </xf>
    <xf borderId="4" fillId="19" fontId="2" numFmtId="0" xfId="0" applyAlignment="1" applyBorder="1" applyFont="1">
      <alignment vertical="center"/>
    </xf>
    <xf borderId="4" fillId="19" fontId="2" numFmtId="0" xfId="0" applyAlignment="1" applyBorder="1" applyFont="1">
      <alignment readingOrder="0" shrinkToFit="0" vertical="center" wrapText="1"/>
    </xf>
    <xf borderId="16" fillId="0" fontId="2" numFmtId="0" xfId="0" applyBorder="1" applyFont="1"/>
    <xf borderId="8" fillId="20" fontId="6" numFmtId="0" xfId="0" applyAlignment="1" applyBorder="1" applyFill="1" applyFont="1">
      <alignment horizontal="center" readingOrder="0" vertical="bottom"/>
    </xf>
    <xf borderId="13" fillId="0" fontId="2" numFmtId="0" xfId="0" applyBorder="1" applyFont="1"/>
    <xf borderId="7" fillId="0" fontId="2" numFmtId="0" xfId="0" applyAlignment="1" applyBorder="1" applyFont="1">
      <alignment horizontal="center" readingOrder="0" vertical="bottom"/>
    </xf>
    <xf borderId="7" fillId="0" fontId="2" numFmtId="0" xfId="0" applyAlignment="1" applyBorder="1" applyFont="1">
      <alignment readingOrder="0"/>
    </xf>
    <xf borderId="7" fillId="0" fontId="2" numFmtId="4" xfId="0" applyAlignment="1" applyBorder="1" applyFont="1" applyNumberFormat="1">
      <alignment readingOrder="0"/>
    </xf>
    <xf borderId="7" fillId="0" fontId="2" numFmtId="14" xfId="0" applyAlignment="1" applyBorder="1" applyFont="1" applyNumberFormat="1">
      <alignment readingOrder="0"/>
    </xf>
    <xf borderId="7" fillId="0" fontId="2" numFmtId="0" xfId="0" applyBorder="1" applyFont="1"/>
    <xf borderId="7" fillId="0" fontId="2" numFmtId="0" xfId="0" applyAlignment="1" applyBorder="1" applyFont="1">
      <alignment shrinkToFit="0" wrapText="1"/>
    </xf>
    <xf borderId="16" fillId="0" fontId="2" numFmtId="0" xfId="0" applyAlignment="1" applyBorder="1" applyFont="1">
      <alignment horizontal="center" readingOrder="0" vertical="bottom"/>
    </xf>
    <xf borderId="14" fillId="19" fontId="5" numFmtId="0" xfId="0" applyAlignment="1" applyBorder="1" applyFont="1">
      <alignment horizontal="center" readingOrder="0" vertical="center"/>
    </xf>
    <xf borderId="4" fillId="19" fontId="2" numFmtId="0" xfId="0" applyAlignment="1" applyBorder="1" applyFont="1">
      <alignment readingOrder="0" shrinkToFit="0" vertical="center" wrapText="1"/>
    </xf>
    <xf borderId="16" fillId="0" fontId="2" numFmtId="0" xfId="0" applyAlignment="1" applyBorder="1" applyFont="1">
      <alignment readingOrder="0"/>
    </xf>
    <xf borderId="16" fillId="0" fontId="7" numFmtId="0" xfId="0" applyAlignment="1" applyBorder="1" applyFont="1">
      <alignment readingOrder="0" shrinkToFit="0" wrapText="1"/>
    </xf>
    <xf borderId="16" fillId="0" fontId="2" numFmtId="0" xfId="0" applyAlignment="1" applyBorder="1" applyFont="1">
      <alignment readingOrder="0" shrinkToFit="0" wrapText="1"/>
    </xf>
    <xf borderId="16" fillId="0" fontId="25" numFmtId="0" xfId="0" applyAlignment="1" applyBorder="1" applyFont="1">
      <alignment readingOrder="0" shrinkToFit="0" wrapText="1"/>
    </xf>
    <xf borderId="16" fillId="0" fontId="7" numFmtId="4" xfId="0" applyAlignment="1" applyBorder="1" applyFont="1" applyNumberFormat="1">
      <alignment readingOrder="0"/>
    </xf>
    <xf borderId="5" fillId="19" fontId="5" numFmtId="0" xfId="0" applyAlignment="1" applyBorder="1" applyFont="1">
      <alignment horizontal="center" readingOrder="0" vertical="center"/>
    </xf>
    <xf borderId="2" fillId="19" fontId="5" numFmtId="4" xfId="0" applyAlignment="1" applyBorder="1" applyFont="1" applyNumberFormat="1">
      <alignment vertical="center"/>
    </xf>
    <xf borderId="2" fillId="19" fontId="2" numFmtId="0" xfId="0" applyAlignment="1" applyBorder="1" applyFont="1">
      <alignment vertical="center"/>
    </xf>
    <xf borderId="2" fillId="19" fontId="2" numFmtId="0" xfId="0" applyAlignment="1" applyBorder="1" applyFont="1">
      <alignment readingOrder="0" shrinkToFit="0" vertical="center" wrapText="1"/>
    </xf>
    <xf borderId="8" fillId="20" fontId="6" numFmtId="0" xfId="0" applyAlignment="1" applyBorder="1" applyFont="1">
      <alignment horizontal="center" readingOrder="0" vertical="bottom"/>
    </xf>
    <xf borderId="16" fillId="0" fontId="2" numFmtId="4" xfId="0" applyBorder="1" applyFont="1" applyNumberFormat="1"/>
    <xf borderId="13" fillId="0" fontId="2" numFmtId="0" xfId="0" applyAlignment="1" applyBorder="1" applyFont="1">
      <alignment readingOrder="0"/>
    </xf>
    <xf borderId="16" fillId="0" fontId="2" numFmtId="181" xfId="0" applyAlignment="1" applyBorder="1" applyFont="1" applyNumberFormat="1">
      <alignment readingOrder="0"/>
    </xf>
    <xf borderId="16" fillId="0" fontId="2" numFmtId="174" xfId="0" applyAlignment="1" applyBorder="1" applyFont="1" applyNumberFormat="1">
      <alignment readingOrder="0"/>
    </xf>
    <xf borderId="2" fillId="19" fontId="5" numFmtId="4" xfId="0" applyAlignment="1" applyBorder="1" applyFont="1" applyNumberFormat="1">
      <alignment readingOrder="0" vertical="center"/>
    </xf>
    <xf borderId="16" fillId="4" fontId="26" numFmtId="0" xfId="0" applyAlignment="1" applyBorder="1" applyFont="1">
      <alignment horizontal="left" readingOrder="0"/>
    </xf>
    <xf borderId="4" fillId="0" fontId="8" numFmtId="0" xfId="0" applyAlignment="1" applyBorder="1" applyFont="1">
      <alignment horizontal="right" vertical="bottom"/>
    </xf>
    <xf borderId="1" fillId="0" fontId="8" numFmtId="0" xfId="0" applyAlignment="1" applyBorder="1" applyFont="1">
      <alignment horizontal="right" vertical="bottom"/>
    </xf>
    <xf borderId="1" fillId="0" fontId="8" numFmtId="4" xfId="0" applyAlignment="1" applyBorder="1" applyFont="1" applyNumberFormat="1">
      <alignment horizontal="right" vertical="bottom"/>
    </xf>
    <xf borderId="1" fillId="0" fontId="8" numFmtId="0" xfId="0" applyAlignment="1" applyBorder="1" applyFont="1">
      <alignment vertical="bottom"/>
    </xf>
    <xf borderId="1" fillId="0" fontId="8" numFmtId="0" xfId="0" applyAlignment="1" applyBorder="1" applyFont="1">
      <alignment readingOrder="0" vertical="bottom"/>
    </xf>
    <xf borderId="14" fillId="19" fontId="27" numFmtId="0" xfId="0" applyAlignment="1" applyBorder="1" applyFont="1">
      <alignment horizontal="center" vertical="center"/>
    </xf>
    <xf borderId="1" fillId="19" fontId="27" numFmtId="4" xfId="0" applyAlignment="1" applyBorder="1" applyFont="1" applyNumberFormat="1">
      <alignment horizontal="right" vertical="center"/>
    </xf>
    <xf borderId="3" fillId="19" fontId="8" numFmtId="174" xfId="0" applyAlignment="1" applyBorder="1" applyFont="1" applyNumberFormat="1">
      <alignment vertical="bottom"/>
    </xf>
    <xf borderId="1" fillId="19" fontId="8" numFmtId="0" xfId="0" applyAlignment="1" applyBorder="1" applyFont="1">
      <alignment vertical="bottom"/>
    </xf>
    <xf borderId="1" fillId="19" fontId="8" numFmtId="0" xfId="0" applyAlignment="1" applyBorder="1" applyFont="1">
      <alignment readingOrder="0" shrinkToFit="0" wrapText="1"/>
    </xf>
    <xf borderId="16" fillId="0" fontId="2" numFmtId="166" xfId="0" applyAlignment="1" applyBorder="1" applyFont="1" applyNumberFormat="1">
      <alignment readingOrder="0"/>
    </xf>
    <xf borderId="16" fillId="0" fontId="2" numFmtId="3" xfId="0" applyAlignment="1" applyBorder="1" applyFont="1" applyNumberFormat="1">
      <alignment readingOrder="0"/>
    </xf>
    <xf borderId="0" fillId="21" fontId="24" numFmtId="0" xfId="0" applyAlignment="1" applyFill="1" applyFont="1">
      <alignment horizontal="center" readingOrder="0" vertical="center"/>
    </xf>
    <xf borderId="13" fillId="21" fontId="24" numFmtId="0" xfId="0" applyAlignment="1" applyBorder="1" applyFont="1">
      <alignment horizontal="center" readingOrder="0" vertical="center"/>
    </xf>
    <xf borderId="0" fillId="21" fontId="24" numFmtId="182" xfId="0" applyAlignment="1" applyFont="1" applyNumberFormat="1">
      <alignment horizontal="center" readingOrder="0" vertical="center"/>
    </xf>
    <xf borderId="0" fillId="21" fontId="24" numFmtId="183" xfId="0" applyAlignment="1" applyFont="1" applyNumberFormat="1">
      <alignment horizontal="center" readingOrder="0" vertical="center"/>
    </xf>
    <xf borderId="0" fillId="21" fontId="24" numFmtId="0" xfId="0" applyAlignment="1" applyFont="1">
      <alignment horizontal="center" readingOrder="0" shrinkToFit="0" vertical="center" wrapText="1"/>
    </xf>
    <xf borderId="8" fillId="22" fontId="24" numFmtId="0" xfId="0" applyAlignment="1" applyBorder="1" applyFill="1" applyFont="1">
      <alignment horizontal="center" readingOrder="0" vertical="center"/>
    </xf>
    <xf borderId="0" fillId="22" fontId="24" numFmtId="0" xfId="0" applyAlignment="1" applyFont="1">
      <alignment horizontal="center" readingOrder="0" vertical="center"/>
    </xf>
    <xf borderId="0" fillId="22" fontId="24" numFmtId="0" xfId="0" applyAlignment="1" applyFont="1">
      <alignment horizontal="center" readingOrder="0" shrinkToFit="0" vertical="center" wrapText="1"/>
    </xf>
    <xf borderId="0" fillId="2" fontId="7" numFmtId="0" xfId="0" applyAlignment="1" applyFont="1">
      <alignment horizontal="center" readingOrder="0"/>
    </xf>
    <xf borderId="13" fillId="2" fontId="7" numFmtId="0" xfId="0" applyAlignment="1" applyBorder="1" applyFont="1">
      <alignment horizontal="center" readingOrder="0"/>
    </xf>
    <xf borderId="0" fillId="2" fontId="2" numFmtId="0" xfId="0" applyAlignment="1" applyFont="1">
      <alignment horizontal="center"/>
    </xf>
    <xf borderId="0" fillId="2" fontId="2" numFmtId="182" xfId="0" applyAlignment="1" applyFont="1" applyNumberFormat="1">
      <alignment horizontal="center"/>
    </xf>
    <xf borderId="0" fillId="2" fontId="2" numFmtId="183" xfId="0" applyAlignment="1" applyFont="1" applyNumberFormat="1">
      <alignment horizontal="center"/>
    </xf>
    <xf borderId="7" fillId="16" fontId="5" numFmtId="182" xfId="0" applyAlignment="1" applyBorder="1" applyFont="1" applyNumberFormat="1">
      <alignment horizontal="center" vertical="center"/>
    </xf>
    <xf borderId="9" fillId="19" fontId="7" numFmtId="0" xfId="0" applyAlignment="1" applyBorder="1" applyFont="1">
      <alignment horizontal="center" readingOrder="0"/>
    </xf>
    <xf borderId="17" fillId="19" fontId="7" numFmtId="0" xfId="0" applyAlignment="1" applyBorder="1" applyFont="1">
      <alignment horizontal="center" readingOrder="0"/>
    </xf>
    <xf borderId="9" fillId="19" fontId="2" numFmtId="0" xfId="0" applyAlignment="1" applyBorder="1" applyFont="1">
      <alignment horizontal="center"/>
    </xf>
    <xf borderId="9" fillId="19" fontId="2" numFmtId="182" xfId="0" applyAlignment="1" applyBorder="1" applyFont="1" applyNumberFormat="1">
      <alignment horizontal="center"/>
    </xf>
    <xf borderId="9" fillId="19" fontId="2" numFmtId="183" xfId="0" applyAlignment="1" applyBorder="1" applyFont="1" applyNumberFormat="1">
      <alignment horizontal="center"/>
    </xf>
    <xf borderId="9" fillId="19" fontId="2" numFmtId="184" xfId="0" applyAlignment="1" applyBorder="1" applyFont="1" applyNumberFormat="1">
      <alignment horizontal="center"/>
    </xf>
    <xf borderId="0" fillId="19" fontId="7" numFmtId="0" xfId="0" applyAlignment="1" applyFont="1">
      <alignment horizontal="center" readingOrder="0"/>
    </xf>
    <xf borderId="13" fillId="19" fontId="7" numFmtId="0" xfId="0" applyAlignment="1" applyBorder="1" applyFont="1">
      <alignment horizontal="center" readingOrder="0"/>
    </xf>
    <xf borderId="0" fillId="19" fontId="2" numFmtId="182" xfId="0" applyAlignment="1" applyFont="1" applyNumberFormat="1">
      <alignment horizontal="center"/>
    </xf>
    <xf borderId="0" fillId="19" fontId="2" numFmtId="183" xfId="0" applyAlignment="1" applyFont="1" applyNumberFormat="1">
      <alignment horizontal="center"/>
    </xf>
    <xf borderId="0" fillId="19" fontId="2" numFmtId="184" xfId="0" applyAlignment="1" applyFont="1" applyNumberFormat="1">
      <alignment horizontal="center"/>
    </xf>
    <xf borderId="9" fillId="11" fontId="7" numFmtId="0" xfId="0" applyAlignment="1" applyBorder="1" applyFont="1">
      <alignment horizontal="center" readingOrder="0"/>
    </xf>
    <xf borderId="17" fillId="11" fontId="7" numFmtId="0" xfId="0" applyAlignment="1" applyBorder="1" applyFont="1">
      <alignment horizontal="center" readingOrder="0"/>
    </xf>
    <xf borderId="10" fillId="11" fontId="2" numFmtId="0" xfId="0" applyAlignment="1" applyBorder="1" applyFont="1">
      <alignment horizontal="center"/>
    </xf>
    <xf borderId="9" fillId="11" fontId="2" numFmtId="182" xfId="0" applyAlignment="1" applyBorder="1" applyFont="1" applyNumberFormat="1">
      <alignment horizontal="center"/>
    </xf>
    <xf borderId="9" fillId="11" fontId="2" numFmtId="183" xfId="0" applyAlignment="1" applyBorder="1" applyFont="1" applyNumberFormat="1">
      <alignment horizontal="center"/>
    </xf>
    <xf borderId="9" fillId="11" fontId="2" numFmtId="184" xfId="0" applyAlignment="1" applyBorder="1" applyFont="1" applyNumberFormat="1">
      <alignment horizontal="center"/>
    </xf>
    <xf borderId="0" fillId="11" fontId="7" numFmtId="0" xfId="0" applyAlignment="1" applyFont="1">
      <alignment horizontal="center" readingOrder="0"/>
    </xf>
    <xf borderId="8" fillId="11" fontId="2" numFmtId="182" xfId="0" applyAlignment="1" applyBorder="1" applyFont="1" applyNumberFormat="1">
      <alignment horizontal="center"/>
    </xf>
    <xf borderId="0" fillId="11" fontId="2" numFmtId="182" xfId="0" applyAlignment="1" applyFont="1" applyNumberFormat="1">
      <alignment horizontal="center"/>
    </xf>
    <xf borderId="13" fillId="11" fontId="7" numFmtId="0" xfId="0" applyAlignment="1" applyBorder="1" applyFont="1">
      <alignment horizontal="center" readingOrder="0"/>
    </xf>
    <xf borderId="9" fillId="23" fontId="7" numFmtId="0" xfId="0" applyAlignment="1" applyBorder="1" applyFill="1" applyFont="1">
      <alignment horizontal="center" readingOrder="0"/>
    </xf>
    <xf borderId="10" fillId="23" fontId="2" numFmtId="0" xfId="0" applyAlignment="1" applyBorder="1" applyFont="1">
      <alignment horizontal="center" readingOrder="0"/>
    </xf>
    <xf borderId="9" fillId="23" fontId="2" numFmtId="182" xfId="0" applyAlignment="1" applyBorder="1" applyFont="1" applyNumberFormat="1">
      <alignment horizontal="center" readingOrder="0"/>
    </xf>
    <xf borderId="9" fillId="23" fontId="2" numFmtId="0" xfId="0" applyAlignment="1" applyBorder="1" applyFont="1">
      <alignment horizontal="center" readingOrder="0"/>
    </xf>
    <xf borderId="0" fillId="23" fontId="7" numFmtId="0" xfId="0" applyAlignment="1" applyFont="1">
      <alignment horizontal="center" readingOrder="0"/>
    </xf>
    <xf borderId="13" fillId="23" fontId="7" numFmtId="0" xfId="0" applyAlignment="1" applyBorder="1" applyFont="1">
      <alignment horizontal="center" readingOrder="0"/>
    </xf>
    <xf borderId="0" fillId="23" fontId="2" numFmtId="0" xfId="0" applyAlignment="1" applyFont="1">
      <alignment horizontal="center" readingOrder="0"/>
    </xf>
    <xf borderId="0" fillId="23" fontId="2" numFmtId="182" xfId="0" applyAlignment="1" applyFont="1" applyNumberFormat="1">
      <alignment horizontal="center" readingOrder="0"/>
    </xf>
    <xf borderId="8" fillId="23" fontId="2" numFmtId="182" xfId="0" applyAlignment="1" applyBorder="1" applyFont="1" applyNumberFormat="1">
      <alignment horizontal="center" readingOrder="0"/>
    </xf>
    <xf borderId="9" fillId="6" fontId="7" numFmtId="0" xfId="0" applyAlignment="1" applyBorder="1" applyFont="1">
      <alignment horizontal="center" readingOrder="0"/>
    </xf>
    <xf borderId="10" fillId="6" fontId="2" numFmtId="182" xfId="0" applyAlignment="1" applyBorder="1" applyFont="1" applyNumberFormat="1">
      <alignment horizontal="center" readingOrder="0"/>
    </xf>
    <xf borderId="9" fillId="6" fontId="2" numFmtId="182" xfId="0" applyAlignment="1" applyBorder="1" applyFont="1" applyNumberFormat="1">
      <alignment horizontal="center" readingOrder="0"/>
    </xf>
    <xf borderId="9" fillId="6" fontId="2" numFmtId="0" xfId="0" applyAlignment="1" applyBorder="1" applyFont="1">
      <alignment horizontal="center" readingOrder="0"/>
    </xf>
    <xf borderId="0" fillId="6" fontId="7" numFmtId="0" xfId="0" applyAlignment="1" applyFont="1">
      <alignment horizontal="center" readingOrder="0"/>
    </xf>
    <xf borderId="8" fillId="6" fontId="2" numFmtId="182" xfId="0" applyAlignment="1" applyBorder="1" applyFont="1" applyNumberFormat="1">
      <alignment horizontal="center" readingOrder="0"/>
    </xf>
    <xf borderId="0" fillId="6" fontId="2" numFmtId="182" xfId="0" applyAlignment="1" applyFont="1" applyNumberFormat="1">
      <alignment horizontal="center" readingOrder="0"/>
    </xf>
    <xf borderId="0" fillId="6" fontId="2" numFmtId="0" xfId="0" applyAlignment="1" applyFont="1">
      <alignment horizontal="center" readingOrder="0"/>
    </xf>
    <xf borderId="15" fillId="16" fontId="14" numFmtId="0" xfId="0" applyAlignment="1" applyBorder="1" applyFont="1">
      <alignment horizontal="center" readingOrder="0" shrinkToFit="0" vertical="bottom" wrapText="0"/>
    </xf>
    <xf borderId="15" fillId="16" fontId="14" numFmtId="0" xfId="0" applyAlignment="1" applyBorder="1" applyFont="1">
      <alignment horizontal="center" readingOrder="0" shrinkToFit="0" vertical="bottom" wrapText="0"/>
    </xf>
    <xf borderId="15" fillId="16" fontId="14" numFmtId="0" xfId="0" applyAlignment="1" applyBorder="1" applyFont="1">
      <alignment horizontal="left" readingOrder="0" shrinkToFit="0" vertical="bottom" wrapText="0"/>
    </xf>
    <xf borderId="2" fillId="16" fontId="14" numFmtId="0" xfId="0" applyAlignment="1" applyBorder="1" applyFont="1">
      <alignment horizontal="center" readingOrder="0" shrinkToFit="0" vertical="bottom" wrapText="0"/>
    </xf>
    <xf borderId="2" fillId="16" fontId="28" numFmtId="1" xfId="0" applyAlignment="1" applyBorder="1" applyFont="1" applyNumberFormat="1">
      <alignment horizontal="center" readingOrder="0" shrinkToFit="0" vertical="bottom" wrapText="0"/>
    </xf>
    <xf borderId="2" fillId="2" fontId="2" numFmtId="0" xfId="0" applyAlignment="1" applyBorder="1" applyFont="1">
      <alignment horizontal="center" vertical="bottom"/>
    </xf>
    <xf borderId="2" fillId="2" fontId="2" numFmtId="0" xfId="0" applyAlignment="1" applyBorder="1" applyFont="1">
      <alignment horizontal="left" vertical="bottom"/>
    </xf>
    <xf borderId="2" fillId="2" fontId="28" numFmtId="185" xfId="0" applyAlignment="1" applyBorder="1" applyFont="1" applyNumberFormat="1">
      <alignment horizontal="center" shrinkToFit="0" vertical="bottom" wrapText="0"/>
    </xf>
    <xf borderId="2" fillId="2" fontId="28" numFmtId="0" xfId="0" applyAlignment="1" applyBorder="1" applyFont="1">
      <alignment shrinkToFit="0" vertical="bottom" wrapText="0"/>
    </xf>
    <xf borderId="2" fillId="2" fontId="28" numFmtId="0" xfId="0" applyAlignment="1" applyBorder="1" applyFont="1">
      <alignment horizontal="center" shrinkToFit="0" vertical="bottom" wrapText="0"/>
    </xf>
    <xf borderId="2" fillId="2" fontId="28" numFmtId="0" xfId="0" applyAlignment="1" applyBorder="1" applyFont="1">
      <alignment readingOrder="0" shrinkToFit="0" vertical="bottom" wrapText="0"/>
    </xf>
    <xf borderId="2" fillId="16" fontId="28" numFmtId="0" xfId="0" applyAlignment="1" applyBorder="1" applyFont="1">
      <alignment horizontal="center" readingOrder="0" shrinkToFit="0" vertical="bottom" wrapText="0"/>
    </xf>
    <xf borderId="2" fillId="16" fontId="28" numFmtId="0" xfId="0" applyAlignment="1" applyBorder="1" applyFont="1">
      <alignment horizontal="center" readingOrder="0" shrinkToFit="0" vertical="bottom" wrapText="0"/>
    </xf>
    <xf borderId="2" fillId="2" fontId="28" numFmtId="0" xfId="0" applyAlignment="1" applyBorder="1" applyFont="1">
      <alignment readingOrder="0" shrinkToFit="0" vertical="bottom" wrapText="0"/>
    </xf>
    <xf borderId="0" fillId="16" fontId="28" numFmtId="0" xfId="0" applyAlignment="1" applyFont="1">
      <alignment horizontal="center" readingOrder="0" shrinkToFit="0" vertical="bottom" wrapText="0"/>
    </xf>
    <xf borderId="0" fillId="2" fontId="2" numFmtId="0" xfId="0" applyAlignment="1" applyFont="1">
      <alignment horizontal="center" vertical="bottom"/>
    </xf>
    <xf borderId="0" fillId="2" fontId="2" numFmtId="0" xfId="0" applyAlignment="1" applyFont="1">
      <alignment horizontal="left" vertical="bottom"/>
    </xf>
    <xf borderId="0" fillId="2" fontId="28" numFmtId="185" xfId="0" applyAlignment="1" applyFont="1" applyNumberFormat="1">
      <alignment horizontal="center" shrinkToFit="0" vertical="bottom" wrapText="0"/>
    </xf>
    <xf borderId="0" fillId="2" fontId="28" numFmtId="0" xfId="0" applyAlignment="1" applyFont="1">
      <alignment readingOrder="0" shrinkToFit="0" vertical="bottom" wrapText="0"/>
    </xf>
    <xf borderId="0" fillId="2" fontId="28" numFmtId="0" xfId="0" applyAlignment="1" applyFont="1">
      <alignment horizontal="center" shrinkToFit="0" vertical="bottom" wrapText="0"/>
    </xf>
    <xf borderId="0" fillId="2" fontId="6" numFmtId="0" xfId="0" applyAlignment="1" applyFont="1">
      <alignment readingOrder="0" vertical="bottom"/>
    </xf>
    <xf borderId="0" fillId="0" fontId="6" numFmtId="0" xfId="0" applyAlignment="1" applyFont="1">
      <alignment readingOrder="0" vertical="bottom"/>
    </xf>
    <xf borderId="2" fillId="2" fontId="1" numFmtId="0" xfId="0" applyAlignment="1" applyBorder="1" applyFont="1">
      <alignment horizontal="left" readingOrder="0" shrinkToFit="0" vertical="center" wrapText="1"/>
    </xf>
    <xf borderId="2" fillId="2" fontId="1" numFmtId="0" xfId="0" applyAlignment="1" applyBorder="1" applyFont="1">
      <alignment horizontal="right" readingOrder="0" shrinkToFit="0" vertical="center" wrapText="1"/>
    </xf>
    <xf borderId="2" fillId="2" fontId="1" numFmtId="0" xfId="0" applyAlignment="1" applyBorder="1" applyFont="1">
      <alignment horizontal="right" shrinkToFit="0" vertical="center" wrapText="1"/>
    </xf>
    <xf borderId="2" fillId="16" fontId="14" numFmtId="0" xfId="0" applyAlignment="1" applyBorder="1" applyFont="1">
      <alignment horizontal="center" readingOrder="0" shrinkToFit="0" vertical="bottom" wrapText="0"/>
    </xf>
    <xf borderId="2" fillId="2" fontId="2" numFmtId="0" xfId="0" applyBorder="1" applyFont="1"/>
    <xf borderId="2" fillId="2" fontId="2" numFmtId="0" xfId="0" applyAlignment="1" applyBorder="1" applyFont="1">
      <alignment readingOrder="0"/>
    </xf>
    <xf borderId="2" fillId="2" fontId="29" numFmtId="0" xfId="0" applyAlignment="1" applyBorder="1" applyFont="1">
      <alignment readingOrder="0" shrinkToFit="0" vertical="bottom" wrapText="0"/>
    </xf>
    <xf borderId="2" fillId="2" fontId="2" numFmtId="0" xfId="0" applyAlignment="1" applyBorder="1" applyFont="1">
      <alignment horizontal="center" readingOrder="0" vertical="bottom"/>
    </xf>
    <xf borderId="2" fillId="16" fontId="14" numFmtId="0" xfId="0" applyAlignment="1" applyBorder="1" applyFont="1">
      <alignment horizontal="left" readingOrder="0" shrinkToFit="0" vertical="bottom" wrapText="0"/>
    </xf>
    <xf borderId="2" fillId="2" fontId="2" numFmtId="0" xfId="0" applyAlignment="1" applyBorder="1" applyFont="1">
      <alignment horizontal="left" readingOrder="0" vertical="bottom"/>
    </xf>
    <xf borderId="2" fillId="16" fontId="30" numFmtId="0" xfId="0" applyAlignment="1" applyBorder="1" applyFont="1">
      <alignment horizontal="center" readingOrder="0" vertical="bottom"/>
    </xf>
    <xf borderId="3" fillId="2" fontId="8" numFmtId="0" xfId="0" applyAlignment="1" applyBorder="1" applyFont="1">
      <alignment horizontal="center" vertical="bottom"/>
    </xf>
    <xf borderId="3" fillId="2" fontId="8" numFmtId="0" xfId="0" applyAlignment="1" applyBorder="1" applyFont="1">
      <alignment vertical="bottom"/>
    </xf>
    <xf borderId="3" fillId="2" fontId="30" numFmtId="185" xfId="0" applyAlignment="1" applyBorder="1" applyFont="1" applyNumberFormat="1">
      <alignment horizontal="center" vertical="bottom"/>
    </xf>
    <xf borderId="0" fillId="2" fontId="8" numFmtId="0" xfId="0" applyAlignment="1" applyFont="1">
      <alignment horizontal="center" vertical="bottom"/>
    </xf>
    <xf borderId="0" fillId="16" fontId="28" numFmtId="1" xfId="0" applyAlignment="1" applyFont="1" applyNumberFormat="1">
      <alignment horizontal="center" readingOrder="0" shrinkToFit="0" vertical="bottom" wrapText="0"/>
    </xf>
    <xf borderId="15" fillId="16" fontId="5" numFmtId="0" xfId="0" applyAlignment="1" applyBorder="1" applyFont="1">
      <alignment horizontal="center" readingOrder="0" shrinkToFit="0" vertical="bottom" wrapText="0"/>
    </xf>
    <xf borderId="15" fillId="16" fontId="5" numFmtId="0" xfId="0" applyAlignment="1" applyBorder="1" applyFont="1">
      <alignment horizontal="left" readingOrder="0" shrinkToFit="0" vertical="bottom" wrapText="0"/>
    </xf>
    <xf borderId="2" fillId="16" fontId="2" numFmtId="0" xfId="0" applyAlignment="1" applyBorder="1" applyFont="1">
      <alignment horizontal="center" readingOrder="0" vertical="bottom"/>
    </xf>
    <xf borderId="2" fillId="2" fontId="1" numFmtId="0" xfId="0" applyAlignment="1" applyBorder="1" applyFont="1">
      <alignment horizontal="center" vertical="bottom"/>
    </xf>
    <xf borderId="2" fillId="2" fontId="1" numFmtId="0" xfId="0" applyAlignment="1" applyBorder="1" applyFont="1">
      <alignment horizontal="left" vertical="bottom"/>
    </xf>
    <xf borderId="2" fillId="2" fontId="1" numFmtId="185" xfId="0" applyAlignment="1" applyBorder="1" applyFont="1" applyNumberFormat="1">
      <alignment horizontal="center" shrinkToFit="0" vertical="bottom" wrapText="0"/>
    </xf>
    <xf borderId="2" fillId="16" fontId="1" numFmtId="0" xfId="0" applyAlignment="1" applyBorder="1" applyFont="1">
      <alignment horizontal="center" readingOrder="0" shrinkToFit="0" vertical="bottom" wrapText="0"/>
    </xf>
    <xf borderId="2" fillId="2" fontId="1" numFmtId="0" xfId="0" applyAlignment="1" applyBorder="1" applyFont="1">
      <alignment shrinkToFit="0" vertical="bottom" wrapText="0"/>
    </xf>
    <xf borderId="2" fillId="2" fontId="1" numFmtId="0" xfId="0" applyAlignment="1" applyBorder="1" applyFont="1">
      <alignment readingOrder="0" shrinkToFit="0" vertical="bottom" wrapText="0"/>
    </xf>
    <xf borderId="2" fillId="2" fontId="28" numFmtId="0" xfId="0" applyAlignment="1" applyBorder="1" applyFont="1">
      <alignment horizontal="center" readingOrder="0" shrinkToFit="0" vertical="bottom" wrapText="0"/>
    </xf>
    <xf borderId="2" fillId="2" fontId="2" numFmtId="0" xfId="0" applyAlignment="1" applyBorder="1" applyFont="1">
      <alignment horizontal="center" readingOrder="0" vertical="bottom"/>
    </xf>
    <xf borderId="2" fillId="16" fontId="28" numFmtId="0" xfId="0" applyAlignment="1" applyBorder="1" applyFont="1">
      <alignment horizontal="center" readingOrder="0" vertical="bottom"/>
    </xf>
    <xf borderId="2" fillId="2" fontId="28" numFmtId="0" xfId="0" applyAlignment="1" applyBorder="1" applyFont="1">
      <alignment readingOrder="0"/>
    </xf>
    <xf borderId="2" fillId="16" fontId="1" numFmtId="0" xfId="0" applyAlignment="1" applyBorder="1" applyFont="1">
      <alignment horizontal="center" readingOrder="0" shrinkToFit="0" vertical="bottom" wrapText="0"/>
    </xf>
    <xf borderId="3" fillId="22" fontId="1" numFmtId="0" xfId="0" applyAlignment="1" applyBorder="1" applyFont="1">
      <alignment horizontal="center" readingOrder="0" vertical="bottom"/>
    </xf>
    <xf borderId="3" fillId="2" fontId="1" numFmtId="0" xfId="0" applyAlignment="1" applyBorder="1" applyFont="1">
      <alignment horizontal="center" vertical="bottom"/>
    </xf>
    <xf borderId="3" fillId="2" fontId="1" numFmtId="0" xfId="0" applyAlignment="1" applyBorder="1" applyFont="1">
      <alignment horizontal="left" vertical="bottom"/>
    </xf>
    <xf borderId="3" fillId="2" fontId="1" numFmtId="185" xfId="0" applyAlignment="1" applyBorder="1" applyFont="1" applyNumberFormat="1">
      <alignment horizontal="center" shrinkToFit="0" vertical="bottom" wrapText="0"/>
    </xf>
    <xf borderId="3" fillId="22" fontId="1" numFmtId="0" xfId="0" applyAlignment="1" applyBorder="1" applyFont="1">
      <alignment horizontal="center" vertical="bottom"/>
    </xf>
    <xf borderId="0" fillId="2" fontId="28" numFmtId="0" xfId="0" applyAlignment="1" applyFont="1">
      <alignment horizontal="center" readingOrder="0" shrinkToFit="0" vertical="bottom" wrapText="0"/>
    </xf>
    <xf borderId="3" fillId="2" fontId="1" numFmtId="185" xfId="0" applyAlignment="1" applyBorder="1" applyFont="1" applyNumberFormat="1">
      <alignment horizontal="center" readingOrder="0" shrinkToFit="0" vertical="bottom" wrapText="0"/>
    </xf>
    <xf borderId="0" fillId="16" fontId="1" numFmtId="0" xfId="0" applyAlignment="1" applyFont="1">
      <alignment horizontal="center" readingOrder="0" shrinkToFit="0" vertical="bottom" wrapText="0"/>
    </xf>
    <xf borderId="0" fillId="22" fontId="1" numFmtId="0" xfId="0" applyAlignment="1" applyFont="1">
      <alignment horizontal="center" vertical="bottom"/>
    </xf>
    <xf borderId="0" fillId="2" fontId="1" numFmtId="0" xfId="0" applyAlignment="1" applyFont="1">
      <alignment horizontal="center" vertical="bottom"/>
    </xf>
    <xf borderId="0" fillId="2" fontId="1" numFmtId="0" xfId="0" applyAlignment="1" applyFont="1">
      <alignment horizontal="left" vertical="bottom"/>
    </xf>
    <xf borderId="0" fillId="2" fontId="1" numFmtId="185" xfId="0" applyAlignment="1" applyFont="1" applyNumberFormat="1">
      <alignment horizontal="center" shrinkToFit="0" vertical="bottom" wrapText="0"/>
    </xf>
    <xf borderId="0" fillId="2" fontId="28" numFmtId="0" xfId="0" applyAlignment="1" applyFont="1">
      <alignment readingOrder="0" shrinkToFit="0" vertical="bottom" wrapText="0"/>
    </xf>
    <xf borderId="0" fillId="9" fontId="6" numFmtId="0" xfId="0" applyAlignment="1" applyFont="1">
      <alignment horizontal="center" readingOrder="0" vertical="center"/>
    </xf>
    <xf borderId="4" fillId="0" fontId="1" numFmtId="0" xfId="0" applyAlignment="1" applyBorder="1" applyFont="1">
      <alignment horizontal="center" readingOrder="0" shrinkToFit="0" vertical="bottom" wrapText="0"/>
    </xf>
    <xf borderId="1" fillId="0" fontId="1" numFmtId="0" xfId="0" applyAlignment="1" applyBorder="1" applyFont="1">
      <alignment horizontal="center" readingOrder="0" shrinkToFit="0" vertical="bottom" wrapText="0"/>
    </xf>
    <xf borderId="1" fillId="5" fontId="6" numFmtId="0" xfId="0" applyAlignment="1" applyBorder="1" applyFont="1">
      <alignment horizontal="center" readingOrder="0" vertical="bottom"/>
    </xf>
    <xf borderId="1" fillId="5" fontId="1" numFmtId="0" xfId="0" applyAlignment="1" applyBorder="1" applyFont="1">
      <alignment horizontal="left" readingOrder="0" shrinkToFit="0" vertical="bottom" wrapText="0"/>
    </xf>
    <xf borderId="4" fillId="10" fontId="1" numFmtId="164" xfId="0" applyAlignment="1" applyBorder="1" applyFont="1" applyNumberFormat="1">
      <alignment horizontal="center" readingOrder="0" shrinkToFit="0" vertical="bottom" wrapText="0"/>
    </xf>
    <xf borderId="1" fillId="10" fontId="1" numFmtId="164" xfId="0" applyAlignment="1" applyBorder="1" applyFont="1" applyNumberFormat="1">
      <alignment horizontal="center" readingOrder="0" shrinkToFit="0" vertical="bottom" wrapText="0"/>
    </xf>
    <xf borderId="1" fillId="2" fontId="1" numFmtId="165" xfId="0" applyAlignment="1" applyBorder="1" applyFont="1" applyNumberFormat="1">
      <alignment horizontal="center" readingOrder="0" shrinkToFit="0" vertical="bottom" wrapText="1"/>
    </xf>
    <xf borderId="1" fillId="2" fontId="1" numFmtId="165" xfId="0" applyAlignment="1" applyBorder="1" applyFont="1" applyNumberFormat="1">
      <alignment horizontal="center" readingOrder="0" shrinkToFit="0" vertical="bottom" wrapText="0"/>
    </xf>
    <xf borderId="1" fillId="3" fontId="1" numFmtId="165" xfId="0" applyAlignment="1" applyBorder="1" applyFont="1" applyNumberFormat="1">
      <alignment horizontal="center" readingOrder="0" shrinkToFit="0" vertical="bottom" wrapText="0"/>
    </xf>
    <xf borderId="0" fillId="3" fontId="1" numFmtId="0" xfId="0" applyAlignment="1" applyFont="1">
      <alignment horizontal="center" readingOrder="0" shrinkToFit="0" vertical="bottom" wrapText="0"/>
    </xf>
    <xf borderId="4" fillId="11" fontId="1" numFmtId="0" xfId="0" applyAlignment="1" applyBorder="1" applyFont="1">
      <alignment horizontal="center" readingOrder="0" shrinkToFit="0" vertical="bottom" wrapText="0"/>
    </xf>
    <xf borderId="1" fillId="11" fontId="1" numFmtId="0" xfId="0" applyAlignment="1" applyBorder="1" applyFont="1">
      <alignment horizontal="center" readingOrder="0" shrinkToFit="0" vertical="bottom" wrapText="0"/>
    </xf>
    <xf borderId="4" fillId="13" fontId="1" numFmtId="0" xfId="0" applyAlignment="1" applyBorder="1" applyFont="1">
      <alignment horizontal="center" readingOrder="0" shrinkToFit="0" vertical="bottom" wrapText="0"/>
    </xf>
    <xf borderId="1" fillId="13" fontId="1" numFmtId="0" xfId="0" applyAlignment="1" applyBorder="1" applyFont="1">
      <alignment horizontal="center" readingOrder="0" shrinkToFit="0" vertical="bottom" wrapText="0"/>
    </xf>
    <xf borderId="1" fillId="10" fontId="1" numFmtId="164" xfId="0" applyAlignment="1" applyBorder="1" applyFont="1" applyNumberFormat="1">
      <alignment horizontal="center" shrinkToFit="0" vertical="bottom" wrapText="0"/>
    </xf>
    <xf borderId="4" fillId="0" fontId="8" numFmtId="0" xfId="0" applyAlignment="1" applyBorder="1" applyFont="1">
      <alignment horizontal="center" shrinkToFit="0" vertical="bottom" wrapText="0"/>
    </xf>
    <xf borderId="1" fillId="0" fontId="8" numFmtId="0" xfId="0" applyAlignment="1" applyBorder="1" applyFont="1">
      <alignment horizontal="center" shrinkToFit="0" vertical="bottom" wrapText="0"/>
    </xf>
    <xf borderId="1" fillId="5" fontId="9" numFmtId="0" xfId="0" applyAlignment="1" applyBorder="1" applyFont="1">
      <alignment horizontal="center" vertical="bottom"/>
    </xf>
    <xf borderId="1" fillId="5" fontId="8" numFmtId="0" xfId="0" applyAlignment="1" applyBorder="1" applyFont="1">
      <alignment horizontal="left" shrinkToFit="0" vertical="bottom" wrapText="0"/>
    </xf>
    <xf borderId="4" fillId="10" fontId="8" numFmtId="164" xfId="0" applyAlignment="1" applyBorder="1" applyFont="1" applyNumberFormat="1">
      <alignment horizontal="center" shrinkToFit="0" vertical="bottom" wrapText="0"/>
    </xf>
    <xf borderId="1" fillId="10" fontId="8" numFmtId="164" xfId="0" applyAlignment="1" applyBorder="1" applyFont="1" applyNumberFormat="1">
      <alignment vertical="bottom"/>
    </xf>
    <xf borderId="1" fillId="2" fontId="8" numFmtId="0" xfId="0" applyAlignment="1" applyBorder="1" applyFont="1">
      <alignment horizontal="center" shrinkToFit="0" vertical="bottom" wrapText="0"/>
    </xf>
    <xf borderId="1" fillId="2" fontId="8" numFmtId="165" xfId="0" applyAlignment="1" applyBorder="1" applyFont="1" applyNumberFormat="1">
      <alignment horizontal="center" shrinkToFit="0" vertical="bottom" wrapText="0"/>
    </xf>
    <xf borderId="1" fillId="3" fontId="1" numFmtId="165" xfId="0" applyAlignment="1" applyBorder="1" applyFont="1" applyNumberFormat="1">
      <alignment horizontal="center" readingOrder="0" shrinkToFit="0" vertical="bottom" wrapText="0"/>
    </xf>
    <xf borderId="2" fillId="5" fontId="6" numFmtId="0" xfId="0" applyAlignment="1" applyBorder="1" applyFont="1">
      <alignment horizontal="center" readingOrder="0" vertical="bottom"/>
    </xf>
    <xf borderId="4" fillId="15" fontId="1" numFmtId="0" xfId="0" applyAlignment="1" applyBorder="1" applyFont="1">
      <alignment horizontal="center" readingOrder="0" shrinkToFit="0" vertical="bottom" wrapText="0"/>
    </xf>
    <xf borderId="1" fillId="15" fontId="1" numFmtId="0" xfId="0" applyAlignment="1" applyBorder="1" applyFont="1">
      <alignment horizontal="center" readingOrder="0" shrinkToFit="0" vertical="bottom" wrapText="0"/>
    </xf>
    <xf borderId="1" fillId="2" fontId="1" numFmtId="3" xfId="0" applyAlignment="1" applyBorder="1" applyFont="1" applyNumberFormat="1">
      <alignment horizontal="center" readingOrder="0" shrinkToFit="0" vertical="bottom" wrapText="1"/>
    </xf>
    <xf borderId="4" fillId="0" fontId="1" numFmtId="0" xfId="0" applyAlignment="1" applyBorder="1" applyFont="1">
      <alignment horizontal="center" shrinkToFit="0" vertical="bottom" wrapText="0"/>
    </xf>
    <xf borderId="1" fillId="0" fontId="1" numFmtId="0" xfId="0" applyAlignment="1" applyBorder="1" applyFont="1">
      <alignment horizontal="center" shrinkToFit="0" vertical="bottom" wrapText="0"/>
    </xf>
    <xf borderId="1" fillId="5" fontId="6" numFmtId="0" xfId="0" applyAlignment="1" applyBorder="1" applyFont="1">
      <alignment horizontal="center" vertical="bottom"/>
    </xf>
    <xf borderId="1" fillId="5" fontId="1" numFmtId="0" xfId="0" applyAlignment="1" applyBorder="1" applyFont="1">
      <alignment horizontal="left" shrinkToFit="0" vertical="bottom" wrapText="0"/>
    </xf>
    <xf borderId="1" fillId="2" fontId="1" numFmtId="0" xfId="0" applyAlignment="1" applyBorder="1" applyFont="1">
      <alignment horizontal="center" shrinkToFit="0" vertical="bottom" wrapText="0"/>
    </xf>
    <xf borderId="1" fillId="2" fontId="1" numFmtId="165" xfId="0" applyAlignment="1" applyBorder="1" applyFont="1" applyNumberFormat="1">
      <alignment horizontal="center" shrinkToFit="0" vertical="bottom" wrapText="0"/>
    </xf>
    <xf borderId="1" fillId="3" fontId="1" numFmtId="165" xfId="0" applyAlignment="1" applyBorder="1" applyFont="1" applyNumberFormat="1">
      <alignment horizontal="center" shrinkToFit="0" vertical="bottom" wrapText="0"/>
    </xf>
    <xf borderId="4" fillId="10" fontId="1" numFmtId="164" xfId="0" applyAlignment="1" applyBorder="1" applyFont="1" applyNumberFormat="1">
      <alignment horizontal="center" shrinkToFit="0" vertical="bottom" wrapText="0"/>
    </xf>
    <xf borderId="1" fillId="10" fontId="1" numFmtId="164" xfId="0" applyAlignment="1" applyBorder="1" applyFont="1" applyNumberFormat="1">
      <alignment vertical="bottom"/>
    </xf>
    <xf borderId="1" fillId="2" fontId="1" numFmtId="165" xfId="0" applyAlignment="1" applyBorder="1" applyFont="1" applyNumberFormat="1">
      <alignment horizontal="center" vertical="bottom"/>
    </xf>
    <xf borderId="0" fillId="3" fontId="1" numFmtId="0" xfId="0" applyAlignment="1" applyFont="1">
      <alignment horizontal="center" shrinkToFit="0" vertical="bottom" wrapText="0"/>
    </xf>
    <xf borderId="4" fillId="14" fontId="1" numFmtId="0" xfId="0" applyAlignment="1" applyBorder="1" applyFont="1">
      <alignment horizontal="center" readingOrder="0" shrinkToFit="0" vertical="bottom" wrapText="0"/>
    </xf>
    <xf borderId="1" fillId="14" fontId="1" numFmtId="0" xfId="0" applyAlignment="1" applyBorder="1" applyFont="1">
      <alignment horizontal="center" readingOrder="0" shrinkToFit="0" vertical="bottom" wrapText="0"/>
    </xf>
    <xf borderId="4" fillId="12" fontId="1" numFmtId="0" xfId="0" applyAlignment="1" applyBorder="1" applyFont="1">
      <alignment horizontal="center" readingOrder="0" shrinkToFit="0" vertical="bottom" wrapText="0"/>
    </xf>
    <xf borderId="1" fillId="12" fontId="1" numFmtId="0" xfId="0" applyAlignment="1" applyBorder="1" applyFont="1">
      <alignment horizontal="center" readingOrder="0" shrinkToFit="0" vertical="bottom" wrapText="0"/>
    </xf>
    <xf borderId="2" fillId="3" fontId="1" numFmtId="165" xfId="0" applyAlignment="1" applyBorder="1" applyFont="1" applyNumberFormat="1">
      <alignment horizontal="center" readingOrder="0" shrinkToFit="0" vertical="bottom" wrapText="0"/>
    </xf>
    <xf borderId="1" fillId="5" fontId="6" numFmtId="0" xfId="0" applyAlignment="1" applyBorder="1" applyFont="1">
      <alignment horizontal="center" readingOrder="0" shrinkToFit="0" vertical="bottom" wrapText="0"/>
    </xf>
    <xf borderId="3" fillId="5" fontId="1" numFmtId="0" xfId="0" applyAlignment="1" applyBorder="1" applyFont="1">
      <alignment horizontal="left" readingOrder="0" shrinkToFit="0" vertical="bottom" wrapText="0"/>
    </xf>
    <xf borderId="3" fillId="2" fontId="1" numFmtId="0" xfId="0" applyAlignment="1" applyBorder="1" applyFont="1">
      <alignment horizontal="center" readingOrder="0" shrinkToFit="0" vertical="bottom" wrapText="0"/>
    </xf>
    <xf borderId="3" fillId="3" fontId="1" numFmtId="165" xfId="0" applyAlignment="1" applyBorder="1" applyFont="1" applyNumberFormat="1">
      <alignment horizontal="center" readingOrder="0" shrinkToFit="0" vertical="bottom" wrapText="0"/>
    </xf>
    <xf borderId="1" fillId="5" fontId="9" numFmtId="0" xfId="0" applyAlignment="1" applyBorder="1" applyFont="1">
      <alignment horizontal="center" shrinkToFit="0" vertical="bottom" wrapText="0"/>
    </xf>
    <xf borderId="4" fillId="10" fontId="8" numFmtId="164" xfId="0" applyAlignment="1" applyBorder="1" applyFont="1" applyNumberFormat="1">
      <alignment horizontal="center" readingOrder="0" shrinkToFit="0" vertical="bottom" wrapText="0"/>
    </xf>
    <xf borderId="1" fillId="10" fontId="8" numFmtId="164" xfId="0" applyAlignment="1" applyBorder="1" applyFont="1" applyNumberFormat="1">
      <alignment horizontal="center" readingOrder="0" shrinkToFit="0" vertical="bottom" wrapText="0"/>
    </xf>
    <xf borderId="1" fillId="3" fontId="8" numFmtId="0" xfId="0" applyAlignment="1" applyBorder="1" applyFont="1">
      <alignment horizontal="center" shrinkToFit="0" vertical="bottom" wrapText="0"/>
    </xf>
    <xf borderId="4" fillId="0" fontId="8" numFmtId="0" xfId="0" applyAlignment="1" applyBorder="1" applyFont="1">
      <alignment horizontal="center" readingOrder="0" shrinkToFit="0" vertical="bottom" wrapText="0"/>
    </xf>
    <xf borderId="1" fillId="0" fontId="8" numFmtId="0" xfId="0" applyAlignment="1" applyBorder="1" applyFont="1">
      <alignment horizontal="center" readingOrder="0" shrinkToFit="0" vertical="bottom" wrapText="0"/>
    </xf>
    <xf borderId="1" fillId="5" fontId="9" numFmtId="0" xfId="0" applyAlignment="1" applyBorder="1" applyFont="1">
      <alignment horizontal="center" readingOrder="0" shrinkToFit="0" vertical="bottom" wrapText="0"/>
    </xf>
    <xf borderId="1" fillId="2" fontId="8" numFmtId="165" xfId="0" applyAlignment="1" applyBorder="1" applyFont="1" applyNumberFormat="1">
      <alignment horizontal="center" shrinkToFit="0" vertical="bottom" wrapText="0"/>
    </xf>
    <xf borderId="4" fillId="0" fontId="8" numFmtId="0" xfId="0" applyAlignment="1" applyBorder="1" applyFont="1">
      <alignment horizontal="center" readingOrder="0" shrinkToFit="0" vertical="bottom" wrapText="0"/>
    </xf>
    <xf borderId="1" fillId="0" fontId="8" numFmtId="0" xfId="0" applyAlignment="1" applyBorder="1" applyFont="1">
      <alignment horizontal="center" readingOrder="0" shrinkToFit="0" vertical="bottom" wrapText="0"/>
    </xf>
    <xf borderId="1" fillId="5" fontId="9" numFmtId="0" xfId="0" applyAlignment="1" applyBorder="1" applyFont="1">
      <alignment horizontal="center" readingOrder="0" shrinkToFit="0" vertical="bottom" wrapText="0"/>
    </xf>
    <xf borderId="3" fillId="5" fontId="8" numFmtId="0" xfId="0" applyAlignment="1" applyBorder="1" applyFont="1">
      <alignment horizontal="left" shrinkToFit="0" vertical="bottom" wrapText="0"/>
    </xf>
    <xf borderId="1" fillId="10" fontId="8" numFmtId="164" xfId="0" applyAlignment="1" applyBorder="1" applyFont="1" applyNumberFormat="1">
      <alignment horizontal="center" readingOrder="0" shrinkToFit="0" vertical="bottom" wrapText="0"/>
    </xf>
    <xf borderId="3" fillId="2" fontId="8" numFmtId="0" xfId="0" applyAlignment="1" applyBorder="1" applyFont="1">
      <alignment horizontal="center" shrinkToFit="0" vertical="bottom" wrapText="0"/>
    </xf>
    <xf borderId="1" fillId="2" fontId="8" numFmtId="165" xfId="0" applyAlignment="1" applyBorder="1" applyFont="1" applyNumberFormat="1">
      <alignment horizontal="center" shrinkToFit="0" vertical="bottom" wrapText="0"/>
    </xf>
    <xf borderId="1" fillId="3" fontId="8" numFmtId="0" xfId="0" applyAlignment="1" applyBorder="1" applyFont="1">
      <alignment horizontal="center" shrinkToFit="0" vertical="bottom" wrapText="0"/>
    </xf>
    <xf borderId="3" fillId="3" fontId="8" numFmtId="165" xfId="0" applyAlignment="1" applyBorder="1" applyFont="1" applyNumberFormat="1">
      <alignment horizontal="center" shrinkToFit="0" vertical="bottom" wrapText="0"/>
    </xf>
    <xf borderId="2" fillId="5" fontId="9" numFmtId="0" xfId="0" applyAlignment="1" applyBorder="1" applyFont="1">
      <alignment horizontal="center" readingOrder="0" shrinkToFit="0" vertical="bottom" wrapText="0"/>
    </xf>
    <xf borderId="4" fillId="10" fontId="8" numFmtId="164" xfId="0" applyAlignment="1" applyBorder="1" applyFont="1" applyNumberFormat="1">
      <alignment horizontal="center" readingOrder="0" vertical="bottom"/>
    </xf>
    <xf borderId="1" fillId="10" fontId="8" numFmtId="164" xfId="0" applyAlignment="1" applyBorder="1" applyFont="1" applyNumberFormat="1">
      <alignment horizontal="center" vertical="bottom"/>
    </xf>
    <xf borderId="4" fillId="14" fontId="8" numFmtId="0" xfId="0" applyAlignment="1" applyBorder="1" applyFont="1">
      <alignment horizontal="center" shrinkToFit="0" vertical="bottom" wrapText="0"/>
    </xf>
    <xf borderId="1" fillId="14" fontId="8" numFmtId="0" xfId="0" applyAlignment="1" applyBorder="1" applyFont="1">
      <alignment horizontal="center" shrinkToFit="0" vertical="bottom" wrapText="0"/>
    </xf>
    <xf borderId="1" fillId="3" fontId="8" numFmtId="165" xfId="0" applyAlignment="1" applyBorder="1" applyFont="1" applyNumberFormat="1">
      <alignment horizontal="center" shrinkToFit="0" vertical="bottom" wrapText="0"/>
    </xf>
    <xf borderId="3" fillId="10" fontId="8" numFmtId="164" xfId="0" applyAlignment="1" applyBorder="1" applyFont="1" applyNumberFormat="1">
      <alignment horizontal="center" vertical="bottom"/>
    </xf>
    <xf borderId="3" fillId="0" fontId="1" numFmtId="0" xfId="0" applyAlignment="1" applyBorder="1" applyFont="1">
      <alignment horizontal="center" readingOrder="0" shrinkToFit="0" vertical="bottom" wrapText="0"/>
    </xf>
    <xf borderId="3" fillId="5" fontId="6" numFmtId="0" xfId="0" applyAlignment="1" applyBorder="1" applyFont="1">
      <alignment horizontal="center" readingOrder="0" shrinkToFit="0" vertical="bottom" wrapText="0"/>
    </xf>
    <xf borderId="3" fillId="10" fontId="1" numFmtId="164" xfId="0" applyAlignment="1" applyBorder="1" applyFont="1" applyNumberFormat="1">
      <alignment horizontal="center" readingOrder="0" shrinkToFit="0" vertical="bottom" wrapText="0"/>
    </xf>
    <xf borderId="3" fillId="2" fontId="1" numFmtId="165" xfId="0" applyAlignment="1" applyBorder="1" applyFont="1" applyNumberFormat="1">
      <alignment horizontal="center" readingOrder="0" shrinkToFit="0" vertical="bottom" wrapText="1"/>
    </xf>
    <xf borderId="3" fillId="2" fontId="1" numFmtId="165" xfId="0" applyAlignment="1" applyBorder="1" applyFont="1" applyNumberFormat="1">
      <alignment horizontal="center" readingOrder="0" shrinkToFit="0" vertical="bottom" wrapText="0"/>
    </xf>
    <xf borderId="3" fillId="3" fontId="1" numFmtId="0" xfId="0" applyAlignment="1" applyBorder="1" applyFont="1">
      <alignment horizontal="center" readingOrder="0" shrinkToFit="0" vertical="bottom" wrapText="0"/>
    </xf>
    <xf borderId="2" fillId="5" fontId="9" numFmtId="0" xfId="0" applyAlignment="1" applyBorder="1" applyFont="1">
      <alignment horizontal="center" vertical="bottom"/>
    </xf>
    <xf borderId="2" fillId="10" fontId="8" numFmtId="164" xfId="0" applyAlignment="1" applyBorder="1" applyFont="1" applyNumberFormat="1">
      <alignment horizontal="center" vertical="bottom"/>
    </xf>
    <xf borderId="3" fillId="10" fontId="8" numFmtId="164" xfId="0" applyAlignment="1" applyBorder="1" applyFont="1" applyNumberFormat="1">
      <alignment horizontal="center" readingOrder="0" shrinkToFit="0" vertical="bottom" wrapText="0"/>
    </xf>
    <xf borderId="1" fillId="3" fontId="8" numFmtId="165" xfId="0" applyAlignment="1" applyBorder="1" applyFont="1" applyNumberFormat="1">
      <alignment horizontal="center" shrinkToFit="0" vertical="bottom" wrapText="0"/>
    </xf>
    <xf borderId="1" fillId="2" fontId="8" numFmtId="165" xfId="0" applyAlignment="1" applyBorder="1" applyFont="1" applyNumberFormat="1">
      <alignment horizontal="center" vertical="bottom"/>
    </xf>
    <xf borderId="1" fillId="2" fontId="8" numFmtId="0" xfId="0" applyAlignment="1" applyBorder="1" applyFont="1">
      <alignment horizontal="center" shrinkToFit="0" vertical="bottom" wrapText="0"/>
    </xf>
    <xf borderId="1" fillId="3" fontId="8" numFmtId="165" xfId="0" applyAlignment="1" applyBorder="1" applyFont="1" applyNumberFormat="1">
      <alignment horizontal="center" shrinkToFit="0" vertical="bottom" wrapText="0"/>
    </xf>
    <xf borderId="1" fillId="2" fontId="8" numFmtId="0" xfId="0" applyAlignment="1" applyBorder="1" applyFont="1">
      <alignment horizontal="center" vertical="bottom"/>
    </xf>
    <xf borderId="1" fillId="2" fontId="8" numFmtId="165" xfId="0" applyAlignment="1" applyBorder="1" applyFont="1" applyNumberFormat="1">
      <alignment horizontal="center" vertical="bottom"/>
    </xf>
    <xf borderId="1" fillId="3" fontId="8" numFmtId="0" xfId="0" applyAlignment="1" applyBorder="1" applyFont="1">
      <alignment horizontal="center" vertical="bottom"/>
    </xf>
    <xf borderId="1" fillId="3" fontId="8" numFmtId="165" xfId="0" applyAlignment="1" applyBorder="1" applyFont="1" applyNumberFormat="1">
      <alignment horizontal="center" vertical="bottom"/>
    </xf>
    <xf borderId="1" fillId="2" fontId="8" numFmtId="165" xfId="0" applyAlignment="1" applyBorder="1" applyFont="1" applyNumberFormat="1">
      <alignment horizontal="center" shrinkToFit="0" vertical="bottom" wrapText="0"/>
    </xf>
    <xf borderId="1" fillId="3" fontId="8" numFmtId="165" xfId="0" applyAlignment="1" applyBorder="1" applyFont="1" applyNumberFormat="1">
      <alignment horizontal="center" shrinkToFit="0" vertical="bottom" wrapText="0"/>
    </xf>
    <xf borderId="2" fillId="5" fontId="6" numFmtId="0" xfId="0" applyAlignment="1" applyBorder="1" applyFont="1">
      <alignment horizontal="center" readingOrder="0" shrinkToFit="0" vertical="bottom" wrapText="0"/>
    </xf>
    <xf borderId="2" fillId="5" fontId="6" numFmtId="0" xfId="0" applyAlignment="1" applyBorder="1" applyFont="1">
      <alignment horizontal="center" shrinkToFit="0" vertical="bottom" wrapText="0"/>
    </xf>
    <xf borderId="2" fillId="13" fontId="8" numFmtId="0" xfId="0" applyAlignment="1" applyBorder="1" applyFont="1">
      <alignment horizontal="center" shrinkToFit="0" vertical="bottom" wrapText="0"/>
    </xf>
    <xf borderId="2" fillId="5" fontId="9" numFmtId="0" xfId="0" applyAlignment="1" applyBorder="1" applyFont="1">
      <alignment horizontal="center" shrinkToFit="0" vertical="bottom" wrapText="0"/>
    </xf>
    <xf borderId="2" fillId="5" fontId="9" numFmtId="0" xfId="0" applyAlignment="1" applyBorder="1" applyFont="1">
      <alignment horizontal="center" readingOrder="0" shrinkToFit="0" vertical="bottom" wrapText="0"/>
    </xf>
    <xf borderId="2" fillId="5" fontId="8" numFmtId="0" xfId="0" applyAlignment="1" applyBorder="1" applyFont="1">
      <alignment readingOrder="0" vertical="bottom"/>
    </xf>
    <xf borderId="2" fillId="2" fontId="1" numFmtId="165" xfId="0" applyAlignment="1" applyBorder="1" applyFont="1" applyNumberFormat="1">
      <alignment horizontal="center" readingOrder="0" shrinkToFit="0" vertical="bottom" wrapText="1"/>
    </xf>
    <xf borderId="2" fillId="2" fontId="1" numFmtId="165" xfId="0" applyAlignment="1" applyBorder="1" applyFont="1" applyNumberFormat="1">
      <alignment horizontal="center" readingOrder="0" shrinkToFit="0" vertical="bottom" wrapText="0"/>
    </xf>
    <xf borderId="1" fillId="3" fontId="8" numFmtId="171" xfId="0" applyAlignment="1" applyBorder="1" applyFont="1" applyNumberFormat="1">
      <alignment horizontal="left" readingOrder="0" vertical="bottom"/>
    </xf>
    <xf borderId="0" fillId="5" fontId="9" numFmtId="0" xfId="0" applyAlignment="1" applyFont="1">
      <alignment horizontal="center" vertical="bottom"/>
    </xf>
    <xf borderId="0" fillId="10" fontId="8" numFmtId="164" xfId="0" applyAlignment="1" applyFont="1" applyNumberFormat="1">
      <alignment horizontal="center" vertical="bottom"/>
    </xf>
    <xf borderId="5" fillId="24" fontId="1" numFmtId="0" xfId="0" applyAlignment="1" applyBorder="1" applyFill="1" applyFont="1">
      <alignment horizontal="center" readingOrder="0" shrinkToFit="0" vertical="center" wrapText="1"/>
    </xf>
    <xf borderId="0" fillId="0" fontId="20" numFmtId="0" xfId="0" applyAlignment="1" applyFont="1">
      <alignment horizontal="right" readingOrder="0"/>
    </xf>
    <xf borderId="2" fillId="0" fontId="20" numFmtId="14" xfId="0" applyAlignment="1" applyBorder="1" applyFont="1" applyNumberFormat="1">
      <alignment horizontal="center" readingOrder="0"/>
    </xf>
    <xf borderId="5" fillId="19" fontId="24" numFmtId="164" xfId="0" applyAlignment="1" applyBorder="1" applyFont="1" applyNumberFormat="1">
      <alignment horizontal="center" vertical="center"/>
    </xf>
    <xf borderId="2" fillId="2" fontId="7" numFmtId="0" xfId="0" applyAlignment="1" applyBorder="1" applyFont="1">
      <alignment horizontal="center" vertical="center"/>
    </xf>
    <xf borderId="2" fillId="2" fontId="7" numFmtId="0" xfId="0" applyAlignment="1" applyBorder="1" applyFont="1">
      <alignment horizontal="center" readingOrder="0" vertical="center"/>
    </xf>
    <xf borderId="2" fillId="0" fontId="2" numFmtId="164" xfId="0" applyAlignment="1" applyBorder="1" applyFont="1" applyNumberFormat="1">
      <alignment horizontal="center"/>
    </xf>
    <xf borderId="0" fillId="0" fontId="2" numFmtId="164" xfId="0" applyAlignment="1" applyFont="1" applyNumberFormat="1">
      <alignment horizontal="center"/>
    </xf>
    <xf borderId="2" fillId="16" fontId="5" numFmtId="0" xfId="0" applyAlignment="1" applyBorder="1" applyFont="1">
      <alignment horizontal="center" readingOrder="0" shrinkToFit="0" vertical="center" wrapText="0"/>
    </xf>
    <xf borderId="2" fillId="16" fontId="5" numFmtId="0" xfId="0" applyAlignment="1" applyBorder="1" applyFont="1">
      <alignment horizontal="center" readingOrder="0" shrinkToFit="0" vertical="center" wrapText="0"/>
    </xf>
    <xf borderId="2" fillId="16" fontId="5" numFmtId="0" xfId="0" applyAlignment="1" applyBorder="1" applyFont="1">
      <alignment horizontal="left" readingOrder="0" shrinkToFit="0" vertical="center" wrapText="0"/>
    </xf>
    <xf borderId="2" fillId="16" fontId="5" numFmtId="164" xfId="0" applyAlignment="1" applyBorder="1" applyFont="1" applyNumberFormat="1">
      <alignment horizontal="center" readingOrder="0" shrinkToFit="0" vertical="center" wrapText="1"/>
    </xf>
    <xf borderId="2" fillId="16" fontId="5" numFmtId="0" xfId="0" applyAlignment="1" applyBorder="1" applyFont="1">
      <alignment horizontal="center" readingOrder="0" shrinkToFit="0" vertical="center" wrapText="1"/>
    </xf>
    <xf borderId="2" fillId="16" fontId="5" numFmtId="0" xfId="0" applyAlignment="1" applyBorder="1" applyFont="1">
      <alignment horizontal="center" readingOrder="0" shrinkToFit="0" vertical="center" wrapText="1"/>
    </xf>
    <xf borderId="2" fillId="16" fontId="6" numFmtId="1" xfId="0" applyAlignment="1" applyBorder="1" applyFont="1" applyNumberFormat="1">
      <alignment horizontal="center" readingOrder="0" shrinkToFit="0" vertical="center" wrapText="0"/>
    </xf>
    <xf borderId="2" fillId="2" fontId="2" numFmtId="0" xfId="0" applyAlignment="1" applyBorder="1" applyFont="1">
      <alignment horizontal="center" readingOrder="0" vertical="center"/>
    </xf>
    <xf borderId="2" fillId="2" fontId="2" numFmtId="0" xfId="0" applyAlignment="1" applyBorder="1" applyFont="1">
      <alignment horizontal="center" vertical="center"/>
    </xf>
    <xf borderId="2" fillId="2" fontId="2" numFmtId="164" xfId="0" applyAlignment="1" applyBorder="1" applyFont="1" applyNumberFormat="1">
      <alignment readingOrder="0" vertical="center"/>
    </xf>
    <xf borderId="2" fillId="2" fontId="2" numFmtId="164" xfId="0" applyAlignment="1" applyBorder="1" applyFont="1" applyNumberFormat="1">
      <alignment horizontal="center" readingOrder="0" vertical="center"/>
    </xf>
    <xf borderId="2" fillId="2" fontId="2" numFmtId="0" xfId="0" applyAlignment="1" applyBorder="1" applyFont="1">
      <alignment readingOrder="0" shrinkToFit="0" vertical="center" wrapText="1"/>
    </xf>
    <xf borderId="2" fillId="2" fontId="2" numFmtId="0" xfId="0" applyAlignment="1" applyBorder="1" applyFont="1">
      <alignment horizontal="center" readingOrder="0" shrinkToFit="0" vertical="center" wrapText="1"/>
    </xf>
    <xf borderId="2" fillId="2" fontId="2" numFmtId="0" xfId="0" applyAlignment="1" applyBorder="1" applyFont="1">
      <alignment readingOrder="0" shrinkToFit="0" vertical="center" wrapText="1"/>
    </xf>
    <xf borderId="2" fillId="2" fontId="2" numFmtId="0" xfId="0" applyAlignment="1" applyBorder="1" applyFont="1">
      <alignment horizontal="left" readingOrder="0" shrinkToFit="0" vertical="center" wrapText="1"/>
    </xf>
    <xf borderId="2" fillId="2" fontId="1" numFmtId="164" xfId="0" applyAlignment="1" applyBorder="1" applyFont="1" applyNumberFormat="1">
      <alignment readingOrder="0" shrinkToFit="0" vertical="center" wrapText="0"/>
    </xf>
    <xf borderId="2" fillId="16" fontId="5" numFmtId="0" xfId="0" applyAlignment="1" applyBorder="1" applyFont="1">
      <alignment horizontal="center" shrinkToFit="0" vertical="center" wrapText="0"/>
    </xf>
    <xf borderId="2" fillId="16" fontId="6" numFmtId="0" xfId="0" applyAlignment="1" applyBorder="1" applyFont="1">
      <alignment horizontal="center" readingOrder="0" shrinkToFit="0" vertical="center" wrapText="0"/>
    </xf>
    <xf borderId="2" fillId="2" fontId="1" numFmtId="185" xfId="0" applyAlignment="1" applyBorder="1" applyFont="1" applyNumberFormat="1">
      <alignment horizontal="center" shrinkToFit="0" vertical="center" wrapText="0"/>
    </xf>
    <xf borderId="2" fillId="2" fontId="2" numFmtId="14" xfId="0" applyAlignment="1" applyBorder="1" applyFont="1" applyNumberFormat="1">
      <alignment readingOrder="0" vertical="center"/>
    </xf>
    <xf borderId="2" fillId="2" fontId="2" numFmtId="0" xfId="0" applyAlignment="1" applyBorder="1" applyFont="1">
      <alignment shrinkToFit="0" vertical="center" wrapText="1"/>
    </xf>
    <xf borderId="2" fillId="2" fontId="1" numFmtId="14" xfId="0" applyAlignment="1" applyBorder="1" applyFont="1" applyNumberFormat="1">
      <alignment readingOrder="0" shrinkToFit="0" vertical="center" wrapText="0"/>
    </xf>
    <xf borderId="2" fillId="2" fontId="1" numFmtId="0" xfId="0" applyAlignment="1" applyBorder="1" applyFont="1">
      <alignment shrinkToFit="0" vertical="center" wrapText="1"/>
    </xf>
    <xf borderId="2" fillId="2" fontId="1" numFmtId="0" xfId="0" applyAlignment="1" applyBorder="1" applyFont="1">
      <alignment readingOrder="0" shrinkToFit="0" vertical="center" wrapText="1"/>
    </xf>
    <xf borderId="2" fillId="2" fontId="2" numFmtId="0" xfId="0" applyAlignment="1" applyBorder="1" applyFont="1">
      <alignment horizontal="left" shrinkToFit="0" vertical="center" wrapText="1"/>
    </xf>
    <xf borderId="2" fillId="2" fontId="1" numFmtId="185" xfId="0" applyAlignment="1" applyBorder="1" applyFont="1" applyNumberFormat="1">
      <alignment horizontal="center" readingOrder="0" shrinkToFit="0" vertical="center" wrapText="0"/>
    </xf>
    <xf borderId="0" fillId="6" fontId="6" numFmtId="0" xfId="0" applyAlignment="1" applyFont="1">
      <alignment horizontal="left" readingOrder="0" vertical="center"/>
    </xf>
    <xf borderId="0" fillId="6" fontId="6" numFmtId="0" xfId="0" applyAlignment="1" applyFont="1">
      <alignment horizontal="center" readingOrder="0" vertical="center"/>
    </xf>
    <xf borderId="0" fillId="17" fontId="13" numFmtId="0" xfId="0" applyAlignment="1" applyFont="1">
      <alignment horizontal="left" readingOrder="0"/>
    </xf>
    <xf borderId="0" fillId="0" fontId="13" numFmtId="0" xfId="0" applyAlignment="1" applyFont="1">
      <alignment horizontal="center" readingOrder="0" vertical="bottom"/>
    </xf>
    <xf borderId="0" fillId="0" fontId="11" numFmtId="179" xfId="0" applyAlignment="1" applyFont="1" applyNumberFormat="1">
      <alignment horizontal="center" readingOrder="0" shrinkToFit="0" vertical="center" wrapText="0"/>
    </xf>
    <xf borderId="0" fillId="13" fontId="6" numFmtId="0" xfId="0" applyAlignment="1" applyFont="1">
      <alignment horizontal="left" readingOrder="0" vertical="center"/>
    </xf>
    <xf borderId="0" fillId="17" fontId="6" numFmtId="0" xfId="0" applyAlignment="1" applyFont="1">
      <alignment horizontal="center" readingOrder="0" vertical="center"/>
    </xf>
    <xf borderId="0" fillId="17" fontId="6" numFmtId="0" xfId="0" applyAlignment="1" applyFont="1">
      <alignment horizontal="left" readingOrder="0" vertical="center"/>
    </xf>
    <xf borderId="0" fillId="17" fontId="6" numFmtId="0" xfId="0" applyAlignment="1" applyFont="1">
      <alignment horizontal="center" readingOrder="0" vertical="center"/>
    </xf>
    <xf borderId="0" fillId="0" fontId="2" numFmtId="0" xfId="0" applyAlignment="1" applyFont="1">
      <alignment horizontal="left"/>
    </xf>
    <xf borderId="0" fillId="0" fontId="2" numFmtId="0" xfId="0" applyAlignment="1" applyFont="1">
      <alignment horizontal="center" readingOrder="0" vertical="bottom"/>
    </xf>
    <xf borderId="0" fillId="0" fontId="2" numFmtId="0" xfId="0" applyAlignment="1" applyFont="1">
      <alignment horizontal="left" readingOrder="0" vertical="bottom"/>
    </xf>
    <xf borderId="0" fillId="3" fontId="2" numFmtId="0" xfId="0" applyAlignment="1" applyFont="1">
      <alignment horizontal="left"/>
    </xf>
    <xf borderId="0" fillId="3" fontId="2" numFmtId="0" xfId="0" applyAlignment="1" applyFont="1">
      <alignment horizontal="center" readingOrder="0" vertical="bottom"/>
    </xf>
    <xf borderId="0" fillId="3" fontId="2" numFmtId="0" xfId="0" applyAlignment="1" applyFont="1">
      <alignment horizontal="left" readingOrder="0" vertical="bottom"/>
    </xf>
    <xf borderId="0" fillId="8" fontId="2" numFmtId="0" xfId="0" applyAlignment="1" applyFont="1">
      <alignment horizontal="left"/>
    </xf>
    <xf borderId="0" fillId="8" fontId="1" numFmtId="0" xfId="0" applyAlignment="1" applyFont="1">
      <alignment horizontal="center" readingOrder="0" vertical="bottom"/>
    </xf>
    <xf borderId="0" fillId="8" fontId="1" numFmtId="0" xfId="0" applyAlignment="1" applyFont="1">
      <alignment horizontal="left" readingOrder="0" vertical="bottom"/>
    </xf>
    <xf borderId="0" fillId="22" fontId="2" numFmtId="0" xfId="0" applyAlignment="1" applyFont="1">
      <alignment horizontal="left"/>
    </xf>
    <xf borderId="0" fillId="22" fontId="1" numFmtId="0" xfId="0" applyAlignment="1" applyFont="1">
      <alignment horizontal="center" readingOrder="0" vertical="bottom"/>
    </xf>
    <xf borderId="0" fillId="22" fontId="1" numFmtId="0" xfId="0" applyAlignment="1" applyFont="1">
      <alignment horizontal="left" readingOrder="0" vertical="bottom"/>
    </xf>
    <xf borderId="0" fillId="20" fontId="2" numFmtId="0" xfId="0" applyAlignment="1" applyFont="1">
      <alignment horizontal="left"/>
    </xf>
    <xf borderId="0" fillId="20" fontId="1" numFmtId="0" xfId="0" applyAlignment="1" applyFont="1">
      <alignment horizontal="center" readingOrder="0" vertical="bottom"/>
    </xf>
    <xf borderId="0" fillId="20" fontId="1" numFmtId="0" xfId="0" applyAlignment="1" applyFont="1">
      <alignment horizontal="left" readingOrder="0" vertical="bottom"/>
    </xf>
    <xf borderId="0" fillId="25" fontId="2" numFmtId="0" xfId="0" applyAlignment="1" applyFill="1" applyFont="1">
      <alignment horizontal="left"/>
    </xf>
    <xf borderId="0" fillId="25" fontId="1" numFmtId="0" xfId="0" applyAlignment="1" applyFont="1">
      <alignment horizontal="center" readingOrder="0" vertical="bottom"/>
    </xf>
    <xf borderId="0" fillId="25" fontId="1" numFmtId="0" xfId="0" applyAlignment="1" applyFont="1">
      <alignment horizontal="left" readingOrder="0" vertical="bottom"/>
    </xf>
    <xf borderId="0" fillId="25" fontId="1" numFmtId="165" xfId="0" applyAlignment="1" applyFont="1" applyNumberFormat="1">
      <alignment horizontal="center" readingOrder="0" vertical="bottom"/>
    </xf>
    <xf borderId="0" fillId="2" fontId="2" numFmtId="0" xfId="0" applyAlignment="1" applyFont="1">
      <alignment horizontal="left"/>
    </xf>
    <xf borderId="0" fillId="2" fontId="1" numFmtId="0" xfId="0" applyAlignment="1" applyFont="1">
      <alignment horizontal="center" readingOrder="0" vertical="bottom"/>
    </xf>
    <xf borderId="0" fillId="2" fontId="1" numFmtId="0" xfId="0" applyAlignment="1" applyFont="1">
      <alignment horizontal="left" readingOrder="0" vertical="bottom"/>
    </xf>
    <xf borderId="0" fillId="2" fontId="1" numFmtId="165" xfId="0" applyAlignment="1" applyFont="1" applyNumberFormat="1">
      <alignment horizontal="center" readingOrder="0" vertical="bottom"/>
    </xf>
    <xf borderId="0" fillId="21" fontId="2" numFmtId="0" xfId="0" applyAlignment="1" applyFont="1">
      <alignment horizontal="left"/>
    </xf>
    <xf borderId="0" fillId="21" fontId="1" numFmtId="0" xfId="0" applyAlignment="1" applyFont="1">
      <alignment horizontal="center" readingOrder="0" vertical="bottom"/>
    </xf>
    <xf borderId="0" fillId="21" fontId="1" numFmtId="0" xfId="0" applyAlignment="1" applyFont="1">
      <alignment horizontal="left" readingOrder="0" vertical="bottom"/>
    </xf>
    <xf borderId="0" fillId="21" fontId="1" numFmtId="165" xfId="0" applyAlignment="1" applyFont="1" applyNumberFormat="1">
      <alignment horizontal="center" readingOrder="0" vertical="bottom"/>
    </xf>
    <xf borderId="0" fillId="10" fontId="2" numFmtId="0" xfId="0" applyAlignment="1" applyFont="1">
      <alignment horizontal="left"/>
    </xf>
    <xf borderId="0" fillId="10" fontId="1" numFmtId="0" xfId="0" applyAlignment="1" applyFont="1">
      <alignment horizontal="center" readingOrder="0" vertical="bottom"/>
    </xf>
    <xf borderId="0" fillId="10" fontId="1" numFmtId="0" xfId="0" applyAlignment="1" applyFont="1">
      <alignment horizontal="left" readingOrder="0" vertical="bottom"/>
    </xf>
    <xf borderId="0" fillId="10" fontId="1" numFmtId="165" xfId="0" applyAlignment="1" applyFont="1" applyNumberFormat="1">
      <alignment horizontal="center" readingOrder="0" vertical="bottom"/>
    </xf>
    <xf borderId="0" fillId="24" fontId="2" numFmtId="0" xfId="0" applyAlignment="1" applyFont="1">
      <alignment horizontal="left"/>
    </xf>
    <xf borderId="0" fillId="24" fontId="1" numFmtId="0" xfId="0" applyAlignment="1" applyFont="1">
      <alignment horizontal="center" readingOrder="0" vertical="bottom"/>
    </xf>
    <xf borderId="0" fillId="24" fontId="1" numFmtId="0" xfId="0" applyAlignment="1" applyFont="1">
      <alignment horizontal="left" readingOrder="0" vertical="bottom"/>
    </xf>
    <xf borderId="0" fillId="24" fontId="1" numFmtId="165" xfId="0" applyAlignment="1" applyFont="1" applyNumberFormat="1">
      <alignment horizontal="center" readingOrder="0" vertical="bottom"/>
    </xf>
    <xf borderId="0" fillId="23" fontId="2" numFmtId="0" xfId="0" applyAlignment="1" applyFont="1">
      <alignment horizontal="left"/>
    </xf>
    <xf borderId="0" fillId="23" fontId="1" numFmtId="0" xfId="0" applyAlignment="1" applyFont="1">
      <alignment horizontal="center" readingOrder="0" vertical="bottom"/>
    </xf>
    <xf borderId="0" fillId="23" fontId="1" numFmtId="0" xfId="0" applyAlignment="1" applyFont="1">
      <alignment horizontal="left" readingOrder="0" vertical="bottom"/>
    </xf>
    <xf borderId="0" fillId="23" fontId="1" numFmtId="165" xfId="0" applyAlignment="1" applyFont="1" applyNumberFormat="1">
      <alignment horizontal="center" readingOrder="0" vertical="bottom"/>
    </xf>
    <xf borderId="0" fillId="26" fontId="2" numFmtId="0" xfId="0" applyAlignment="1" applyFill="1" applyFont="1">
      <alignment horizontal="left"/>
    </xf>
    <xf borderId="0" fillId="26" fontId="1" numFmtId="0" xfId="0" applyAlignment="1" applyFont="1">
      <alignment horizontal="center" readingOrder="0" vertical="bottom"/>
    </xf>
    <xf borderId="0" fillId="26" fontId="1" numFmtId="0" xfId="0" applyAlignment="1" applyFont="1">
      <alignment horizontal="left" readingOrder="0" vertical="bottom"/>
    </xf>
    <xf borderId="0" fillId="26" fontId="1" numFmtId="165" xfId="0" applyAlignment="1" applyFont="1" applyNumberFormat="1">
      <alignment horizontal="center" readingOrder="0" vertical="bottom"/>
    </xf>
    <xf borderId="0" fillId="16" fontId="2" numFmtId="0" xfId="0" applyAlignment="1" applyFont="1">
      <alignment horizontal="left"/>
    </xf>
    <xf borderId="0" fillId="16" fontId="1" numFmtId="0" xfId="0" applyAlignment="1" applyFont="1">
      <alignment horizontal="center" readingOrder="0" vertical="bottom"/>
    </xf>
    <xf borderId="0" fillId="16" fontId="1" numFmtId="0" xfId="0" applyAlignment="1" applyFont="1">
      <alignment horizontal="left" readingOrder="0" vertical="bottom"/>
    </xf>
    <xf borderId="0" fillId="16" fontId="1" numFmtId="165" xfId="0" applyAlignment="1" applyFont="1" applyNumberFormat="1">
      <alignment horizontal="center" readingOrder="0" vertical="bottom"/>
    </xf>
    <xf borderId="0" fillId="27" fontId="1" numFmtId="165" xfId="0" applyAlignment="1" applyFill="1" applyFont="1" applyNumberFormat="1">
      <alignment horizontal="left" readingOrder="0" vertical="bottom"/>
    </xf>
    <xf borderId="0" fillId="27" fontId="1" numFmtId="0" xfId="0" applyAlignment="1" applyFont="1">
      <alignment horizontal="center" readingOrder="0" vertical="bottom"/>
    </xf>
    <xf borderId="0" fillId="27" fontId="1" numFmtId="165" xfId="0" applyAlignment="1" applyFont="1" applyNumberFormat="1">
      <alignment horizontal="center" readingOrder="0" vertical="bottom"/>
    </xf>
    <xf borderId="0" fillId="28" fontId="1" numFmtId="165" xfId="0" applyAlignment="1" applyFill="1" applyFont="1" applyNumberFormat="1">
      <alignment horizontal="left" readingOrder="0" vertical="bottom"/>
    </xf>
    <xf borderId="0" fillId="28" fontId="1" numFmtId="0" xfId="0" applyAlignment="1" applyFont="1">
      <alignment horizontal="center" readingOrder="0" vertical="bottom"/>
    </xf>
    <xf borderId="0" fillId="28" fontId="1" numFmtId="165" xfId="0" applyAlignment="1" applyFont="1" applyNumberFormat="1">
      <alignment horizontal="center" readingOrder="0" vertical="bottom"/>
    </xf>
    <xf borderId="0" fillId="29" fontId="8" numFmtId="0" xfId="0" applyAlignment="1" applyFill="1" applyFont="1">
      <alignment horizontal="center" readingOrder="0" vertical="bottom"/>
    </xf>
    <xf borderId="0" fillId="29" fontId="8" numFmtId="165" xfId="0" applyAlignment="1" applyFont="1" applyNumberFormat="1">
      <alignment vertical="bottom"/>
    </xf>
    <xf borderId="0" fillId="29" fontId="8" numFmtId="165" xfId="0" applyAlignment="1" applyFont="1" applyNumberFormat="1">
      <alignment horizontal="center" vertical="bottom"/>
    </xf>
    <xf borderId="0" fillId="29" fontId="8" numFmtId="0" xfId="0" applyAlignment="1" applyFont="1">
      <alignment horizontal="center" vertical="bottom"/>
    </xf>
    <xf borderId="0" fillId="29" fontId="8" numFmtId="165" xfId="0" applyAlignment="1" applyFont="1" applyNumberFormat="1">
      <alignment horizontal="center" readingOrder="0" vertical="bottom"/>
    </xf>
    <xf borderId="0" fillId="8" fontId="8" numFmtId="0" xfId="0" applyAlignment="1" applyFont="1">
      <alignment horizontal="center" vertical="bottom"/>
    </xf>
    <xf borderId="0" fillId="8" fontId="8" numFmtId="0" xfId="0" applyAlignment="1" applyFont="1">
      <alignment horizontal="center" readingOrder="0" vertical="bottom"/>
    </xf>
    <xf borderId="0" fillId="8" fontId="8" numFmtId="165" xfId="0" applyAlignment="1" applyFont="1" applyNumberFormat="1">
      <alignment vertical="bottom"/>
    </xf>
    <xf borderId="0" fillId="8" fontId="8" numFmtId="165" xfId="0" applyAlignment="1" applyFont="1" applyNumberFormat="1">
      <alignment horizontal="center" readingOrder="0" vertical="bottom"/>
    </xf>
    <xf borderId="0" fillId="8" fontId="8" numFmtId="165" xfId="0" applyAlignment="1" applyFont="1" applyNumberFormat="1">
      <alignment horizontal="center" vertical="bottom"/>
    </xf>
    <xf borderId="9" fillId="30" fontId="8" numFmtId="0" xfId="0" applyAlignment="1" applyBorder="1" applyFill="1" applyFont="1">
      <alignment horizontal="center" vertical="bottom"/>
    </xf>
    <xf borderId="9" fillId="30" fontId="8" numFmtId="0" xfId="0" applyAlignment="1" applyBorder="1" applyFont="1">
      <alignment horizontal="center" readingOrder="0" vertical="bottom"/>
    </xf>
    <xf borderId="9" fillId="30" fontId="8" numFmtId="165" xfId="0" applyAlignment="1" applyBorder="1" applyFont="1" applyNumberFormat="1">
      <alignment vertical="bottom"/>
    </xf>
    <xf borderId="9" fillId="30" fontId="8" numFmtId="165" xfId="0" applyAlignment="1" applyBorder="1" applyFont="1" applyNumberFormat="1">
      <alignment horizontal="center" vertical="bottom"/>
    </xf>
    <xf borderId="0" fillId="30" fontId="8" numFmtId="0" xfId="0" applyAlignment="1" applyFont="1">
      <alignment horizontal="center" vertical="bottom"/>
    </xf>
    <xf borderId="0" fillId="30" fontId="8" numFmtId="0" xfId="0" applyAlignment="1" applyFont="1">
      <alignment horizontal="center" readingOrder="0" vertical="bottom"/>
    </xf>
    <xf borderId="0" fillId="30" fontId="8" numFmtId="165" xfId="0" applyAlignment="1" applyFont="1" applyNumberFormat="1">
      <alignment vertical="bottom"/>
    </xf>
    <xf borderId="0" fillId="30" fontId="8" numFmtId="165" xfId="0" applyAlignment="1" applyFont="1" applyNumberFormat="1">
      <alignment horizontal="center" vertical="bottom"/>
    </xf>
    <xf borderId="0" fillId="30" fontId="8" numFmtId="165" xfId="0" applyAlignment="1" applyFont="1" applyNumberFormat="1">
      <alignment horizontal="center" readingOrder="0" vertical="bottom"/>
    </xf>
    <xf borderId="9" fillId="20" fontId="8" numFmtId="0" xfId="0" applyAlignment="1" applyBorder="1" applyFont="1">
      <alignment horizontal="center" vertical="bottom"/>
    </xf>
    <xf borderId="9" fillId="20" fontId="8" numFmtId="0" xfId="0" applyAlignment="1" applyBorder="1" applyFont="1">
      <alignment horizontal="center" readingOrder="0" vertical="bottom"/>
    </xf>
    <xf borderId="9" fillId="20" fontId="8" numFmtId="165" xfId="0" applyAlignment="1" applyBorder="1" applyFont="1" applyNumberFormat="1">
      <alignment vertical="bottom"/>
    </xf>
    <xf borderId="9" fillId="20" fontId="8" numFmtId="165" xfId="0" applyAlignment="1" applyBorder="1" applyFont="1" applyNumberFormat="1">
      <alignment horizontal="center" vertical="bottom"/>
    </xf>
    <xf borderId="0" fillId="20" fontId="8" numFmtId="0" xfId="0" applyAlignment="1" applyFont="1">
      <alignment horizontal="center" vertical="bottom"/>
    </xf>
    <xf borderId="0" fillId="20" fontId="8" numFmtId="0" xfId="0" applyAlignment="1" applyFont="1">
      <alignment horizontal="center" readingOrder="0" vertical="bottom"/>
    </xf>
    <xf borderId="0" fillId="20" fontId="8" numFmtId="165" xfId="0" applyAlignment="1" applyFont="1" applyNumberFormat="1">
      <alignment vertical="bottom"/>
    </xf>
    <xf borderId="0" fillId="20" fontId="8" numFmtId="165" xfId="0" applyAlignment="1" applyFont="1" applyNumberFormat="1">
      <alignment horizontal="center" vertical="bottom"/>
    </xf>
    <xf borderId="0" fillId="20" fontId="8" numFmtId="165" xfId="0" applyAlignment="1" applyFont="1" applyNumberFormat="1">
      <alignment horizontal="center" readingOrder="0" vertical="bottom"/>
    </xf>
    <xf borderId="9" fillId="23" fontId="8" numFmtId="0" xfId="0" applyAlignment="1" applyBorder="1" applyFont="1">
      <alignment horizontal="center" vertical="bottom"/>
    </xf>
    <xf borderId="9" fillId="23" fontId="8" numFmtId="0" xfId="0" applyAlignment="1" applyBorder="1" applyFont="1">
      <alignment horizontal="center" readingOrder="0" vertical="bottom"/>
    </xf>
    <xf borderId="9" fillId="23" fontId="8" numFmtId="165" xfId="0" applyAlignment="1" applyBorder="1" applyFont="1" applyNumberFormat="1">
      <alignment vertical="bottom"/>
    </xf>
    <xf borderId="9" fillId="23" fontId="8" numFmtId="165" xfId="0" applyAlignment="1" applyBorder="1" applyFont="1" applyNumberFormat="1">
      <alignment horizontal="center" vertical="bottom"/>
    </xf>
    <xf borderId="0" fillId="23" fontId="8" numFmtId="0" xfId="0" applyAlignment="1" applyFont="1">
      <alignment horizontal="center" vertical="bottom"/>
    </xf>
    <xf borderId="0" fillId="23" fontId="8" numFmtId="0" xfId="0" applyAlignment="1" applyFont="1">
      <alignment horizontal="center" readingOrder="0" vertical="bottom"/>
    </xf>
    <xf borderId="0" fillId="23" fontId="8" numFmtId="165" xfId="0" applyAlignment="1" applyFont="1" applyNumberFormat="1">
      <alignment vertical="bottom"/>
    </xf>
    <xf borderId="0" fillId="23" fontId="8" numFmtId="165" xfId="0" applyAlignment="1" applyFont="1" applyNumberFormat="1">
      <alignment horizontal="center" vertical="bottom"/>
    </xf>
    <xf borderId="0" fillId="23" fontId="8" numFmtId="165" xfId="0" applyAlignment="1" applyFont="1" applyNumberFormat="1">
      <alignment horizontal="center" readingOrder="0" vertical="bottom"/>
    </xf>
    <xf borderId="9" fillId="13" fontId="8" numFmtId="0" xfId="0" applyAlignment="1" applyBorder="1" applyFont="1">
      <alignment horizontal="center" vertical="bottom"/>
    </xf>
    <xf borderId="9" fillId="13" fontId="8" numFmtId="0" xfId="0" applyAlignment="1" applyBorder="1" applyFont="1">
      <alignment horizontal="center" readingOrder="0" vertical="bottom"/>
    </xf>
    <xf borderId="9" fillId="13" fontId="8" numFmtId="165" xfId="0" applyAlignment="1" applyBorder="1" applyFont="1" applyNumberFormat="1">
      <alignment vertical="bottom"/>
    </xf>
    <xf borderId="9" fillId="13" fontId="8" numFmtId="165" xfId="0" applyAlignment="1" applyBorder="1" applyFont="1" applyNumberFormat="1">
      <alignment horizontal="center" readingOrder="0" vertical="bottom"/>
    </xf>
    <xf borderId="0" fillId="13" fontId="8" numFmtId="0" xfId="0" applyAlignment="1" applyFont="1">
      <alignment horizontal="center" vertical="bottom"/>
    </xf>
    <xf borderId="0" fillId="13" fontId="8" numFmtId="0" xfId="0" applyAlignment="1" applyFont="1">
      <alignment horizontal="center" readingOrder="0" vertical="bottom"/>
    </xf>
    <xf borderId="0" fillId="13" fontId="8" numFmtId="165" xfId="0" applyAlignment="1" applyFont="1" applyNumberFormat="1">
      <alignment vertical="bottom"/>
    </xf>
    <xf borderId="0" fillId="13" fontId="8" numFmtId="165" xfId="0" applyAlignment="1" applyFont="1" applyNumberFormat="1">
      <alignment horizontal="center" readingOrder="0" vertical="bottom"/>
    </xf>
    <xf borderId="0" fillId="13" fontId="8" numFmtId="165" xfId="0" applyAlignment="1" applyFont="1" applyNumberFormat="1">
      <alignment horizontal="center" vertical="bottom"/>
    </xf>
    <xf borderId="9" fillId="12" fontId="8" numFmtId="0" xfId="0" applyAlignment="1" applyBorder="1" applyFont="1">
      <alignment horizontal="center" vertical="bottom"/>
    </xf>
    <xf borderId="9" fillId="12" fontId="8" numFmtId="0" xfId="0" applyAlignment="1" applyBorder="1" applyFont="1">
      <alignment horizontal="center" readingOrder="0" vertical="bottom"/>
    </xf>
    <xf borderId="9" fillId="12" fontId="8" numFmtId="165" xfId="0" applyAlignment="1" applyBorder="1" applyFont="1" applyNumberFormat="1">
      <alignment vertical="bottom"/>
    </xf>
    <xf borderId="9" fillId="12" fontId="8" numFmtId="165" xfId="0" applyAlignment="1" applyBorder="1" applyFont="1" applyNumberFormat="1">
      <alignment horizontal="center" readingOrder="0" vertical="bottom"/>
    </xf>
    <xf borderId="0" fillId="12" fontId="8" numFmtId="0" xfId="0" applyAlignment="1" applyFont="1">
      <alignment horizontal="center" vertical="bottom"/>
    </xf>
    <xf borderId="0" fillId="12" fontId="8" numFmtId="0" xfId="0" applyAlignment="1" applyFont="1">
      <alignment horizontal="center" readingOrder="0" vertical="bottom"/>
    </xf>
    <xf borderId="0" fillId="12" fontId="8" numFmtId="165" xfId="0" applyAlignment="1" applyFont="1" applyNumberFormat="1">
      <alignment vertical="bottom"/>
    </xf>
    <xf borderId="0" fillId="12" fontId="8" numFmtId="165" xfId="0" applyAlignment="1" applyFont="1" applyNumberFormat="1">
      <alignment horizontal="center" readingOrder="0" vertical="bottom"/>
    </xf>
    <xf borderId="0" fillId="12" fontId="8" numFmtId="165" xfId="0" applyAlignment="1" applyFont="1" applyNumberFormat="1">
      <alignment horizontal="center" vertical="bottom"/>
    </xf>
    <xf borderId="9" fillId="17" fontId="8" numFmtId="0" xfId="0" applyAlignment="1" applyBorder="1" applyFont="1">
      <alignment horizontal="center" vertical="bottom"/>
    </xf>
    <xf borderId="9" fillId="17" fontId="8" numFmtId="0" xfId="0" applyAlignment="1" applyBorder="1" applyFont="1">
      <alignment horizontal="center" readingOrder="0" vertical="bottom"/>
    </xf>
    <xf borderId="9" fillId="17" fontId="8" numFmtId="165" xfId="0" applyAlignment="1" applyBorder="1" applyFont="1" applyNumberFormat="1">
      <alignment vertical="bottom"/>
    </xf>
    <xf borderId="9" fillId="17" fontId="8" numFmtId="165" xfId="0" applyAlignment="1" applyBorder="1" applyFont="1" applyNumberFormat="1">
      <alignment horizontal="center" readingOrder="0" vertical="bottom"/>
    </xf>
    <xf borderId="0" fillId="17" fontId="8" numFmtId="0" xfId="0" applyAlignment="1" applyFont="1">
      <alignment horizontal="center" vertical="bottom"/>
    </xf>
    <xf borderId="0" fillId="17" fontId="8" numFmtId="0" xfId="0" applyAlignment="1" applyFont="1">
      <alignment horizontal="center" readingOrder="0" vertical="bottom"/>
    </xf>
    <xf borderId="0" fillId="17" fontId="8" numFmtId="165" xfId="0" applyAlignment="1" applyFont="1" applyNumberFormat="1">
      <alignment vertical="bottom"/>
    </xf>
    <xf borderId="0" fillId="17" fontId="8" numFmtId="165" xfId="0" applyAlignment="1" applyFont="1" applyNumberFormat="1">
      <alignment horizontal="center" readingOrder="0" vertical="bottom"/>
    </xf>
    <xf borderId="0" fillId="17" fontId="8" numFmtId="165" xfId="0" applyAlignment="1" applyFont="1" applyNumberFormat="1">
      <alignment horizontal="center" vertical="bottom"/>
    </xf>
    <xf borderId="9" fillId="31" fontId="8" numFmtId="0" xfId="0" applyAlignment="1" applyBorder="1" applyFill="1" applyFont="1">
      <alignment horizontal="center" vertical="bottom"/>
    </xf>
    <xf borderId="9" fillId="31" fontId="8" numFmtId="0" xfId="0" applyAlignment="1" applyBorder="1" applyFont="1">
      <alignment horizontal="center" readingOrder="0" vertical="bottom"/>
    </xf>
    <xf borderId="9" fillId="31" fontId="8" numFmtId="165" xfId="0" applyAlignment="1" applyBorder="1" applyFont="1" applyNumberFormat="1">
      <alignment vertical="bottom"/>
    </xf>
    <xf borderId="9" fillId="31" fontId="8" numFmtId="165" xfId="0" applyAlignment="1" applyBorder="1" applyFont="1" applyNumberFormat="1">
      <alignment horizontal="center" readingOrder="0" vertical="bottom"/>
    </xf>
    <xf borderId="0" fillId="31" fontId="8" numFmtId="0" xfId="0" applyAlignment="1" applyFont="1">
      <alignment horizontal="center" vertical="bottom"/>
    </xf>
    <xf borderId="0" fillId="31" fontId="8" numFmtId="0" xfId="0" applyAlignment="1" applyFont="1">
      <alignment horizontal="center" readingOrder="0" vertical="bottom"/>
    </xf>
    <xf borderId="0" fillId="31" fontId="8" numFmtId="165" xfId="0" applyAlignment="1" applyFont="1" applyNumberFormat="1">
      <alignment vertical="bottom"/>
    </xf>
    <xf borderId="0" fillId="31" fontId="8" numFmtId="165" xfId="0" applyAlignment="1" applyFont="1" applyNumberFormat="1">
      <alignment horizontal="center" readingOrder="0" vertical="bottom"/>
    </xf>
    <xf borderId="0" fillId="31" fontId="8" numFmtId="165" xfId="0" applyAlignment="1" applyFont="1" applyNumberFormat="1">
      <alignment horizontal="center" vertical="bottom"/>
    </xf>
    <xf borderId="0" fillId="31" fontId="8" numFmtId="165" xfId="0" applyAlignment="1" applyFont="1" applyNumberFormat="1">
      <alignment readingOrder="0" vertical="bottom"/>
    </xf>
    <xf borderId="9" fillId="21" fontId="8" numFmtId="0" xfId="0" applyAlignment="1" applyBorder="1" applyFont="1">
      <alignment horizontal="center" readingOrder="0" vertical="bottom"/>
    </xf>
    <xf borderId="9" fillId="21" fontId="8" numFmtId="165" xfId="0" applyAlignment="1" applyBorder="1" applyFont="1" applyNumberFormat="1">
      <alignment vertical="bottom"/>
    </xf>
    <xf borderId="9" fillId="21" fontId="8" numFmtId="165" xfId="0" applyAlignment="1" applyBorder="1" applyFont="1" applyNumberFormat="1">
      <alignment horizontal="center" readingOrder="0" vertical="bottom"/>
    </xf>
    <xf borderId="9" fillId="21" fontId="8" numFmtId="0" xfId="0" applyAlignment="1" applyBorder="1" applyFont="1">
      <alignment horizontal="center" vertical="bottom"/>
    </xf>
    <xf borderId="0" fillId="21" fontId="8" numFmtId="0" xfId="0" applyAlignment="1" applyFont="1">
      <alignment horizontal="center" readingOrder="0" vertical="bottom"/>
    </xf>
    <xf borderId="0" fillId="21" fontId="8" numFmtId="165" xfId="0" applyAlignment="1" applyFont="1" applyNumberFormat="1">
      <alignment vertical="bottom"/>
    </xf>
    <xf borderId="0" fillId="21" fontId="8" numFmtId="165" xfId="0" applyAlignment="1" applyFont="1" applyNumberFormat="1">
      <alignment horizontal="center" readingOrder="0" vertical="bottom"/>
    </xf>
    <xf borderId="0" fillId="21" fontId="8" numFmtId="0" xfId="0" applyAlignment="1" applyFont="1">
      <alignment horizontal="center" vertical="bottom"/>
    </xf>
    <xf borderId="0" fillId="21" fontId="8" numFmtId="165" xfId="0" applyAlignment="1" applyFont="1" applyNumberFormat="1">
      <alignment horizontal="center" vertical="bottom"/>
    </xf>
    <xf borderId="9" fillId="28" fontId="8" numFmtId="0" xfId="0" applyAlignment="1" applyBorder="1" applyFont="1">
      <alignment horizontal="center" readingOrder="0" vertical="bottom"/>
    </xf>
    <xf borderId="9" fillId="28" fontId="8" numFmtId="165" xfId="0" applyAlignment="1" applyBorder="1" applyFont="1" applyNumberFormat="1">
      <alignment vertical="bottom"/>
    </xf>
    <xf borderId="9" fillId="28" fontId="8" numFmtId="165" xfId="0" applyAlignment="1" applyBorder="1" applyFont="1" applyNumberFormat="1">
      <alignment horizontal="center" readingOrder="0" vertical="bottom"/>
    </xf>
    <xf borderId="0" fillId="28" fontId="8" numFmtId="0" xfId="0" applyAlignment="1" applyFont="1">
      <alignment horizontal="center" readingOrder="0" vertical="bottom"/>
    </xf>
    <xf borderId="0" fillId="28" fontId="8" numFmtId="165" xfId="0" applyAlignment="1" applyFont="1" applyNumberFormat="1">
      <alignment vertical="bottom"/>
    </xf>
    <xf borderId="0" fillId="28" fontId="8" numFmtId="3" xfId="0" applyAlignment="1" applyFont="1" applyNumberFormat="1">
      <alignment horizontal="center" readingOrder="0" vertical="bottom"/>
    </xf>
    <xf borderId="0" fillId="28" fontId="8" numFmtId="165" xfId="0" applyAlignment="1" applyFont="1" applyNumberFormat="1">
      <alignment horizontal="center" readingOrder="0" vertical="bottom"/>
    </xf>
    <xf borderId="0" fillId="2" fontId="6" numFmtId="0" xfId="0" applyAlignment="1" applyFont="1">
      <alignment horizontal="center" readingOrder="0" vertical="center"/>
    </xf>
    <xf borderId="0" fillId="0" fontId="2" numFmtId="0" xfId="0" applyAlignment="1" applyFont="1">
      <alignment horizontal="center" readingOrder="0" vertical="center"/>
    </xf>
    <xf borderId="0" fillId="0" fontId="2" numFmtId="164"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171" xfId="0" applyAlignment="1" applyFont="1" applyNumberFormat="1">
      <alignment horizontal="center" readingOrder="0" vertical="center"/>
    </xf>
    <xf borderId="0" fillId="0" fontId="2" numFmtId="186" xfId="0" applyAlignment="1" applyFont="1" applyNumberFormat="1">
      <alignment readingOrder="0"/>
    </xf>
    <xf borderId="0" fillId="0" fontId="2" numFmtId="186" xfId="0" applyAlignment="1" applyFont="1" applyNumberFormat="1">
      <alignment readingOrder="0"/>
    </xf>
    <xf borderId="0" fillId="0" fontId="2" numFmtId="187" xfId="0" applyAlignment="1" applyFont="1" applyNumberFormat="1">
      <alignment readingOrder="0"/>
    </xf>
    <xf borderId="0" fillId="24" fontId="2" numFmtId="0" xfId="0" applyAlignment="1" applyFont="1">
      <alignment horizontal="left" readingOrder="0" shrinkToFit="0" vertical="center" wrapText="1"/>
    </xf>
    <xf borderId="0" fillId="16" fontId="6" numFmtId="0" xfId="0" applyAlignment="1" applyFont="1">
      <alignment horizontal="center" readingOrder="0" vertical="center"/>
    </xf>
    <xf borderId="0" fillId="16" fontId="6" numFmtId="0" xfId="0" applyAlignment="1" applyFont="1">
      <alignment horizontal="center" readingOrder="0" shrinkToFit="0" vertical="center" wrapText="1"/>
    </xf>
    <xf borderId="0" fillId="16" fontId="6" numFmtId="0" xfId="0" applyAlignment="1" applyFont="1">
      <alignment horizontal="center" readingOrder="0" shrinkToFit="0" vertical="center" wrapText="1"/>
    </xf>
    <xf borderId="0" fillId="16" fontId="2" numFmtId="0" xfId="0" applyAlignment="1" applyFont="1">
      <alignment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14" xfId="0" applyAlignment="1" applyFont="1" applyNumberFormat="1">
      <alignment readingOrder="0" vertical="center"/>
    </xf>
    <xf borderId="0" fillId="0" fontId="2" numFmtId="0" xfId="0" applyAlignment="1" applyFont="1">
      <alignment vertical="center"/>
    </xf>
    <xf borderId="0" fillId="16" fontId="2" numFmtId="0" xfId="0" applyAlignment="1" applyFont="1">
      <alignment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center" vertical="center"/>
    </xf>
    <xf borderId="18" fillId="0" fontId="6" numFmtId="0" xfId="0" applyAlignment="1" applyBorder="1" applyFont="1">
      <alignment horizontal="left" readingOrder="0" vertical="bottom"/>
    </xf>
  </cellXfs>
  <cellStyles count="1">
    <cellStyle xfId="0" name="Normal" builtinId="0"/>
  </cellStyles>
  <dxfs count="20">
    <dxf>
      <font/>
      <fill>
        <patternFill patternType="solid">
          <fgColor rgb="FFF6B26B"/>
          <bgColor rgb="FFF6B26B"/>
        </patternFill>
      </fill>
      <border/>
    </dxf>
    <dxf>
      <font/>
      <fill>
        <patternFill patternType="solid">
          <fgColor rgb="FFDD7E6B"/>
          <bgColor rgb="FFDD7E6B"/>
        </patternFill>
      </fill>
      <border/>
    </dxf>
    <dxf>
      <font/>
      <fill>
        <patternFill patternType="solid">
          <fgColor rgb="FFC9DAF8"/>
          <bgColor rgb="FFC9DAF8"/>
        </patternFill>
      </fill>
      <border/>
    </dxf>
    <dxf>
      <font/>
      <fill>
        <patternFill patternType="solid">
          <fgColor rgb="FFD5A6BD"/>
          <bgColor rgb="FFD5A6BD"/>
        </patternFill>
      </fill>
      <border/>
    </dxf>
    <dxf>
      <font/>
      <fill>
        <patternFill patternType="solid">
          <fgColor rgb="FFCCCCCC"/>
          <bgColor rgb="FFCCCCCC"/>
        </patternFill>
      </fill>
      <border/>
    </dxf>
    <dxf>
      <font/>
      <fill>
        <patternFill patternType="solid">
          <fgColor rgb="FFFCE5CD"/>
          <bgColor rgb="FFFCE5CD"/>
        </patternFill>
      </fill>
      <border/>
    </dxf>
    <dxf>
      <font/>
      <fill>
        <patternFill patternType="solid">
          <fgColor rgb="FFCFE2F3"/>
          <bgColor rgb="FFCFE2F3"/>
        </patternFill>
      </fill>
      <border/>
    </dxf>
    <dxf>
      <font/>
      <fill>
        <patternFill patternType="solid">
          <fgColor rgb="FFEA9999"/>
          <bgColor rgb="FFEA9999"/>
        </patternFill>
      </fill>
      <border/>
    </dxf>
    <dxf>
      <font>
        <color rgb="FFFF0000"/>
      </font>
      <fill>
        <patternFill patternType="solid">
          <fgColor rgb="FFEFEFEF"/>
          <bgColor rgb="FFEFEFEF"/>
        </patternFill>
      </fill>
      <border/>
    </dxf>
    <dxf>
      <font>
        <color rgb="FFFF0000"/>
      </font>
      <fill>
        <patternFill patternType="none"/>
      </fill>
      <border/>
    </dxf>
    <dxf>
      <font/>
      <fill>
        <patternFill patternType="solid">
          <fgColor rgb="FFD9EAD3"/>
          <bgColor rgb="FFD9EAD3"/>
        </patternFill>
      </fill>
      <border/>
    </dxf>
    <dxf>
      <font/>
      <fill>
        <patternFill patternType="solid">
          <fgColor rgb="FFFF9900"/>
          <bgColor rgb="FFFF9900"/>
        </patternFill>
      </fill>
      <border/>
    </dxf>
    <dxf>
      <font/>
      <fill>
        <patternFill patternType="solid">
          <fgColor rgb="FFA4C2F4"/>
          <bgColor rgb="FFA4C2F4"/>
        </patternFill>
      </fill>
      <border/>
    </dxf>
    <dxf>
      <font/>
      <fill>
        <patternFill patternType="solid">
          <fgColor rgb="FFB4A7D6"/>
          <bgColor rgb="FFB4A7D6"/>
        </patternFill>
      </fill>
      <border/>
    </dxf>
    <dxf>
      <font/>
      <fill>
        <patternFill patternType="solid">
          <fgColor rgb="FF6AA84F"/>
          <bgColor rgb="FF6AA84F"/>
        </patternFill>
      </fill>
      <border/>
    </dxf>
    <dxf>
      <font/>
      <fill>
        <patternFill patternType="solid">
          <fgColor rgb="FF6D9EEB"/>
          <bgColor rgb="FF6D9EEB"/>
        </patternFill>
      </fill>
      <border/>
    </dxf>
    <dxf>
      <font/>
      <fill>
        <patternFill patternType="solid">
          <fgColor rgb="FF783F04"/>
          <bgColor rgb="FF783F04"/>
        </patternFill>
      </fill>
      <border/>
    </dxf>
    <dxf>
      <font/>
      <fill>
        <patternFill patternType="solid">
          <fgColor rgb="FF8E7CC3"/>
          <bgColor rgb="FF8E7CC3"/>
        </patternFill>
      </fill>
      <border/>
    </dxf>
    <dxf>
      <font/>
      <fill>
        <patternFill patternType="solid">
          <fgColor rgb="FFC27BA0"/>
          <bgColor rgb="FFC27BA0"/>
        </patternFill>
      </fill>
      <border/>
    </dxf>
    <dxf>
      <font>
        <color rgb="FFCC0000"/>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iegobraziunasgmail.com/" TargetMode="External"/><Relationship Id="rId3" Type="http://schemas.openxmlformats.org/officeDocument/2006/relationships/hyperlink" Target="http://noeliaceciliainsaustigmail.com/" TargetMode="External"/><Relationship Id="rId4" Type="http://schemas.openxmlformats.org/officeDocument/2006/relationships/hyperlink" Target="http://ruizdiaz_yahoo.com.ar/" TargetMode="External"/><Relationship Id="rId5" Type="http://schemas.openxmlformats.org/officeDocument/2006/relationships/hyperlink" Target="http://leito81hotmail.com/" TargetMode="External"/><Relationship Id="rId6" Type="http://schemas.openxmlformats.org/officeDocument/2006/relationships/drawing" Target="../drawings/drawing8.xml"/><Relationship Id="rId7"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4.xml"/><Relationship Id="rId3"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G2" s="1">
        <f>if( iserror( offset(   'Cuadro tarifario'!D$2  , match(concatenate(Periodovigente,A2) ,'Cuadro tarifario'!A$2:A1000,0) -1 , 0 , 1 , 1) )   ,  0  ,   offset(   'Cuadro tarifario'!D$2  , match(concatenate(Periodovigente,A2) ,'Cuadro tarifario'!A$2:A1000,0) -1 , 0 , 1 , 1))</f>
        <v>0</v>
      </c>
      <c r="H2" s="1">
        <f>Int(If(F2,DAYS360(          date(Year(E2),Month(E2),1),         date(Year(F2)     ,      Month(F2),1 )    )            /30,0 ))</f>
        <v>0</v>
      </c>
      <c r="I2" s="1">
        <f>H2*G2</f>
        <v>0</v>
      </c>
      <c r="J2" s="2" t="str">
        <f>IF( Iserror( If(Int(If(F2,DAYS360(date(year(F2),month(F2),1),#REF!),DAYS360(date(year(E2),month(E2),1),#REF!))/30)&gt;0,Int(If(F2,DAYS360(date(year(F2),month(F2),1),#REF!),DAYS360(date(year(E2),month(E2),1),#REF!))/30),0)) , "-",  If(Int(If(F2,DAYS360(date(year(F2),month(F2),1),#REF!),DAYS360(date(year(E2),month(E2),1),#REF!))/30)&gt;0,Int(If(F2,DAYS360(date(year(F2),month(F2),1),#REF!),DAYS360(date(year(E2),month(E2),1),#REF!))/30),0))</f>
        <v>-</v>
      </c>
      <c r="K2" s="2">
        <f>If(Iserror(J:J*G:G)   ,  0   ,   J:J*G:G)</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75"/>
    <col customWidth="1" min="3" max="3" width="14.63"/>
    <col customWidth="1" min="6" max="6" width="19.13"/>
  </cols>
  <sheetData>
    <row r="1">
      <c r="A1" s="3" t="s">
        <v>0</v>
      </c>
      <c r="B1" s="3" t="s">
        <v>1</v>
      </c>
      <c r="C1" s="3" t="s">
        <v>2</v>
      </c>
      <c r="D1" s="3" t="s">
        <v>3</v>
      </c>
      <c r="E1" s="3" t="s">
        <v>4</v>
      </c>
      <c r="F1" s="3" t="s">
        <v>5</v>
      </c>
      <c r="G1" s="3"/>
      <c r="H1" s="3"/>
    </row>
    <row r="2">
      <c r="A2" s="3">
        <v>1.0</v>
      </c>
      <c r="B2" s="3">
        <v>0.0</v>
      </c>
      <c r="C2" s="3">
        <f>G2</f>
        <v>1</v>
      </c>
      <c r="E2">
        <f t="shared" ref="E2:E14" si="1">C2-$C$2</f>
        <v>0</v>
      </c>
      <c r="F2">
        <f>E2</f>
        <v>0</v>
      </c>
      <c r="G2" s="3">
        <v>1.0</v>
      </c>
      <c r="H2" s="3">
        <v>10.0</v>
      </c>
    </row>
    <row r="3">
      <c r="A3" s="3">
        <v>2.0</v>
      </c>
      <c r="B3">
        <f t="shared" ref="B3:B14" si="2">C2*$H$2/100</f>
        <v>0.1</v>
      </c>
      <c r="C3">
        <f t="shared" ref="C3:C14" si="3">C2+B3</f>
        <v>1.1</v>
      </c>
      <c r="D3">
        <f>((C3-C2)/$C$2)*100</f>
        <v>10</v>
      </c>
      <c r="E3">
        <f t="shared" si="1"/>
        <v>0.1</v>
      </c>
      <c r="F3" s="3">
        <f t="shared" ref="F3:F14" si="4">sum($E$2:E3)</f>
        <v>0.1</v>
      </c>
      <c r="G3" s="3" t="s">
        <v>6</v>
      </c>
    </row>
    <row r="4">
      <c r="A4" s="3">
        <v>3.0</v>
      </c>
      <c r="B4">
        <f t="shared" si="2"/>
        <v>0.11</v>
      </c>
      <c r="C4">
        <f t="shared" si="3"/>
        <v>1.21</v>
      </c>
      <c r="D4">
        <f t="shared" ref="D4:D14" si="5">((C4-$C$2)/$C$2)*100</f>
        <v>21</v>
      </c>
      <c r="E4">
        <f t="shared" si="1"/>
        <v>0.21</v>
      </c>
      <c r="F4" s="3">
        <f t="shared" si="4"/>
        <v>0.31</v>
      </c>
      <c r="G4" s="3" t="s">
        <v>7</v>
      </c>
    </row>
    <row r="5">
      <c r="A5" s="3">
        <v>4.0</v>
      </c>
      <c r="B5">
        <f t="shared" si="2"/>
        <v>0.121</v>
      </c>
      <c r="C5">
        <f t="shared" si="3"/>
        <v>1.331</v>
      </c>
      <c r="D5">
        <f t="shared" si="5"/>
        <v>33.1</v>
      </c>
      <c r="E5">
        <f t="shared" si="1"/>
        <v>0.331</v>
      </c>
      <c r="F5" s="3">
        <f t="shared" si="4"/>
        <v>0.641</v>
      </c>
      <c r="G5" s="3" t="s">
        <v>7</v>
      </c>
    </row>
    <row r="6">
      <c r="A6" s="3">
        <v>5.0</v>
      </c>
      <c r="B6">
        <f t="shared" si="2"/>
        <v>0.1331</v>
      </c>
      <c r="C6">
        <f t="shared" si="3"/>
        <v>1.4641</v>
      </c>
      <c r="D6">
        <f t="shared" si="5"/>
        <v>46.41</v>
      </c>
      <c r="E6">
        <f t="shared" si="1"/>
        <v>0.4641</v>
      </c>
      <c r="F6" s="3">
        <f t="shared" si="4"/>
        <v>1.1051</v>
      </c>
    </row>
    <row r="7">
      <c r="A7" s="3">
        <v>6.0</v>
      </c>
      <c r="B7">
        <f t="shared" si="2"/>
        <v>0.14641</v>
      </c>
      <c r="C7">
        <f t="shared" si="3"/>
        <v>1.61051</v>
      </c>
      <c r="D7">
        <f t="shared" si="5"/>
        <v>61.051</v>
      </c>
      <c r="E7">
        <f t="shared" si="1"/>
        <v>0.61051</v>
      </c>
      <c r="F7" s="3">
        <f t="shared" si="4"/>
        <v>1.71561</v>
      </c>
    </row>
    <row r="8">
      <c r="A8" s="3">
        <v>7.0</v>
      </c>
      <c r="B8">
        <f t="shared" si="2"/>
        <v>0.161051</v>
      </c>
      <c r="C8">
        <f t="shared" si="3"/>
        <v>1.771561</v>
      </c>
      <c r="D8">
        <f t="shared" si="5"/>
        <v>77.1561</v>
      </c>
      <c r="E8">
        <f t="shared" si="1"/>
        <v>0.771561</v>
      </c>
      <c r="F8" s="3">
        <f t="shared" si="4"/>
        <v>2.487171</v>
      </c>
    </row>
    <row r="9">
      <c r="A9" s="3">
        <v>8.0</v>
      </c>
      <c r="B9">
        <f t="shared" si="2"/>
        <v>0.1771561</v>
      </c>
      <c r="C9">
        <f t="shared" si="3"/>
        <v>1.9487171</v>
      </c>
      <c r="D9">
        <f t="shared" si="5"/>
        <v>94.87171</v>
      </c>
      <c r="E9">
        <f t="shared" si="1"/>
        <v>0.9487171</v>
      </c>
      <c r="F9" s="3">
        <f t="shared" si="4"/>
        <v>3.4358881</v>
      </c>
    </row>
    <row r="10">
      <c r="A10" s="3">
        <v>9.0</v>
      </c>
      <c r="B10">
        <f t="shared" si="2"/>
        <v>0.19487171</v>
      </c>
      <c r="C10">
        <f t="shared" si="3"/>
        <v>2.14358881</v>
      </c>
      <c r="D10">
        <f t="shared" si="5"/>
        <v>114.358881</v>
      </c>
      <c r="E10">
        <f t="shared" si="1"/>
        <v>1.14358881</v>
      </c>
      <c r="F10" s="3">
        <f t="shared" si="4"/>
        <v>4.57947691</v>
      </c>
    </row>
    <row r="11">
      <c r="A11" s="3">
        <v>10.0</v>
      </c>
      <c r="B11">
        <f t="shared" si="2"/>
        <v>0.214358881</v>
      </c>
      <c r="C11">
        <f t="shared" si="3"/>
        <v>2.357947691</v>
      </c>
      <c r="D11">
        <f t="shared" si="5"/>
        <v>135.7947691</v>
      </c>
      <c r="E11">
        <f t="shared" si="1"/>
        <v>1.357947691</v>
      </c>
      <c r="F11" s="3">
        <f t="shared" si="4"/>
        <v>5.937424601</v>
      </c>
    </row>
    <row r="12">
      <c r="A12" s="3">
        <v>11.0</v>
      </c>
      <c r="B12">
        <f t="shared" si="2"/>
        <v>0.2357947691</v>
      </c>
      <c r="C12">
        <f t="shared" si="3"/>
        <v>2.59374246</v>
      </c>
      <c r="D12">
        <f t="shared" si="5"/>
        <v>159.374246</v>
      </c>
      <c r="E12">
        <f t="shared" si="1"/>
        <v>1.59374246</v>
      </c>
      <c r="F12" s="3">
        <f t="shared" si="4"/>
        <v>7.531167061</v>
      </c>
    </row>
    <row r="13">
      <c r="A13" s="3">
        <v>12.0</v>
      </c>
      <c r="B13">
        <f t="shared" si="2"/>
        <v>0.259374246</v>
      </c>
      <c r="C13">
        <f t="shared" si="3"/>
        <v>2.853116706</v>
      </c>
      <c r="D13">
        <f t="shared" si="5"/>
        <v>185.3116706</v>
      </c>
      <c r="E13">
        <f t="shared" si="1"/>
        <v>1.853116706</v>
      </c>
      <c r="F13" s="3">
        <f t="shared" si="4"/>
        <v>9.384283767</v>
      </c>
    </row>
    <row r="14">
      <c r="A14" s="3">
        <v>13.0</v>
      </c>
      <c r="B14">
        <f t="shared" si="2"/>
        <v>0.2853116706</v>
      </c>
      <c r="C14">
        <f t="shared" si="3"/>
        <v>3.138428377</v>
      </c>
      <c r="D14">
        <f t="shared" si="5"/>
        <v>213.8428377</v>
      </c>
      <c r="E14">
        <f t="shared" si="1"/>
        <v>2.138428377</v>
      </c>
      <c r="F14" s="3">
        <f t="shared" si="4"/>
        <v>11.52271214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37.38"/>
    <col customWidth="1" min="3" max="3" width="52.5"/>
  </cols>
  <sheetData>
    <row r="1">
      <c r="A1" s="3" t="s">
        <v>8</v>
      </c>
      <c r="B1" s="3" t="s">
        <v>9</v>
      </c>
      <c r="C1" s="3" t="s">
        <v>10</v>
      </c>
    </row>
    <row r="2">
      <c r="A2" s="3">
        <v>2018.0</v>
      </c>
      <c r="B2" s="3" t="s">
        <v>11</v>
      </c>
      <c r="C2" s="4" t="s">
        <v>12</v>
      </c>
    </row>
    <row r="3">
      <c r="A3" s="3">
        <v>2019.0</v>
      </c>
      <c r="B3" s="3" t="s">
        <v>13</v>
      </c>
      <c r="C3" s="5" t="s">
        <v>14</v>
      </c>
    </row>
    <row r="4">
      <c r="A4" s="3">
        <v>2020.0</v>
      </c>
      <c r="B4" s="3" t="s">
        <v>15</v>
      </c>
      <c r="C4" s="4" t="s">
        <v>16</v>
      </c>
    </row>
    <row r="5">
      <c r="A5" s="3">
        <v>2021.0</v>
      </c>
      <c r="B5" s="3" t="s">
        <v>17</v>
      </c>
      <c r="C5" s="4" t="s">
        <v>18</v>
      </c>
    </row>
    <row r="6">
      <c r="A6" s="3">
        <v>2022.0</v>
      </c>
      <c r="B6" s="3" t="s">
        <v>19</v>
      </c>
      <c r="C6" s="4" t="s">
        <v>20</v>
      </c>
    </row>
    <row r="7">
      <c r="A7" s="3">
        <v>2023.0</v>
      </c>
      <c r="B7" s="3" t="s">
        <v>21</v>
      </c>
      <c r="C7" s="4" t="s">
        <v>22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sheetViews>
  <sheetFormatPr customHeight="1" defaultColWidth="12.63" defaultRowHeight="15.75"/>
  <cols>
    <col customWidth="1" min="1" max="1" width="13.5"/>
    <col customWidth="1" min="2" max="2" width="8.13"/>
    <col customWidth="1" min="3" max="3" width="6.5"/>
    <col customWidth="1" min="4" max="4" width="29.0"/>
    <col customWidth="1" min="5" max="5" width="14.25"/>
    <col customWidth="1" min="6" max="6" width="13.25"/>
    <col customWidth="1" min="7" max="7" width="13.38"/>
    <col customWidth="1" min="8" max="8" width="9.5"/>
    <col customWidth="1" min="9" max="9" width="11.63"/>
    <col customWidth="1" min="10" max="10" width="19.0"/>
    <col customWidth="1" min="11" max="11" width="14.88"/>
    <col customWidth="1" min="12" max="12" width="7.38"/>
    <col customWidth="1" min="13" max="13" width="63.38"/>
    <col customWidth="1" hidden="1" min="14" max="14" width="10.5"/>
    <col customWidth="1" hidden="1" min="15" max="15" width="14.5"/>
    <col customWidth="1" hidden="1" min="16" max="16" width="13.5"/>
    <col hidden="1" min="17" max="17" width="12.63"/>
  </cols>
  <sheetData>
    <row r="1">
      <c r="A1" s="6"/>
      <c r="B1" s="7" t="s">
        <v>23</v>
      </c>
      <c r="C1" s="8" t="s">
        <v>24</v>
      </c>
      <c r="D1" s="8" t="s">
        <v>25</v>
      </c>
      <c r="E1" s="9" t="s">
        <v>26</v>
      </c>
      <c r="F1" s="10" t="s">
        <v>27</v>
      </c>
      <c r="G1" s="11" t="s">
        <v>28</v>
      </c>
      <c r="H1" s="11" t="s">
        <v>29</v>
      </c>
      <c r="I1" s="12" t="s">
        <v>30</v>
      </c>
      <c r="J1" s="12" t="str">
        <f>CONCATENATE("Importe ", "(",+SUM(J2:J1405)," $)")</f>
        <v>Importe (14555000 $)</v>
      </c>
      <c r="K1" s="13" t="s">
        <v>31</v>
      </c>
      <c r="L1" s="13" t="s">
        <v>32</v>
      </c>
      <c r="M1" s="14" t="s">
        <v>33</v>
      </c>
      <c r="N1" s="15" t="s">
        <v>34</v>
      </c>
      <c r="O1" s="15" t="s">
        <v>35</v>
      </c>
      <c r="P1" s="16" t="s">
        <v>36</v>
      </c>
      <c r="Q1" s="16" t="s">
        <v>37</v>
      </c>
      <c r="R1" s="3"/>
      <c r="S1" s="3"/>
      <c r="T1" s="3"/>
    </row>
    <row r="2">
      <c r="A2" s="17" t="s">
        <v>38</v>
      </c>
      <c r="B2" s="18">
        <v>6.0</v>
      </c>
      <c r="C2" s="19">
        <v>6.0</v>
      </c>
      <c r="D2" s="20" t="str">
        <f>IF(   ISERROR(OFFSET(PADRON!B$2,MATCH(C:C,PADRON!A$2:A1405,0)-1,0,1,1) )  ,  ,    OFFSET(PADRON!B$2,MATCH(C:C,PADRON!A$2:A1405,0)-1,0,1,1))</f>
        <v>SARDO, MARIA ISABEL</v>
      </c>
      <c r="E2" s="21">
        <v>45809.0</v>
      </c>
      <c r="F2" s="22">
        <v>45870.0</v>
      </c>
      <c r="G2" s="23" t="s">
        <v>39</v>
      </c>
      <c r="H2" s="24">
        <f>IF( ISERROR( OFFSET(   'Cuadro tarifario'!D$2  , MATCH(CONCATENATE(                 IF(F2&gt;Mes,OFFSET(NroCT!B$17, MATCH($F2,NroCT!$A$18:$A1405,0),0,1,1),Periodovigente)                                                                                                                     ,A2) ,'Cuadro tarifario'!A$2:A1405,0) -1 , 0 , 1 , 1) )   , 0  ,   OFFSET(   'Cuadro tarifario'!D$2  , MATCH(CONCATENATE( IF(F2&gt;Mes,OFFSET(NroCT!B$17, MATCH($F2,NroCT!$A$18:$A1405,0),0,1,1),Periodovigente) ,A2) ,'Cuadro tarifario'!A$2:A1405,0) -1 , 0 , 1 , 1))</f>
        <v>9000</v>
      </c>
      <c r="I2" s="25">
        <f t="shared" ref="I2:I4" si="1">INT(IF(F2,DAYS360(          DATE(YEAR(E2),MONTH(E2),1),         DATE(YEAR(F2)     ,      MONTH(F2),1 )    )            /30,0 ))</f>
        <v>2</v>
      </c>
      <c r="J2" s="24"/>
      <c r="K2" s="26">
        <f>IF(  AND(N2&gt;0,I2=0)          ,N2 ,                         IF(  IF( F2 ,  DAYS360(DATE(YEAR(F2),MONTH(F2),1),Mes)/30  ,  DAYS360(DATE(YEAR(E2),MONTH(E2),1),Mes)/30  )  &gt;  0 , IF(F2,   DAYS360(DATE(YEAR(F2),MONTH(F2),1),Mes)/30  ,  DAYS360(DATE(YEAR(E2),MONTH(E2),1),Mes)/30) , 0)       )</f>
        <v>0</v>
      </c>
      <c r="L2" s="27">
        <f t="shared" ref="L2:L4" si="2">IF(ISERROR(K:K*H:H)   ,  0   ,   K:K*H:H)</f>
        <v>0</v>
      </c>
      <c r="M2" s="28"/>
      <c r="N2" s="29">
        <f>IF( ISERROR(OFFSET(SECUESTRADOS!D$1,MATCH(B2,SECUESTRADOS!A$2:A1405,0),0)) ,0 ,  OFFSET(SECUESTRADOS!D$1,MATCH(B2,SECUESTRADOS!A$2:A1405,0),0)  )</f>
        <v>0</v>
      </c>
      <c r="O2" s="30"/>
      <c r="P2" s="17" t="str">
        <f t="shared" ref="P2:P535" si="3">IF(I2,A2)</f>
        <v>Bono canon</v>
      </c>
      <c r="Q2" s="17" t="str">
        <f t="shared" ref="Q2:Q6" si="4">IF(AND(A2=A1,B2=B1,C2=C1),"Repetido","")</f>
        <v/>
      </c>
      <c r="R2" s="31"/>
      <c r="S2" s="31"/>
      <c r="T2" s="31"/>
    </row>
    <row r="3">
      <c r="A3" s="17" t="s">
        <v>38</v>
      </c>
      <c r="B3" s="18">
        <v>7.0</v>
      </c>
      <c r="C3" s="19">
        <v>7.0</v>
      </c>
      <c r="D3" s="20" t="str">
        <f>IF(   ISERROR(OFFSET(PADRON!B$2,MATCH(C:C,PADRON!A$2:A1405,0)-1,0,1,1) )  ,  ,    OFFSET(PADRON!B$2,MATCH(C:C,PADRON!A$2:A1405,0)-1,0,1,1))</f>
        <v>MIRENDA, CRISTINA</v>
      </c>
      <c r="E3" s="21">
        <v>45839.0</v>
      </c>
      <c r="F3" s="22">
        <v>45870.0</v>
      </c>
      <c r="G3" s="23" t="s">
        <v>39</v>
      </c>
      <c r="H3" s="24">
        <f>IF( ISERROR( OFFSET(   'Cuadro tarifario'!D$2  , MATCH(CONCATENATE(                 IF(F3&gt;Mes,OFFSET(NroCT!B$17, MATCH($F3,NroCT!$A$18:$A1405,0),0,1,1),Periodovigente)                                                                                                                     ,A3) ,'Cuadro tarifario'!A$2:A1405,0) -1 , 0 , 1 , 1) )   , 0  ,   OFFSET(   'Cuadro tarifario'!D$2  , MATCH(CONCATENATE( IF(F3&gt;Mes,OFFSET(NroCT!B$17, MATCH($F3,NroCT!$A$18:$A1405,0),0,1,1),Periodovigente) ,A3) ,'Cuadro tarifario'!A$2:A1405,0) -1 , 0 , 1 , 1))</f>
        <v>9000</v>
      </c>
      <c r="I3" s="32">
        <f t="shared" si="1"/>
        <v>1</v>
      </c>
      <c r="J3" s="24">
        <f t="shared" ref="J3:J14" si="5">I3*H3</f>
        <v>9000</v>
      </c>
      <c r="K3" s="26">
        <f>IF(  AND(N3&gt;0,I3=0)          ,N3 ,                         IF(  IF( F3 ,  DAYS360(DATE(YEAR(F3),MONTH(F3),1),Mes)/30  ,  DAYS360(DATE(YEAR(E3),MONTH(E3),1),Mes)/30  )  &gt;  0 , IF(F3,   DAYS360(DATE(YEAR(F3),MONTH(F3),1),Mes)/30  ,  DAYS360(DATE(YEAR(E3),MONTH(E3),1),Mes)/30) , 0)       )</f>
        <v>0</v>
      </c>
      <c r="L3" s="27">
        <f t="shared" si="2"/>
        <v>0</v>
      </c>
      <c r="M3" s="28"/>
      <c r="N3" s="29">
        <f>IF( ISERROR(OFFSET(SECUESTRADOS!D$1,MATCH(B3,SECUESTRADOS!A$2:A1405,0),0)) ,0 ,  OFFSET(SECUESTRADOS!D$1,MATCH(B3,SECUESTRADOS!A$2:A1405,0),0)  )</f>
        <v>0</v>
      </c>
      <c r="O3" s="30"/>
      <c r="P3" s="17" t="str">
        <f t="shared" si="3"/>
        <v>Bono canon</v>
      </c>
      <c r="Q3" s="17" t="str">
        <f t="shared" si="4"/>
        <v/>
      </c>
      <c r="R3" s="31"/>
      <c r="S3" s="31"/>
      <c r="T3" s="31"/>
    </row>
    <row r="4">
      <c r="A4" s="17" t="s">
        <v>38</v>
      </c>
      <c r="B4" s="18">
        <v>14.0</v>
      </c>
      <c r="C4" s="19">
        <v>14.0</v>
      </c>
      <c r="D4" s="20" t="str">
        <f>IF(   ISERROR(OFFSET(PADRON!B$2,MATCH(C:C,PADRON!A$2:A1405,0)-1,0,1,1) )  ,  ,    OFFSET(PADRON!B$2,MATCH(C:C,PADRON!A$2:A1405,0)-1,0,1,1))</f>
        <v>CABRERA, RICARDO JORGE</v>
      </c>
      <c r="E4" s="21">
        <v>45809.0</v>
      </c>
      <c r="F4" s="21">
        <v>45870.0</v>
      </c>
      <c r="G4" s="23" t="s">
        <v>39</v>
      </c>
      <c r="H4" s="24">
        <f>IF( ISERROR( OFFSET(   'Cuadro tarifario'!D$2  , MATCH(CONCATENATE(                 IF(F4&gt;Mes,OFFSET(NroCT!B$17, MATCH($F4,NroCT!$A$18:$A1405,0),0,1,1),Periodovigente)                                                                                                                     ,A4) ,'Cuadro tarifario'!A$2:A1405,0) -1 , 0 , 1 , 1) )   , 0  ,   OFFSET(   'Cuadro tarifario'!D$2  , MATCH(CONCATENATE( IF(F4&gt;Mes,OFFSET(NroCT!B$17, MATCH($F4,NroCT!$A$18:$A1405,0),0,1,1),Periodovigente) ,A4) ,'Cuadro tarifario'!A$2:A1405,0) -1 , 0 , 1 , 1))</f>
        <v>9000</v>
      </c>
      <c r="I4" s="25">
        <f t="shared" si="1"/>
        <v>2</v>
      </c>
      <c r="J4" s="24">
        <f t="shared" si="5"/>
        <v>18000</v>
      </c>
      <c r="K4" s="26">
        <f>IF(  AND(N4&gt;0,I4=0)          ,N4 ,                         IF(  IF( F4 ,  DAYS360(DATE(YEAR(F4),MONTH(F4),1),Mes)/30  ,  DAYS360(DATE(YEAR(E4),MONTH(E4),1),Mes)/30  )  &gt;  0 , IF(F4,   DAYS360(DATE(YEAR(F4),MONTH(F4),1),Mes)/30  ,  DAYS360(DATE(YEAR(E4),MONTH(E4),1),Mes)/30) , 0)       )</f>
        <v>0</v>
      </c>
      <c r="L4" s="27">
        <f t="shared" si="2"/>
        <v>0</v>
      </c>
      <c r="M4" s="28"/>
      <c r="N4" s="29">
        <f>IF( ISERROR(OFFSET(SECUESTRADOS!D$1,MATCH(B4,SECUESTRADOS!A$2:A1405,0),0)) ,0 ,  OFFSET(SECUESTRADOS!D$1,MATCH(B4,SECUESTRADOS!A$2:A1405,0),0)  )</f>
        <v>0</v>
      </c>
      <c r="O4" s="30"/>
      <c r="P4" s="17" t="str">
        <f t="shared" si="3"/>
        <v>Bono canon</v>
      </c>
      <c r="Q4" s="17" t="str">
        <f t="shared" si="4"/>
        <v/>
      </c>
      <c r="R4" s="31"/>
      <c r="S4" s="31"/>
      <c r="T4" s="31"/>
    </row>
    <row r="5">
      <c r="A5" s="17" t="s">
        <v>40</v>
      </c>
      <c r="B5" s="33" t="s">
        <v>41</v>
      </c>
      <c r="C5" s="19">
        <v>14.0</v>
      </c>
      <c r="D5" s="34" t="str">
        <f>if(   iserror(offset(PADRON!B$2,match(C:C,PADRON!A$2:A1405,0)-1,0,1,1) )  ,  ,    offset(PADRON!B$2,match(C:C,PADRON!A$2:A1405,0)-1,0,1,1))</f>
        <v>CABRERA, RICARDO JORGE</v>
      </c>
      <c r="E5" s="22">
        <v>45809.0</v>
      </c>
      <c r="F5" s="22">
        <v>45870.0</v>
      </c>
      <c r="G5" s="23" t="s">
        <v>39</v>
      </c>
      <c r="H5" s="35">
        <f>IF( ISERROR( OFFSET(   'Cuadro tarifario'!D$2  , MATCH(CONCATENATE(                 IF(F5&gt;Mes,OFFSET(NroCT!B$17, MATCH($F5,NroCT!$A$18:$A1405,0),0,1,1),Periodovigente)                                                                                                                     ,A5) ,'Cuadro tarifario'!A$2:A1405,0) -1 , 0 , 1 , 1) )   , 0  ,   OFFSET(   'Cuadro tarifario'!D$2  , MATCH(CONCATENATE( IF(F5&gt;Mes,OFFSET(NroCT!B$17, MATCH($F5,NroCT!$A$18:$A1405,0),0,1,1),Periodovigente) ,A5) ,'Cuadro tarifario'!A$2:A1405,0) -1 , 0 , 1 , 1))</f>
        <v>12000</v>
      </c>
      <c r="I5" s="36">
        <f t="shared" ref="I5:I6" si="6">Int(If(F5,DAYS360(          date(Year(E5),Month(E5),1),         date(Year(F5)     ,      Month(F5),1 )    )            /30,0 ))</f>
        <v>2</v>
      </c>
      <c r="J5" s="37">
        <f t="shared" si="5"/>
        <v>24000</v>
      </c>
      <c r="K5" s="38">
        <f>if(  and(N5&gt;0,I5=0)          ,N5 ,                         If(  If( F5 ,  DAYS360(date(year(F5),month(F5),1),Mes)/30  ,  DAYS360(date(year(E5),month(E5),1),Mes)/30  )  &gt;  0 , If(F5,   DAYS360(date(year(F5),month(F5),1),Mes)/30  ,  DAYS360(date(year(E5),month(E5),1),Mes)/30) , 0)       )</f>
        <v>0</v>
      </c>
      <c r="L5" s="39">
        <f t="shared" ref="L5:L6" si="7">If(Iserror(K:K*H:H)   ,  0   ,   K:K*H:H)</f>
        <v>0</v>
      </c>
      <c r="M5" s="40"/>
      <c r="N5" s="29">
        <f>IF( ISERROR(OFFSET(SECUESTRADOS!D$1,MATCH(B5,SECUESTRADOS!A$2:A1405,0),0)) ,0 ,  OFFSET(SECUESTRADOS!D$1,MATCH(B5,SECUESTRADOS!A$2:A1405,0),0)  )</f>
        <v>0</v>
      </c>
      <c r="O5" s="30"/>
      <c r="P5" s="17" t="str">
        <f t="shared" si="3"/>
        <v>cuna windsurf</v>
      </c>
      <c r="Q5" s="17" t="str">
        <f t="shared" si="4"/>
        <v/>
      </c>
      <c r="R5" s="31"/>
      <c r="S5" s="31"/>
      <c r="T5" s="31"/>
    </row>
    <row r="6">
      <c r="A6" s="17" t="s">
        <v>42</v>
      </c>
      <c r="B6" s="41" t="s">
        <v>43</v>
      </c>
      <c r="C6" s="19">
        <v>14.0</v>
      </c>
      <c r="D6" s="34" t="str">
        <f>if(   iserror(offset(PADRON!B$2,match(C:C,PADRON!A$2:A1405,0)-1,0,1,1) )  ,  ,    offset(PADRON!B$2,match(C:C,PADRON!A$2:A1405,0)-1,0,1,1))</f>
        <v>CABRERA, RICARDO JORGE</v>
      </c>
      <c r="E6" s="22">
        <v>45992.0</v>
      </c>
      <c r="F6" s="22"/>
      <c r="G6" s="23" t="s">
        <v>39</v>
      </c>
      <c r="H6" s="35">
        <f>IF( ISERROR( OFFSET(   'Cuadro tarifario'!D$2  , MATCH(CONCATENATE(                 IF(F6&gt;Mes,OFFSET(NroCT!B$17, MATCH($F6,NroCT!$A$18:$A1405,0),0,1,1),Periodovigente)                                                                                                                     ,A6) ,'Cuadro tarifario'!A$2:A1405,0) -1 , 0 , 1 , 1) )   , 0  ,   OFFSET(   'Cuadro tarifario'!D$2  , MATCH(CONCATENATE( IF(F6&gt;Mes,OFFSET(NroCT!B$17, MATCH($F6,NroCT!$A$18:$A1405,0),0,1,1),Periodovigente) ,A6) ,'Cuadro tarifario'!A$2:A1405,0) -1 , 0 , 1 , 1))</f>
        <v>4000</v>
      </c>
      <c r="I6" s="36">
        <f t="shared" si="6"/>
        <v>0</v>
      </c>
      <c r="J6" s="37">
        <f t="shared" si="5"/>
        <v>0</v>
      </c>
      <c r="K6" s="38">
        <f>if(  and(N6&gt;0,I6=0)          ,N6 ,                         If(  If( F6 ,  DAYS360(date(year(F6),month(F6),1),Mes)/30  ,  DAYS360(date(year(E6),month(E6),1),Mes)/30  )  &gt;  0 , If(F6,   DAYS360(date(year(F6),month(F6),1),Mes)/30  ,  DAYS360(date(year(E6),month(E6),1),Mes)/30) , 0)       )</f>
        <v>0</v>
      </c>
      <c r="L6" s="39">
        <f t="shared" si="7"/>
        <v>0</v>
      </c>
      <c r="M6" s="40"/>
      <c r="N6" s="29">
        <f>IF( ISERROR(OFFSET(SECUESTRADOS!D$1,MATCH(B6,SECUESTRADOS!A$2:A1405,0),0)) ,0 ,  OFFSET(SECUESTRADOS!D$1,MATCH(B6,SECUESTRADOS!A$2:A1405,0),0)  )</f>
        <v>0</v>
      </c>
      <c r="O6" s="30"/>
      <c r="P6" s="17" t="b">
        <f t="shared" si="3"/>
        <v>0</v>
      </c>
      <c r="Q6" s="17" t="str">
        <f t="shared" si="4"/>
        <v/>
      </c>
      <c r="R6" s="31"/>
      <c r="S6" s="31"/>
      <c r="T6" s="31"/>
    </row>
    <row r="7">
      <c r="A7" s="17" t="s">
        <v>38</v>
      </c>
      <c r="B7" s="18">
        <v>45.0</v>
      </c>
      <c r="C7" s="19">
        <v>45.0</v>
      </c>
      <c r="D7" s="20" t="str">
        <f>IF(   ISERROR(OFFSET(PADRON!B$2,MATCH(C:C,PADRON!A$2:A1405,0)-1,0,1,1) )  ,  ,    OFFSET(PADRON!B$2,MATCH(C:C,PADRON!A$2:A1405,0)-1,0,1,1))</f>
        <v>MANDRINI, LEOPOLDO</v>
      </c>
      <c r="E7" s="21">
        <v>45839.0</v>
      </c>
      <c r="F7" s="21">
        <v>45870.0</v>
      </c>
      <c r="G7" s="23" t="s">
        <v>39</v>
      </c>
      <c r="H7" s="24">
        <f>IF( ISERROR( OFFSET(   'Cuadro tarifario'!D$2  , MATCH(CONCATENATE(                 IF(F7&gt;Mes,OFFSET(NroCT!B$17, MATCH($F7,NroCT!$A$18:$A1405,0),0,1,1),Periodovigente)                                                                                                                     ,A7) ,'Cuadro tarifario'!A$2:A1405,0) -1 , 0 , 1 , 1) )   , 0  ,   OFFSET(   'Cuadro tarifario'!D$2  , MATCH(CONCATENATE( IF(F7&gt;Mes,OFFSET(NroCT!B$17, MATCH($F7,NroCT!$A$18:$A1405,0),0,1,1),Periodovigente) ,A7) ,'Cuadro tarifario'!A$2:A1405,0) -1 , 0 , 1 , 1))</f>
        <v>9000</v>
      </c>
      <c r="I7" s="25">
        <f>INT(IF(F7,DAYS360(          DATE(YEAR(E7),MONTH(E7),1),         DATE(YEAR(F7)     ,      MONTH(F7),1 )    )            /30,0 ))</f>
        <v>1</v>
      </c>
      <c r="J7" s="24">
        <f t="shared" si="5"/>
        <v>9000</v>
      </c>
      <c r="K7" s="26">
        <f>IF(  AND(N7&gt;0,I7=0)          ,N7 ,                         IF(  IF( F7 ,  DAYS360(DATE(YEAR(F7),MONTH(F7),1),Mes)/30  ,  DAYS360(DATE(YEAR(E7),MONTH(E7),1),Mes)/30  )  &gt;  0 , IF(F7,   DAYS360(DATE(YEAR(F7),MONTH(F7),1),Mes)/30  ,  DAYS360(DATE(YEAR(E7),MONTH(E7),1),Mes)/30) , 0)       )</f>
        <v>0</v>
      </c>
      <c r="L7" s="27">
        <f>IF(ISERROR(K:K*H:H)   ,  0   ,   K:K*H:H)</f>
        <v>0</v>
      </c>
      <c r="M7" s="28"/>
      <c r="N7" s="29">
        <f>IF( ISERROR(OFFSET(SECUESTRADOS!D$1,MATCH(B7,SECUESTRADOS!A$2:A1405,0),0)) ,0 ,  OFFSET(SECUESTRADOS!D$1,MATCH(B7,SECUESTRADOS!A$2:A1405,0),0)  )</f>
        <v>0</v>
      </c>
      <c r="O7" s="30"/>
      <c r="P7" s="17" t="str">
        <f t="shared" si="3"/>
        <v>Bono canon</v>
      </c>
      <c r="Q7" s="17" t="str">
        <f>IF(AND(A7=#REF!,B7=#REF!,C7=#REF!),"Repetido","")</f>
        <v>#REF!</v>
      </c>
      <c r="R7" s="31"/>
      <c r="S7" s="31"/>
      <c r="T7" s="31"/>
    </row>
    <row r="8">
      <c r="A8" s="17" t="s">
        <v>40</v>
      </c>
      <c r="B8" s="33" t="s">
        <v>44</v>
      </c>
      <c r="C8" s="19">
        <v>45.0</v>
      </c>
      <c r="D8" s="34" t="str">
        <f>if(   iserror(offset(PADRON!B$2,match(C:C,PADRON!A$2:A1405,0)-1,0,1,1) )  ,  ,    offset(PADRON!B$2,match(C:C,PADRON!A$2:A1405,0)-1,0,1,1))</f>
        <v>MANDRINI, LEOPOLDO</v>
      </c>
      <c r="E8" s="22">
        <v>45839.0</v>
      </c>
      <c r="F8" s="22">
        <v>45870.0</v>
      </c>
      <c r="G8" s="23" t="s">
        <v>39</v>
      </c>
      <c r="H8" s="35">
        <f>IF( ISERROR( OFFSET(   'Cuadro tarifario'!D$2  , MATCH(CONCATENATE(                 IF(F8&gt;Mes,OFFSET(NroCT!B$17, MATCH($F8,NroCT!$A$18:$A1405,0),0,1,1),Periodovigente)                                                                                                                     ,A8) ,'Cuadro tarifario'!A$2:A1405,0) -1 , 0 , 1 , 1) )   , 0  ,   OFFSET(   'Cuadro tarifario'!D$2  , MATCH(CONCATENATE( IF(F8&gt;Mes,OFFSET(NroCT!B$17, MATCH($F8,NroCT!$A$18:$A1405,0),0,1,1),Periodovigente) ,A8) ,'Cuadro tarifario'!A$2:A1405,0) -1 , 0 , 1 , 1))</f>
        <v>12000</v>
      </c>
      <c r="I8" s="36">
        <f t="shared" ref="I8:I12" si="8">Int(If(F8,DAYS360(          date(Year(E8),Month(E8),1),         date(Year(F8)     ,      Month(F8),1 )    )            /30,0 ))</f>
        <v>1</v>
      </c>
      <c r="J8" s="37">
        <f t="shared" si="5"/>
        <v>12000</v>
      </c>
      <c r="K8" s="38">
        <f>if(  and(N8&gt;0,I8=0)          ,N8 ,                         If(  If( F8 ,  DAYS360(date(year(F8),month(F8),1),Mes)/30  ,  DAYS360(date(year(E8),month(E8),1),Mes)/30  )  &gt;  0 , If(F8,   DAYS360(date(year(F8),month(F8),1),Mes)/30  ,  DAYS360(date(year(E8),month(E8),1),Mes)/30) , 0)       )</f>
        <v>0</v>
      </c>
      <c r="L8" s="39">
        <f t="shared" ref="L8:L12" si="9">If(Iserror(K:K*H:H)   ,  0   ,   K:K*H:H)</f>
        <v>0</v>
      </c>
      <c r="M8" s="40"/>
      <c r="N8" s="29">
        <f>IF( ISERROR(OFFSET(SECUESTRADOS!D$1,MATCH(B8,SECUESTRADOS!A$2:A1405,0),0)) ,0 ,  OFFSET(SECUESTRADOS!D$1,MATCH(B8,SECUESTRADOS!A$2:A1405,0),0)  )</f>
        <v>0</v>
      </c>
      <c r="O8" s="30"/>
      <c r="P8" s="17" t="str">
        <f t="shared" si="3"/>
        <v>cuna windsurf</v>
      </c>
      <c r="Q8" s="17" t="str">
        <f t="shared" ref="Q8:Q12" si="10">IF(AND(A8=A7,B8=B7,C8=C7),"Repetido","")</f>
        <v/>
      </c>
      <c r="R8" s="31"/>
      <c r="S8" s="31"/>
      <c r="T8" s="31"/>
    </row>
    <row r="9">
      <c r="A9" s="17" t="s">
        <v>40</v>
      </c>
      <c r="B9" s="42" t="s">
        <v>45</v>
      </c>
      <c r="C9" s="19">
        <v>45.0</v>
      </c>
      <c r="D9" s="34" t="str">
        <f>if(   iserror(offset(PADRON!B$2,match(C:C,PADRON!A$2:A1405,0)-1,0,1,1) )  ,  ,    offset(PADRON!B$2,match(C:C,PADRON!A$2:A1405,0)-1,0,1,1))</f>
        <v>MANDRINI, LEOPOLDO</v>
      </c>
      <c r="E9" s="22">
        <v>45839.0</v>
      </c>
      <c r="F9" s="22">
        <v>45870.0</v>
      </c>
      <c r="G9" s="23" t="s">
        <v>39</v>
      </c>
      <c r="H9" s="35">
        <f>IF( ISERROR( OFFSET(   'Cuadro tarifario'!D$2  , MATCH(CONCATENATE(                 IF(F9&gt;Mes,OFFSET(NroCT!B$17, MATCH($F9,NroCT!$A$18:$A1405,0),0,1,1),Periodovigente)                                                                                                                     ,A9) ,'Cuadro tarifario'!A$2:A1405,0) -1 , 0 , 1 , 1) )   , 0  ,   OFFSET(   'Cuadro tarifario'!D$2  , MATCH(CONCATENATE( IF(F9&gt;Mes,OFFSET(NroCT!B$17, MATCH($F9,NroCT!$A$18:$A1405,0),0,1,1),Periodovigente) ,A9) ,'Cuadro tarifario'!A$2:A1405,0) -1 , 0 , 1 , 1))</f>
        <v>12000</v>
      </c>
      <c r="I9" s="36">
        <f t="shared" si="8"/>
        <v>1</v>
      </c>
      <c r="J9" s="37">
        <f t="shared" si="5"/>
        <v>12000</v>
      </c>
      <c r="K9" s="38">
        <f>if(  and(N9&gt;0,I9=0)          ,N9 ,                         If(  If( F9 ,  DAYS360(date(year(F9),month(F9),1),Mes)/30  ,  DAYS360(date(year(E9),month(E9),1),Mes)/30  )  &gt;  0 , If(F9,   DAYS360(date(year(F9),month(F9),1),Mes)/30  ,  DAYS360(date(year(E9),month(E9),1),Mes)/30) , 0)       )</f>
        <v>0</v>
      </c>
      <c r="L9" s="39">
        <f t="shared" si="9"/>
        <v>0</v>
      </c>
      <c r="M9" s="40"/>
      <c r="N9" s="29">
        <f>IF( ISERROR(OFFSET(SECUESTRADOS!D$1,MATCH(B9,SECUESTRADOS!A$2:A1405,0),0)) ,0 ,  OFFSET(SECUESTRADOS!D$1,MATCH(B9,SECUESTRADOS!A$2:A1405,0),0)  )</f>
        <v>0</v>
      </c>
      <c r="O9" s="30"/>
      <c r="P9" s="17" t="str">
        <f t="shared" si="3"/>
        <v>cuna windsurf</v>
      </c>
      <c r="Q9" s="17" t="str">
        <f t="shared" si="10"/>
        <v/>
      </c>
      <c r="R9" s="31"/>
      <c r="S9" s="31"/>
      <c r="T9" s="31"/>
    </row>
    <row r="10">
      <c r="A10" s="17" t="s">
        <v>40</v>
      </c>
      <c r="B10" s="42" t="s">
        <v>46</v>
      </c>
      <c r="C10" s="19">
        <v>45.0</v>
      </c>
      <c r="D10" s="34" t="str">
        <f>if(   iserror(offset(PADRON!B$2,match(C:C,PADRON!A$2:A1405,0)-1,0,1,1) )  ,  ,    offset(PADRON!B$2,match(C:C,PADRON!A$2:A1405,0)-1,0,1,1))</f>
        <v>MANDRINI, LEOPOLDO</v>
      </c>
      <c r="E10" s="22">
        <v>45839.0</v>
      </c>
      <c r="F10" s="22">
        <v>45870.0</v>
      </c>
      <c r="G10" s="23" t="s">
        <v>39</v>
      </c>
      <c r="H10" s="35">
        <f>IF( ISERROR( OFFSET(   'Cuadro tarifario'!D$2  , MATCH(CONCATENATE(                 IF(F10&gt;Mes,OFFSET(NroCT!B$17, MATCH($F10,NroCT!$A$18:$A1405,0),0,1,1),Periodovigente)                                                                                                                     ,A10) ,'Cuadro tarifario'!A$2:A1405,0) -1 , 0 , 1 , 1) )   , 0  ,   OFFSET(   'Cuadro tarifario'!D$2  , MATCH(CONCATENATE( IF(F10&gt;Mes,OFFSET(NroCT!B$17, MATCH($F10,NroCT!$A$18:$A1405,0),0,1,1),Periodovigente) ,A10) ,'Cuadro tarifario'!A$2:A1405,0) -1 , 0 , 1 , 1))</f>
        <v>12000</v>
      </c>
      <c r="I10" s="36">
        <f t="shared" si="8"/>
        <v>1</v>
      </c>
      <c r="J10" s="37">
        <f t="shared" si="5"/>
        <v>12000</v>
      </c>
      <c r="K10" s="38">
        <f>if(  and(N10&gt;0,I10=0)          ,N10 ,                         If(  If( F10 ,  DAYS360(date(year(F10),month(F10),1),Mes)/30  ,  DAYS360(date(year(E10),month(E10),1),Mes)/30  )  &gt;  0 , If(F10,   DAYS360(date(year(F10),month(F10),1),Mes)/30  ,  DAYS360(date(year(E10),month(E10),1),Mes)/30) , 0)       )</f>
        <v>0</v>
      </c>
      <c r="L10" s="39">
        <f t="shared" si="9"/>
        <v>0</v>
      </c>
      <c r="M10" s="40"/>
      <c r="N10" s="29">
        <f>IF( ISERROR(OFFSET(SECUESTRADOS!D$1,MATCH(B10,SECUESTRADOS!A$2:A1405,0),0)) ,0 ,  OFFSET(SECUESTRADOS!D$1,MATCH(B10,SECUESTRADOS!A$2:A1405,0),0)  )</f>
        <v>0</v>
      </c>
      <c r="O10" s="30"/>
      <c r="P10" s="17" t="str">
        <f t="shared" si="3"/>
        <v>cuna windsurf</v>
      </c>
      <c r="Q10" s="17" t="str">
        <f t="shared" si="10"/>
        <v/>
      </c>
      <c r="R10" s="31"/>
      <c r="S10" s="31"/>
      <c r="T10" s="31"/>
    </row>
    <row r="11">
      <c r="A11" s="17" t="s">
        <v>40</v>
      </c>
      <c r="B11" s="42" t="s">
        <v>47</v>
      </c>
      <c r="C11" s="19">
        <v>45.0</v>
      </c>
      <c r="D11" s="34" t="str">
        <f>if(   iserror(offset(PADRON!B$2,match(C:C,PADRON!A$2:A1405,0)-1,0,1,1) )  ,  ,    offset(PADRON!B$2,match(C:C,PADRON!A$2:A1405,0)-1,0,1,1))</f>
        <v>MANDRINI, LEOPOLDO</v>
      </c>
      <c r="E11" s="22">
        <v>45839.0</v>
      </c>
      <c r="F11" s="22">
        <v>45870.0</v>
      </c>
      <c r="G11" s="23" t="s">
        <v>39</v>
      </c>
      <c r="H11" s="35">
        <f>IF( ISERROR( OFFSET(   'Cuadro tarifario'!D$2  , MATCH(CONCATENATE(                 IF(F11&gt;Mes,OFFSET(NroCT!B$17, MATCH($F11,NroCT!$A$18:$A1405,0),0,1,1),Periodovigente)                                                                                                                     ,A11) ,'Cuadro tarifario'!A$2:A1405,0) -1 , 0 , 1 , 1) )   , 0  ,   OFFSET(   'Cuadro tarifario'!D$2  , MATCH(CONCATENATE( IF(F11&gt;Mes,OFFSET(NroCT!B$17, MATCH($F11,NroCT!$A$18:$A1405,0),0,1,1),Periodovigente) ,A11) ,'Cuadro tarifario'!A$2:A1405,0) -1 , 0 , 1 , 1))</f>
        <v>12000</v>
      </c>
      <c r="I11" s="36">
        <f t="shared" si="8"/>
        <v>1</v>
      </c>
      <c r="J11" s="37">
        <f t="shared" si="5"/>
        <v>12000</v>
      </c>
      <c r="K11" s="38">
        <f>if(  and(N11&gt;0,I11=0)          ,N11 ,                         If(  If( F11 ,  DAYS360(date(year(F11),month(F11),1),Mes)/30  ,  DAYS360(date(year(E11),month(E11),1),Mes)/30  )  &gt;  0 , If(F11,   DAYS360(date(year(F11),month(F11),1),Mes)/30  ,  DAYS360(date(year(E11),month(E11),1),Mes)/30) , 0)       )</f>
        <v>0</v>
      </c>
      <c r="L11" s="39">
        <f t="shared" si="9"/>
        <v>0</v>
      </c>
      <c r="M11" s="40"/>
      <c r="N11" s="29">
        <f>IF( ISERROR(OFFSET(SECUESTRADOS!D$1,MATCH(B11,SECUESTRADOS!A$2:A1405,0),0)) ,0 ,  OFFSET(SECUESTRADOS!D$1,MATCH(B11,SECUESTRADOS!A$2:A1405,0),0)  )</f>
        <v>0</v>
      </c>
      <c r="O11" s="30"/>
      <c r="P11" s="17" t="str">
        <f t="shared" si="3"/>
        <v>cuna windsurf</v>
      </c>
      <c r="Q11" s="17" t="str">
        <f t="shared" si="10"/>
        <v/>
      </c>
      <c r="R11" s="31"/>
      <c r="S11" s="31"/>
      <c r="T11" s="31"/>
    </row>
    <row r="12">
      <c r="A12" s="18" t="s">
        <v>48</v>
      </c>
      <c r="B12" s="42" t="s">
        <v>49</v>
      </c>
      <c r="C12" s="19">
        <v>45.0</v>
      </c>
      <c r="D12" s="34" t="str">
        <f>if(   iserror(offset(PADRON!B$2,match(C:C,PADRON!A$2:A1405,0)-1,0,1,1) )  ,  ,    offset(PADRON!B$2,match(C:C,PADRON!A$2:A1405,0)-1,0,1,1))</f>
        <v>MANDRINI, LEOPOLDO</v>
      </c>
      <c r="E12" s="22">
        <v>45839.0</v>
      </c>
      <c r="F12" s="22">
        <v>45870.0</v>
      </c>
      <c r="G12" s="23" t="s">
        <v>39</v>
      </c>
      <c r="H12" s="35">
        <f>IF( ISERROR( OFFSET(   'Cuadro tarifario'!D$2  , MATCH(CONCATENATE(                 IF(F12&gt;Mes,OFFSET(NroCT!B$17, MATCH($F12,NroCT!$A$18:$A1405,0),0,1,1),Periodovigente)                                                                                                                     ,A12) ,'Cuadro tarifario'!A$2:A1405,0) -1 , 0 , 1 , 1) )   , 0  ,   OFFSET(   'Cuadro tarifario'!D$2  , MATCH(CONCATENATE( IF(F12&gt;Mes,OFFSET(NroCT!B$17, MATCH($F12,NroCT!$A$18:$A1405,0),0,1,1),Periodovigente) ,A12) ,'Cuadro tarifario'!A$2:A1405,0) -1 , 0 , 1 , 1))</f>
        <v>12000</v>
      </c>
      <c r="I12" s="36">
        <f t="shared" si="8"/>
        <v>1</v>
      </c>
      <c r="J12" s="37">
        <f t="shared" si="5"/>
        <v>12000</v>
      </c>
      <c r="K12" s="38">
        <f>if(  and(N12&gt;0,I12=0)          ,N12 ,                         If(  If( F12 ,  DAYS360(date(year(F12),month(F12),1),Mes)/30  ,  DAYS360(date(year(E12),month(E12),1),Mes)/30  )  &gt;  0 , If(F12,   DAYS360(date(year(F12),month(F12),1),Mes)/30  ,  DAYS360(date(year(E12),month(E12),1),Mes)/30) , 0)       )</f>
        <v>0</v>
      </c>
      <c r="L12" s="39">
        <f t="shared" si="9"/>
        <v>0</v>
      </c>
      <c r="M12" s="40"/>
      <c r="N12" s="29">
        <f>IF( ISERROR(OFFSET(SECUESTRADOS!D$1,MATCH(B12,SECUESTRADOS!A$2:A1405,0),0)) ,0 ,  OFFSET(SECUESTRADOS!D$1,MATCH(B12,SECUESTRADOS!A$2:A1405,0),0)  )</f>
        <v>0</v>
      </c>
      <c r="O12" s="30"/>
      <c r="P12" s="17" t="str">
        <f t="shared" si="3"/>
        <v>velero</v>
      </c>
      <c r="Q12" s="17" t="str">
        <f t="shared" si="10"/>
        <v/>
      </c>
      <c r="R12" s="31"/>
      <c r="S12" s="31"/>
      <c r="T12" s="31"/>
    </row>
    <row r="13">
      <c r="A13" s="17" t="s">
        <v>50</v>
      </c>
      <c r="B13" s="43" t="s">
        <v>51</v>
      </c>
      <c r="C13" s="19">
        <v>45.0</v>
      </c>
      <c r="D13" s="44" t="str">
        <f>IF(   ISERROR(OFFSET(PADRON!B$2,MATCH(C:C,PADRON!A$2:A1405,0)-1,0,1,1) )  ,  ,    OFFSET(PADRON!B$2,MATCH(C:C,PADRON!A$2:A1405,0)-1,0,1,1))</f>
        <v>MANDRINI, LEOPOLDO</v>
      </c>
      <c r="E13" s="45">
        <v>45992.0</v>
      </c>
      <c r="F13" s="22"/>
      <c r="G13" s="23" t="s">
        <v>39</v>
      </c>
      <c r="H13" s="24">
        <f>IF( ISERROR( OFFSET(   'Cuadro tarifario'!D$2  , MATCH(CONCATENATE(                 IF(F13&gt;Mes,OFFSET(NroCT!B$17, MATCH($F13,NroCT!$A$18:$A1405,0),0,1,1),Periodovigente)                                                                                                                     ,A13) ,'Cuadro tarifario'!A$2:A1405,0) -1 , 0 , 1 , 1) )   , 0  ,   OFFSET(   'Cuadro tarifario'!D$2  , MATCH(CONCATENATE( IF(F13&gt;Mes,OFFSET(NroCT!B$17, MATCH($F13,NroCT!$A$18:$A1405,0),0,1,1),Periodovigente) ,A13) ,'Cuadro tarifario'!A$2:A1405,0) -1 , 0 , 1 , 1))</f>
        <v>3600</v>
      </c>
      <c r="I13" s="46">
        <f>INT(IF(F13,DAYS360(          DATE(YEAR(E13),MONTH(E13),1),         DATE(YEAR(F13)     ,      MONTH(F13),1 )    )            /30,0 ))</f>
        <v>0</v>
      </c>
      <c r="J13" s="47">
        <f t="shared" si="5"/>
        <v>0</v>
      </c>
      <c r="K13" s="48">
        <f>IF(  AND(N13&gt;0,I13=0)          ,N13 ,                         IF(  IF( F13 ,  DAYS360(DATE(YEAR(F13),MONTH(F13),1),Mes)/30  ,  DAYS360(DATE(YEAR(E13),MONTH(E13),1),Mes)/30  )  &gt;  0 , IF(F13,   DAYS360(DATE(YEAR(F13),MONTH(F13),1),Mes)/30  ,  DAYS360(DATE(YEAR(E13),MONTH(E13),1),Mes)/30) , 0)       )</f>
        <v>0</v>
      </c>
      <c r="L13" s="49">
        <f>IF(ISERROR(K:K*H:H)   ,  0   ,   K:K*H:H)</f>
        <v>0</v>
      </c>
      <c r="M13" s="50"/>
      <c r="N13" s="29">
        <f>IF( ISERROR(OFFSET(SECUESTRADOS!D$1,MATCH(B13,SECUESTRADOS!A$2:A1405,0),0)) ,0 ,  OFFSET(SECUESTRADOS!D$1,MATCH(B13,SECUESTRADOS!A$2:A1405,0),0)  )</f>
        <v>0</v>
      </c>
      <c r="O13" s="30"/>
      <c r="P13" s="17" t="b">
        <f t="shared" si="3"/>
        <v>0</v>
      </c>
      <c r="Q13" s="17" t="str">
        <f>IF(AND(A13=A9,B13=B9,C13=C9),"Repetido","")</f>
        <v/>
      </c>
      <c r="R13" s="31"/>
      <c r="S13" s="31"/>
      <c r="T13" s="31"/>
    </row>
    <row r="14">
      <c r="A14" s="17" t="s">
        <v>52</v>
      </c>
      <c r="B14" s="42" t="s">
        <v>53</v>
      </c>
      <c r="C14" s="19">
        <v>45.0</v>
      </c>
      <c r="D14" s="34" t="str">
        <f>if(   iserror(offset(PADRON!B$2,match(C:C,PADRON!A$2:A1405,0)-1,0,1,1) )  ,  ,    offset(PADRON!B$2,match(C:C,PADRON!A$2:A1405,0)-1,0,1,1))</f>
        <v>MANDRINI, LEOPOLDO</v>
      </c>
      <c r="E14" s="22">
        <v>45992.0</v>
      </c>
      <c r="F14" s="22"/>
      <c r="G14" s="23" t="s">
        <v>39</v>
      </c>
      <c r="H14" s="35">
        <f>IF( ISERROR( OFFSET(   'Cuadro tarifario'!D$2  , MATCH(CONCATENATE(                 IF(F14&gt;Mes,OFFSET(NroCT!B$17, MATCH($F14,NroCT!$A$18:$A1405,0),0,1,1),Periodovigente)                                                                                                                     ,A14) ,'Cuadro tarifario'!A$2:A1405,0) -1 , 0 , 1 , 1) )   , 0  ,   OFFSET(   'Cuadro tarifario'!D$2  , MATCH(CONCATENATE( IF(F14&gt;Mes,OFFSET(NroCT!B$17, MATCH($F14,NroCT!$A$18:$A1405,0),0,1,1),Periodovigente) ,A14) ,'Cuadro tarifario'!A$2:A1405,0) -1 , 0 , 1 , 1))</f>
        <v>4000</v>
      </c>
      <c r="I14" s="36">
        <f t="shared" ref="I14:I15" si="11">Int(If(F14,DAYS360(          date(Year(E14),Month(E14),1),         date(Year(F14)     ,      Month(F14),1 )    )            /30,0 ))</f>
        <v>0</v>
      </c>
      <c r="J14" s="37">
        <f t="shared" si="5"/>
        <v>0</v>
      </c>
      <c r="K14" s="38">
        <f>if(  and(N14&gt;0,I14=0)          ,N14 ,                         If(  If( F14 ,  DAYS360(date(year(F14),month(F14),1),Mes)/30  ,  DAYS360(date(year(E14),month(E14),1),Mes)/30  )  &gt;  0 , If(F14,   DAYS360(date(year(F14),month(F14),1),Mes)/30  ,  DAYS360(date(year(E14),month(E14),1),Mes)/30) , 0)       )</f>
        <v>0</v>
      </c>
      <c r="L14" s="39">
        <f t="shared" ref="L14:L15" si="12">If(Iserror(K:K*H:H)   ,  0   ,   K:K*H:H)</f>
        <v>0</v>
      </c>
      <c r="M14" s="40"/>
      <c r="N14" s="29">
        <f>IF( ISERROR(OFFSET(SECUESTRADOS!D$1,MATCH(B14,SECUESTRADOS!A$2:A1405,0),0)) ,0 ,  OFFSET(SECUESTRADOS!D$1,MATCH(B14,SECUESTRADOS!A$2:A1405,0),0)  )</f>
        <v>0</v>
      </c>
      <c r="O14" s="30"/>
      <c r="P14" s="17" t="b">
        <f t="shared" si="3"/>
        <v>0</v>
      </c>
      <c r="Q14" s="17" t="str">
        <f t="shared" ref="Q14:Q15" si="13">IF(AND(A14=A13,B14=B13,C14=C13),"Repetido","")</f>
        <v/>
      </c>
      <c r="R14" s="31"/>
      <c r="S14" s="31"/>
      <c r="T14" s="31"/>
    </row>
    <row r="15">
      <c r="A15" s="18" t="s">
        <v>50</v>
      </c>
      <c r="B15" s="42" t="s">
        <v>54</v>
      </c>
      <c r="C15" s="19">
        <v>45.0</v>
      </c>
      <c r="D15" s="34" t="str">
        <f>if(   iserror(offset(PADRON!B$2,match(C:C,PADRON!A$2:A1405,0)-1,0,1,1) )  ,  ,    offset(PADRON!B$2,match(C:C,PADRON!A$2:A1405,0)-1,0,1,1))</f>
        <v>MANDRINI, LEOPOLDO</v>
      </c>
      <c r="E15" s="22">
        <v>45992.0</v>
      </c>
      <c r="F15" s="22"/>
      <c r="G15" s="23" t="s">
        <v>39</v>
      </c>
      <c r="H15" s="35">
        <f>IF( ISERROR( OFFSET(   'Cuadro tarifario'!D$2  , MATCH(CONCATENATE(                 IF(F15&gt;Mes,OFFSET(NroCT!B$17, MATCH($F15,NroCT!$A$18:$A1405,0),0,1,1),Periodovigente)                                                                                                                     ,A15) ,'Cuadro tarifario'!A$2:A1405,0) -1 , 0 , 1 , 1) )   , 0  ,   OFFSET(   'Cuadro tarifario'!D$2  , MATCH(CONCATENATE( IF(F15&gt;Mes,OFFSET(NroCT!B$17, MATCH($F15,NroCT!$A$18:$A1405,0),0,1,1),Periodovigente) ,A15) ,'Cuadro tarifario'!A$2:A1405,0) -1 , 0 , 1 , 1))</f>
        <v>3600</v>
      </c>
      <c r="I15" s="36">
        <f t="shared" si="11"/>
        <v>0</v>
      </c>
      <c r="J15" s="36"/>
      <c r="K15" s="38">
        <f>if(  and(N15&gt;0,I15=0)          ,N15 ,                         If(  If( F15 ,  DAYS360(date(year(F15),month(F15),1),Mes)/30  ,  DAYS360(date(year(E15),month(E15),1),Mes)/30  )  &gt;  0 , If(F15,   DAYS360(date(year(F15),month(F15),1),Mes)/30  ,  DAYS360(date(year(E15),month(E15),1),Mes)/30) , 0)       )</f>
        <v>0</v>
      </c>
      <c r="L15" s="39">
        <f t="shared" si="12"/>
        <v>0</v>
      </c>
      <c r="M15" s="40" t="s">
        <v>55</v>
      </c>
      <c r="N15" s="29">
        <f>IF( ISERROR(OFFSET(SECUESTRADOS!D$1,MATCH(B15,SECUESTRADOS!A$2:A1405,0),0)) ,0 ,  OFFSET(SECUESTRADOS!D$1,MATCH(B15,SECUESTRADOS!A$2:A1405,0),0)  )</f>
        <v>0</v>
      </c>
      <c r="O15" s="30"/>
      <c r="P15" s="17" t="b">
        <f t="shared" si="3"/>
        <v>0</v>
      </c>
      <c r="Q15" s="17" t="str">
        <f t="shared" si="13"/>
        <v/>
      </c>
      <c r="R15" s="31"/>
      <c r="S15" s="31"/>
      <c r="T15" s="31"/>
    </row>
    <row r="16">
      <c r="A16" s="17" t="s">
        <v>38</v>
      </c>
      <c r="B16" s="18">
        <v>52.0</v>
      </c>
      <c r="C16" s="19">
        <v>52.0</v>
      </c>
      <c r="D16" s="20" t="str">
        <f>IF(   ISERROR(OFFSET(PADRON!B$2,MATCH(C:C,PADRON!A$2:A1405,0)-1,0,1,1) )  ,  ,    OFFSET(PADRON!B$2,MATCH(C:C,PADRON!A$2:A1405,0)-1,0,1,1))</f>
        <v>VARRONE VALERIA</v>
      </c>
      <c r="E16" s="21">
        <v>45839.0</v>
      </c>
      <c r="F16" s="21">
        <v>45870.0</v>
      </c>
      <c r="G16" s="23" t="s">
        <v>56</v>
      </c>
      <c r="H16" s="24">
        <f>IF( ISERROR( OFFSET(   'Cuadro tarifario'!D$2  , MATCH(CONCATENATE(                 IF(F16&gt;Mes,OFFSET(NroCT!B$17, MATCH($F16,NroCT!$A$18:$A1405,0),0,1,1),Periodovigente)                                                                                                                     ,A16) ,'Cuadro tarifario'!A$2:A1405,0) -1 , 0 , 1 , 1) )   , 0  ,   OFFSET(   'Cuadro tarifario'!D$2  , MATCH(CONCATENATE( IF(F16&gt;Mes,OFFSET(NroCT!B$17, MATCH($F16,NroCT!$A$18:$A1405,0),0,1,1),Periodovigente) ,A16) ,'Cuadro tarifario'!A$2:A1405,0) -1 , 0 , 1 , 1))</f>
        <v>9000</v>
      </c>
      <c r="I16" s="25">
        <f t="shared" ref="I16:I17" si="14">INT(IF(F16,DAYS360(          DATE(YEAR(E16),MONTH(E16),1),         DATE(YEAR(F16)     ,      MONTH(F16),1 )    )            /30,0 ))</f>
        <v>1</v>
      </c>
      <c r="J16" s="24">
        <f t="shared" ref="J16:J74" si="15">I16*H16</f>
        <v>9000</v>
      </c>
      <c r="K16" s="26">
        <f>IF(  AND(N16&gt;0,I16=0)          ,N16 ,                         IF(  IF( F16 ,  DAYS360(DATE(YEAR(F16),MONTH(F16),1),Mes)/30  ,  DAYS360(DATE(YEAR(E16),MONTH(E16),1),Mes)/30  )  &gt;  0 , IF(F16,   DAYS360(DATE(YEAR(F16),MONTH(F16),1),Mes)/30  ,  DAYS360(DATE(YEAR(E16),MONTH(E16),1),Mes)/30) , 0)       )</f>
        <v>0</v>
      </c>
      <c r="L16" s="27">
        <f t="shared" ref="L16:L17" si="16">IF(ISERROR(K:K*H:H)   ,  0   ,   K:K*H:H)</f>
        <v>0</v>
      </c>
      <c r="M16" s="28"/>
      <c r="N16" s="29">
        <f>IF( ISERROR(OFFSET(SECUESTRADOS!D$1,MATCH(B16,SECUESTRADOS!A$2:A1405,0),0)) ,0 ,  OFFSET(SECUESTRADOS!D$1,MATCH(B16,SECUESTRADOS!A$2:A1405,0),0)  )</f>
        <v>0</v>
      </c>
      <c r="O16" s="30"/>
      <c r="P16" s="17" t="str">
        <f t="shared" si="3"/>
        <v>Bono canon</v>
      </c>
      <c r="Q16" s="17" t="str">
        <f>IF(AND(A16=A14,B16=B14,C16=C14),"Repetido","")</f>
        <v/>
      </c>
      <c r="R16" s="31"/>
      <c r="S16" s="31"/>
      <c r="T16" s="31"/>
    </row>
    <row r="17">
      <c r="A17" s="17" t="s">
        <v>38</v>
      </c>
      <c r="B17" s="18">
        <v>53.0</v>
      </c>
      <c r="C17" s="19">
        <v>53.0</v>
      </c>
      <c r="D17" s="20" t="str">
        <f>IF(   ISERROR(OFFSET(PADRON!B$2,MATCH(C:C,PADRON!A$2:A1405,0)-1,0,1,1) )  ,  ,    OFFSET(PADRON!B$2,MATCH(C:C,PADRON!A$2:A1405,0)-1,0,1,1))</f>
        <v>VARRONE LEONARDO</v>
      </c>
      <c r="E17" s="21">
        <v>45839.0</v>
      </c>
      <c r="F17" s="21">
        <v>45870.0</v>
      </c>
      <c r="G17" s="23" t="s">
        <v>56</v>
      </c>
      <c r="H17" s="24">
        <f>IF( ISERROR( OFFSET(   'Cuadro tarifario'!D$2  , MATCH(CONCATENATE(                 IF(F17&gt;Mes,OFFSET(NroCT!B$17, MATCH($F17,NroCT!$A$18:$A1405,0),0,1,1),Periodovigente)                                                                                                                     ,A17) ,'Cuadro tarifario'!A$2:A1405,0) -1 , 0 , 1 , 1) )   , 0  ,   OFFSET(   'Cuadro tarifario'!D$2  , MATCH(CONCATENATE( IF(F17&gt;Mes,OFFSET(NroCT!B$17, MATCH($F17,NroCT!$A$18:$A1405,0),0,1,1),Periodovigente) ,A17) ,'Cuadro tarifario'!A$2:A1405,0) -1 , 0 , 1 , 1))</f>
        <v>9000</v>
      </c>
      <c r="I17" s="25">
        <f t="shared" si="14"/>
        <v>1</v>
      </c>
      <c r="J17" s="24">
        <f t="shared" si="15"/>
        <v>9000</v>
      </c>
      <c r="K17" s="26">
        <f>IF(  AND(N17&gt;0,I17=0)          ,N17 ,                         IF(  IF( F17 ,  DAYS360(DATE(YEAR(F17),MONTH(F17),1),Mes)/30  ,  DAYS360(DATE(YEAR(E17),MONTH(E17),1),Mes)/30  )  &gt;  0 , IF(F17,   DAYS360(DATE(YEAR(F17),MONTH(F17),1),Mes)/30  ,  DAYS360(DATE(YEAR(E17),MONTH(E17),1),Mes)/30) , 0)       )</f>
        <v>0</v>
      </c>
      <c r="L17" s="27">
        <f t="shared" si="16"/>
        <v>0</v>
      </c>
      <c r="M17" s="28"/>
      <c r="N17" s="29">
        <f>IF( ISERROR(OFFSET(SECUESTRADOS!D$1,MATCH(B17,SECUESTRADOS!A$2:A1405,0),0)) ,0 ,  OFFSET(SECUESTRADOS!D$1,MATCH(B17,SECUESTRADOS!A$2:A1405,0),0)  )</f>
        <v>0</v>
      </c>
      <c r="O17" s="30"/>
      <c r="P17" s="17" t="str">
        <f t="shared" si="3"/>
        <v>Bono canon</v>
      </c>
      <c r="Q17" s="17" t="str">
        <f t="shared" ref="Q17:Q24" si="17">IF(AND(A17=A16,B17=B16,C17=C16),"Repetido","")</f>
        <v/>
      </c>
      <c r="R17" s="31"/>
      <c r="S17" s="31"/>
      <c r="T17" s="31"/>
    </row>
    <row r="18">
      <c r="A18" s="51" t="s">
        <v>48</v>
      </c>
      <c r="B18" s="51" t="s">
        <v>57</v>
      </c>
      <c r="C18" s="19">
        <v>53.0</v>
      </c>
      <c r="D18" s="34" t="str">
        <f>if(   iserror(offset(PADRON!B$2,match(C:C,PADRON!A$2:A1405,0)-1,0,1,1) )  ,  ,    offset(PADRON!B$2,match(C:C,PADRON!A$2:A1405,0)-1,0,1,1))</f>
        <v>VARRONE LEONARDO</v>
      </c>
      <c r="E18" s="22">
        <v>45839.0</v>
      </c>
      <c r="F18" s="22">
        <v>45870.0</v>
      </c>
      <c r="G18" s="23" t="s">
        <v>56</v>
      </c>
      <c r="H18" s="35">
        <f>IF( ISERROR( OFFSET(   'Cuadro tarifario'!D$2  , MATCH(CONCATENATE(                 IF(F18&gt;Mes,OFFSET(NroCT!B$17, MATCH($F18,NroCT!$A$18:$A1405,0),0,1,1),Periodovigente)                                                                                                                     ,A18) ,'Cuadro tarifario'!A$2:A1405,0) -1 , 0 , 1 , 1) )   , 0  ,   OFFSET(   'Cuadro tarifario'!D$2  , MATCH(CONCATENATE( IF(F18&gt;Mes,OFFSET(NroCT!B$17, MATCH($F18,NroCT!$A$18:$A1405,0),0,1,1),Periodovigente) ,A18) ,'Cuadro tarifario'!A$2:A1405,0) -1 , 0 , 1 , 1))</f>
        <v>12000</v>
      </c>
      <c r="I18" s="36">
        <f>Int(If(F18,DAYS360(          date(Year(E18),Month(E18),1),         date(Year(F18)     ,      Month(F18),1 )    )            /30,0 ))</f>
        <v>1</v>
      </c>
      <c r="J18" s="37">
        <f t="shared" si="15"/>
        <v>12000</v>
      </c>
      <c r="K18" s="38">
        <f>if(  and(N18&gt;0,I18=0)          ,N18 ,                         If(  If( F18 ,  DAYS360(date(year(F18),month(F18),1),Mes)/30  ,  DAYS360(date(year(E18),month(E18),1),Mes)/30  )  &gt;  0 , If(F18,   DAYS360(date(year(F18),month(F18),1),Mes)/30  ,  DAYS360(date(year(E18),month(E18),1),Mes)/30) , 0)       )</f>
        <v>0</v>
      </c>
      <c r="L18" s="39">
        <f>If(Iserror(K:K*H:H)   ,  0   ,   K:K*H:H)</f>
        <v>0</v>
      </c>
      <c r="M18" s="40"/>
      <c r="N18" s="29">
        <f>IF( ISERROR(OFFSET(SECUESTRADOS!D$1,MATCH(B18,SECUESTRADOS!A$2:A1405,0),0)) ,0 ,  OFFSET(SECUESTRADOS!D$1,MATCH(B18,SECUESTRADOS!A$2:A1405,0),0)  )</f>
        <v>0</v>
      </c>
      <c r="O18" s="30"/>
      <c r="P18" s="17" t="str">
        <f t="shared" si="3"/>
        <v>velero</v>
      </c>
      <c r="Q18" s="17" t="str">
        <f t="shared" si="17"/>
        <v/>
      </c>
      <c r="R18" s="31"/>
      <c r="S18" s="31"/>
      <c r="T18" s="31"/>
    </row>
    <row r="19">
      <c r="A19" s="17" t="s">
        <v>38</v>
      </c>
      <c r="B19" s="18">
        <v>164.0</v>
      </c>
      <c r="C19" s="19">
        <v>164.0</v>
      </c>
      <c r="D19" s="20" t="str">
        <f>IF(   ISERROR(OFFSET(PADRON!B$2,MATCH(C:C,PADRON!A$2:A1405,0)-1,0,1,1) )  ,  ,    OFFSET(PADRON!B$2,MATCH(C:C,PADRON!A$2:A1405,0)-1,0,1,1))</f>
        <v>MORENO,HECTOR</v>
      </c>
      <c r="E19" s="21">
        <v>45839.0</v>
      </c>
      <c r="F19" s="21">
        <v>45870.0</v>
      </c>
      <c r="G19" s="23" t="s">
        <v>39</v>
      </c>
      <c r="H19" s="24">
        <f>IF( ISERROR( OFFSET(   'Cuadro tarifario'!D$2  , MATCH(CONCATENATE(                 IF(F19&gt;Mes,OFFSET(NroCT!B$17, MATCH($F19,NroCT!$A$18:$A1405,0),0,1,1),Periodovigente)                                                                                                                     ,A19) ,'Cuadro tarifario'!A$2:A1405,0) -1 , 0 , 1 , 1) )   , 0  ,   OFFSET(   'Cuadro tarifario'!D$2  , MATCH(CONCATENATE( IF(F19&gt;Mes,OFFSET(NroCT!B$17, MATCH($F19,NroCT!$A$18:$A1405,0),0,1,1),Periodovigente) ,A19) ,'Cuadro tarifario'!A$2:A1405,0) -1 , 0 , 1 , 1))</f>
        <v>9000</v>
      </c>
      <c r="I19" s="25">
        <f t="shared" ref="I19:I20" si="18">INT(IF(F19,DAYS360(          DATE(YEAR(E19),MONTH(E19),1),         DATE(YEAR(F19)     ,      MONTH(F19),1 )    )            /30,0 ))</f>
        <v>1</v>
      </c>
      <c r="J19" s="24">
        <f t="shared" si="15"/>
        <v>9000</v>
      </c>
      <c r="K19" s="26">
        <f>IF(  AND(N19&gt;0,I19=0)          ,N19 ,                         IF(  IF( F19 ,  DAYS360(DATE(YEAR(F19),MONTH(F19),1),Mes)/30  ,  DAYS360(DATE(YEAR(E19),MONTH(E19),1),Mes)/30  )  &gt;  0 , IF(F19,   DAYS360(DATE(YEAR(F19),MONTH(F19),1),Mes)/30  ,  DAYS360(DATE(YEAR(E19),MONTH(E19),1),Mes)/30) , 0)       )</f>
        <v>0</v>
      </c>
      <c r="L19" s="27">
        <f t="shared" ref="L19:L20" si="19">IF(ISERROR(K:K*H:H)   ,  0   ,   K:K*H:H)</f>
        <v>0</v>
      </c>
      <c r="M19" s="28"/>
      <c r="N19" s="29">
        <f>IF( ISERROR(OFFSET(SECUESTRADOS!D$1,MATCH(B19,SECUESTRADOS!A$2:A1405,0),0)) ,0 ,  OFFSET(SECUESTRADOS!D$1,MATCH(B19,SECUESTRADOS!A$2:A1405,0),0)  )</f>
        <v>0</v>
      </c>
      <c r="O19" s="30"/>
      <c r="P19" s="17" t="str">
        <f t="shared" si="3"/>
        <v>Bono canon</v>
      </c>
      <c r="Q19" s="17" t="str">
        <f t="shared" si="17"/>
        <v/>
      </c>
      <c r="R19" s="52" t="s">
        <v>58</v>
      </c>
      <c r="S19" s="31"/>
      <c r="T19" s="31"/>
    </row>
    <row r="20">
      <c r="A20" s="53" t="s">
        <v>40</v>
      </c>
      <c r="B20" s="53" t="s">
        <v>59</v>
      </c>
      <c r="C20" s="19">
        <v>164.0</v>
      </c>
      <c r="D20" s="44" t="str">
        <f>IF(   ISERROR(OFFSET(PADRON!B$2,MATCH(C:C,PADRON!A$2:A1405,0)-1,0,1,1) )  ,  ,    OFFSET(PADRON!B$2,MATCH(C:C,PADRON!A$2:A1405,0)-1,0,1,1))</f>
        <v>MORENO,HECTOR</v>
      </c>
      <c r="E20" s="45">
        <v>45839.0</v>
      </c>
      <c r="F20" s="21">
        <v>45870.0</v>
      </c>
      <c r="G20" s="23" t="s">
        <v>39</v>
      </c>
      <c r="H20" s="24">
        <f>IF( ISERROR( OFFSET(   'Cuadro tarifario'!D$2  , MATCH(CONCATENATE(                 IF(F20&gt;Mes,OFFSET(NroCT!B$17, MATCH($F20,NroCT!$A$18:$A1405,0),0,1,1),Periodovigente)                                                                                                                     ,A20) ,'Cuadro tarifario'!A$2:A1405,0) -1 , 0 , 1 , 1) )   , 0  ,   OFFSET(   'Cuadro tarifario'!D$2  , MATCH(CONCATENATE( IF(F20&gt;Mes,OFFSET(NroCT!B$17, MATCH($F20,NroCT!$A$18:$A1405,0),0,1,1),Periodovigente) ,A20) ,'Cuadro tarifario'!A$2:A1405,0) -1 , 0 , 1 , 1))</f>
        <v>12000</v>
      </c>
      <c r="I20" s="46">
        <f t="shared" si="18"/>
        <v>1</v>
      </c>
      <c r="J20" s="47">
        <f t="shared" si="15"/>
        <v>12000</v>
      </c>
      <c r="K20" s="48">
        <f>IF(  AND(N20&gt;0,I20=0)          ,N20 ,                         IF(  IF( F20 ,  DAYS360(DATE(YEAR(F20),MONTH(F20),1),Mes)/30  ,  DAYS360(DATE(YEAR(E20),MONTH(E20),1),Mes)/30  )  &gt;  0 , IF(F20,   DAYS360(DATE(YEAR(F20),MONTH(F20),1),Mes)/30  ,  DAYS360(DATE(YEAR(E20),MONTH(E20),1),Mes)/30) , 0)       )</f>
        <v>0</v>
      </c>
      <c r="L20" s="49">
        <f t="shared" si="19"/>
        <v>0</v>
      </c>
      <c r="M20" s="50"/>
      <c r="N20" s="29">
        <f>IF( ISERROR(OFFSET(SECUESTRADOS!D$1,MATCH(B20,SECUESTRADOS!A$2:A1405,0),0)) ,0 ,  OFFSET(SECUESTRADOS!D$1,MATCH(B20,SECUESTRADOS!A$2:A1405,0),0)  )</f>
        <v>0</v>
      </c>
      <c r="O20" s="30"/>
      <c r="P20" s="17" t="str">
        <f t="shared" si="3"/>
        <v>cuna windsurf</v>
      </c>
      <c r="Q20" s="17" t="str">
        <f t="shared" si="17"/>
        <v/>
      </c>
      <c r="R20" s="31"/>
      <c r="S20" s="31"/>
      <c r="T20" s="31"/>
    </row>
    <row r="21">
      <c r="A21" s="42" t="s">
        <v>50</v>
      </c>
      <c r="B21" s="42" t="s">
        <v>60</v>
      </c>
      <c r="C21" s="19">
        <v>164.0</v>
      </c>
      <c r="D21" s="34" t="str">
        <f>if(   iserror(offset(PADRON!B$2,match(C:C,PADRON!A$2:A1405,0)-1,0,1,1) )  ,  ,    offset(PADRON!B$2,match(C:C,PADRON!A$2:A1405,0)-1,0,1,1))</f>
        <v>MORENO,HECTOR</v>
      </c>
      <c r="E21" s="22">
        <v>45992.0</v>
      </c>
      <c r="F21" s="22"/>
      <c r="G21" s="23" t="s">
        <v>39</v>
      </c>
      <c r="H21" s="35">
        <f>IF( ISERROR( OFFSET(   'Cuadro tarifario'!D$2  , MATCH(CONCATENATE(                 IF(F21&gt;Mes,OFFSET(NroCT!B$17, MATCH($F21,NroCT!$A$18:$A1405,0),0,1,1),Periodovigente)                                                                                                                     ,A21) ,'Cuadro tarifario'!A$2:A1405,0) -1 , 0 , 1 , 1) )   , 0  ,   OFFSET(   'Cuadro tarifario'!D$2  , MATCH(CONCATENATE( IF(F21&gt;Mes,OFFSET(NroCT!B$17, MATCH($F21,NroCT!$A$18:$A1405,0),0,1,1),Periodovigente) ,A21) ,'Cuadro tarifario'!A$2:A1405,0) -1 , 0 , 1 , 1))</f>
        <v>3600</v>
      </c>
      <c r="I21" s="36">
        <f t="shared" ref="I21:I23" si="20">Int(If(F21,DAYS360(          date(Year(E21),Month(E21),1),         date(Year(F21)     ,      Month(F21),1 )    )            /30,0 ))</f>
        <v>0</v>
      </c>
      <c r="J21" s="37">
        <f t="shared" si="15"/>
        <v>0</v>
      </c>
      <c r="K21" s="38">
        <f>if(  and(N21&gt;0,I21=0)          ,N21 ,                         If(  If( F21 ,  DAYS360(date(year(F21),month(F21),1),Mes)/30  ,  DAYS360(date(year(E21),month(E21),1),Mes)/30  )  &gt;  0 , If(F21,   DAYS360(date(year(F21),month(F21),1),Mes)/30  ,  DAYS360(date(year(E21),month(E21),1),Mes)/30) , 0)       )</f>
        <v>0</v>
      </c>
      <c r="L21" s="39">
        <f t="shared" ref="L21:L23" si="21">If(Iserror(K:K*H:H)   ,  0   ,   K:K*H:H)</f>
        <v>0</v>
      </c>
      <c r="M21" s="40"/>
      <c r="N21" s="29">
        <f>IF( ISERROR(OFFSET(SECUESTRADOS!D$1,MATCH(B21,SECUESTRADOS!A$2:A1405,0),0)) ,0 ,  OFFSET(SECUESTRADOS!D$1,MATCH(B21,SECUESTRADOS!A$2:A1405,0),0)  )</f>
        <v>0</v>
      </c>
      <c r="O21" s="30"/>
      <c r="P21" s="17" t="b">
        <f t="shared" si="3"/>
        <v>0</v>
      </c>
      <c r="Q21" s="17" t="str">
        <f t="shared" si="17"/>
        <v/>
      </c>
      <c r="R21" s="31"/>
      <c r="S21" s="31"/>
      <c r="T21" s="31"/>
    </row>
    <row r="22">
      <c r="A22" s="41" t="s">
        <v>42</v>
      </c>
      <c r="B22" s="41" t="s">
        <v>61</v>
      </c>
      <c r="C22" s="19">
        <v>164.0</v>
      </c>
      <c r="D22" s="34" t="str">
        <f>if(   iserror(offset(PADRON!B$2,match(C:C,PADRON!A$2:A1405,0)-1,0,1,1) )  ,  ,    offset(PADRON!B$2,match(C:C,PADRON!A$2:A1405,0)-1,0,1,1))</f>
        <v>MORENO,HECTOR</v>
      </c>
      <c r="E22" s="22">
        <v>45992.0</v>
      </c>
      <c r="F22" s="22"/>
      <c r="G22" s="23" t="s">
        <v>39</v>
      </c>
      <c r="H22" s="35">
        <f>IF( ISERROR( OFFSET(   'Cuadro tarifario'!D$2  , MATCH(CONCATENATE(                 IF(F22&gt;Mes,OFFSET(NroCT!B$17, MATCH($F22,NroCT!$A$18:$A1405,0),0,1,1),Periodovigente)                                                                                                                     ,A22) ,'Cuadro tarifario'!A$2:A1405,0) -1 , 0 , 1 , 1) )   , 0  ,   OFFSET(   'Cuadro tarifario'!D$2  , MATCH(CONCATENATE( IF(F22&gt;Mes,OFFSET(NroCT!B$17, MATCH($F22,NroCT!$A$18:$A1405,0),0,1,1),Periodovigente) ,A22) ,'Cuadro tarifario'!A$2:A1405,0) -1 , 0 , 1 , 1))</f>
        <v>4000</v>
      </c>
      <c r="I22" s="36">
        <f t="shared" si="20"/>
        <v>0</v>
      </c>
      <c r="J22" s="37">
        <f t="shared" si="15"/>
        <v>0</v>
      </c>
      <c r="K22" s="38">
        <f>if(  and(N22&gt;0,I22=0)          ,N22 ,                         If(  If( F22 ,  DAYS360(date(year(F22),month(F22),1),Mes)/30  ,  DAYS360(date(year(E22),month(E22),1),Mes)/30  )  &gt;  0 , If(F22,   DAYS360(date(year(F22),month(F22),1),Mes)/30  ,  DAYS360(date(year(E22),month(E22),1),Mes)/30) , 0)       )</f>
        <v>0</v>
      </c>
      <c r="L22" s="39">
        <f t="shared" si="21"/>
        <v>0</v>
      </c>
      <c r="M22" s="40"/>
      <c r="N22" s="29">
        <f>IF( ISERROR(OFFSET(SECUESTRADOS!D$1,MATCH(B22,SECUESTRADOS!A$2:A1405,0),0)) ,0 ,  OFFSET(SECUESTRADOS!D$1,MATCH(B22,SECUESTRADOS!A$2:A1405,0),0)  )</f>
        <v>0</v>
      </c>
      <c r="O22" s="30"/>
      <c r="P22" s="17" t="b">
        <f t="shared" si="3"/>
        <v>0</v>
      </c>
      <c r="Q22" s="17" t="str">
        <f t="shared" si="17"/>
        <v/>
      </c>
      <c r="R22" s="31"/>
      <c r="S22" s="31"/>
      <c r="T22" s="31"/>
    </row>
    <row r="23">
      <c r="A23" s="41" t="s">
        <v>42</v>
      </c>
      <c r="B23" s="41" t="s">
        <v>62</v>
      </c>
      <c r="C23" s="19">
        <v>164.0</v>
      </c>
      <c r="D23" s="34" t="str">
        <f>if(   iserror(offset(PADRON!B$2,match(C:C,PADRON!A$2:A1405,0)-1,0,1,1) )  ,  ,    offset(PADRON!B$2,match(C:C,PADRON!A$2:A1405,0)-1,0,1,1))</f>
        <v>MORENO,HECTOR</v>
      </c>
      <c r="E23" s="22">
        <v>45992.0</v>
      </c>
      <c r="F23" s="22"/>
      <c r="G23" s="23" t="s">
        <v>39</v>
      </c>
      <c r="H23" s="35">
        <f>IF( ISERROR( OFFSET(   'Cuadro tarifario'!D$2  , MATCH(CONCATENATE(                 IF(F23&gt;Mes,OFFSET(NroCT!B$17, MATCH($F23,NroCT!$A$18:$A1405,0),0,1,1),Periodovigente)                                                                                                                     ,A23) ,'Cuadro tarifario'!A$2:A1405,0) -1 , 0 , 1 , 1) )   , 0  ,   OFFSET(   'Cuadro tarifario'!D$2  , MATCH(CONCATENATE( IF(F23&gt;Mes,OFFSET(NroCT!B$17, MATCH($F23,NroCT!$A$18:$A1405,0),0,1,1),Periodovigente) ,A23) ,'Cuadro tarifario'!A$2:A1405,0) -1 , 0 , 1 , 1))</f>
        <v>4000</v>
      </c>
      <c r="I23" s="36">
        <f t="shared" si="20"/>
        <v>0</v>
      </c>
      <c r="J23" s="37">
        <f t="shared" si="15"/>
        <v>0</v>
      </c>
      <c r="K23" s="38">
        <f>if(  and(N23&gt;0,I23=0)          ,N23 ,                         If(  If( F23 ,  DAYS360(date(year(F23),month(F23),1),Mes)/30  ,  DAYS360(date(year(E23),month(E23),1),Mes)/30  )  &gt;  0 , If(F23,   DAYS360(date(year(F23),month(F23),1),Mes)/30  ,  DAYS360(date(year(E23),month(E23),1),Mes)/30) , 0)       )</f>
        <v>0</v>
      </c>
      <c r="L23" s="39">
        <f t="shared" si="21"/>
        <v>0</v>
      </c>
      <c r="M23" s="40"/>
      <c r="N23" s="29">
        <f>IF( ISERROR(OFFSET(SECUESTRADOS!D$1,MATCH(B23,SECUESTRADOS!A$2:A1405,0),0)) ,0 ,  OFFSET(SECUESTRADOS!D$1,MATCH(B23,SECUESTRADOS!A$2:A1405,0),0)  )</f>
        <v>0</v>
      </c>
      <c r="O23" s="30"/>
      <c r="P23" s="17" t="b">
        <f t="shared" si="3"/>
        <v>0</v>
      </c>
      <c r="Q23" s="17" t="str">
        <f t="shared" si="17"/>
        <v/>
      </c>
      <c r="R23" s="31"/>
      <c r="S23" s="31"/>
      <c r="T23" s="31"/>
    </row>
    <row r="24">
      <c r="A24" s="17" t="s">
        <v>38</v>
      </c>
      <c r="B24" s="18">
        <v>184.0</v>
      </c>
      <c r="C24" s="19">
        <v>184.0</v>
      </c>
      <c r="D24" s="20" t="str">
        <f>IF(   ISERROR(OFFSET(PADRON!B$2,MATCH(C:C,PADRON!A$2:A1405,0)-1,0,1,1) )  ,  ,    OFFSET(PADRON!B$2,MATCH(C:C,PADRON!A$2:A1405,0)-1,0,1,1))</f>
        <v>DEFRANCO, DANIEL FABIAN</v>
      </c>
      <c r="E24" s="21">
        <v>45839.0</v>
      </c>
      <c r="F24" s="21">
        <v>45870.0</v>
      </c>
      <c r="G24" s="23" t="s">
        <v>39</v>
      </c>
      <c r="H24" s="24">
        <f>IF( ISERROR( OFFSET(   'Cuadro tarifario'!D$2  , MATCH(CONCATENATE(                 IF(F24&gt;Mes,OFFSET(NroCT!B$17, MATCH($F24,NroCT!$A$18:$A1405,0),0,1,1),Periodovigente)                                                                                                                     ,A24) ,'Cuadro tarifario'!A$2:A1405,0) -1 , 0 , 1 , 1) )   , 0  ,   OFFSET(   'Cuadro tarifario'!D$2  , MATCH(CONCATENATE( IF(F24&gt;Mes,OFFSET(NroCT!B$17, MATCH($F24,NroCT!$A$18:$A1405,0),0,1,1),Periodovigente) ,A24) ,'Cuadro tarifario'!A$2:A1405,0) -1 , 0 , 1 , 1))</f>
        <v>9000</v>
      </c>
      <c r="I24" s="25">
        <f>INT(IF(F24,DAYS360(          DATE(YEAR(E24),MONTH(E24),1),         DATE(YEAR(F24)     ,      MONTH(F24),1 )    )            /30,0 ))</f>
        <v>1</v>
      </c>
      <c r="J24" s="24">
        <f t="shared" si="15"/>
        <v>9000</v>
      </c>
      <c r="K24" s="26">
        <f>IF(  AND(N24&gt;0,I24=0)          ,N24 ,                         IF(  IF( F24 ,  DAYS360(DATE(YEAR(F24),MONTH(F24),1),Mes)/30  ,  DAYS360(DATE(YEAR(E24),MONTH(E24),1),Mes)/30  )  &gt;  0 , IF(F24,   DAYS360(DATE(YEAR(F24),MONTH(F24),1),Mes)/30  ,  DAYS360(DATE(YEAR(E24),MONTH(E24),1),Mes)/30) , 0)       )</f>
        <v>0</v>
      </c>
      <c r="L24" s="27">
        <f>IF(ISERROR(K:K*H:H)   ,  0   ,   K:K*H:H)</f>
        <v>0</v>
      </c>
      <c r="M24" s="28"/>
      <c r="N24" s="29">
        <f>IF( ISERROR(OFFSET(SECUESTRADOS!D$1,MATCH(B24,SECUESTRADOS!A$2:A1405,0),0)) ,0 ,  OFFSET(SECUESTRADOS!D$1,MATCH(B24,SECUESTRADOS!A$2:A1405,0),0)  )</f>
        <v>0</v>
      </c>
      <c r="O24" s="30"/>
      <c r="P24" s="17" t="str">
        <f t="shared" si="3"/>
        <v>Bono canon</v>
      </c>
      <c r="Q24" s="17" t="str">
        <f t="shared" si="17"/>
        <v/>
      </c>
      <c r="R24" s="31"/>
      <c r="S24" s="31"/>
      <c r="T24" s="31"/>
    </row>
    <row r="25">
      <c r="A25" s="33" t="s">
        <v>40</v>
      </c>
      <c r="B25" s="33" t="s">
        <v>63</v>
      </c>
      <c r="C25" s="19">
        <v>184.0</v>
      </c>
      <c r="D25" s="34" t="str">
        <f>if(   iserror(offset(PADRON!B$2,match(C:C,PADRON!A$2:A1405,0)-1,0,1,1) )  ,  ,    offset(PADRON!B$2,match(C:C,PADRON!A$2:A1405,0)-1,0,1,1))</f>
        <v>DEFRANCO, DANIEL FABIAN</v>
      </c>
      <c r="E25" s="22">
        <v>45839.0</v>
      </c>
      <c r="F25" s="22">
        <v>45870.0</v>
      </c>
      <c r="G25" s="23" t="s">
        <v>39</v>
      </c>
      <c r="H25" s="35">
        <f>IF( ISERROR( OFFSET(   'Cuadro tarifario'!D$2  , MATCH(CONCATENATE(                 IF(F25&gt;Mes,OFFSET(NroCT!B$17, MATCH($F25,NroCT!$A$18:$A1405,0),0,1,1),Periodovigente)                                                                                                                     ,A25) ,'Cuadro tarifario'!A$2:A1405,0) -1 , 0 , 1 , 1) )   , 0  ,   OFFSET(   'Cuadro tarifario'!D$2  , MATCH(CONCATENATE( IF(F25&gt;Mes,OFFSET(NroCT!B$17, MATCH($F25,NroCT!$A$18:$A1405,0),0,1,1),Periodovigente) ,A25) ,'Cuadro tarifario'!A$2:A1405,0) -1 , 0 , 1 , 1))</f>
        <v>12000</v>
      </c>
      <c r="I25" s="36">
        <f>Int(If(F25,DAYS360(          date(Year(E25),Month(E25),1),         date(Year(F25)     ,      Month(F25),1 )    )            /30,0 ))</f>
        <v>1</v>
      </c>
      <c r="J25" s="37">
        <f t="shared" si="15"/>
        <v>12000</v>
      </c>
      <c r="K25" s="38">
        <f>if(  and(N25&gt;0,I25=0)          ,N25 ,                         If(  If( F25 ,  DAYS360(date(year(F25),month(F25),1),Mes)/30  ,  DAYS360(date(year(E25),month(E25),1),Mes)/30  )  &gt;  0 , If(F25,   DAYS360(date(year(F25),month(F25),1),Mes)/30  ,  DAYS360(date(year(E25),month(E25),1),Mes)/30) , 0)       )</f>
        <v>0</v>
      </c>
      <c r="L25" s="39">
        <f>If(Iserror(K:K*H:H)   ,  0   ,   K:K*H:H)</f>
        <v>0</v>
      </c>
      <c r="M25" s="40"/>
      <c r="N25" s="29">
        <f>IF( ISERROR(OFFSET(SECUESTRADOS!D$1,MATCH(B25,SECUESTRADOS!A$2:A1405,0),0)) ,0 ,  OFFSET(SECUESTRADOS!D$1,MATCH(B25,SECUESTRADOS!A$2:A1405,0),0)  )</f>
        <v>0</v>
      </c>
      <c r="O25" s="30"/>
      <c r="P25" s="17" t="str">
        <f t="shared" si="3"/>
        <v>cuna windsurf</v>
      </c>
      <c r="Q25" s="17" t="str">
        <f>IF(AND(A25=#REF!,B25=#REF!,C25=#REF!),"Repetido","")</f>
        <v>#REF!</v>
      </c>
      <c r="R25" s="31"/>
      <c r="S25" s="31"/>
      <c r="T25" s="31"/>
    </row>
    <row r="26">
      <c r="A26" s="17" t="s">
        <v>38</v>
      </c>
      <c r="B26" s="18">
        <v>275.0</v>
      </c>
      <c r="C26" s="19">
        <v>275.0</v>
      </c>
      <c r="D26" s="20" t="str">
        <f>IF(   ISERROR(OFFSET(PADRON!B$2,MATCH(C:C,PADRON!A$2:A1405,0)-1,0,1,1) )  ,  ,    OFFSET(PADRON!B$2,MATCH(C:C,PADRON!A$2:A1405,0)-1,0,1,1))</f>
        <v>VARRONE HUGO</v>
      </c>
      <c r="E26" s="21">
        <v>45839.0</v>
      </c>
      <c r="F26" s="21">
        <v>45870.0</v>
      </c>
      <c r="G26" s="23" t="s">
        <v>56</v>
      </c>
      <c r="H26" s="24">
        <f>IF( ISERROR( OFFSET(   'Cuadro tarifario'!D$2  , MATCH(CONCATENATE(                 IF(F26&gt;Mes,OFFSET(NroCT!B$17, MATCH($F26,NroCT!$A$18:$A1405,0),0,1,1),Periodovigente)                                                                                                                     ,A26) ,'Cuadro tarifario'!A$2:A1405,0) -1 , 0 , 1 , 1) )   , 0  ,   OFFSET(   'Cuadro tarifario'!D$2  , MATCH(CONCATENATE( IF(F26&gt;Mes,OFFSET(NroCT!B$17, MATCH($F26,NroCT!$A$18:$A1405,0),0,1,1),Periodovigente) ,A26) ,'Cuadro tarifario'!A$2:A1405,0) -1 , 0 , 1 , 1))</f>
        <v>9000</v>
      </c>
      <c r="I26" s="25">
        <f t="shared" ref="I26:I29" si="22">INT(IF(F26,DAYS360(          DATE(YEAR(E26),MONTH(E26),1),         DATE(YEAR(F26)     ,      MONTH(F26),1 )    )            /30,0 ))</f>
        <v>1</v>
      </c>
      <c r="J26" s="24">
        <f t="shared" si="15"/>
        <v>9000</v>
      </c>
      <c r="K26" s="26">
        <f>IF(  AND(N26&gt;0,I26=0)          ,N26 ,                         IF(  IF( F26 ,  DAYS360(DATE(YEAR(F26),MONTH(F26),1),Mes)/30  ,  DAYS360(DATE(YEAR(E26),MONTH(E26),1),Mes)/30  )  &gt;  0 , IF(F26,   DAYS360(DATE(YEAR(F26),MONTH(F26),1),Mes)/30  ,  DAYS360(DATE(YEAR(E26),MONTH(E26),1),Mes)/30) , 0)       )</f>
        <v>0</v>
      </c>
      <c r="L26" s="27">
        <f t="shared" ref="L26:L29" si="23">IF(ISERROR(K:K*H:H)   ,  0   ,   K:K*H:H)</f>
        <v>0</v>
      </c>
      <c r="M26" s="28"/>
      <c r="N26" s="29">
        <f>IF( ISERROR(OFFSET(SECUESTRADOS!D$1,MATCH(B26,SECUESTRADOS!A$2:A1405,0),0)) ,0 ,  OFFSET(SECUESTRADOS!D$1,MATCH(B26,SECUESTRADOS!A$2:A1405,0),0)  )</f>
        <v>0</v>
      </c>
      <c r="O26" s="30"/>
      <c r="P26" s="17" t="str">
        <f t="shared" si="3"/>
        <v>Bono canon</v>
      </c>
      <c r="Q26" s="17" t="str">
        <f t="shared" ref="Q26:Q29" si="24">IF(AND(A26=A25,B26=B25,C26=C25),"Repetido","")</f>
        <v/>
      </c>
      <c r="R26" s="31"/>
      <c r="S26" s="31"/>
      <c r="T26" s="31"/>
    </row>
    <row r="27">
      <c r="A27" s="17" t="s">
        <v>38</v>
      </c>
      <c r="B27" s="18">
        <v>362.0</v>
      </c>
      <c r="C27" s="19">
        <v>362.0</v>
      </c>
      <c r="D27" s="20" t="str">
        <f>IF(   ISERROR(OFFSET(PADRON!B$2,MATCH(C:C,PADRON!A$2:A1405,0)-1,0,1,1) )  ,  ,    OFFSET(PADRON!B$2,MATCH(C:C,PADRON!A$2:A1405,0)-1,0,1,1))</f>
        <v>GONZALEZ, ESTELA NORA</v>
      </c>
      <c r="E27" s="21">
        <v>45839.0</v>
      </c>
      <c r="F27" s="21">
        <v>45870.0</v>
      </c>
      <c r="G27" s="23" t="s">
        <v>39</v>
      </c>
      <c r="H27" s="24">
        <f>IF( ISERROR( OFFSET(   'Cuadro tarifario'!D$2  , MATCH(CONCATENATE(                 IF(F27&gt;Mes,OFFSET(NroCT!B$17, MATCH($F27,NroCT!$A$18:$A1405,0),0,1,1),Periodovigente)                                                                                                                     ,A27) ,'Cuadro tarifario'!A$2:A1405,0) -1 , 0 , 1 , 1) )   , 0  ,   OFFSET(   'Cuadro tarifario'!D$2  , MATCH(CONCATENATE( IF(F27&gt;Mes,OFFSET(NroCT!B$17, MATCH($F27,NroCT!$A$18:$A1405,0),0,1,1),Periodovigente) ,A27) ,'Cuadro tarifario'!A$2:A1405,0) -1 , 0 , 1 , 1))</f>
        <v>9000</v>
      </c>
      <c r="I27" s="25">
        <f t="shared" si="22"/>
        <v>1</v>
      </c>
      <c r="J27" s="24">
        <f t="shared" si="15"/>
        <v>9000</v>
      </c>
      <c r="K27" s="26">
        <f>IF(  AND(N27&gt;0,I27=0)          ,N27 ,                         IF(  IF( F27 ,  DAYS360(DATE(YEAR(F27),MONTH(F27),1),Mes)/30  ,  DAYS360(DATE(YEAR(E27),MONTH(E27),1),Mes)/30  )  &gt;  0 , IF(F27,   DAYS360(DATE(YEAR(F27),MONTH(F27),1),Mes)/30  ,  DAYS360(DATE(YEAR(E27),MONTH(E27),1),Mes)/30) , 0)       )</f>
        <v>0</v>
      </c>
      <c r="L27" s="27">
        <f t="shared" si="23"/>
        <v>0</v>
      </c>
      <c r="M27" s="28"/>
      <c r="N27" s="29">
        <f>IF( ISERROR(OFFSET(SECUESTRADOS!D$1,MATCH(B27,SECUESTRADOS!A$2:A1405,0),0)) ,0 ,  OFFSET(SECUESTRADOS!D$1,MATCH(B27,SECUESTRADOS!A$2:A1405,0),0)  )</f>
        <v>0</v>
      </c>
      <c r="O27" s="30"/>
      <c r="P27" s="17" t="str">
        <f t="shared" si="3"/>
        <v>Bono canon</v>
      </c>
      <c r="Q27" s="17" t="str">
        <f t="shared" si="24"/>
        <v/>
      </c>
      <c r="R27" s="31"/>
      <c r="S27" s="31"/>
      <c r="T27" s="31"/>
    </row>
    <row r="28">
      <c r="A28" s="18" t="s">
        <v>38</v>
      </c>
      <c r="B28" s="17">
        <v>389.0</v>
      </c>
      <c r="C28" s="19">
        <v>389.0</v>
      </c>
      <c r="D28" s="20" t="str">
        <f>IF(   ISERROR(OFFSET(PADRON!B$2,MATCH(C:C,PADRON!A$2:A1405,0)-1,0,1,1) )  ,  ,    OFFSET(PADRON!B$2,MATCH(C:C,PADRON!A$2:A1405,0)-1,0,1,1))</f>
        <v>CARBAJO, SUSANA</v>
      </c>
      <c r="E28" s="21">
        <v>45839.0</v>
      </c>
      <c r="F28" s="21">
        <v>45870.0</v>
      </c>
      <c r="G28" s="23" t="s">
        <v>56</v>
      </c>
      <c r="H28" s="24">
        <f>IF( ISERROR( OFFSET(   'Cuadro tarifario'!D$2  , MATCH(CONCATENATE(                 IF(F28&gt;Mes,OFFSET(NroCT!B$17, MATCH($F28,NroCT!$A$18:$A1405,0),0,1,1),Periodovigente)                                                                                                                     ,A28) ,'Cuadro tarifario'!A$2:A1405,0) -1 , 0 , 1 , 1) )   , 0  ,   OFFSET(   'Cuadro tarifario'!D$2  , MATCH(CONCATENATE( IF(F28&gt;Mes,OFFSET(NroCT!B$17, MATCH($F28,NroCT!$A$18:$A1405,0),0,1,1),Periodovigente) ,A28) ,'Cuadro tarifario'!A$2:A1405,0) -1 , 0 , 1 , 1))</f>
        <v>9000</v>
      </c>
      <c r="I28" s="25">
        <f t="shared" si="22"/>
        <v>1</v>
      </c>
      <c r="J28" s="24">
        <f t="shared" si="15"/>
        <v>9000</v>
      </c>
      <c r="K28" s="26">
        <f>IF(  AND(N28&gt;0,I28=0)          ,N28 ,                         IF(  IF( F28 ,  DAYS360(DATE(YEAR(F28),MONTH(F28),1),Mes)/30  ,  DAYS360(DATE(YEAR(E28),MONTH(E28),1),Mes)/30  )  &gt;  0 , IF(F28,   DAYS360(DATE(YEAR(F28),MONTH(F28),1),Mes)/30  ,  DAYS360(DATE(YEAR(E28),MONTH(E28),1),Mes)/30) , 0)       )</f>
        <v>0</v>
      </c>
      <c r="L28" s="27">
        <f t="shared" si="23"/>
        <v>0</v>
      </c>
      <c r="M28" s="28"/>
      <c r="N28" s="29">
        <f>IF( ISERROR(OFFSET(SECUESTRADOS!D$1,MATCH(B28,SECUESTRADOS!A$2:A1405,0),0)) ,0 ,  OFFSET(SECUESTRADOS!D$1,MATCH(B28,SECUESTRADOS!A$2:A1405,0),0)  )</f>
        <v>0</v>
      </c>
      <c r="O28" s="30"/>
      <c r="P28" s="17" t="str">
        <f t="shared" si="3"/>
        <v>Bono canon</v>
      </c>
      <c r="Q28" s="17" t="str">
        <f t="shared" si="24"/>
        <v/>
      </c>
      <c r="R28" s="31"/>
      <c r="S28" s="31"/>
      <c r="T28" s="31"/>
    </row>
    <row r="29">
      <c r="A29" s="18" t="s">
        <v>38</v>
      </c>
      <c r="B29" s="17">
        <v>504.0</v>
      </c>
      <c r="C29" s="19">
        <v>504.0</v>
      </c>
      <c r="D29" s="20" t="str">
        <f>IF(   ISERROR(OFFSET(PADRON!B$2,MATCH(C:C,PADRON!A$2:A1405,0)-1,0,1,1) )  ,  ,    OFFSET(PADRON!B$2,MATCH(C:C,PADRON!A$2:A1405,0)-1,0,1,1))</f>
        <v>BASOALTO, RAUL ALBERTO</v>
      </c>
      <c r="E29" s="21">
        <v>45839.0</v>
      </c>
      <c r="F29" s="21">
        <v>45870.0</v>
      </c>
      <c r="G29" s="23" t="s">
        <v>56</v>
      </c>
      <c r="H29" s="24">
        <f>IF( ISERROR( OFFSET(   'Cuadro tarifario'!D$2  , MATCH(CONCATENATE(                 IF(F29&gt;Mes,OFFSET(NroCT!B$17, MATCH($F29,NroCT!$A$18:$A1405,0),0,1,1),Periodovigente)                                                                                                                     ,A29) ,'Cuadro tarifario'!A$2:A1405,0) -1 , 0 , 1 , 1) )   , 0  ,   OFFSET(   'Cuadro tarifario'!D$2  , MATCH(CONCATENATE( IF(F29&gt;Mes,OFFSET(NroCT!B$17, MATCH($F29,NroCT!$A$18:$A1405,0),0,1,1),Periodovigente) ,A29) ,'Cuadro tarifario'!A$2:A1405,0) -1 , 0 , 1 , 1))</f>
        <v>9000</v>
      </c>
      <c r="I29" s="25">
        <f t="shared" si="22"/>
        <v>1</v>
      </c>
      <c r="J29" s="24">
        <f t="shared" si="15"/>
        <v>9000</v>
      </c>
      <c r="K29" s="26">
        <f>IF(  AND(N29&gt;0,I29=0)          ,N29 ,                         IF(  IF( F29 ,  DAYS360(DATE(YEAR(F29),MONTH(F29),1),Mes)/30  ,  DAYS360(DATE(YEAR(E29),MONTH(E29),1),Mes)/30  )  &gt;  0 , IF(F29,   DAYS360(DATE(YEAR(F29),MONTH(F29),1),Mes)/30  ,  DAYS360(DATE(YEAR(E29),MONTH(E29),1),Mes)/30) , 0)       )</f>
        <v>0</v>
      </c>
      <c r="L29" s="27">
        <f t="shared" si="23"/>
        <v>0</v>
      </c>
      <c r="M29" s="28"/>
      <c r="N29" s="29">
        <f>IF( ISERROR(OFFSET(SECUESTRADOS!D$1,MATCH(B29,SECUESTRADOS!A$2:A1405,0),0)) ,0 ,  OFFSET(SECUESTRADOS!D$1,MATCH(B29,SECUESTRADOS!A$2:A1405,0),0)  )</f>
        <v>0</v>
      </c>
      <c r="O29" s="30"/>
      <c r="P29" s="17" t="str">
        <f t="shared" si="3"/>
        <v>Bono canon</v>
      </c>
      <c r="Q29" s="17" t="str">
        <f t="shared" si="24"/>
        <v/>
      </c>
      <c r="R29" s="31"/>
      <c r="S29" s="31"/>
      <c r="T29" s="31"/>
    </row>
    <row r="30">
      <c r="A30" s="33" t="s">
        <v>40</v>
      </c>
      <c r="B30" s="33" t="s">
        <v>64</v>
      </c>
      <c r="C30" s="19">
        <v>504.0</v>
      </c>
      <c r="D30" s="34" t="str">
        <f>if(   iserror(offset(PADRON!B$2,match(C:C,PADRON!A$2:A1405,0)-1,0,1,1) )  ,  ,    offset(PADRON!B$2,match(C:C,PADRON!A$2:A1405,0)-1,0,1,1))</f>
        <v>BASOALTO, RAUL ALBERTO</v>
      </c>
      <c r="E30" s="22">
        <v>45839.0</v>
      </c>
      <c r="F30" s="22">
        <v>45870.0</v>
      </c>
      <c r="G30" s="23" t="s">
        <v>56</v>
      </c>
      <c r="H30" s="35">
        <f>IF( ISERROR( OFFSET(   'Cuadro tarifario'!D$2  , MATCH(CONCATENATE(                 IF(F30&gt;Mes,OFFSET(NroCT!B$17, MATCH($F30,NroCT!$A$18:$A1405,0),0,1,1),Periodovigente)                                                                                                                     ,A30) ,'Cuadro tarifario'!A$2:A1405,0) -1 , 0 , 1 , 1) )   , 0  ,   OFFSET(   'Cuadro tarifario'!D$2  , MATCH(CONCATENATE( IF(F30&gt;Mes,OFFSET(NroCT!B$17, MATCH($F30,NroCT!$A$18:$A1405,0),0,1,1),Periodovigente) ,A30) ,'Cuadro tarifario'!A$2:A1405,0) -1 , 0 , 1 , 1))</f>
        <v>12000</v>
      </c>
      <c r="I30" s="36">
        <f t="shared" ref="I30:I32" si="25">Int(If(F30,DAYS360(          date(Year(E30),Month(E30),1),         date(Year(F30)     ,      Month(F30),1 )    )            /30,0 ))</f>
        <v>1</v>
      </c>
      <c r="J30" s="37">
        <f t="shared" si="15"/>
        <v>12000</v>
      </c>
      <c r="K30" s="38">
        <f>if(  and(N30&gt;0,I30=0)          ,N30 ,                         If(  If( F30 ,  DAYS360(date(year(F30),month(F30),1),Mes)/30  ,  DAYS360(date(year(E30),month(E30),1),Mes)/30  )  &gt;  0 , If(F30,   DAYS360(date(year(F30),month(F30),1),Mes)/30  ,  DAYS360(date(year(E30),month(E30),1),Mes)/30) , 0)       )</f>
        <v>0</v>
      </c>
      <c r="L30" s="39">
        <f t="shared" ref="L30:L32" si="26">If(Iserror(K:K*H:H)   ,  0   ,   K:K*H:H)</f>
        <v>0</v>
      </c>
      <c r="M30" s="40"/>
      <c r="N30" s="29">
        <f>IF( ISERROR(OFFSET(SECUESTRADOS!D$1,MATCH(B30,SECUESTRADOS!A$2:A1405,0),0)) ,0 ,  OFFSET(SECUESTRADOS!D$1,MATCH(B30,SECUESTRADOS!A$2:A1405,0),0)  )</f>
        <v>0</v>
      </c>
      <c r="O30" s="30"/>
      <c r="P30" s="17" t="str">
        <f t="shared" si="3"/>
        <v>cuna windsurf</v>
      </c>
      <c r="Q30" s="17" t="str">
        <f>IF(AND(A30=#REF!,B30=#REF!,C30=#REF!),"Repetido","")</f>
        <v>#REF!</v>
      </c>
      <c r="R30" s="31"/>
      <c r="S30" s="31"/>
      <c r="T30" s="31"/>
    </row>
    <row r="31" ht="18.0" customHeight="1">
      <c r="A31" s="42" t="s">
        <v>52</v>
      </c>
      <c r="B31" s="42" t="s">
        <v>65</v>
      </c>
      <c r="C31" s="19">
        <v>504.0</v>
      </c>
      <c r="D31" s="34" t="str">
        <f>if(   iserror(offset(PADRON!B$2,match(C:C,PADRON!A$2:A1405,0)-1,0,1,1) )  ,  ,    offset(PADRON!B$2,match(C:C,PADRON!A$2:A1405,0)-1,0,1,1))</f>
        <v>BASOALTO, RAUL ALBERTO</v>
      </c>
      <c r="E31" s="22">
        <v>45992.0</v>
      </c>
      <c r="F31" s="22"/>
      <c r="G31" s="23" t="s">
        <v>56</v>
      </c>
      <c r="H31" s="35">
        <f>IF( ISERROR( OFFSET(   'Cuadro tarifario'!D$2  , MATCH(CONCATENATE(                 IF(F31&gt;Mes,OFFSET(NroCT!B$17, MATCH($F31,NroCT!$A$18:$A1405,0),0,1,1),Periodovigente)                                                                                                                     ,A31) ,'Cuadro tarifario'!A$2:A1405,0) -1 , 0 , 1 , 1) )   , 0  ,   OFFSET(   'Cuadro tarifario'!D$2  , MATCH(CONCATENATE( IF(F31&gt;Mes,OFFSET(NroCT!B$17, MATCH($F31,NroCT!$A$18:$A1405,0),0,1,1),Periodovigente) ,A31) ,'Cuadro tarifario'!A$2:A1405,0) -1 , 0 , 1 , 1))</f>
        <v>4000</v>
      </c>
      <c r="I31" s="36">
        <f t="shared" si="25"/>
        <v>0</v>
      </c>
      <c r="J31" s="37">
        <f t="shared" si="15"/>
        <v>0</v>
      </c>
      <c r="K31" s="38">
        <f>if(  and(N31&gt;0,I31=0)          ,N31 ,                         If(  If( F31 ,  DAYS360(date(year(F31),month(F31),1),Mes)/30  ,  DAYS360(date(year(E31),month(E31),1),Mes)/30  )  &gt;  0 , If(F31,   DAYS360(date(year(F31),month(F31),1),Mes)/30  ,  DAYS360(date(year(E31),month(E31),1),Mes)/30) , 0)       )</f>
        <v>0</v>
      </c>
      <c r="L31" s="39">
        <f t="shared" si="26"/>
        <v>0</v>
      </c>
      <c r="M31" s="40"/>
      <c r="N31" s="29">
        <f>IF( ISERROR(OFFSET(SECUESTRADOS!D$1,MATCH(B31,SECUESTRADOS!A$2:A1405,0),0)) ,0 ,  OFFSET(SECUESTRADOS!D$1,MATCH(B31,SECUESTRADOS!A$2:A1405,0),0)  )</f>
        <v>0</v>
      </c>
      <c r="O31" s="30"/>
      <c r="P31" s="17" t="b">
        <f t="shared" si="3"/>
        <v>0</v>
      </c>
      <c r="Q31" s="17" t="str">
        <f t="shared" ref="Q31:Q32" si="27">IF(AND(A31=A30,B31=B30,C31=C30),"Repetido","")</f>
        <v/>
      </c>
      <c r="R31" s="31"/>
      <c r="S31" s="31"/>
      <c r="T31" s="31"/>
    </row>
    <row r="32">
      <c r="A32" s="41" t="s">
        <v>42</v>
      </c>
      <c r="B32" s="41" t="s">
        <v>66</v>
      </c>
      <c r="C32" s="19">
        <v>504.0</v>
      </c>
      <c r="D32" s="34" t="str">
        <f>if(   iserror(offset(PADRON!B$2,match(C:C,PADRON!A$2:A1405,0)-1,0,1,1) )  ,  ,    offset(PADRON!B$2,match(C:C,PADRON!A$2:A1405,0)-1,0,1,1))</f>
        <v>BASOALTO, RAUL ALBERTO</v>
      </c>
      <c r="E32" s="22">
        <v>45992.0</v>
      </c>
      <c r="F32" s="22"/>
      <c r="G32" s="23" t="s">
        <v>56</v>
      </c>
      <c r="H32" s="35">
        <f>IF( ISERROR( OFFSET(   'Cuadro tarifario'!D$2  , MATCH(CONCATENATE(                 IF(F32&gt;Mes,OFFSET(NroCT!B$17, MATCH($F32,NroCT!$A$18:$A1405,0),0,1,1),Periodovigente)                                                                                                                     ,A32) ,'Cuadro tarifario'!A$2:A1405,0) -1 , 0 , 1 , 1) )   , 0  ,   OFFSET(   'Cuadro tarifario'!D$2  , MATCH(CONCATENATE( IF(F32&gt;Mes,OFFSET(NroCT!B$17, MATCH($F32,NroCT!$A$18:$A1405,0),0,1,1),Periodovigente) ,A32) ,'Cuadro tarifario'!A$2:A1405,0) -1 , 0 , 1 , 1))</f>
        <v>4000</v>
      </c>
      <c r="I32" s="36">
        <f t="shared" si="25"/>
        <v>0</v>
      </c>
      <c r="J32" s="37">
        <f t="shared" si="15"/>
        <v>0</v>
      </c>
      <c r="K32" s="38">
        <f>if(  and(N32&gt;0,I32=0)          ,N32 ,                         If(  If( F32 ,  DAYS360(date(year(F32),month(F32),1),Mes)/30  ,  DAYS360(date(year(E32),month(E32),1),Mes)/30  )  &gt;  0 , If(F32,   DAYS360(date(year(F32),month(F32),1),Mes)/30  ,  DAYS360(date(year(E32),month(E32),1),Mes)/30) , 0)       )</f>
        <v>0</v>
      </c>
      <c r="L32" s="39">
        <f t="shared" si="26"/>
        <v>0</v>
      </c>
      <c r="M32" s="40"/>
      <c r="N32" s="29">
        <f>IF( ISERROR(OFFSET(SECUESTRADOS!D$1,MATCH(B32,SECUESTRADOS!A$2:A1405,0),0)) ,0 ,  OFFSET(SECUESTRADOS!D$1,MATCH(B32,SECUESTRADOS!A$2:A1405,0),0)  )</f>
        <v>0</v>
      </c>
      <c r="O32" s="30"/>
      <c r="P32" s="17" t="b">
        <f t="shared" si="3"/>
        <v>0</v>
      </c>
      <c r="Q32" s="17" t="str">
        <f t="shared" si="27"/>
        <v/>
      </c>
      <c r="R32" s="31"/>
      <c r="S32" s="31"/>
      <c r="T32" s="31"/>
    </row>
    <row r="33">
      <c r="A33" s="18" t="s">
        <v>38</v>
      </c>
      <c r="B33" s="17">
        <v>584.0</v>
      </c>
      <c r="C33" s="19">
        <v>584.0</v>
      </c>
      <c r="D33" s="20" t="str">
        <f>IF(   ISERROR(OFFSET(PADRON!B$2,MATCH(C:C,PADRON!A$2:A1405,0)-1,0,1,1) )  ,  ,    OFFSET(PADRON!B$2,MATCH(C:C,PADRON!A$2:A1405,0)-1,0,1,1))</f>
        <v>CERRUTI, MARISA</v>
      </c>
      <c r="E33" s="21">
        <v>45748.0</v>
      </c>
      <c r="F33" s="21">
        <v>45870.0</v>
      </c>
      <c r="G33" s="23" t="s">
        <v>39</v>
      </c>
      <c r="H33" s="24">
        <f>IF( ISERROR( OFFSET(   'Cuadro tarifario'!D$2  , MATCH(CONCATENATE(                 IF(F33&gt;Mes,OFFSET(NroCT!B$17, MATCH($F33,NroCT!$A$18:$A1405,0),0,1,1),Periodovigente)                                                                                                                     ,A33) ,'Cuadro tarifario'!A$2:A1405,0) -1 , 0 , 1 , 1) )   , 0  ,   OFFSET(   'Cuadro tarifario'!D$2  , MATCH(CONCATENATE( IF(F33&gt;Mes,OFFSET(NroCT!B$17, MATCH($F33,NroCT!$A$18:$A1405,0),0,1,1),Periodovigente) ,A33) ,'Cuadro tarifario'!A$2:A1405,0) -1 , 0 , 1 , 1))</f>
        <v>9000</v>
      </c>
      <c r="I33" s="25">
        <f t="shared" ref="I33:I35" si="28">INT(IF(F33,DAYS360(          DATE(YEAR(E33),MONTH(E33),1),         DATE(YEAR(F33)     ,      MONTH(F33),1 )    )            /30,0 ))</f>
        <v>4</v>
      </c>
      <c r="J33" s="24">
        <f t="shared" si="15"/>
        <v>36000</v>
      </c>
      <c r="K33" s="26">
        <f>IF(  AND(N33&gt;0,I33=0)          ,N33 ,                         IF(  IF( F33 ,  DAYS360(DATE(YEAR(F33),MONTH(F33),1),Mes)/30  ,  DAYS360(DATE(YEAR(E33),MONTH(E33),1),Mes)/30  )  &gt;  0 , IF(F33,   DAYS360(DATE(YEAR(F33),MONTH(F33),1),Mes)/30  ,  DAYS360(DATE(YEAR(E33),MONTH(E33),1),Mes)/30) , 0)       )</f>
        <v>0</v>
      </c>
      <c r="L33" s="27">
        <f t="shared" ref="L33:L35" si="29">IF(ISERROR(K:K*H:H)   ,  0   ,   K:K*H:H)</f>
        <v>0</v>
      </c>
      <c r="M33" s="28"/>
      <c r="N33" s="29">
        <f>IF( ISERROR(OFFSET(SECUESTRADOS!D$1,MATCH(B33,SECUESTRADOS!A$2:A1405,0),0)) ,0 ,  OFFSET(SECUESTRADOS!D$1,MATCH(B33,SECUESTRADOS!A$2:A1405,0),0)  )</f>
        <v>0</v>
      </c>
      <c r="O33" s="30"/>
      <c r="P33" s="17" t="str">
        <f t="shared" si="3"/>
        <v>Bono canon</v>
      </c>
      <c r="Q33" s="17" t="str">
        <f t="shared" ref="Q33:Q35" si="30">IF(AND(A33=#REF!,B33=#REF!,C33=#REF!),"Repetido","")</f>
        <v>#REF!</v>
      </c>
      <c r="R33" s="31"/>
      <c r="S33" s="31"/>
      <c r="T33" s="31"/>
    </row>
    <row r="34">
      <c r="A34" s="18" t="s">
        <v>38</v>
      </c>
      <c r="B34" s="17">
        <v>585.0</v>
      </c>
      <c r="C34" s="19">
        <v>585.0</v>
      </c>
      <c r="D34" s="20" t="str">
        <f>IF(   ISERROR(OFFSET(PADRON!B$2,MATCH(C:C,PADRON!A$2:A1405,0)-1,0,1,1) )  ,  ,    OFFSET(PADRON!B$2,MATCH(C:C,PADRON!A$2:A1405,0)-1,0,1,1))</f>
        <v>FAVA, FELIX</v>
      </c>
      <c r="E34" s="21">
        <v>45901.0</v>
      </c>
      <c r="F34" s="21"/>
      <c r="G34" s="23" t="s">
        <v>56</v>
      </c>
      <c r="H34" s="24">
        <f>IF( ISERROR( OFFSET(   'Cuadro tarifario'!D$2  , MATCH(CONCATENATE(                 IF(F34&gt;Mes,OFFSET(NroCT!B$17, MATCH($F34,NroCT!$A$18:$A1405,0),0,1,1),Periodovigente)                                                                                                                     ,A34) ,'Cuadro tarifario'!A$2:A1405,0) -1 , 0 , 1 , 1) )   , 0  ,   OFFSET(   'Cuadro tarifario'!D$2  , MATCH(CONCATENATE( IF(F34&gt;Mes,OFFSET(NroCT!B$17, MATCH($F34,NroCT!$A$18:$A1405,0),0,1,1),Periodovigente) ,A34) ,'Cuadro tarifario'!A$2:A1405,0) -1 , 0 , 1 , 1))</f>
        <v>9000</v>
      </c>
      <c r="I34" s="25">
        <f t="shared" si="28"/>
        <v>0</v>
      </c>
      <c r="J34" s="24">
        <f t="shared" si="15"/>
        <v>0</v>
      </c>
      <c r="K34" s="26">
        <f>IF(  AND(N34&gt;0,I34=0)          ,N34 ,                         IF(  IF( F34 ,  DAYS360(DATE(YEAR(F34),MONTH(F34),1),Mes)/30  ,  DAYS360(DATE(YEAR(E34),MONTH(E34),1),Mes)/30  )  &gt;  0 , IF(F34,   DAYS360(DATE(YEAR(F34),MONTH(F34),1),Mes)/30  ,  DAYS360(DATE(YEAR(E34),MONTH(E34),1),Mes)/30) , 0)       )</f>
        <v>0</v>
      </c>
      <c r="L34" s="27">
        <f t="shared" si="29"/>
        <v>0</v>
      </c>
      <c r="M34" s="28"/>
      <c r="N34" s="29">
        <f>IF( ISERROR(OFFSET(SECUESTRADOS!D$1,MATCH(B34,SECUESTRADOS!A$2:A1405,0),0)) ,0 ,  OFFSET(SECUESTRADOS!D$1,MATCH(B34,SECUESTRADOS!A$2:A1405,0),0)  )</f>
        <v>0</v>
      </c>
      <c r="O34" s="30"/>
      <c r="P34" s="17" t="b">
        <f t="shared" si="3"/>
        <v>0</v>
      </c>
      <c r="Q34" s="17" t="str">
        <f t="shared" si="30"/>
        <v>#REF!</v>
      </c>
      <c r="R34" s="31"/>
      <c r="S34" s="31"/>
      <c r="T34" s="31"/>
    </row>
    <row r="35" ht="24.0" customHeight="1">
      <c r="A35" s="18" t="s">
        <v>38</v>
      </c>
      <c r="B35" s="17">
        <v>593.0</v>
      </c>
      <c r="C35" s="19">
        <v>593.0</v>
      </c>
      <c r="D35" s="20" t="str">
        <f>IF(   ISERROR(OFFSET(PADRON!B$2,MATCH(C:C,PADRON!A$2:A1405,0)-1,0,1,1) )  ,  ,    OFFSET(PADRON!B$2,MATCH(C:C,PADRON!A$2:A1405,0)-1,0,1,1))</f>
        <v>CREEVY, HUGO</v>
      </c>
      <c r="E35" s="21">
        <v>45839.0</v>
      </c>
      <c r="F35" s="21">
        <v>45870.0</v>
      </c>
      <c r="G35" s="23" t="s">
        <v>39</v>
      </c>
      <c r="H35" s="24">
        <f>IF( ISERROR( OFFSET(   'Cuadro tarifario'!D$2  , MATCH(CONCATENATE(                 IF(F35&gt;Mes,OFFSET(NroCT!B$17, MATCH($F35,NroCT!$A$18:$A1405,0),0,1,1),Periodovigente)                                                                                                                     ,A35) ,'Cuadro tarifario'!A$2:A1405,0) -1 , 0 , 1 , 1) )   , 0  ,   OFFSET(   'Cuadro tarifario'!D$2  , MATCH(CONCATENATE( IF(F35&gt;Mes,OFFSET(NroCT!B$17, MATCH($F35,NroCT!$A$18:$A1405,0),0,1,1),Periodovigente) ,A35) ,'Cuadro tarifario'!A$2:A1405,0) -1 , 0 , 1 , 1))</f>
        <v>9000</v>
      </c>
      <c r="I35" s="25">
        <f t="shared" si="28"/>
        <v>1</v>
      </c>
      <c r="J35" s="24">
        <f t="shared" si="15"/>
        <v>9000</v>
      </c>
      <c r="K35" s="26">
        <f>IF(  AND(N35&gt;0,I35=0)          ,N35 ,                         IF(  IF( F35 ,  DAYS360(DATE(YEAR(F35),MONTH(F35),1),Mes)/30  ,  DAYS360(DATE(YEAR(E35),MONTH(E35),1),Mes)/30  )  &gt;  0 , IF(F35,   DAYS360(DATE(YEAR(F35),MONTH(F35),1),Mes)/30  ,  DAYS360(DATE(YEAR(E35),MONTH(E35),1),Mes)/30) , 0)       )</f>
        <v>0</v>
      </c>
      <c r="L35" s="27">
        <f t="shared" si="29"/>
        <v>0</v>
      </c>
      <c r="M35" s="28"/>
      <c r="N35" s="29">
        <f>IF( ISERROR(OFFSET(SECUESTRADOS!D$1,MATCH(B35,SECUESTRADOS!A$2:A1405,0),0)) ,0 ,  OFFSET(SECUESTRADOS!D$1,MATCH(B35,SECUESTRADOS!A$2:A1405,0),0)  )</f>
        <v>0</v>
      </c>
      <c r="O35" s="30"/>
      <c r="P35" s="17" t="str">
        <f t="shared" si="3"/>
        <v>Bono canon</v>
      </c>
      <c r="Q35" s="17" t="str">
        <f t="shared" si="30"/>
        <v>#REF!</v>
      </c>
      <c r="R35" s="31"/>
      <c r="S35" s="31"/>
      <c r="T35" s="31"/>
    </row>
    <row r="36">
      <c r="A36" s="33" t="s">
        <v>40</v>
      </c>
      <c r="B36" s="33" t="s">
        <v>67</v>
      </c>
      <c r="C36" s="19">
        <v>593.0</v>
      </c>
      <c r="D36" s="34" t="str">
        <f>if(   iserror(offset(PADRON!B$2,match(C:C,PADRON!A$2:A1405,0)-1,0,1,1) )  ,  ,    offset(PADRON!B$2,match(C:C,PADRON!A$2:A1405,0)-1,0,1,1))</f>
        <v>CREEVY, HUGO</v>
      </c>
      <c r="E36" s="22">
        <v>45839.0</v>
      </c>
      <c r="F36" s="22">
        <v>45870.0</v>
      </c>
      <c r="G36" s="23" t="s">
        <v>39</v>
      </c>
      <c r="H36" s="35">
        <f>IF( ISERROR( OFFSET(   'Cuadro tarifario'!D$2  , MATCH(CONCATENATE(                 IF(F36&gt;Mes,OFFSET(NroCT!B$17, MATCH($F36,NroCT!$A$18:$A1405,0),0,1,1),Periodovigente)                                                                                                                     ,A36) ,'Cuadro tarifario'!A$2:A1405,0) -1 , 0 , 1 , 1) )   , 0  ,   OFFSET(   'Cuadro tarifario'!D$2  , MATCH(CONCATENATE( IF(F36&gt;Mes,OFFSET(NroCT!B$17, MATCH($F36,NroCT!$A$18:$A1405,0),0,1,1),Periodovigente) ,A36) ,'Cuadro tarifario'!A$2:A1405,0) -1 , 0 , 1 , 1))</f>
        <v>12000</v>
      </c>
      <c r="I36" s="36">
        <f>Int(If(F36,DAYS360(          date(Year(E36),Month(E36),1),         date(Year(F36)     ,      Month(F36),1 )    )            /30,0 ))</f>
        <v>1</v>
      </c>
      <c r="J36" s="37">
        <f t="shared" si="15"/>
        <v>12000</v>
      </c>
      <c r="K36" s="38">
        <f>if(  and(N36&gt;0,I36=0)          ,N36 ,                         If(  If( F36 ,  DAYS360(date(year(F36),month(F36),1),Mes)/30  ,  DAYS360(date(year(E36),month(E36),1),Mes)/30  )  &gt;  0 , If(F36,   DAYS360(date(year(F36),month(F36),1),Mes)/30  ,  DAYS360(date(year(E36),month(E36),1),Mes)/30) , 0)       )</f>
        <v>0</v>
      </c>
      <c r="L36" s="39">
        <f>If(Iserror(K:K*H:H)   ,  0   ,   K:K*H:H)</f>
        <v>0</v>
      </c>
      <c r="M36" s="40"/>
      <c r="N36" s="29">
        <f>IF( ISERROR(OFFSET(SECUESTRADOS!D$1,MATCH(B36,SECUESTRADOS!A$2:A1405,0),0)) ,0 ,  OFFSET(SECUESTRADOS!D$1,MATCH(B36,SECUESTRADOS!A$2:A1405,0),0)  )</f>
        <v>0</v>
      </c>
      <c r="O36" s="30"/>
      <c r="P36" s="17" t="str">
        <f t="shared" si="3"/>
        <v>cuna windsurf</v>
      </c>
      <c r="Q36" s="17" t="str">
        <f>IF(AND(A36=A35,B36=B35,C36=C35),"Repetido","")</f>
        <v/>
      </c>
      <c r="R36" s="31"/>
      <c r="S36" s="31"/>
      <c r="T36" s="31"/>
    </row>
    <row r="37">
      <c r="A37" s="18" t="s">
        <v>38</v>
      </c>
      <c r="B37" s="17">
        <v>605.0</v>
      </c>
      <c r="C37" s="19">
        <v>605.0</v>
      </c>
      <c r="D37" s="20" t="str">
        <f>IF(   ISERROR(OFFSET(PADRON!B$2,MATCH(C:C,PADRON!A$2:A1405,0)-1,0,1,1) )  ,  ,    OFFSET(PADRON!B$2,MATCH(C:C,PADRON!A$2:A1405,0)-1,0,1,1))</f>
        <v>CAPELLINI, LUIS</v>
      </c>
      <c r="E37" s="21">
        <v>45839.0</v>
      </c>
      <c r="F37" s="21">
        <v>45870.0</v>
      </c>
      <c r="G37" s="23" t="s">
        <v>39</v>
      </c>
      <c r="H37" s="24">
        <f>IF( ISERROR( OFFSET(   'Cuadro tarifario'!D$2  , MATCH(CONCATENATE(                 IF(F37&gt;Mes,OFFSET(NroCT!B$17, MATCH($F37,NroCT!$A$18:$A1405,0),0,1,1),Periodovigente)                                                                                                                     ,A37) ,'Cuadro tarifario'!A$2:A1405,0) -1 , 0 , 1 , 1) )   , 0  ,   OFFSET(   'Cuadro tarifario'!D$2  , MATCH(CONCATENATE( IF(F37&gt;Mes,OFFSET(NroCT!B$17, MATCH($F37,NroCT!$A$18:$A1405,0),0,1,1),Periodovigente) ,A37) ,'Cuadro tarifario'!A$2:A1405,0) -1 , 0 , 1 , 1))</f>
        <v>9000</v>
      </c>
      <c r="I37" s="25">
        <f t="shared" ref="I37:I39" si="31">INT(IF(F37,DAYS360(          DATE(YEAR(E37),MONTH(E37),1),         DATE(YEAR(F37)     ,      MONTH(F37),1 )    )            /30,0 ))</f>
        <v>1</v>
      </c>
      <c r="J37" s="24">
        <f t="shared" si="15"/>
        <v>9000</v>
      </c>
      <c r="K37" s="26">
        <f>IF(  AND(N37&gt;0,I37=0)          ,N37 ,                         IF(  IF( F37 ,  DAYS360(DATE(YEAR(F37),MONTH(F37),1),Mes)/30  ,  DAYS360(DATE(YEAR(E37),MONTH(E37),1),Mes)/30  )  &gt;  0 , IF(F37,   DAYS360(DATE(YEAR(F37),MONTH(F37),1),Mes)/30  ,  DAYS360(DATE(YEAR(E37),MONTH(E37),1),Mes)/30) , 0)       )</f>
        <v>0</v>
      </c>
      <c r="L37" s="27">
        <f t="shared" ref="L37:L39" si="32">IF(ISERROR(K:K*H:H)   ,  0   ,   K:K*H:H)</f>
        <v>0</v>
      </c>
      <c r="M37" s="28"/>
      <c r="N37" s="29">
        <f>IF( ISERROR(OFFSET(SECUESTRADOS!D$1,MATCH(B37,SECUESTRADOS!A$2:A1405,0),0)) ,0 ,  OFFSET(SECUESTRADOS!D$1,MATCH(B37,SECUESTRADOS!A$2:A1405,0),0)  )</f>
        <v>0</v>
      </c>
      <c r="O37" s="30"/>
      <c r="P37" s="17" t="str">
        <f t="shared" si="3"/>
        <v>Bono canon</v>
      </c>
      <c r="Q37" s="17" t="str">
        <f t="shared" ref="Q37:Q39" si="33">IF(AND(A37=#REF!,B37=#REF!,C37=#REF!),"Repetido","")</f>
        <v>#REF!</v>
      </c>
      <c r="R37" s="31"/>
      <c r="S37" s="31"/>
      <c r="T37" s="31"/>
    </row>
    <row r="38">
      <c r="A38" s="18" t="s">
        <v>38</v>
      </c>
      <c r="B38" s="17">
        <v>610.0</v>
      </c>
      <c r="C38" s="19">
        <v>610.0</v>
      </c>
      <c r="D38" s="20" t="str">
        <f>IF(   ISERROR(OFFSET(PADRON!B$2,MATCH(C:C,PADRON!A$2:A1405,0)-1,0,1,1) )  ,  ,    OFFSET(PADRON!B$2,MATCH(C:C,PADRON!A$2:A1405,0)-1,0,1,1))</f>
        <v>GOUDAK, JORGE</v>
      </c>
      <c r="E38" s="21">
        <v>45809.0</v>
      </c>
      <c r="F38" s="21">
        <v>45901.0</v>
      </c>
      <c r="G38" s="23" t="s">
        <v>39</v>
      </c>
      <c r="H38" s="24">
        <f>IF( ISERROR( OFFSET(   'Cuadro tarifario'!D$2  , MATCH(CONCATENATE(                 IF(F38&gt;Mes,OFFSET(NroCT!B$17, MATCH($F38,NroCT!$A$18:$A1405,0),0,1,1),Periodovigente)                                                                                                                     ,A38) ,'Cuadro tarifario'!A$2:A1405,0) -1 , 0 , 1 , 1) )   , 0  ,   OFFSET(   'Cuadro tarifario'!D$2  , MATCH(CONCATENATE( IF(F38&gt;Mes,OFFSET(NroCT!B$17, MATCH($F38,NroCT!$A$18:$A1405,0),0,1,1),Periodovigente) ,A38) ,'Cuadro tarifario'!A$2:A1405,0) -1 , 0 , 1 , 1))</f>
        <v>9000</v>
      </c>
      <c r="I38" s="25">
        <f t="shared" si="31"/>
        <v>3</v>
      </c>
      <c r="J38" s="24">
        <f t="shared" si="15"/>
        <v>27000</v>
      </c>
      <c r="K38" s="26">
        <f>IF(  AND(N38&gt;0,I38=0)          ,N38 ,                         IF(  IF( F38 ,  DAYS360(DATE(YEAR(F38),MONTH(F38),1),Mes)/30  ,  DAYS360(DATE(YEAR(E38),MONTH(E38),1),Mes)/30  )  &gt;  0 , IF(F38,   DAYS360(DATE(YEAR(F38),MONTH(F38),1),Mes)/30  ,  DAYS360(DATE(YEAR(E38),MONTH(E38),1),Mes)/30) , 0)       )</f>
        <v>0</v>
      </c>
      <c r="L38" s="27">
        <f t="shared" si="32"/>
        <v>0</v>
      </c>
      <c r="M38" s="28"/>
      <c r="N38" s="29">
        <f>IF( ISERROR(OFFSET(SECUESTRADOS!D$1,MATCH(B38,SECUESTRADOS!A$2:A1405,0),0)) ,0 ,  OFFSET(SECUESTRADOS!D$1,MATCH(B38,SECUESTRADOS!A$2:A1405,0),0)  )</f>
        <v>0</v>
      </c>
      <c r="O38" s="30"/>
      <c r="P38" s="17" t="str">
        <f t="shared" si="3"/>
        <v>Bono canon</v>
      </c>
      <c r="Q38" s="17" t="str">
        <f t="shared" si="33"/>
        <v>#REF!</v>
      </c>
      <c r="R38" s="31"/>
      <c r="S38" s="31"/>
      <c r="T38" s="31"/>
    </row>
    <row r="39">
      <c r="A39" s="18" t="s">
        <v>40</v>
      </c>
      <c r="B39" s="18" t="s">
        <v>68</v>
      </c>
      <c r="C39" s="19">
        <v>610.0</v>
      </c>
      <c r="D39" s="20" t="str">
        <f>IF(   ISERROR(OFFSET(PADRON!B$2,MATCH(C:C,PADRON!A$2:A1405,0)-1,0,1,1) )  ,  ,    OFFSET(PADRON!B$2,MATCH(C:C,PADRON!A$2:A1405,0)-1,0,1,1))</f>
        <v>GOUDAK, JORGE</v>
      </c>
      <c r="E39" s="21">
        <v>45809.0</v>
      </c>
      <c r="F39" s="21">
        <v>45901.0</v>
      </c>
      <c r="G39" s="23" t="s">
        <v>39</v>
      </c>
      <c r="H39" s="24">
        <f>IF( ISERROR( OFFSET(   'Cuadro tarifario'!D$2  , MATCH(CONCATENATE(                 IF(F39&gt;Mes,OFFSET(NroCT!B$17, MATCH($F39,NroCT!$A$18:$A1405,0),0,1,1),Periodovigente)                                                                                                                     ,A39) ,'Cuadro tarifario'!A$2:A1405,0) -1 , 0 , 1 , 1) )   , 0  ,   OFFSET(   'Cuadro tarifario'!D$2  , MATCH(CONCATENATE( IF(F39&gt;Mes,OFFSET(NroCT!B$17, MATCH($F39,NroCT!$A$18:$A1405,0),0,1,1),Periodovigente) ,A39) ,'Cuadro tarifario'!A$2:A1405,0) -1 , 0 , 1 , 1))</f>
        <v>12000</v>
      </c>
      <c r="I39" s="25">
        <f t="shared" si="31"/>
        <v>3</v>
      </c>
      <c r="J39" s="24">
        <f t="shared" si="15"/>
        <v>36000</v>
      </c>
      <c r="K39" s="26">
        <f>IF(  AND(N39&gt;0,I39=0)          ,N39 ,                         IF(  IF( F39 ,  DAYS360(DATE(YEAR(F39),MONTH(F39),1),Mes)/30  ,  DAYS360(DATE(YEAR(E39),MONTH(E39),1),Mes)/30  )  &gt;  0 , IF(F39,   DAYS360(DATE(YEAR(F39),MONTH(F39),1),Mes)/30  ,  DAYS360(DATE(YEAR(E39),MONTH(E39),1),Mes)/30) , 0)       )</f>
        <v>0</v>
      </c>
      <c r="L39" s="27">
        <f t="shared" si="32"/>
        <v>0</v>
      </c>
      <c r="M39" s="28"/>
      <c r="N39" s="29">
        <f>IF( ISERROR(OFFSET(SECUESTRADOS!D$1,MATCH(B39,SECUESTRADOS!A$2:A1405,0),0)) ,0 ,  OFFSET(SECUESTRADOS!D$1,MATCH(B39,SECUESTRADOS!A$2:A1405,0),0)  )</f>
        <v>0</v>
      </c>
      <c r="O39" s="30"/>
      <c r="P39" s="17" t="str">
        <f t="shared" si="3"/>
        <v>cuna windsurf</v>
      </c>
      <c r="Q39" s="17" t="str">
        <f t="shared" si="33"/>
        <v>#REF!</v>
      </c>
      <c r="R39" s="31"/>
      <c r="S39" s="31"/>
      <c r="T39" s="31"/>
    </row>
    <row r="40">
      <c r="A40" s="42" t="s">
        <v>52</v>
      </c>
      <c r="B40" s="42" t="s">
        <v>69</v>
      </c>
      <c r="C40" s="19">
        <v>610.0</v>
      </c>
      <c r="D40" s="34" t="str">
        <f>if(   iserror(offset(PADRON!B$2,match(C:C,PADRON!A$2:A1405,0)-1,0,1,1) )  ,  ,    offset(PADRON!B$2,match(C:C,PADRON!A$2:A1405,0)-1,0,1,1))</f>
        <v>GOUDAK, JORGE</v>
      </c>
      <c r="E40" s="22">
        <v>45992.0</v>
      </c>
      <c r="F40" s="22"/>
      <c r="G40" s="32" t="s">
        <v>39</v>
      </c>
      <c r="H40" s="35">
        <f>IF( ISERROR( OFFSET(   'Cuadro tarifario'!D$2  , MATCH(CONCATENATE(                 IF(F40&gt;Mes,OFFSET(NroCT!B$17, MATCH($F40,NroCT!$A$18:$A1405,0),0,1,1),Periodovigente)                                                                                                                     ,A40) ,'Cuadro tarifario'!A$2:A1405,0) -1 , 0 , 1 , 1) )   , 0  ,   OFFSET(   'Cuadro tarifario'!D$2  , MATCH(CONCATENATE( IF(F40&gt;Mes,OFFSET(NroCT!B$17, MATCH($F40,NroCT!$A$18:$A1405,0),0,1,1),Periodovigente) ,A40) ,'Cuadro tarifario'!A$2:A1405,0) -1 , 0 , 1 , 1))</f>
        <v>4000</v>
      </c>
      <c r="I40" s="36">
        <f t="shared" ref="I40:I41" si="34">Int(If(F40,DAYS360(          date(Year(E40),Month(E40),1),         date(Year(F40)     ,      Month(F40),1 )    )            /30,0 ))</f>
        <v>0</v>
      </c>
      <c r="J40" s="37">
        <f t="shared" si="15"/>
        <v>0</v>
      </c>
      <c r="K40" s="38">
        <f>if(  and(N40&gt;0,I40=0)          ,N40 ,                         If(  If( F40 ,  DAYS360(date(year(F40),month(F40),1),Mes)/30  ,  DAYS360(date(year(E40),month(E40),1),Mes)/30  )  &gt;  0 , If(F40,   DAYS360(date(year(F40),month(F40),1),Mes)/30  ,  DAYS360(date(year(E40),month(E40),1),Mes)/30) , 0)       )</f>
        <v>0</v>
      </c>
      <c r="L40" s="39">
        <f t="shared" ref="L40:L41" si="35">If(Iserror(K:K*H:H)   ,  0   ,   K:K*H:H)</f>
        <v>0</v>
      </c>
      <c r="M40" s="40"/>
      <c r="N40" s="29">
        <f>IF( ISERROR(OFFSET(SECUESTRADOS!D$1,MATCH(B40,SECUESTRADOS!A$2:A1405,0),0)) ,0 ,  OFFSET(SECUESTRADOS!D$1,MATCH(B40,SECUESTRADOS!A$2:A1405,0),0)  )</f>
        <v>0</v>
      </c>
      <c r="O40" s="30"/>
      <c r="P40" s="17" t="b">
        <f t="shared" si="3"/>
        <v>0</v>
      </c>
      <c r="Q40" s="17" t="str">
        <f>IF(AND(A40=A38,B40=B38,C40=C38),"Repetido","")</f>
        <v/>
      </c>
      <c r="R40" s="31"/>
      <c r="S40" s="31"/>
      <c r="T40" s="31"/>
    </row>
    <row r="41">
      <c r="A41" s="42" t="s">
        <v>52</v>
      </c>
      <c r="B41" s="42" t="s">
        <v>70</v>
      </c>
      <c r="C41" s="19">
        <v>610.0</v>
      </c>
      <c r="D41" s="34" t="str">
        <f>if(   iserror(offset(PADRON!B$2,match(C:C,PADRON!A$2:A1405,0)-1,0,1,1) )  ,  ,    offset(PADRON!B$2,match(C:C,PADRON!A$2:A1405,0)-1,0,1,1))</f>
        <v>GOUDAK, JORGE</v>
      </c>
      <c r="E41" s="22">
        <v>45992.0</v>
      </c>
      <c r="F41" s="22"/>
      <c r="G41" s="23" t="s">
        <v>39</v>
      </c>
      <c r="H41" s="35">
        <f>IF( ISERROR( OFFSET(   'Cuadro tarifario'!D$2  , MATCH(CONCATENATE(                 IF(F41&gt;Mes,OFFSET(NroCT!B$17, MATCH($F41,NroCT!$A$18:$A1405,0),0,1,1),Periodovigente)                                                                                                                     ,A41) ,'Cuadro tarifario'!A$2:A1405,0) -1 , 0 , 1 , 1) )   , 0  ,   OFFSET(   'Cuadro tarifario'!D$2  , MATCH(CONCATENATE( IF(F41&gt;Mes,OFFSET(NroCT!B$17, MATCH($F41,NroCT!$A$18:$A1405,0),0,1,1),Periodovigente) ,A41) ,'Cuadro tarifario'!A$2:A1405,0) -1 , 0 , 1 , 1))</f>
        <v>4000</v>
      </c>
      <c r="I41" s="36">
        <f t="shared" si="34"/>
        <v>0</v>
      </c>
      <c r="J41" s="37">
        <f t="shared" si="15"/>
        <v>0</v>
      </c>
      <c r="K41" s="38">
        <f>if(  and(N41&gt;0,I41=0)          ,N41 ,                         If(  If( F41 ,  DAYS360(date(year(F41),month(F41),1),Mes)/30  ,  DAYS360(date(year(E41),month(E41),1),Mes)/30  )  &gt;  0 , If(F41,   DAYS360(date(year(F41),month(F41),1),Mes)/30  ,  DAYS360(date(year(E41),month(E41),1),Mes)/30) , 0)       )</f>
        <v>0</v>
      </c>
      <c r="L41" s="39">
        <f t="shared" si="35"/>
        <v>0</v>
      </c>
      <c r="M41" s="40"/>
      <c r="N41" s="29">
        <f>IF( ISERROR(OFFSET(SECUESTRADOS!D$1,MATCH(B41,SECUESTRADOS!A$2:A1405,0),0)) ,0 ,  OFFSET(SECUESTRADOS!D$1,MATCH(B41,SECUESTRADOS!A$2:A1405,0),0)  )</f>
        <v>0</v>
      </c>
      <c r="O41" s="30"/>
      <c r="P41" s="17" t="b">
        <f t="shared" si="3"/>
        <v>0</v>
      </c>
      <c r="Q41" s="17" t="str">
        <f>IF(AND(A41=A40,B41=B40,C41=C40),"Repetido","")</f>
        <v/>
      </c>
      <c r="R41" s="31"/>
      <c r="S41" s="31"/>
      <c r="T41" s="31"/>
    </row>
    <row r="42">
      <c r="A42" s="18" t="s">
        <v>38</v>
      </c>
      <c r="B42" s="17">
        <v>661.0</v>
      </c>
      <c r="C42" s="19">
        <v>661.0</v>
      </c>
      <c r="D42" s="20" t="str">
        <f>IF(   ISERROR(OFFSET(PADRON!B$2,MATCH(C:C,PADRON!A$2:A1405,0)-1,0,1,1) )  ,  ,    OFFSET(PADRON!B$2,MATCH(C:C,PADRON!A$2:A1405,0)-1,0,1,1))</f>
        <v>CASTAGNARI, CLAUDIA</v>
      </c>
      <c r="E42" s="21">
        <v>45839.0</v>
      </c>
      <c r="F42" s="21">
        <v>45870.0</v>
      </c>
      <c r="G42" s="23" t="s">
        <v>39</v>
      </c>
      <c r="H42" s="24">
        <f>IF( ISERROR( OFFSET(   'Cuadro tarifario'!D$2  , MATCH(CONCATENATE(                 IF(F42&gt;Mes,OFFSET(NroCT!B$17, MATCH($F42,NroCT!$A$18:$A1405,0),0,1,1),Periodovigente)                                                                                                                     ,A42) ,'Cuadro tarifario'!A$2:A1405,0) -1 , 0 , 1 , 1) )   , 0  ,   OFFSET(   'Cuadro tarifario'!D$2  , MATCH(CONCATENATE( IF(F42&gt;Mes,OFFSET(NroCT!B$17, MATCH($F42,NroCT!$A$18:$A1405,0),0,1,1),Periodovigente) ,A42) ,'Cuadro tarifario'!A$2:A1405,0) -1 , 0 , 1 , 1))</f>
        <v>9000</v>
      </c>
      <c r="I42" s="25">
        <f>INT(IF(F42,DAYS360(          DATE(YEAR(E42),MONTH(E42),1),         DATE(YEAR(F42)     ,      MONTH(F42),1 )    )            /30,0 ))</f>
        <v>1</v>
      </c>
      <c r="J42" s="24">
        <f t="shared" si="15"/>
        <v>9000</v>
      </c>
      <c r="K42" s="26">
        <f>IF(  AND(N42&gt;0,I42=0)          ,N42 ,                         IF(  IF( F42 ,  DAYS360(DATE(YEAR(F42),MONTH(F42),1),Mes)/30  ,  DAYS360(DATE(YEAR(E42),MONTH(E42),1),Mes)/30  )  &gt;  0 , IF(F42,   DAYS360(DATE(YEAR(F42),MONTH(F42),1),Mes)/30  ,  DAYS360(DATE(YEAR(E42),MONTH(E42),1),Mes)/30) , 0)       )</f>
        <v>0</v>
      </c>
      <c r="L42" s="27">
        <f>IF(ISERROR(K:K*H:H)   ,  0   ,   K:K*H:H)</f>
        <v>0</v>
      </c>
      <c r="M42" s="28"/>
      <c r="N42" s="29">
        <f>IF( ISERROR(OFFSET(SECUESTRADOS!D$1,MATCH(B42,SECUESTRADOS!A$2:A1405,0),0)) ,0 ,  OFFSET(SECUESTRADOS!D$1,MATCH(B42,SECUESTRADOS!A$2:A1405,0),0)  )</f>
        <v>0</v>
      </c>
      <c r="O42" s="30"/>
      <c r="P42" s="17" t="str">
        <f t="shared" si="3"/>
        <v>Bono canon</v>
      </c>
      <c r="Q42" s="17" t="str">
        <f>IF(AND(A42=#REF!,B42=#REF!,C42=#REF!),"Repetido","")</f>
        <v>#REF!</v>
      </c>
      <c r="R42" s="31"/>
      <c r="S42" s="31"/>
      <c r="T42" s="31"/>
    </row>
    <row r="43">
      <c r="A43" s="54" t="s">
        <v>71</v>
      </c>
      <c r="B43" s="54">
        <v>697.0</v>
      </c>
      <c r="C43" s="19">
        <v>697.0</v>
      </c>
      <c r="D43" s="34" t="str">
        <f>if(   iserror(offset(PADRON!B$2,match(C:C,PADRON!A$2:A1405,0)-1,0,1,1) )  ,  ,    offset(PADRON!B$2,match(C:C,PADRON!A$2:A1405,0)-1,0,1,1))</f>
        <v>ROMERO, IGNACIO</v>
      </c>
      <c r="E43" s="22">
        <v>45839.0</v>
      </c>
      <c r="F43" s="22">
        <v>45870.0</v>
      </c>
      <c r="G43" s="23" t="s">
        <v>39</v>
      </c>
      <c r="H43" s="35">
        <f>IF( ISERROR( OFFSET(   'Cuadro tarifario'!D$2  , MATCH(CONCATENATE(                 IF(F43&gt;Mes,OFFSET(NroCT!B$17, MATCH($F43,NroCT!$A$18:$A1405,0),0,1,1),Periodovigente)                                                                                                                     ,A43) ,'Cuadro tarifario'!A$2:A1405,0) -1 , 0 , 1 , 1) )   , 0  ,   OFFSET(   'Cuadro tarifario'!D$2  , MATCH(CONCATENATE( IF(F43&gt;Mes,OFFSET(NroCT!B$17, MATCH($F43,NroCT!$A$18:$A1405,0),0,1,1),Periodovigente) ,A43) ,'Cuadro tarifario'!A$2:A1405,0) -1 , 0 , 1 , 1))</f>
        <v>11000</v>
      </c>
      <c r="I43" s="36">
        <f>Int(If(F43,DAYS360(          date(Year(E43),Month(E43),1),         date(Year(F43)     ,      Month(F43),1 )    )            /30,0 ))</f>
        <v>1</v>
      </c>
      <c r="J43" s="37">
        <f t="shared" si="15"/>
        <v>11000</v>
      </c>
      <c r="K43" s="38">
        <f>if(  and(N43&gt;0,I43=0)          ,N43 ,                         If(  If( F43 ,  DAYS360(date(year(F43),month(F43),1),Mes)/30  ,  DAYS360(date(year(E43),month(E43),1),Mes)/30  )  &gt;  0 , If(F43,   DAYS360(date(year(F43),month(F43),1),Mes)/30  ,  DAYS360(date(year(E43),month(E43),1),Mes)/30) , 0)       )</f>
        <v>0</v>
      </c>
      <c r="L43" s="39">
        <f>If(Iserror(K:K*H:H)   ,  0   ,   K:K*H:H)</f>
        <v>0</v>
      </c>
      <c r="N43" s="29">
        <f>IF( ISERROR(OFFSET(SECUESTRADOS!D$1,MATCH(B43,SECUESTRADOS!A$2:A1405,0),0)) ,0 ,  OFFSET(SECUESTRADOS!D$1,MATCH(B43,SECUESTRADOS!A$2:A1405,0),0)  )</f>
        <v>0</v>
      </c>
      <c r="O43" s="30"/>
      <c r="P43" s="17" t="str">
        <f t="shared" si="3"/>
        <v>.socio</v>
      </c>
      <c r="Q43" s="17" t="str">
        <f t="shared" ref="Q43:Q45" si="36">IF(AND(A43=A42,B43=B42,C43=C42),"Repetido","")</f>
        <v/>
      </c>
      <c r="R43" s="31"/>
      <c r="S43" s="31"/>
      <c r="T43" s="31"/>
    </row>
    <row r="44">
      <c r="A44" s="18" t="s">
        <v>38</v>
      </c>
      <c r="B44" s="17">
        <v>697.0</v>
      </c>
      <c r="C44" s="19">
        <v>697.0</v>
      </c>
      <c r="D44" s="20" t="str">
        <f>IF(   ISERROR(OFFSET(PADRON!B$2,MATCH(C:C,PADRON!A$2:A1405,0)-1,0,1,1) )  ,  ,    OFFSET(PADRON!B$2,MATCH(C:C,PADRON!A$2:A1405,0)-1,0,1,1))</f>
        <v>ROMERO, IGNACIO</v>
      </c>
      <c r="E44" s="21">
        <v>45839.0</v>
      </c>
      <c r="F44" s="21">
        <v>45870.0</v>
      </c>
      <c r="G44" s="23" t="s">
        <v>39</v>
      </c>
      <c r="H44" s="24">
        <f>IF( ISERROR( OFFSET(   'Cuadro tarifario'!D$2  , MATCH(CONCATENATE(                 IF(F44&gt;Mes,OFFSET(NroCT!B$17, MATCH($F44,NroCT!$A$18:$A1405,0),0,1,1),Periodovigente)                                                                                                                     ,A44) ,'Cuadro tarifario'!A$2:A1405,0) -1 , 0 , 1 , 1) )   , 0  ,   OFFSET(   'Cuadro tarifario'!D$2  , MATCH(CONCATENATE( IF(F44&gt;Mes,OFFSET(NroCT!B$17, MATCH($F44,NroCT!$A$18:$A1405,0),0,1,1),Periodovigente) ,A44) ,'Cuadro tarifario'!A$2:A1405,0) -1 , 0 , 1 , 1))</f>
        <v>9000</v>
      </c>
      <c r="I44" s="25">
        <f t="shared" ref="I44:I46" si="37">INT(IF(F44,DAYS360(          DATE(YEAR(E44),MONTH(E44),1),         DATE(YEAR(F44)     ,      MONTH(F44),1 )    )            /30,0 ))</f>
        <v>1</v>
      </c>
      <c r="J44" s="24">
        <f t="shared" si="15"/>
        <v>9000</v>
      </c>
      <c r="K44" s="26">
        <f>IF(  AND(N44&gt;0,I44=0)          ,N44 ,                         IF(  IF( F44 ,  DAYS360(DATE(YEAR(F44),MONTH(F44),1),Mes)/30  ,  DAYS360(DATE(YEAR(E44),MONTH(E44),1),Mes)/30  )  &gt;  0 , IF(F44,   DAYS360(DATE(YEAR(F44),MONTH(F44),1),Mes)/30  ,  DAYS360(DATE(YEAR(E44),MONTH(E44),1),Mes)/30) , 0)       )</f>
        <v>0</v>
      </c>
      <c r="L44" s="27">
        <f t="shared" ref="L44:L46" si="38">IF(ISERROR(K:K*H:H)   ,  0   ,   K:K*H:H)</f>
        <v>0</v>
      </c>
      <c r="N44" s="29">
        <f>IF( ISERROR(OFFSET(SECUESTRADOS!D$1,MATCH(B44,SECUESTRADOS!A$2:A1405,0),0)) ,0 ,  OFFSET(SECUESTRADOS!D$1,MATCH(B44,SECUESTRADOS!A$2:A1405,0),0)  )</f>
        <v>0</v>
      </c>
      <c r="O44" s="30"/>
      <c r="P44" s="17" t="str">
        <f t="shared" si="3"/>
        <v>Bono canon</v>
      </c>
      <c r="Q44" s="17" t="str">
        <f t="shared" si="36"/>
        <v/>
      </c>
      <c r="R44" s="31"/>
      <c r="S44" s="31"/>
      <c r="T44" s="31"/>
    </row>
    <row r="45">
      <c r="A45" s="18" t="s">
        <v>40</v>
      </c>
      <c r="B45" s="18" t="s">
        <v>72</v>
      </c>
      <c r="C45" s="19">
        <v>697.0</v>
      </c>
      <c r="D45" s="20" t="str">
        <f>IF(   ISERROR(OFFSET(PADRON!B$2,MATCH(C:C,PADRON!A$2:A1405,0)-1,0,1,1) )  ,  ,    OFFSET(PADRON!B$2,MATCH(C:C,PADRON!A$2:A1405,0)-1,0,1,1))</f>
        <v>ROMERO, IGNACIO</v>
      </c>
      <c r="E45" s="21">
        <v>45839.0</v>
      </c>
      <c r="F45" s="21">
        <v>45870.0</v>
      </c>
      <c r="G45" s="23" t="s">
        <v>39</v>
      </c>
      <c r="H45" s="24">
        <f>IF( ISERROR( OFFSET(   'Cuadro tarifario'!D$2  , MATCH(CONCATENATE(                 IF(F45&gt;Mes,OFFSET(NroCT!B$17, MATCH($F45,NroCT!$A$18:$A1405,0),0,1,1),Periodovigente)                                                                                                                     ,A45) ,'Cuadro tarifario'!A$2:A1405,0) -1 , 0 , 1 , 1) )   , 0  ,   OFFSET(   'Cuadro tarifario'!D$2  , MATCH(CONCATENATE( IF(F45&gt;Mes,OFFSET(NroCT!B$17, MATCH($F45,NroCT!$A$18:$A1405,0),0,1,1),Periodovigente) ,A45) ,'Cuadro tarifario'!A$2:A1405,0) -1 , 0 , 1 , 1))</f>
        <v>12000</v>
      </c>
      <c r="I45" s="25">
        <f t="shared" si="37"/>
        <v>1</v>
      </c>
      <c r="J45" s="24">
        <f t="shared" si="15"/>
        <v>12000</v>
      </c>
      <c r="K45" s="26">
        <f>IF(  AND(N45&gt;0,I45=0)          ,N45 ,                         IF(  IF( F45 ,  DAYS360(DATE(YEAR(F45),MONTH(F45),1),Mes)/30  ,  DAYS360(DATE(YEAR(E45),MONTH(E45),1),Mes)/30  )  &gt;  0 , IF(F45,   DAYS360(DATE(YEAR(F45),MONTH(F45),1),Mes)/30  ,  DAYS360(DATE(YEAR(E45),MONTH(E45),1),Mes)/30) , 0)       )</f>
        <v>0</v>
      </c>
      <c r="L45" s="27">
        <f t="shared" si="38"/>
        <v>0</v>
      </c>
      <c r="N45" s="29">
        <f>IF( ISERROR(OFFSET(SECUESTRADOS!D$1,MATCH(B45,SECUESTRADOS!A$2:A1405,0),0)) ,0 ,  OFFSET(SECUESTRADOS!D$1,MATCH(B45,SECUESTRADOS!A$2:A1405,0),0)  )</f>
        <v>0</v>
      </c>
      <c r="O45" s="30"/>
      <c r="P45" s="17" t="str">
        <f t="shared" si="3"/>
        <v>cuna windsurf</v>
      </c>
      <c r="Q45" s="17" t="str">
        <f t="shared" si="36"/>
        <v/>
      </c>
      <c r="R45" s="31"/>
      <c r="S45" s="31"/>
      <c r="T45" s="31"/>
    </row>
    <row r="46">
      <c r="A46" s="18" t="s">
        <v>50</v>
      </c>
      <c r="B46" s="18" t="s">
        <v>73</v>
      </c>
      <c r="C46" s="19">
        <v>697.0</v>
      </c>
      <c r="D46" s="20" t="str">
        <f>IF(   ISERROR(OFFSET(PADRON!B$2,MATCH(C:C,PADRON!A$2:A1405,0)-1,0,1,1) )  ,  ,    OFFSET(PADRON!B$2,MATCH(C:C,PADRON!A$2:A1405,0)-1,0,1,1))</f>
        <v>ROMERO, IGNACIO</v>
      </c>
      <c r="E46" s="21">
        <v>45992.0</v>
      </c>
      <c r="F46" s="21"/>
      <c r="G46" s="23" t="s">
        <v>39</v>
      </c>
      <c r="H46" s="24">
        <f>IF( ISERROR( OFFSET(   'Cuadro tarifario'!D$2  , MATCH(CONCATENATE(                 IF(F46&gt;Mes,OFFSET(NroCT!B$17, MATCH($F46,NroCT!$A$18:$A1405,0),0,1,1),Periodovigente)                                                                                                                     ,A46) ,'Cuadro tarifario'!A$2:A1405,0) -1 , 0 , 1 , 1) )   , 0  ,   OFFSET(   'Cuadro tarifario'!D$2  , MATCH(CONCATENATE( IF(F46&gt;Mes,OFFSET(NroCT!B$17, MATCH($F46,NroCT!$A$18:$A1405,0),0,1,1),Periodovigente) ,A46) ,'Cuadro tarifario'!A$2:A1405,0) -1 , 0 , 1 , 1))</f>
        <v>3600</v>
      </c>
      <c r="I46" s="25">
        <f t="shared" si="37"/>
        <v>0</v>
      </c>
      <c r="J46" s="24">
        <f t="shared" si="15"/>
        <v>0</v>
      </c>
      <c r="K46" s="26">
        <f>IF(  AND(N46&gt;0,I46=0)          ,N46 ,                         IF(  IF( F46 ,  DAYS360(DATE(YEAR(F46),MONTH(F46),1),Mes)/30  ,  DAYS360(DATE(YEAR(E46),MONTH(E46),1),Mes)/30  )  &gt;  0 , IF(F46,   DAYS360(DATE(YEAR(F46),MONTH(F46),1),Mes)/30  ,  DAYS360(DATE(YEAR(E46),MONTH(E46),1),Mes)/30) , 0)       )</f>
        <v>0</v>
      </c>
      <c r="L46" s="27">
        <f t="shared" si="38"/>
        <v>0</v>
      </c>
      <c r="N46" s="29">
        <f>IF( ISERROR(OFFSET(SECUESTRADOS!D$1,MATCH(B46,SECUESTRADOS!A$2:A1405,0),0)) ,0 ,  OFFSET(SECUESTRADOS!D$1,MATCH(B46,SECUESTRADOS!A$2:A1405,0),0)  )</f>
        <v>0</v>
      </c>
      <c r="O46" s="30"/>
      <c r="P46" s="17" t="b">
        <f t="shared" si="3"/>
        <v>0</v>
      </c>
      <c r="Q46" s="17" t="str">
        <f>IF(AND(A46=A44,B46=B44,C46=C44),"Repetido","")</f>
        <v/>
      </c>
      <c r="R46" s="31"/>
      <c r="S46" s="31"/>
      <c r="T46" s="31"/>
    </row>
    <row r="47">
      <c r="A47" s="41" t="s">
        <v>42</v>
      </c>
      <c r="B47" s="41" t="s">
        <v>74</v>
      </c>
      <c r="C47" s="19">
        <v>697.0</v>
      </c>
      <c r="D47" s="34" t="str">
        <f>if(   iserror(offset(PADRON!B$2,match(C:C,PADRON!A$2:A1405,0)-1,0,1,1) )  ,  ,    offset(PADRON!B$2,match(C:C,PADRON!A$2:A1405,0)-1,0,1,1))</f>
        <v>ROMERO, IGNACIO</v>
      </c>
      <c r="E47" s="22">
        <v>45992.0</v>
      </c>
      <c r="F47" s="22"/>
      <c r="G47" s="23" t="s">
        <v>39</v>
      </c>
      <c r="H47" s="35">
        <f>IF( ISERROR( OFFSET(   'Cuadro tarifario'!D$2  , MATCH(CONCATENATE(                 IF(F47&gt;Mes,OFFSET(NroCT!B$17, MATCH($F47,NroCT!$A$18:$A1405,0),0,1,1),Periodovigente)                                                                                                                     ,A47) ,'Cuadro tarifario'!A$2:A1405,0) -1 , 0 , 1 , 1) )   , 0  ,   OFFSET(   'Cuadro tarifario'!D$2  , MATCH(CONCATENATE( IF(F47&gt;Mes,OFFSET(NroCT!B$17, MATCH($F47,NroCT!$A$18:$A1405,0),0,1,1),Periodovigente) ,A47) ,'Cuadro tarifario'!A$2:A1405,0) -1 , 0 , 1 , 1))</f>
        <v>4000</v>
      </c>
      <c r="I47" s="36">
        <f t="shared" ref="I47:I48" si="39">Int(If(F47,DAYS360(          date(Year(E47),Month(E47),1),         date(Year(F47)     ,      Month(F47),1 )    )            /30,0 ))</f>
        <v>0</v>
      </c>
      <c r="J47" s="37">
        <f t="shared" si="15"/>
        <v>0</v>
      </c>
      <c r="K47" s="38">
        <f>if(  and(N47&gt;0,I47=0)          ,N47 ,                         If(  If( F47 ,  DAYS360(date(year(F47),month(F47),1),Mes)/30  ,  DAYS360(date(year(E47),month(E47),1),Mes)/30  )  &gt;  0 , If(F47,   DAYS360(date(year(F47),month(F47),1),Mes)/30  ,  DAYS360(date(year(E47),month(E47),1),Mes)/30) , 0)       )</f>
        <v>0</v>
      </c>
      <c r="L47" s="39">
        <f t="shared" ref="L47:L48" si="40">If(Iserror(K:K*H:H)   ,  0   ,   K:K*H:H)</f>
        <v>0</v>
      </c>
      <c r="M47" s="40"/>
      <c r="N47" s="29">
        <f>IF( ISERROR(OFFSET(SECUESTRADOS!D$1,MATCH(B47,SECUESTRADOS!A$2:A1405,0),0)) ,0 ,  OFFSET(SECUESTRADOS!D$1,MATCH(B47,SECUESTRADOS!A$2:A1405,0),0)  )</f>
        <v>0</v>
      </c>
      <c r="O47" s="30"/>
      <c r="P47" s="17" t="b">
        <f t="shared" si="3"/>
        <v>0</v>
      </c>
      <c r="Q47" s="17" t="str">
        <f>IF(AND(A47=#REF!,B47=#REF!,C47=#REF!),"Repetido","")</f>
        <v>#REF!</v>
      </c>
      <c r="R47" s="31"/>
      <c r="S47" s="31"/>
      <c r="T47" s="31"/>
    </row>
    <row r="48">
      <c r="A48" s="54" t="s">
        <v>71</v>
      </c>
      <c r="B48" s="54">
        <v>700.0</v>
      </c>
      <c r="C48" s="19">
        <v>700.0</v>
      </c>
      <c r="D48" s="34" t="str">
        <f>if(   iserror(offset(PADRON!B$2,match(C:C,PADRON!A$2:A1405,0)-1,0,1,1) )  ,  ,    offset(PADRON!B$2,match(C:C,PADRON!A$2:A1405,0)-1,0,1,1))</f>
        <v>VILLALBA, OSCAR ENRIQUE</v>
      </c>
      <c r="E48" s="22">
        <v>45839.0</v>
      </c>
      <c r="F48" s="22">
        <v>45901.0</v>
      </c>
      <c r="G48" s="23" t="s">
        <v>39</v>
      </c>
      <c r="H48" s="35">
        <f>IF( ISERROR( OFFSET(   'Cuadro tarifario'!D$2  , MATCH(CONCATENATE(                 IF(F48&gt;Mes,OFFSET(NroCT!B$17, MATCH($F48,NroCT!$A$18:$A1405,0),0,1,1),Periodovigente)                                                                                                                     ,A48) ,'Cuadro tarifario'!A$2:A1405,0) -1 , 0 , 1 , 1) )   , 0  ,   OFFSET(   'Cuadro tarifario'!D$2  , MATCH(CONCATENATE( IF(F48&gt;Mes,OFFSET(NroCT!B$17, MATCH($F48,NroCT!$A$18:$A1405,0),0,1,1),Periodovigente) ,A48) ,'Cuadro tarifario'!A$2:A1405,0) -1 , 0 , 1 , 1))</f>
        <v>11000</v>
      </c>
      <c r="I48" s="36">
        <f t="shared" si="39"/>
        <v>2</v>
      </c>
      <c r="J48" s="37">
        <f t="shared" si="15"/>
        <v>22000</v>
      </c>
      <c r="K48" s="38">
        <f>if(  and(N48&gt;0,I48=0)          ,N48 ,                         If(  If( F48 ,  DAYS360(date(year(F48),month(F48),1),Mes)/30  ,  DAYS360(date(year(E48),month(E48),1),Mes)/30  )  &gt;  0 , If(F48,   DAYS360(date(year(F48),month(F48),1),Mes)/30  ,  DAYS360(date(year(E48),month(E48),1),Mes)/30) , 0)       )</f>
        <v>0</v>
      </c>
      <c r="L48" s="39">
        <f t="shared" si="40"/>
        <v>0</v>
      </c>
      <c r="M48" s="40"/>
      <c r="N48" s="29">
        <f>IF( ISERROR(OFFSET(SECUESTRADOS!D$1,MATCH(B48,SECUESTRADOS!A$2:A1405,0),0)) ,0 ,  OFFSET(SECUESTRADOS!D$1,MATCH(B48,SECUESTRADOS!A$2:A1405,0),0)  )</f>
        <v>0</v>
      </c>
      <c r="O48" s="30"/>
      <c r="P48" s="17" t="str">
        <f t="shared" si="3"/>
        <v>.socio</v>
      </c>
      <c r="Q48" s="17" t="str">
        <f t="shared" ref="Q48:Q56" si="41">IF(AND(A48=A47,B48=B47,C48=C47),"Repetido","")</f>
        <v/>
      </c>
      <c r="R48" s="31"/>
      <c r="S48" s="31"/>
      <c r="T48" s="31"/>
    </row>
    <row r="49">
      <c r="A49" s="18" t="s">
        <v>38</v>
      </c>
      <c r="B49" s="17">
        <v>700.0</v>
      </c>
      <c r="C49" s="19">
        <v>700.0</v>
      </c>
      <c r="D49" s="20" t="str">
        <f>IF(   ISERROR(OFFSET(PADRON!B$2,MATCH(C:C,PADRON!A$2:A1405,0)-1,0,1,1) )  ,  ,    OFFSET(PADRON!B$2,MATCH(C:C,PADRON!A$2:A1405,0)-1,0,1,1))</f>
        <v>VILLALBA, OSCAR ENRIQUE</v>
      </c>
      <c r="E49" s="21">
        <v>45839.0</v>
      </c>
      <c r="F49" s="21">
        <v>45901.0</v>
      </c>
      <c r="G49" s="23" t="s">
        <v>39</v>
      </c>
      <c r="H49" s="24">
        <f>IF( ISERROR( OFFSET(   'Cuadro tarifario'!D$2  , MATCH(CONCATENATE(                 IF(F49&gt;Mes,OFFSET(NroCT!B$17, MATCH($F49,NroCT!$A$18:$A1405,0),0,1,1),Periodovigente)                                                                                                                     ,A49) ,'Cuadro tarifario'!A$2:A1405,0) -1 , 0 , 1 , 1) )   , 0  ,   OFFSET(   'Cuadro tarifario'!D$2  , MATCH(CONCATENATE( IF(F49&gt;Mes,OFFSET(NroCT!B$17, MATCH($F49,NroCT!$A$18:$A1405,0),0,1,1),Periodovigente) ,A49) ,'Cuadro tarifario'!A$2:A1405,0) -1 , 0 , 1 , 1))</f>
        <v>9000</v>
      </c>
      <c r="I49" s="25">
        <f>INT(IF(F49,DAYS360(          DATE(YEAR(E49),MONTH(E49),1),         DATE(YEAR(F49)     ,      MONTH(F49),1 )    )            /30,0 ))</f>
        <v>2</v>
      </c>
      <c r="J49" s="24">
        <f t="shared" si="15"/>
        <v>18000</v>
      </c>
      <c r="K49" s="26">
        <f>IF(  AND(N49&gt;0,I49=0)          ,N49 ,                         IF(  IF( F49 ,  DAYS360(DATE(YEAR(F49),MONTH(F49),1),Mes)/30  ,  DAYS360(DATE(YEAR(E49),MONTH(E49),1),Mes)/30  )  &gt;  0 , IF(F49,   DAYS360(DATE(YEAR(F49),MONTH(F49),1),Mes)/30  ,  DAYS360(DATE(YEAR(E49),MONTH(E49),1),Mes)/30) , 0)       )</f>
        <v>0</v>
      </c>
      <c r="L49" s="27">
        <f>IF(ISERROR(K:K*H:H)   ,  0   ,   K:K*H:H)</f>
        <v>0</v>
      </c>
      <c r="M49" s="28"/>
      <c r="N49" s="29">
        <f>IF( ISERROR(OFFSET(SECUESTRADOS!D$1,MATCH(B49,SECUESTRADOS!A$2:A1405,0),0)) ,0 ,  OFFSET(SECUESTRADOS!D$1,MATCH(B49,SECUESTRADOS!A$2:A1405,0),0)  )</f>
        <v>0</v>
      </c>
      <c r="O49" s="30"/>
      <c r="P49" s="17" t="str">
        <f t="shared" si="3"/>
        <v>Bono canon</v>
      </c>
      <c r="Q49" s="17" t="str">
        <f t="shared" si="41"/>
        <v/>
      </c>
      <c r="R49" s="31"/>
      <c r="S49" s="31"/>
      <c r="T49" s="31"/>
    </row>
    <row r="50">
      <c r="A50" s="33" t="s">
        <v>40</v>
      </c>
      <c r="B50" s="33" t="s">
        <v>75</v>
      </c>
      <c r="C50" s="19">
        <v>700.0</v>
      </c>
      <c r="D50" s="34" t="str">
        <f>if(   iserror(offset(PADRON!B$2,match(C:C,PADRON!A$2:A1405,0)-1,0,1,1) )  ,  ,    offset(PADRON!B$2,match(C:C,PADRON!A$2:A1405,0)-1,0,1,1))</f>
        <v>VILLALBA, OSCAR ENRIQUE</v>
      </c>
      <c r="E50" s="22">
        <v>45839.0</v>
      </c>
      <c r="F50" s="22">
        <v>45901.0</v>
      </c>
      <c r="G50" s="23" t="s">
        <v>39</v>
      </c>
      <c r="H50" s="35">
        <f>IF( ISERROR( OFFSET(   'Cuadro tarifario'!D$2  , MATCH(CONCATENATE(                 IF(F50&gt;Mes,OFFSET(NroCT!B$17, MATCH($F50,NroCT!$A$18:$A1405,0),0,1,1),Periodovigente)                                                                                                                     ,A50) ,'Cuadro tarifario'!A$2:A1405,0) -1 , 0 , 1 , 1) )   , 0  ,   OFFSET(   'Cuadro tarifario'!D$2  , MATCH(CONCATENATE( IF(F50&gt;Mes,OFFSET(NroCT!B$17, MATCH($F50,NroCT!$A$18:$A1405,0),0,1,1),Periodovigente) ,A50) ,'Cuadro tarifario'!A$2:A1405,0) -1 , 0 , 1 , 1))</f>
        <v>12000</v>
      </c>
      <c r="I50" s="36">
        <f t="shared" ref="I50:I51" si="42">Int(If(F50,DAYS360(          date(Year(E50),Month(E50),1),         date(Year(F50)     ,      Month(F50),1 )    )            /30,0 ))</f>
        <v>2</v>
      </c>
      <c r="J50" s="37">
        <f t="shared" si="15"/>
        <v>24000</v>
      </c>
      <c r="K50" s="38">
        <f>if(  and(N50&gt;0,I50=0)          ,N50 ,                         If(  If( F50 ,  DAYS360(date(year(F50),month(F50),1),Mes)/30  ,  DAYS360(date(year(E50),month(E50),1),Mes)/30  )  &gt;  0 , If(F50,   DAYS360(date(year(F50),month(F50),1),Mes)/30  ,  DAYS360(date(year(E50),month(E50),1),Mes)/30) , 0)       )</f>
        <v>0</v>
      </c>
      <c r="L50" s="39">
        <f t="shared" ref="L50:L51" si="43">If(Iserror(K:K*H:H)   ,  0   ,   K:K*H:H)</f>
        <v>0</v>
      </c>
      <c r="M50" s="40"/>
      <c r="N50" s="29">
        <f>IF( ISERROR(OFFSET(SECUESTRADOS!D$1,MATCH(B50,SECUESTRADOS!A$2:A1405,0),0)) ,0 ,  OFFSET(SECUESTRADOS!D$1,MATCH(B50,SECUESTRADOS!A$2:A1405,0),0)  )</f>
        <v>0</v>
      </c>
      <c r="O50" s="30"/>
      <c r="P50" s="17" t="str">
        <f t="shared" si="3"/>
        <v>cuna windsurf</v>
      </c>
      <c r="Q50" s="17" t="str">
        <f t="shared" si="41"/>
        <v/>
      </c>
      <c r="R50" s="31"/>
      <c r="S50" s="31"/>
      <c r="T50" s="31"/>
    </row>
    <row r="51">
      <c r="A51" s="54" t="s">
        <v>71</v>
      </c>
      <c r="B51" s="54">
        <v>726.0</v>
      </c>
      <c r="C51" s="19">
        <v>726.0</v>
      </c>
      <c r="D51" s="34" t="str">
        <f>if(   iserror(offset(PADRON!B$2,match(C:C,PADRON!A$2:A1405,0)-1,0,1,1) )  ,  ,    offset(PADRON!B$2,match(C:C,PADRON!A$2:A1405,0)-1,0,1,1))</f>
        <v>VARRONE CECILIA</v>
      </c>
      <c r="E51" s="22">
        <v>45839.0</v>
      </c>
      <c r="F51" s="22">
        <v>45870.0</v>
      </c>
      <c r="G51" s="23" t="s">
        <v>56</v>
      </c>
      <c r="H51" s="35">
        <f>IF( ISERROR( OFFSET(   'Cuadro tarifario'!D$2  , MATCH(CONCATENATE(                 IF(F51&gt;Mes,OFFSET(NroCT!B$17, MATCH($F51,NroCT!$A$18:$A1405,0),0,1,1),Periodovigente)                                                                                                                     ,A51) ,'Cuadro tarifario'!A$2:A1405,0) -1 , 0 , 1 , 1) )   , 0  ,   OFFSET(   'Cuadro tarifario'!D$2  , MATCH(CONCATENATE( IF(F51&gt;Mes,OFFSET(NroCT!B$17, MATCH($F51,NroCT!$A$18:$A1405,0),0,1,1),Periodovigente) ,A51) ,'Cuadro tarifario'!A$2:A1405,0) -1 , 0 , 1 , 1))</f>
        <v>11000</v>
      </c>
      <c r="I51" s="36">
        <f t="shared" si="42"/>
        <v>1</v>
      </c>
      <c r="J51" s="37">
        <f t="shared" si="15"/>
        <v>11000</v>
      </c>
      <c r="K51" s="38">
        <f>if(  and(N51&gt;0,I51=0)          ,N51 ,                         If(  If( F51 ,  DAYS360(date(year(F51),month(F51),1),Mes)/30  ,  DAYS360(date(year(E51),month(E51),1),Mes)/30  )  &gt;  0 , If(F51,   DAYS360(date(year(F51),month(F51),1),Mes)/30  ,  DAYS360(date(year(E51),month(E51),1),Mes)/30) , 0)       )</f>
        <v>0</v>
      </c>
      <c r="L51" s="39">
        <f t="shared" si="43"/>
        <v>0</v>
      </c>
      <c r="M51" s="40"/>
      <c r="N51" s="29">
        <f>IF( ISERROR(OFFSET(SECUESTRADOS!D$1,MATCH(B51,SECUESTRADOS!A$2:A1405,0),0)) ,0 ,  OFFSET(SECUESTRADOS!D$1,MATCH(B51,SECUESTRADOS!A$2:A1405,0),0)  )</f>
        <v>0</v>
      </c>
      <c r="O51" s="30"/>
      <c r="P51" s="17" t="str">
        <f t="shared" si="3"/>
        <v>.socio</v>
      </c>
      <c r="Q51" s="17" t="str">
        <f t="shared" si="41"/>
        <v/>
      </c>
      <c r="R51" s="31"/>
      <c r="S51" s="31"/>
      <c r="T51" s="31"/>
    </row>
    <row r="52">
      <c r="A52" s="18" t="s">
        <v>38</v>
      </c>
      <c r="B52" s="17">
        <v>726.0</v>
      </c>
      <c r="C52" s="19">
        <v>726.0</v>
      </c>
      <c r="D52" s="20" t="str">
        <f>IF(   ISERROR(OFFSET(PADRON!B$2,MATCH(C:C,PADRON!A$2:A1405,0)-1,0,1,1) )  ,  ,    OFFSET(PADRON!B$2,MATCH(C:C,PADRON!A$2:A1405,0)-1,0,1,1))</f>
        <v>VARRONE CECILIA</v>
      </c>
      <c r="E52" s="21">
        <v>45839.0</v>
      </c>
      <c r="F52" s="21">
        <v>45870.0</v>
      </c>
      <c r="G52" s="23" t="s">
        <v>56</v>
      </c>
      <c r="H52" s="24">
        <f>IF( ISERROR( OFFSET(   'Cuadro tarifario'!D$2  , MATCH(CONCATENATE(                 IF(F52&gt;Mes,OFFSET(NroCT!B$17, MATCH($F52,NroCT!$A$18:$A1405,0),0,1,1),Periodovigente)                                                                                                                     ,A52) ,'Cuadro tarifario'!A$2:A1405,0) -1 , 0 , 1 , 1) )   , 0  ,   OFFSET(   'Cuadro tarifario'!D$2  , MATCH(CONCATENATE( IF(F52&gt;Mes,OFFSET(NroCT!B$17, MATCH($F52,NroCT!$A$18:$A1405,0),0,1,1),Periodovigente) ,A52) ,'Cuadro tarifario'!A$2:A1405,0) -1 , 0 , 1 , 1))</f>
        <v>9000</v>
      </c>
      <c r="I52" s="25">
        <f>INT(IF(F52,DAYS360(          DATE(YEAR(E52),MONTH(E52),1),         DATE(YEAR(F52)     ,      MONTH(F52),1 )    )            /30,0 ))</f>
        <v>1</v>
      </c>
      <c r="J52" s="24">
        <f t="shared" si="15"/>
        <v>9000</v>
      </c>
      <c r="K52" s="26">
        <f>IF(  AND(N52&gt;0,I52=0)          ,N52 ,                         IF(  IF( F52 ,  DAYS360(DATE(YEAR(F52),MONTH(F52),1),Mes)/30  ,  DAYS360(DATE(YEAR(E52),MONTH(E52),1),Mes)/30  )  &gt;  0 , IF(F52,   DAYS360(DATE(YEAR(F52),MONTH(F52),1),Mes)/30  ,  DAYS360(DATE(YEAR(E52),MONTH(E52),1),Mes)/30) , 0)       )</f>
        <v>0</v>
      </c>
      <c r="L52" s="27">
        <f>IF(ISERROR(K:K*H:H)   ,  0   ,   K:K*H:H)</f>
        <v>0</v>
      </c>
      <c r="M52" s="28"/>
      <c r="N52" s="29">
        <f>IF( ISERROR(OFFSET(SECUESTRADOS!D$1,MATCH(B52,SECUESTRADOS!A$2:A1405,0),0)) ,0 ,  OFFSET(SECUESTRADOS!D$1,MATCH(B52,SECUESTRADOS!A$2:A1405,0),0)  )</f>
        <v>0</v>
      </c>
      <c r="O52" s="30"/>
      <c r="P52" s="17" t="str">
        <f t="shared" si="3"/>
        <v>Bono canon</v>
      </c>
      <c r="Q52" s="17" t="str">
        <f t="shared" si="41"/>
        <v/>
      </c>
      <c r="R52" s="31"/>
      <c r="S52" s="31"/>
      <c r="T52" s="31"/>
    </row>
    <row r="53">
      <c r="A53" s="54" t="s">
        <v>71</v>
      </c>
      <c r="B53" s="54">
        <v>732.0</v>
      </c>
      <c r="C53" s="19">
        <v>732.0</v>
      </c>
      <c r="D53" s="34" t="str">
        <f>if(   iserror(offset(PADRON!B$2,match(C:C,PADRON!A$2:A1405,0)-1,0,1,1) )  ,  ,    offset(PADRON!B$2,match(C:C,PADRON!A$2:A1405,0)-1,0,1,1))</f>
        <v>MANCINO, SERGIO ARIEL</v>
      </c>
      <c r="E53" s="22">
        <v>45839.0</v>
      </c>
      <c r="F53" s="22">
        <v>45870.0</v>
      </c>
      <c r="G53" s="23" t="s">
        <v>39</v>
      </c>
      <c r="H53" s="35">
        <f>IF( ISERROR( OFFSET(   'Cuadro tarifario'!D$2  , MATCH(CONCATENATE(                 IF(F53&gt;Mes,OFFSET(NroCT!B$17, MATCH($F53,NroCT!$A$18:$A1405,0),0,1,1),Periodovigente)                                                                                                                     ,A53) ,'Cuadro tarifario'!A$2:A1405,0) -1 , 0 , 1 , 1) )   , 0  ,   OFFSET(   'Cuadro tarifario'!D$2  , MATCH(CONCATENATE( IF(F53&gt;Mes,OFFSET(NroCT!B$17, MATCH($F53,NroCT!$A$18:$A1405,0),0,1,1),Periodovigente) ,A53) ,'Cuadro tarifario'!A$2:A1405,0) -1 , 0 , 1 , 1))</f>
        <v>11000</v>
      </c>
      <c r="I53" s="36">
        <f>Int(If(F53,DAYS360(          date(Year(E53),Month(E53),1),         date(Year(F53)     ,      Month(F53),1 )    )            /30,0 ))</f>
        <v>1</v>
      </c>
      <c r="J53" s="37">
        <f t="shared" si="15"/>
        <v>11000</v>
      </c>
      <c r="K53" s="38">
        <f>if(  and(N53&gt;0,I53=0)          ,N53 ,                         If(  If( F53 ,  DAYS360(date(year(F53),month(F53),1),Mes)/30  ,  DAYS360(date(year(E53),month(E53),1),Mes)/30  )  &gt;  0 , If(F53,   DAYS360(date(year(F53),month(F53),1),Mes)/30  ,  DAYS360(date(year(E53),month(E53),1),Mes)/30) , 0)       )</f>
        <v>0</v>
      </c>
      <c r="L53" s="39">
        <f>If(Iserror(K:K*H:H)   ,  0   ,   K:K*H:H)</f>
        <v>0</v>
      </c>
      <c r="M53" s="40"/>
      <c r="N53" s="29">
        <f>IF( ISERROR(OFFSET(SECUESTRADOS!D$1,MATCH(B53,SECUESTRADOS!A$2:A1405,0),0)) ,0 ,  OFFSET(SECUESTRADOS!D$1,MATCH(B53,SECUESTRADOS!A$2:A1405,0),0)  )</f>
        <v>0</v>
      </c>
      <c r="O53" s="30"/>
      <c r="P53" s="17" t="str">
        <f t="shared" si="3"/>
        <v>.socio</v>
      </c>
      <c r="Q53" s="17" t="str">
        <f t="shared" si="41"/>
        <v/>
      </c>
      <c r="R53" s="31"/>
      <c r="S53" s="31"/>
      <c r="T53" s="31"/>
    </row>
    <row r="54">
      <c r="A54" s="18" t="s">
        <v>38</v>
      </c>
      <c r="B54" s="17">
        <v>732.0</v>
      </c>
      <c r="C54" s="19">
        <v>732.0</v>
      </c>
      <c r="D54" s="20" t="str">
        <f>IF(   ISERROR(OFFSET(PADRON!B$2,MATCH(C:C,PADRON!A$2:A1405,0)-1,0,1,1) )  ,  ,    OFFSET(PADRON!B$2,MATCH(C:C,PADRON!A$2:A1405,0)-1,0,1,1))</f>
        <v>MANCINO, SERGIO ARIEL</v>
      </c>
      <c r="E54" s="21">
        <v>45839.0</v>
      </c>
      <c r="F54" s="21">
        <v>45870.0</v>
      </c>
      <c r="G54" s="23" t="s">
        <v>39</v>
      </c>
      <c r="H54" s="24">
        <f>IF( ISERROR( OFFSET(   'Cuadro tarifario'!D$2  , MATCH(CONCATENATE(                 IF(F54&gt;Mes,OFFSET(NroCT!B$17, MATCH($F54,NroCT!$A$18:$A1405,0),0,1,1),Periodovigente)                                                                                                                     ,A54) ,'Cuadro tarifario'!A$2:A1405,0) -1 , 0 , 1 , 1) )   , 0  ,   OFFSET(   'Cuadro tarifario'!D$2  , MATCH(CONCATENATE( IF(F54&gt;Mes,OFFSET(NroCT!B$17, MATCH($F54,NroCT!$A$18:$A1405,0),0,1,1),Periodovigente) ,A54) ,'Cuadro tarifario'!A$2:A1405,0) -1 , 0 , 1 , 1))</f>
        <v>9000</v>
      </c>
      <c r="I54" s="25">
        <f>INT(IF(F54,DAYS360(          DATE(YEAR(E54),MONTH(E54),1),         DATE(YEAR(F54)     ,      MONTH(F54),1 )    )            /30,0 ))</f>
        <v>1</v>
      </c>
      <c r="J54" s="24">
        <f t="shared" si="15"/>
        <v>9000</v>
      </c>
      <c r="K54" s="26">
        <f>IF(  AND(N54&gt;0,I54=0)          ,N54 ,                         IF(  IF( F54 ,  DAYS360(DATE(YEAR(F54),MONTH(F54),1),Mes)/30  ,  DAYS360(DATE(YEAR(E54),MONTH(E54),1),Mes)/30  )  &gt;  0 , IF(F54,   DAYS360(DATE(YEAR(F54),MONTH(F54),1),Mes)/30  ,  DAYS360(DATE(YEAR(E54),MONTH(E54),1),Mes)/30) , 0)       )</f>
        <v>0</v>
      </c>
      <c r="L54" s="27">
        <f>IF(ISERROR(K:K*H:H)   ,  0   ,   K:K*H:H)</f>
        <v>0</v>
      </c>
      <c r="M54" s="28"/>
      <c r="N54" s="29">
        <f>IF( ISERROR(OFFSET(SECUESTRADOS!D$1,MATCH(B54,SECUESTRADOS!A$2:A1405,0),0)) ,0 ,  OFFSET(SECUESTRADOS!D$1,MATCH(B54,SECUESTRADOS!A$2:A1405,0),0)  )</f>
        <v>0</v>
      </c>
      <c r="O54" s="30"/>
      <c r="P54" s="17" t="str">
        <f t="shared" si="3"/>
        <v>Bono canon</v>
      </c>
      <c r="Q54" s="17" t="str">
        <f t="shared" si="41"/>
        <v/>
      </c>
      <c r="R54" s="31"/>
      <c r="S54" s="31"/>
      <c r="T54" s="31"/>
    </row>
    <row r="55">
      <c r="A55" s="33" t="s">
        <v>40</v>
      </c>
      <c r="B55" s="33" t="s">
        <v>76</v>
      </c>
      <c r="C55" s="19">
        <v>732.0</v>
      </c>
      <c r="D55" s="34" t="str">
        <f>if(   iserror(offset(PADRON!B$2,match(C:C,PADRON!A$2:A1405,0)-1,0,1,1) )  ,  ,    offset(PADRON!B$2,match(C:C,PADRON!A$2:A1405,0)-1,0,1,1))</f>
        <v>MANCINO, SERGIO ARIEL</v>
      </c>
      <c r="E55" s="22">
        <v>45839.0</v>
      </c>
      <c r="F55" s="22">
        <v>45870.0</v>
      </c>
      <c r="G55" s="23" t="s">
        <v>39</v>
      </c>
      <c r="H55" s="35">
        <f>IF( ISERROR( OFFSET(   'Cuadro tarifario'!D$2  , MATCH(CONCATENATE(                 IF(F55&gt;Mes,OFFSET(NroCT!B$17, MATCH($F55,NroCT!$A$18:$A1405,0),0,1,1),Periodovigente)                                                                                                                     ,A55) ,'Cuadro tarifario'!A$2:A1405,0) -1 , 0 , 1 , 1) )   , 0  ,   OFFSET(   'Cuadro tarifario'!D$2  , MATCH(CONCATENATE( IF(F55&gt;Mes,OFFSET(NroCT!B$17, MATCH($F55,NroCT!$A$18:$A1405,0),0,1,1),Periodovigente) ,A55) ,'Cuadro tarifario'!A$2:A1405,0) -1 , 0 , 1 , 1))</f>
        <v>12000</v>
      </c>
      <c r="I55" s="36">
        <f t="shared" ref="I55:I59" si="44">Int(If(F55,DAYS360(          date(Year(E55),Month(E55),1),         date(Year(F55)     ,      Month(F55),1 )    )            /30,0 ))</f>
        <v>1</v>
      </c>
      <c r="J55" s="37">
        <f t="shared" si="15"/>
        <v>12000</v>
      </c>
      <c r="K55" s="38">
        <f>if(  and(N55&gt;0,I55=0)          ,N55 ,                         If(  If( F55 ,  DAYS360(date(year(F55),month(F55),1),Mes)/30  ,  DAYS360(date(year(E55),month(E55),1),Mes)/30  )  &gt;  0 , If(F55,   DAYS360(date(year(F55),month(F55),1),Mes)/30  ,  DAYS360(date(year(E55),month(E55),1),Mes)/30) , 0)       )</f>
        <v>0</v>
      </c>
      <c r="L55" s="39">
        <f t="shared" ref="L55:L59" si="45">If(Iserror(K:K*H:H)   ,  0   ,   K:K*H:H)</f>
        <v>0</v>
      </c>
      <c r="M55" s="40"/>
      <c r="N55" s="29">
        <f>IF( ISERROR(OFFSET(SECUESTRADOS!D$1,MATCH(B55,SECUESTRADOS!A$2:A1405,0),0)) ,0 ,  OFFSET(SECUESTRADOS!D$1,MATCH(B55,SECUESTRADOS!A$2:A1405,0),0)  )</f>
        <v>0</v>
      </c>
      <c r="O55" s="30"/>
      <c r="P55" s="17" t="str">
        <f t="shared" si="3"/>
        <v>cuna windsurf</v>
      </c>
      <c r="Q55" s="17" t="str">
        <f t="shared" si="41"/>
        <v/>
      </c>
      <c r="R55" s="31"/>
      <c r="S55" s="31"/>
      <c r="T55" s="31"/>
    </row>
    <row r="56">
      <c r="A56" s="33" t="s">
        <v>48</v>
      </c>
      <c r="B56" s="33" t="s">
        <v>77</v>
      </c>
      <c r="C56" s="19">
        <v>732.0</v>
      </c>
      <c r="D56" s="34" t="str">
        <f>if(   iserror(offset(PADRON!B$2,match(C:C,PADRON!A$2:A1405,0)-1,0,1,1) )  ,  ,    offset(PADRON!B$2,match(C:C,PADRON!A$2:A1405,0)-1,0,1,1))</f>
        <v>MANCINO, SERGIO ARIEL</v>
      </c>
      <c r="E56" s="22">
        <v>45839.0</v>
      </c>
      <c r="F56" s="22">
        <v>45870.0</v>
      </c>
      <c r="G56" s="23" t="s">
        <v>39</v>
      </c>
      <c r="H56" s="35">
        <f>IF( ISERROR( OFFSET(   'Cuadro tarifario'!D$2  , MATCH(CONCATENATE(                 IF(F56&gt;Mes,OFFSET(NroCT!B$17, MATCH($F56,NroCT!$A$18:$A1405,0),0,1,1),Periodovigente)                                                                                                                     ,A56) ,'Cuadro tarifario'!A$2:A1405,0) -1 , 0 , 1 , 1) )   , 0  ,   OFFSET(   'Cuadro tarifario'!D$2  , MATCH(CONCATENATE( IF(F56&gt;Mes,OFFSET(NroCT!B$17, MATCH($F56,NroCT!$A$18:$A1405,0),0,1,1),Periodovigente) ,A56) ,'Cuadro tarifario'!A$2:A1405,0) -1 , 0 , 1 , 1))</f>
        <v>12000</v>
      </c>
      <c r="I56" s="36">
        <f t="shared" si="44"/>
        <v>1</v>
      </c>
      <c r="J56" s="37">
        <f t="shared" si="15"/>
        <v>12000</v>
      </c>
      <c r="K56" s="38">
        <f>if(  and(N56&gt;0,I56=0)          ,N56 ,                         If(  If( F56 ,  DAYS360(date(year(F56),month(F56),1),Mes)/30  ,  DAYS360(date(year(E56),month(E56),1),Mes)/30  )  &gt;  0 , If(F56,   DAYS360(date(year(F56),month(F56),1),Mes)/30  ,  DAYS360(date(year(E56),month(E56),1),Mes)/30) , 0)       )</f>
        <v>0</v>
      </c>
      <c r="L56" s="39">
        <f t="shared" si="45"/>
        <v>0</v>
      </c>
      <c r="M56" s="40"/>
      <c r="N56" s="29">
        <f>IF( ISERROR(OFFSET(SECUESTRADOS!D$1,MATCH(B56,SECUESTRADOS!A$2:A1405,0),0)) ,0 ,  OFFSET(SECUESTRADOS!D$1,MATCH(B56,SECUESTRADOS!A$2:A1405,0),0)  )</f>
        <v>0</v>
      </c>
      <c r="O56" s="30"/>
      <c r="P56" s="17" t="str">
        <f t="shared" si="3"/>
        <v>velero</v>
      </c>
      <c r="Q56" s="17" t="str">
        <f t="shared" si="41"/>
        <v/>
      </c>
      <c r="R56" s="31"/>
      <c r="S56" s="31"/>
      <c r="T56" s="31"/>
    </row>
    <row r="57">
      <c r="A57" s="41" t="s">
        <v>42</v>
      </c>
      <c r="B57" s="41" t="s">
        <v>78</v>
      </c>
      <c r="C57" s="19">
        <v>732.0</v>
      </c>
      <c r="D57" s="34" t="str">
        <f>if(   iserror(offset(PADRON!B$2,match(C:C,PADRON!A$2:A1405,0)-1,0,1,1) )  ,  ,    offset(PADRON!B$2,match(C:C,PADRON!A$2:A1405,0)-1,0,1,1))</f>
        <v>MANCINO, SERGIO ARIEL</v>
      </c>
      <c r="E57" s="22">
        <v>45992.0</v>
      </c>
      <c r="F57" s="22"/>
      <c r="G57" s="23" t="s">
        <v>39</v>
      </c>
      <c r="H57" s="35">
        <f>IF( ISERROR( OFFSET(   'Cuadro tarifario'!D$2  , MATCH(CONCATENATE(                 IF(F57&gt;Mes,OFFSET(NroCT!B$17, MATCH($F57,NroCT!$A$18:$A1405,0),0,1,1),Periodovigente)                                                                                                                     ,A57) ,'Cuadro tarifario'!A$2:A1405,0) -1 , 0 , 1 , 1) )   , 0  ,   OFFSET(   'Cuadro tarifario'!D$2  , MATCH(CONCATENATE( IF(F57&gt;Mes,OFFSET(NroCT!B$17, MATCH($F57,NroCT!$A$18:$A1405,0),0,1,1),Periodovigente) ,A57) ,'Cuadro tarifario'!A$2:A1405,0) -1 , 0 , 1 , 1))</f>
        <v>4000</v>
      </c>
      <c r="I57" s="36">
        <f t="shared" si="44"/>
        <v>0</v>
      </c>
      <c r="J57" s="37">
        <f t="shared" si="15"/>
        <v>0</v>
      </c>
      <c r="K57" s="38">
        <f>if(  and(N57&gt;0,I57=0)          ,N57 ,                         If(  If( F57 ,  DAYS360(date(year(F57),month(F57),1),Mes)/30  ,  DAYS360(date(year(E57),month(E57),1),Mes)/30  )  &gt;  0 , If(F57,   DAYS360(date(year(F57),month(F57),1),Mes)/30  ,  DAYS360(date(year(E57),month(E57),1),Mes)/30) , 0)       )</f>
        <v>0</v>
      </c>
      <c r="L57" s="39">
        <f t="shared" si="45"/>
        <v>0</v>
      </c>
      <c r="M57" s="40"/>
      <c r="N57" s="29">
        <f>IF( ISERROR(OFFSET(SECUESTRADOS!D$1,MATCH(B57,SECUESTRADOS!A$2:A1405,0),0)) ,0 ,  OFFSET(SECUESTRADOS!D$1,MATCH(B57,SECUESTRADOS!A$2:A1405,0),0)  )</f>
        <v>0</v>
      </c>
      <c r="O57" s="30"/>
      <c r="P57" s="17" t="b">
        <f t="shared" si="3"/>
        <v>0</v>
      </c>
      <c r="Q57" s="17" t="str">
        <f>IF(AND(A57=A55,B57=B55,C57=C55),"Repetido","")</f>
        <v/>
      </c>
      <c r="R57" s="31"/>
      <c r="S57" s="31"/>
      <c r="T57" s="31"/>
    </row>
    <row r="58">
      <c r="A58" s="41" t="s">
        <v>42</v>
      </c>
      <c r="B58" s="41" t="s">
        <v>79</v>
      </c>
      <c r="C58" s="19">
        <v>732.0</v>
      </c>
      <c r="D58" s="34" t="str">
        <f>if(   iserror(offset(PADRON!B$2,match(C:C,PADRON!A$2:A1405,0)-1,0,1,1) )  ,  ,    offset(PADRON!B$2,match(C:C,PADRON!A$2:A1405,0)-1,0,1,1))</f>
        <v>MANCINO, SERGIO ARIEL</v>
      </c>
      <c r="E58" s="22">
        <v>45992.0</v>
      </c>
      <c r="F58" s="22"/>
      <c r="G58" s="23" t="s">
        <v>39</v>
      </c>
      <c r="H58" s="35">
        <f>IF( ISERROR( OFFSET(   'Cuadro tarifario'!D$2  , MATCH(CONCATENATE(                 IF(F58&gt;Mes,OFFSET(NroCT!B$17, MATCH($F58,NroCT!$A$18:$A1405,0),0,1,1),Periodovigente)                                                                                                                     ,A58) ,'Cuadro tarifario'!A$2:A1405,0) -1 , 0 , 1 , 1) )   , 0  ,   OFFSET(   'Cuadro tarifario'!D$2  , MATCH(CONCATENATE( IF(F58&gt;Mes,OFFSET(NroCT!B$17, MATCH($F58,NroCT!$A$18:$A1405,0),0,1,1),Periodovigente) ,A58) ,'Cuadro tarifario'!A$2:A1405,0) -1 , 0 , 1 , 1))</f>
        <v>4000</v>
      </c>
      <c r="I58" s="36">
        <f t="shared" si="44"/>
        <v>0</v>
      </c>
      <c r="J58" s="37">
        <f t="shared" si="15"/>
        <v>0</v>
      </c>
      <c r="K58" s="38">
        <f>if(  and(N58&gt;0,I58=0)          ,N58 ,                         If(  If( F58 ,  DAYS360(date(year(F58),month(F58),1),Mes)/30  ,  DAYS360(date(year(E58),month(E58),1),Mes)/30  )  &gt;  0 , If(F58,   DAYS360(date(year(F58),month(F58),1),Mes)/30  ,  DAYS360(date(year(E58),month(E58),1),Mes)/30) , 0)       )</f>
        <v>0</v>
      </c>
      <c r="L58" s="39">
        <f t="shared" si="45"/>
        <v>0</v>
      </c>
      <c r="M58" s="40"/>
      <c r="N58" s="29">
        <f>IF( ISERROR(OFFSET(SECUESTRADOS!D$1,MATCH(B58,SECUESTRADOS!A$2:A1405,0),0)) ,0 ,  OFFSET(SECUESTRADOS!D$1,MATCH(B58,SECUESTRADOS!A$2:A1405,0),0)  )</f>
        <v>0</v>
      </c>
      <c r="O58" s="30"/>
      <c r="P58" s="17" t="b">
        <f t="shared" si="3"/>
        <v>0</v>
      </c>
      <c r="Q58" s="17" t="str">
        <f>IF(AND(A58=A57,B58=B57,C58=C57),"Repetido","")</f>
        <v/>
      </c>
      <c r="R58" s="31"/>
      <c r="S58" s="31"/>
      <c r="T58" s="31"/>
    </row>
    <row r="59">
      <c r="A59" s="54" t="s">
        <v>71</v>
      </c>
      <c r="B59" s="54">
        <v>745.0</v>
      </c>
      <c r="C59" s="19">
        <v>745.0</v>
      </c>
      <c r="D59" s="34" t="str">
        <f>if(   iserror(offset(PADRON!B$2,match(C:C,PADRON!A$2:A1405,0)-1,0,1,1) )  ,  ,    offset(PADRON!B$2,match(C:C,PADRON!A$2:A1405,0)-1,0,1,1))</f>
        <v>STEI, JORGE</v>
      </c>
      <c r="E59" s="22">
        <v>45809.0</v>
      </c>
      <c r="F59" s="22"/>
      <c r="G59" s="23" t="s">
        <v>39</v>
      </c>
      <c r="H59" s="35">
        <f>IF( ISERROR( OFFSET(   'Cuadro tarifario'!D$2  , MATCH(CONCATENATE(                 IF(F59&gt;Mes,OFFSET(NroCT!B$17, MATCH($F59,NroCT!$A$18:$A1405,0),0,1,1),Periodovigente)                                                                                                                     ,A59) ,'Cuadro tarifario'!A$2:A1405,0) -1 , 0 , 1 , 1) )   , 0  ,   OFFSET(   'Cuadro tarifario'!D$2  , MATCH(CONCATENATE( IF(F59&gt;Mes,OFFSET(NroCT!B$17, MATCH($F59,NroCT!$A$18:$A1405,0),0,1,1),Periodovigente) ,A59) ,'Cuadro tarifario'!A$2:A1405,0) -1 , 0 , 1 , 1))</f>
        <v>11000</v>
      </c>
      <c r="I59" s="36">
        <f t="shared" si="44"/>
        <v>0</v>
      </c>
      <c r="J59" s="37">
        <f t="shared" si="15"/>
        <v>0</v>
      </c>
      <c r="K59" s="38">
        <f>if(  and(N59&gt;0,I59=0)          ,N59 ,                         If(  If( F59 ,  DAYS360(date(year(F59),month(F59),1),Mes)/30  ,  DAYS360(date(year(E59),month(E59),1),Mes)/30  )  &gt;  0 , If(F59,   DAYS360(date(year(F59),month(F59),1),Mes)/30  ,  DAYS360(date(year(E59),month(E59),1),Mes)/30) , 0)       )</f>
        <v>2</v>
      </c>
      <c r="L59" s="39">
        <f t="shared" si="45"/>
        <v>22000</v>
      </c>
      <c r="M59" s="40"/>
      <c r="N59" s="29">
        <f>IF( ISERROR(OFFSET(SECUESTRADOS!D$1,MATCH(B59,SECUESTRADOS!A$2:A1405,0),0)) ,0 ,  OFFSET(SECUESTRADOS!D$1,MATCH(B59,SECUESTRADOS!A$2:A1405,0),0)  )</f>
        <v>0</v>
      </c>
      <c r="O59" s="30"/>
      <c r="P59" s="17" t="b">
        <f t="shared" si="3"/>
        <v>0</v>
      </c>
      <c r="Q59" s="17" t="str">
        <f>IF(AND(A59=#REF!,B59=#REF!,C59=#REF!),"Repetido","")</f>
        <v>#REF!</v>
      </c>
      <c r="R59" s="31"/>
      <c r="S59" s="31"/>
      <c r="T59" s="31"/>
    </row>
    <row r="60">
      <c r="A60" s="18" t="s">
        <v>38</v>
      </c>
      <c r="B60" s="17">
        <v>745.0</v>
      </c>
      <c r="C60" s="19">
        <v>745.0</v>
      </c>
      <c r="D60" s="20" t="str">
        <f>IF(   ISERROR(OFFSET(PADRON!B$2,MATCH(C:C,PADRON!A$2:A1405,0)-1,0,1,1) )  ,  ,    OFFSET(PADRON!B$2,MATCH(C:C,PADRON!A$2:A1405,0)-1,0,1,1))</f>
        <v>STEI, JORGE</v>
      </c>
      <c r="E60" s="21">
        <v>45809.0</v>
      </c>
      <c r="F60" s="21"/>
      <c r="G60" s="23" t="s">
        <v>39</v>
      </c>
      <c r="H60" s="24">
        <f>IF( ISERROR( OFFSET(   'Cuadro tarifario'!D$2  , MATCH(CONCATENATE(                 IF(F60&gt;Mes,OFFSET(NroCT!B$17, MATCH($F60,NroCT!$A$18:$A1405,0),0,1,1),Periodovigente)                                                                                                                     ,A60) ,'Cuadro tarifario'!A$2:A1405,0) -1 , 0 , 1 , 1) )   , 0  ,   OFFSET(   'Cuadro tarifario'!D$2  , MATCH(CONCATENATE( IF(F60&gt;Mes,OFFSET(NroCT!B$17, MATCH($F60,NroCT!$A$18:$A1405,0),0,1,1),Periodovigente) ,A60) ,'Cuadro tarifario'!A$2:A1405,0) -1 , 0 , 1 , 1))</f>
        <v>9000</v>
      </c>
      <c r="I60" s="25">
        <f>INT(IF(F60,DAYS360(          DATE(YEAR(E60),MONTH(E60),1),         DATE(YEAR(F60)     ,      MONTH(F60),1 )    )            /30,0 ))</f>
        <v>0</v>
      </c>
      <c r="J60" s="24">
        <f t="shared" si="15"/>
        <v>0</v>
      </c>
      <c r="K60" s="26">
        <f>IF(  AND(N60&gt;0,I60=0)          ,N60 ,                         IF(  IF( F60 ,  DAYS360(DATE(YEAR(F60),MONTH(F60),1),Mes)/30  ,  DAYS360(DATE(YEAR(E60),MONTH(E60),1),Mes)/30  )  &gt;  0 , IF(F60,   DAYS360(DATE(YEAR(F60),MONTH(F60),1),Mes)/30  ,  DAYS360(DATE(YEAR(E60),MONTH(E60),1),Mes)/30) , 0)       )</f>
        <v>2</v>
      </c>
      <c r="L60" s="27">
        <f>IF(ISERROR(K:K*H:H)   ,  0   ,   K:K*H:H)</f>
        <v>18000</v>
      </c>
      <c r="M60" s="28"/>
      <c r="N60" s="29">
        <f>IF( ISERROR(OFFSET(SECUESTRADOS!D$1,MATCH(B60,SECUESTRADOS!A$2:A1405,0),0)) ,0 ,  OFFSET(SECUESTRADOS!D$1,MATCH(B60,SECUESTRADOS!A$2:A1405,0),0)  )</f>
        <v>0</v>
      </c>
      <c r="O60" s="30"/>
      <c r="P60" s="17" t="b">
        <f t="shared" si="3"/>
        <v>0</v>
      </c>
      <c r="Q60" s="17" t="str">
        <f t="shared" ref="Q60:Q61" si="46">IF(AND(A60=A59,B60=B59,C60=C59),"Repetido","")</f>
        <v/>
      </c>
      <c r="R60" s="31"/>
      <c r="S60" s="31"/>
      <c r="T60" s="31"/>
    </row>
    <row r="61">
      <c r="A61" s="51" t="s">
        <v>48</v>
      </c>
      <c r="B61" s="51" t="s">
        <v>80</v>
      </c>
      <c r="C61" s="19">
        <v>745.0</v>
      </c>
      <c r="D61" s="34" t="str">
        <f>if(   iserror(offset(PADRON!B$2,match(C:C,PADRON!A$2:A1405,0)-1,0,1,1) )  ,  ,    offset(PADRON!B$2,match(C:C,PADRON!A$2:A1405,0)-1,0,1,1))</f>
        <v>STEI, JORGE</v>
      </c>
      <c r="E61" s="22">
        <v>45809.0</v>
      </c>
      <c r="F61" s="22"/>
      <c r="G61" s="23" t="s">
        <v>39</v>
      </c>
      <c r="H61" s="35">
        <f>IF( ISERROR( OFFSET(   'Cuadro tarifario'!D$2  , MATCH(CONCATENATE(                 IF(F61&gt;Mes,OFFSET(NroCT!B$17, MATCH($F61,NroCT!$A$18:$A1405,0),0,1,1),Periodovigente)                                                                                                                     ,A61) ,'Cuadro tarifario'!A$2:A1405,0) -1 , 0 , 1 , 1) )   , 0  ,   OFFSET(   'Cuadro tarifario'!D$2  , MATCH(CONCATENATE( IF(F61&gt;Mes,OFFSET(NroCT!B$17, MATCH($F61,NroCT!$A$18:$A1405,0),0,1,1),Periodovigente) ,A61) ,'Cuadro tarifario'!A$2:A1405,0) -1 , 0 , 1 , 1))</f>
        <v>12000</v>
      </c>
      <c r="I61" s="36">
        <f t="shared" ref="I61:I62" si="47">Int(If(F61,DAYS360(          date(Year(E61),Month(E61),1),         date(Year(F61)     ,      Month(F61),1 )    )            /30,0 ))</f>
        <v>0</v>
      </c>
      <c r="J61" s="37">
        <f t="shared" si="15"/>
        <v>0</v>
      </c>
      <c r="K61" s="38">
        <f>if(  and(N61&gt;0,I61=0)          ,N61 ,                         If(  If( F61 ,  DAYS360(date(year(F61),month(F61),1),Mes)/30  ,  DAYS360(date(year(E61),month(E61),1),Mes)/30  )  &gt;  0 , If(F61,   DAYS360(date(year(F61),month(F61),1),Mes)/30  ,  DAYS360(date(year(E61),month(E61),1),Mes)/30) , 0)       )</f>
        <v>2</v>
      </c>
      <c r="L61" s="39">
        <f t="shared" ref="L61:L62" si="48">If(Iserror(K:K*H:H)   ,  0   ,   K:K*H:H)</f>
        <v>24000</v>
      </c>
      <c r="M61" s="40"/>
      <c r="N61" s="29">
        <f>IF( ISERROR(OFFSET(SECUESTRADOS!D$1,MATCH(B61,SECUESTRADOS!A$2:A1405,0),0)) ,0 ,  OFFSET(SECUESTRADOS!D$1,MATCH(B61,SECUESTRADOS!A$2:A1405,0),0)  )</f>
        <v>0</v>
      </c>
      <c r="O61" s="30"/>
      <c r="P61" s="17" t="b">
        <f t="shared" si="3"/>
        <v>0</v>
      </c>
      <c r="Q61" s="17" t="str">
        <f t="shared" si="46"/>
        <v/>
      </c>
      <c r="R61" s="31"/>
      <c r="S61" s="31"/>
      <c r="T61" s="31"/>
    </row>
    <row r="62">
      <c r="A62" s="54" t="s">
        <v>71</v>
      </c>
      <c r="B62" s="54">
        <v>782.0</v>
      </c>
      <c r="C62" s="19">
        <v>782.0</v>
      </c>
      <c r="D62" s="34" t="str">
        <f>if(   iserror(offset(PADRON!B$2,match(C:C,PADRON!A$2:A1405,0)-1,0,1,1) )  ,  ,    offset(PADRON!B$2,match(C:C,PADRON!A$2:A1405,0)-1,0,1,1))</f>
        <v>BALBO, GERARDO</v>
      </c>
      <c r="E62" s="22">
        <v>45839.0</v>
      </c>
      <c r="F62" s="22">
        <v>45870.0</v>
      </c>
      <c r="G62" s="23" t="s">
        <v>39</v>
      </c>
      <c r="H62" s="35">
        <f>IF( ISERROR( OFFSET(   'Cuadro tarifario'!D$2  , MATCH(CONCATENATE(                 IF(F62&gt;Mes,OFFSET(NroCT!B$17, MATCH($F62,NroCT!$A$18:$A1405,0),0,1,1),Periodovigente)                                                                                                                     ,A62) ,'Cuadro tarifario'!A$2:A1405,0) -1 , 0 , 1 , 1) )   , 0  ,   OFFSET(   'Cuadro tarifario'!D$2  , MATCH(CONCATENATE( IF(F62&gt;Mes,OFFSET(NroCT!B$17, MATCH($F62,NroCT!$A$18:$A1405,0),0,1,1),Periodovigente) ,A62) ,'Cuadro tarifario'!A$2:A1405,0) -1 , 0 , 1 , 1))</f>
        <v>11000</v>
      </c>
      <c r="I62" s="36">
        <f t="shared" si="47"/>
        <v>1</v>
      </c>
      <c r="J62" s="37">
        <f t="shared" si="15"/>
        <v>11000</v>
      </c>
      <c r="K62" s="38">
        <f>if(  and(N62&gt;0,I62=0)          ,N62 ,                         If(  If( F62 ,  DAYS360(date(year(F62),month(F62),1),Mes)/30  ,  DAYS360(date(year(E62),month(E62),1),Mes)/30  )  &gt;  0 , If(F62,   DAYS360(date(year(F62),month(F62),1),Mes)/30  ,  DAYS360(date(year(E62),month(E62),1),Mes)/30) , 0)       )</f>
        <v>0</v>
      </c>
      <c r="L62" s="39">
        <f t="shared" si="48"/>
        <v>0</v>
      </c>
      <c r="M62" s="40"/>
      <c r="N62" s="29">
        <f>IF( ISERROR(OFFSET(SECUESTRADOS!D$1,MATCH(B62,SECUESTRADOS!A$2:A1405,0),0)) ,0 ,  OFFSET(SECUESTRADOS!D$1,MATCH(B62,SECUESTRADOS!A$2:A1405,0),0)  )</f>
        <v>0</v>
      </c>
      <c r="O62" s="30"/>
      <c r="P62" s="17" t="str">
        <f t="shared" si="3"/>
        <v>.socio</v>
      </c>
      <c r="Q62" s="17" t="str">
        <f>IF(AND(A62=#REF!,B62=#REF!,C62=#REF!),"Repetido","")</f>
        <v>#REF!</v>
      </c>
      <c r="R62" s="31"/>
      <c r="S62" s="31"/>
      <c r="T62" s="31"/>
    </row>
    <row r="63">
      <c r="A63" s="18" t="s">
        <v>38</v>
      </c>
      <c r="B63" s="17">
        <v>782.0</v>
      </c>
      <c r="C63" s="19">
        <v>782.0</v>
      </c>
      <c r="D63" s="20" t="str">
        <f>IF(   ISERROR(OFFSET(PADRON!B$2,MATCH(C:C,PADRON!A$2:A1405,0)-1,0,1,1) )  ,  ,    OFFSET(PADRON!B$2,MATCH(C:C,PADRON!A$2:A1405,0)-1,0,1,1))</f>
        <v>BALBO, GERARDO</v>
      </c>
      <c r="E63" s="21">
        <v>45839.0</v>
      </c>
      <c r="F63" s="21">
        <v>45870.0</v>
      </c>
      <c r="G63" s="23" t="s">
        <v>39</v>
      </c>
      <c r="H63" s="24">
        <f>IF( ISERROR( OFFSET(   'Cuadro tarifario'!D$2  , MATCH(CONCATENATE(                 IF(F63&gt;Mes,OFFSET(NroCT!B$17, MATCH($F63,NroCT!$A$18:$A1405,0),0,1,1),Periodovigente)                                                                                                                     ,A63) ,'Cuadro tarifario'!A$2:A1405,0) -1 , 0 , 1 , 1) )   , 0  ,   OFFSET(   'Cuadro tarifario'!D$2  , MATCH(CONCATENATE( IF(F63&gt;Mes,OFFSET(NroCT!B$17, MATCH($F63,NroCT!$A$18:$A1405,0),0,1,1),Periodovigente) ,A63) ,'Cuadro tarifario'!A$2:A1405,0) -1 , 0 , 1 , 1))</f>
        <v>9000</v>
      </c>
      <c r="I63" s="25">
        <f>INT(IF(F63,DAYS360(          DATE(YEAR(E63),MONTH(E63),1),         DATE(YEAR(F63)     ,      MONTH(F63),1 )    )            /30,0 ))</f>
        <v>1</v>
      </c>
      <c r="J63" s="24">
        <f t="shared" si="15"/>
        <v>9000</v>
      </c>
      <c r="K63" s="26">
        <f>IF(  AND(N63&gt;0,I63=0)          ,N63 ,                         IF(  IF( F63 ,  DAYS360(DATE(YEAR(F63),MONTH(F63),1),Mes)/30  ,  DAYS360(DATE(YEAR(E63),MONTH(E63),1),Mes)/30  )  &gt;  0 , IF(F63,   DAYS360(DATE(YEAR(F63),MONTH(F63),1),Mes)/30  ,  DAYS360(DATE(YEAR(E63),MONTH(E63),1),Mes)/30) , 0)       )</f>
        <v>0</v>
      </c>
      <c r="L63" s="27">
        <f>IF(ISERROR(K:K*H:H)   ,  0   ,   K:K*H:H)</f>
        <v>0</v>
      </c>
      <c r="M63" s="28"/>
      <c r="N63" s="29">
        <f>IF( ISERROR(OFFSET(SECUESTRADOS!D$1,MATCH(B63,SECUESTRADOS!A$2:A1405,0),0)) ,0 ,  OFFSET(SECUESTRADOS!D$1,MATCH(B63,SECUESTRADOS!A$2:A1405,0),0)  )</f>
        <v>0</v>
      </c>
      <c r="O63" s="30"/>
      <c r="P63" s="17" t="str">
        <f t="shared" si="3"/>
        <v>Bono canon</v>
      </c>
      <c r="Q63" s="17" t="str">
        <f t="shared" ref="Q63:Q64" si="49">IF(AND(A63=A62,B63=B62,C63=C62),"Repetido","")</f>
        <v/>
      </c>
      <c r="R63" s="31"/>
      <c r="S63" s="31"/>
      <c r="T63" s="31"/>
    </row>
    <row r="64">
      <c r="A64" s="33" t="s">
        <v>40</v>
      </c>
      <c r="B64" s="33" t="s">
        <v>81</v>
      </c>
      <c r="C64" s="19">
        <v>782.0</v>
      </c>
      <c r="D64" s="34" t="str">
        <f>if(   iserror(offset(PADRON!B$2,match(C:C,PADRON!A$2:A1405,0)-1,0,1,1) )  ,  ,    offset(PADRON!B$2,match(C:C,PADRON!A$2:A1405,0)-1,0,1,1))</f>
        <v>BALBO, GERARDO</v>
      </c>
      <c r="E64" s="22">
        <v>45839.0</v>
      </c>
      <c r="F64" s="22">
        <v>45870.0</v>
      </c>
      <c r="G64" s="23" t="s">
        <v>39</v>
      </c>
      <c r="H64" s="35">
        <f>IF( ISERROR( OFFSET(   'Cuadro tarifario'!D$2  , MATCH(CONCATENATE(                 IF(F64&gt;Mes,OFFSET(NroCT!B$17, MATCH($F64,NroCT!$A$18:$A1405,0),0,1,1),Periodovigente)                                                                                                                     ,A64) ,'Cuadro tarifario'!A$2:A1405,0) -1 , 0 , 1 , 1) )   , 0  ,   OFFSET(   'Cuadro tarifario'!D$2  , MATCH(CONCATENATE( IF(F64&gt;Mes,OFFSET(NroCT!B$17, MATCH($F64,NroCT!$A$18:$A1405,0),0,1,1),Periodovigente) ,A64) ,'Cuadro tarifario'!A$2:A1405,0) -1 , 0 , 1 , 1))</f>
        <v>12000</v>
      </c>
      <c r="I64" s="36">
        <f t="shared" ref="I64:I65" si="50">Int(If(F64,DAYS360(          date(Year(E64),Month(E64),1),         date(Year(F64)     ,      Month(F64),1 )    )            /30,0 ))</f>
        <v>1</v>
      </c>
      <c r="J64" s="37">
        <f t="shared" si="15"/>
        <v>12000</v>
      </c>
      <c r="K64" s="38">
        <f>if(  and(N64&gt;0,I64=0)          ,N64 ,                         If(  If( F64 ,  DAYS360(date(year(F64),month(F64),1),Mes)/30  ,  DAYS360(date(year(E64),month(E64),1),Mes)/30  )  &gt;  0 , If(F64,   DAYS360(date(year(F64),month(F64),1),Mes)/30  ,  DAYS360(date(year(E64),month(E64),1),Mes)/30) , 0)       )</f>
        <v>0</v>
      </c>
      <c r="L64" s="39">
        <f t="shared" ref="L64:L65" si="51">If(Iserror(K:K*H:H)   ,  0   ,   K:K*H:H)</f>
        <v>0</v>
      </c>
      <c r="M64" s="40"/>
      <c r="N64" s="29">
        <f>IF( ISERROR(OFFSET(SECUESTRADOS!D$1,MATCH(B64,SECUESTRADOS!A$2:A1405,0),0)) ,0 ,  OFFSET(SECUESTRADOS!D$1,MATCH(B64,SECUESTRADOS!A$2:A1405,0),0)  )</f>
        <v>0</v>
      </c>
      <c r="O64" s="30"/>
      <c r="P64" s="17" t="str">
        <f t="shared" si="3"/>
        <v>cuna windsurf</v>
      </c>
      <c r="Q64" s="17" t="str">
        <f t="shared" si="49"/>
        <v/>
      </c>
      <c r="R64" s="31"/>
      <c r="S64" s="31"/>
      <c r="T64" s="31"/>
    </row>
    <row r="65" ht="13.5" customHeight="1">
      <c r="A65" s="54" t="s">
        <v>71</v>
      </c>
      <c r="B65" s="54">
        <v>869.0</v>
      </c>
      <c r="C65" s="19">
        <v>869.0</v>
      </c>
      <c r="D65" s="34" t="str">
        <f>if(   iserror(offset(PADRON!B$2,match(C:C,PADRON!A$2:A1405,0)-1,0,1,1) )  ,  ,    offset(PADRON!B$2,match(C:C,PADRON!A$2:A1405,0)-1,0,1,1))</f>
        <v>SORENSEN, HANS</v>
      </c>
      <c r="E65" s="22">
        <v>45839.0</v>
      </c>
      <c r="F65" s="22">
        <v>45870.0</v>
      </c>
      <c r="G65" s="23" t="s">
        <v>39</v>
      </c>
      <c r="H65" s="35">
        <f>IF( ISERROR( OFFSET(   'Cuadro tarifario'!D$2  , MATCH(CONCATENATE(                 IF(F65&gt;Mes,OFFSET(NroCT!B$17, MATCH($F65,NroCT!$A$18:$A1405,0),0,1,1),Periodovigente)                                                                                                                     ,A65) ,'Cuadro tarifario'!A$2:A1405,0) -1 , 0 , 1 , 1) )   , 0  ,   OFFSET(   'Cuadro tarifario'!D$2  , MATCH(CONCATENATE( IF(F65&gt;Mes,OFFSET(NroCT!B$17, MATCH($F65,NroCT!$A$18:$A1405,0),0,1,1),Periodovigente) ,A65) ,'Cuadro tarifario'!A$2:A1405,0) -1 , 0 , 1 , 1))</f>
        <v>11000</v>
      </c>
      <c r="I65" s="36">
        <f t="shared" si="50"/>
        <v>1</v>
      </c>
      <c r="J65" s="37">
        <f t="shared" si="15"/>
        <v>11000</v>
      </c>
      <c r="K65" s="38">
        <f>if(  and(N65&gt;0,I65=0)          ,N65 ,                         If(  If( F65 ,  DAYS360(date(year(F65),month(F65),1),Mes)/30  ,  DAYS360(date(year(E65),month(E65),1),Mes)/30  )  &gt;  0 , If(F65,   DAYS360(date(year(F65),month(F65),1),Mes)/30  ,  DAYS360(date(year(E65),month(E65),1),Mes)/30) , 0)       )</f>
        <v>0</v>
      </c>
      <c r="L65" s="39">
        <f t="shared" si="51"/>
        <v>0</v>
      </c>
      <c r="M65" s="40"/>
      <c r="N65" s="29">
        <f>IF( ISERROR(OFFSET(SECUESTRADOS!D$1,MATCH(B65,SECUESTRADOS!A$2:A1405,0),0)) ,0 ,  OFFSET(SECUESTRADOS!D$1,MATCH(B65,SECUESTRADOS!A$2:A1405,0),0)  )</f>
        <v>0</v>
      </c>
      <c r="O65" s="30"/>
      <c r="P65" s="17" t="str">
        <f t="shared" si="3"/>
        <v>.socio</v>
      </c>
      <c r="Q65" s="17" t="str">
        <f>IF(AND(A65=#REF!,B65=#REF!,C65=#REF!),"Repetido","")</f>
        <v>#REF!</v>
      </c>
      <c r="R65" s="31"/>
      <c r="S65" s="31"/>
      <c r="T65" s="31"/>
    </row>
    <row r="66">
      <c r="A66" s="18" t="s">
        <v>38</v>
      </c>
      <c r="B66" s="17">
        <v>869.0</v>
      </c>
      <c r="C66" s="19">
        <v>869.0</v>
      </c>
      <c r="D66" s="20" t="str">
        <f>IF(   ISERROR(OFFSET(PADRON!B$2,MATCH(C:C,PADRON!A$2:A1405,0)-1,0,1,1) )  ,  ,    OFFSET(PADRON!B$2,MATCH(C:C,PADRON!A$2:A1405,0)-1,0,1,1))</f>
        <v>SORENSEN, HANS</v>
      </c>
      <c r="E66" s="21">
        <v>45839.0</v>
      </c>
      <c r="F66" s="21">
        <v>45870.0</v>
      </c>
      <c r="G66" s="23" t="s">
        <v>39</v>
      </c>
      <c r="H66" s="24">
        <f>IF( ISERROR( OFFSET(   'Cuadro tarifario'!D$2  , MATCH(CONCATENATE(                 IF(F66&gt;Mes,OFFSET(NroCT!B$17, MATCH($F66,NroCT!$A$18:$A1405,0),0,1,1),Periodovigente)                                                                                                                     ,A66) ,'Cuadro tarifario'!A$2:A1405,0) -1 , 0 , 1 , 1) )   , 0  ,   OFFSET(   'Cuadro tarifario'!D$2  , MATCH(CONCATENATE( IF(F66&gt;Mes,OFFSET(NroCT!B$17, MATCH($F66,NroCT!$A$18:$A1405,0),0,1,1),Periodovigente) ,A66) ,'Cuadro tarifario'!A$2:A1405,0) -1 , 0 , 1 , 1))</f>
        <v>9000</v>
      </c>
      <c r="I66" s="25">
        <f t="shared" ref="I66:I71" si="52">INT(IF(F66,DAYS360(          DATE(YEAR(E66),MONTH(E66),1),         DATE(YEAR(F66)     ,      MONTH(F66),1 )    )            /30,0 ))</f>
        <v>1</v>
      </c>
      <c r="J66" s="24">
        <f t="shared" si="15"/>
        <v>9000</v>
      </c>
      <c r="K66" s="26">
        <f>IF(  AND(N66&gt;0,I66=0)          ,N66 ,                         IF(  IF( F66 ,  DAYS360(DATE(YEAR(F66),MONTH(F66),1),Mes)/30  ,  DAYS360(DATE(YEAR(E66),MONTH(E66),1),Mes)/30  )  &gt;  0 , IF(F66,   DAYS360(DATE(YEAR(F66),MONTH(F66),1),Mes)/30  ,  DAYS360(DATE(YEAR(E66),MONTH(E66),1),Mes)/30) , 0)       )</f>
        <v>0</v>
      </c>
      <c r="L66" s="27">
        <f t="shared" ref="L66:L71" si="53">IF(ISERROR(K:K*H:H)   ,  0   ,   K:K*H:H)</f>
        <v>0</v>
      </c>
      <c r="M66" s="28"/>
      <c r="N66" s="29">
        <f>IF( ISERROR(OFFSET(SECUESTRADOS!D$1,MATCH(B66,SECUESTRADOS!A$2:A1405,0),0)) ,0 ,  OFFSET(SECUESTRADOS!D$1,MATCH(B66,SECUESTRADOS!A$2:A1405,0),0)  )</f>
        <v>0</v>
      </c>
      <c r="O66" s="30"/>
      <c r="P66" s="17" t="str">
        <f t="shared" si="3"/>
        <v>Bono canon</v>
      </c>
      <c r="Q66" s="17" t="str">
        <f>IF(AND(A66=A65,B66=B65,C66=C65),"Repetido","")</f>
        <v/>
      </c>
      <c r="R66" s="31"/>
      <c r="S66" s="31"/>
      <c r="T66" s="31"/>
    </row>
    <row r="67">
      <c r="A67" s="55" t="s">
        <v>82</v>
      </c>
      <c r="B67" s="56" t="s">
        <v>83</v>
      </c>
      <c r="C67" s="19">
        <v>869.0</v>
      </c>
      <c r="D67" s="57" t="str">
        <f>IF(   ISERROR(OFFSET(PADRON!B$2,MATCH(C:C,PADRON!A$2:A1405,0)-1,0,1,1) )  ,  ,    OFFSET(PADRON!B$2,MATCH(C:C,PADRON!A$2:A1405,0)-1,0,1,1))</f>
        <v>SORENSEN, HANS</v>
      </c>
      <c r="E67" s="58">
        <v>45839.0</v>
      </c>
      <c r="F67" s="58">
        <v>45870.0</v>
      </c>
      <c r="G67" s="59" t="s">
        <v>39</v>
      </c>
      <c r="H67" s="60">
        <f>IF( ISERROR( OFFSET(   'Cuadro tarifario'!D$2  , MATCH(CONCATENATE(                 IF(F67&gt;Mes,OFFSET(NroCT!B$17, MATCH($F67,NroCT!$A$18:$A1405,0),0,1,1),Periodovigente)                                                                                                                     ,A67) ,'Cuadro tarifario'!A$2:A1405,0) -1 , 0 , 1 , 1) )   , 0  ,   OFFSET(   'Cuadro tarifario'!D$2  , MATCH(CONCATENATE( IF(F67&gt;Mes,OFFSET(NroCT!B$17, MATCH($F67,NroCT!$A$18:$A1405,0),0,1,1),Periodovigente) ,A67) ,'Cuadro tarifario'!A$2:A1405,0) -1 , 0 , 1 , 1))</f>
        <v>12000</v>
      </c>
      <c r="I67" s="61">
        <f t="shared" si="52"/>
        <v>1</v>
      </c>
      <c r="J67" s="60">
        <f t="shared" si="15"/>
        <v>12000</v>
      </c>
      <c r="K67" s="62">
        <f>IF(  AND(N67&gt;0,I67=0)          ,N67 ,                         IF(  IF( F67 ,  DAYS360(DATE(YEAR(F67),MONTH(F67),1),Mes)/30  ,  DAYS360(DATE(YEAR(E67),MONTH(E67),1),Mes)/30  )  &gt;  0 , IF(F67,   DAYS360(DATE(YEAR(F67),MONTH(F67),1),Mes)/30  ,  DAYS360(DATE(YEAR(E67),MONTH(E67),1),Mes)/30) , 0)       )</f>
        <v>0</v>
      </c>
      <c r="L67" s="63">
        <f t="shared" si="53"/>
        <v>0</v>
      </c>
      <c r="M67" s="64"/>
      <c r="N67" s="29">
        <f>IF( ISERROR(OFFSET(SECUESTRADOS!D$1,MATCH(B67,SECUESTRADOS!A$2:A1405,0),0)) ,0 ,  OFFSET(SECUESTRADOS!D$1,MATCH(B67,SECUESTRADOS!A$2:A1405,0),0)  )</f>
        <v>0</v>
      </c>
      <c r="O67" s="30"/>
      <c r="P67" s="17" t="str">
        <f t="shared" si="3"/>
        <v>cuna kayak</v>
      </c>
      <c r="Q67" s="17" t="str">
        <f t="shared" ref="Q67:Q68" si="54">IF(AND(A67=#REF!,B67=#REF!,C67=#REF!),"Repetido","")</f>
        <v>#REF!</v>
      </c>
      <c r="R67" s="31"/>
      <c r="S67" s="31"/>
      <c r="T67" s="31"/>
    </row>
    <row r="68">
      <c r="A68" s="55" t="s">
        <v>40</v>
      </c>
      <c r="B68" s="56" t="s">
        <v>84</v>
      </c>
      <c r="C68" s="19">
        <v>869.0</v>
      </c>
      <c r="D68" s="57" t="str">
        <f>IF(   ISERROR(OFFSET(PADRON!B$2,MATCH(C:C,PADRON!A$2:A1405,0)-1,0,1,1) )  ,  ,    OFFSET(PADRON!B$2,MATCH(C:C,PADRON!A$2:A1405,0)-1,0,1,1))</f>
        <v>SORENSEN, HANS</v>
      </c>
      <c r="E68" s="58">
        <v>45839.0</v>
      </c>
      <c r="F68" s="58">
        <v>45870.0</v>
      </c>
      <c r="G68" s="59" t="s">
        <v>39</v>
      </c>
      <c r="H68" s="60">
        <f>IF( ISERROR( OFFSET(   'Cuadro tarifario'!D$2  , MATCH(CONCATENATE(                 IF(F68&gt;Mes,OFFSET(NroCT!B$17, MATCH($F68,NroCT!$A$18:$A1405,0),0,1,1),Periodovigente)                                                                                                                     ,A68) ,'Cuadro tarifario'!A$2:A1405,0) -1 , 0 , 1 , 1) )   , 0  ,   OFFSET(   'Cuadro tarifario'!D$2  , MATCH(CONCATENATE( IF(F68&gt;Mes,OFFSET(NroCT!B$17, MATCH($F68,NroCT!$A$18:$A1405,0),0,1,1),Periodovigente) ,A68) ,'Cuadro tarifario'!A$2:A1405,0) -1 , 0 , 1 , 1))</f>
        <v>12000</v>
      </c>
      <c r="I68" s="61">
        <f t="shared" si="52"/>
        <v>1</v>
      </c>
      <c r="J68" s="60">
        <f t="shared" si="15"/>
        <v>12000</v>
      </c>
      <c r="K68" s="62">
        <f>IF(  AND(N68&gt;0,I68=0)          ,N68 ,                         IF(  IF( F68 ,  DAYS360(DATE(YEAR(F68),MONTH(F68),1),Mes)/30  ,  DAYS360(DATE(YEAR(E68),MONTH(E68),1),Mes)/30  )  &gt;  0 , IF(F68,   DAYS360(DATE(YEAR(F68),MONTH(F68),1),Mes)/30  ,  DAYS360(DATE(YEAR(E68),MONTH(E68),1),Mes)/30) , 0)       )</f>
        <v>0</v>
      </c>
      <c r="L68" s="63">
        <f t="shared" si="53"/>
        <v>0</v>
      </c>
      <c r="M68" s="64"/>
      <c r="N68" s="29">
        <f>IF( ISERROR(OFFSET(SECUESTRADOS!D$1,MATCH(B68,SECUESTRADOS!A$2:A1405,0),0)) ,0 ,  OFFSET(SECUESTRADOS!D$1,MATCH(B68,SECUESTRADOS!A$2:A1405,0),0)  )</f>
        <v>0</v>
      </c>
      <c r="O68" s="30"/>
      <c r="P68" s="17" t="str">
        <f t="shared" si="3"/>
        <v>cuna windsurf</v>
      </c>
      <c r="Q68" s="17" t="str">
        <f t="shared" si="54"/>
        <v>#REF!</v>
      </c>
      <c r="R68" s="31"/>
      <c r="S68" s="31"/>
      <c r="T68" s="31"/>
    </row>
    <row r="69">
      <c r="A69" s="18" t="s">
        <v>50</v>
      </c>
      <c r="B69" s="18" t="s">
        <v>85</v>
      </c>
      <c r="C69" s="19">
        <v>869.0</v>
      </c>
      <c r="D69" s="20" t="str">
        <f>IF(   ISERROR(OFFSET(PADRON!B$2,MATCH(C:C,PADRON!A$2:A1405,0)-1,0,1,1) )  ,  ,    OFFSET(PADRON!B$2,MATCH(C:C,PADRON!A$2:A1405,0)-1,0,1,1))</f>
        <v>SORENSEN, HANS</v>
      </c>
      <c r="E69" s="21">
        <v>45992.0</v>
      </c>
      <c r="F69" s="21"/>
      <c r="G69" s="23" t="s">
        <v>39</v>
      </c>
      <c r="H69" s="24">
        <f>IF( ISERROR( OFFSET(   'Cuadro tarifario'!D$2  , MATCH(CONCATENATE(                 IF(F69&gt;Mes,OFFSET(NroCT!B$17, MATCH($F69,NroCT!$A$18:$A1405,0),0,1,1),Periodovigente)                                                                                                                     ,A69) ,'Cuadro tarifario'!A$2:A1405,0) -1 , 0 , 1 , 1) )   , 0  ,   OFFSET(   'Cuadro tarifario'!D$2  , MATCH(CONCATENATE( IF(F69&gt;Mes,OFFSET(NroCT!B$17, MATCH($F69,NroCT!$A$18:$A1405,0),0,1,1),Periodovigente) ,A69) ,'Cuadro tarifario'!A$2:A1405,0) -1 , 0 , 1 , 1))</f>
        <v>3600</v>
      </c>
      <c r="I69" s="25">
        <f t="shared" si="52"/>
        <v>0</v>
      </c>
      <c r="J69" s="24">
        <f t="shared" si="15"/>
        <v>0</v>
      </c>
      <c r="K69" s="26">
        <f>IF(  AND(N69&gt;0,I69=0)          ,N69 ,                         IF(  IF( F69 ,  DAYS360(DATE(YEAR(F69),MONTH(F69),1),Mes)/30  ,  DAYS360(DATE(YEAR(E69),MONTH(E69),1),Mes)/30  )  &gt;  0 , IF(F69,   DAYS360(DATE(YEAR(F69),MONTH(F69),1),Mes)/30  ,  DAYS360(DATE(YEAR(E69),MONTH(E69),1),Mes)/30) , 0)       )</f>
        <v>0</v>
      </c>
      <c r="L69" s="27">
        <f t="shared" si="53"/>
        <v>0</v>
      </c>
      <c r="M69" s="28"/>
      <c r="N69" s="29">
        <f>IF( ISERROR(OFFSET(SECUESTRADOS!D$1,MATCH(B69,SECUESTRADOS!A$2:A1405,0),0)) ,0 ,  OFFSET(SECUESTRADOS!D$1,MATCH(B69,SECUESTRADOS!A$2:A1405,0),0)  )</f>
        <v>0</v>
      </c>
      <c r="O69" s="30"/>
      <c r="P69" s="17" t="b">
        <f t="shared" si="3"/>
        <v>0</v>
      </c>
      <c r="Q69" s="17" t="str">
        <f>IF(AND(A69=A68,B69=B68,C69=C68),"Repetido","")</f>
        <v/>
      </c>
      <c r="R69" s="31"/>
      <c r="S69" s="31"/>
      <c r="T69" s="31"/>
    </row>
    <row r="70">
      <c r="A70" s="18" t="s">
        <v>71</v>
      </c>
      <c r="B70" s="17">
        <v>894.0</v>
      </c>
      <c r="C70" s="19">
        <v>894.0</v>
      </c>
      <c r="D70" s="20" t="str">
        <f>IF(   ISERROR(OFFSET(PADRON!B$2,MATCH(C:C,PADRON!A$2:A1405,0)-1,0,1,1) )  ,  ,    OFFSET(PADRON!B$2,MATCH(C:C,PADRON!A$2:A1405,0)-1,0,1,1))</f>
        <v>SUWAK, FERNANDO</v>
      </c>
      <c r="E70" s="21">
        <v>45778.0</v>
      </c>
      <c r="F70" s="21">
        <v>45870.0</v>
      </c>
      <c r="G70" s="23" t="s">
        <v>39</v>
      </c>
      <c r="H70" s="24">
        <f>IF( ISERROR( OFFSET(   'Cuadro tarifario'!D$2  , MATCH(CONCATENATE(                 IF(F70&gt;Mes,OFFSET(NroCT!B$17, MATCH($F70,NroCT!$A$18:$A1405,0),0,1,1),Periodovigente)                                                                                                                     ,A70) ,'Cuadro tarifario'!A$2:A1405,0) -1 , 0 , 1 , 1) )   , 0  ,   OFFSET(   'Cuadro tarifario'!D$2  , MATCH(CONCATENATE( IF(F70&gt;Mes,OFFSET(NroCT!B$17, MATCH($F70,NroCT!$A$18:$A1405,0),0,1,1),Periodovigente) ,A70) ,'Cuadro tarifario'!A$2:A1405,0) -1 , 0 , 1 , 1))</f>
        <v>11000</v>
      </c>
      <c r="I70" s="25">
        <f t="shared" si="52"/>
        <v>3</v>
      </c>
      <c r="J70" s="24">
        <f t="shared" si="15"/>
        <v>33000</v>
      </c>
      <c r="K70" s="26">
        <f>IF(  AND(N70&gt;0,I70=0)          ,N70 ,                         IF(  IF( F70 ,  DAYS360(DATE(YEAR(F70),MONTH(F70),1),Mes)/30  ,  DAYS360(DATE(YEAR(E70),MONTH(E70),1),Mes)/30  )  &gt;  0 , IF(F70,   DAYS360(DATE(YEAR(F70),MONTH(F70),1),Mes)/30  ,  DAYS360(DATE(YEAR(E70),MONTH(E70),1),Mes)/30) , 0)       )</f>
        <v>0</v>
      </c>
      <c r="L70" s="27">
        <f t="shared" si="53"/>
        <v>0</v>
      </c>
      <c r="M70" s="28"/>
      <c r="N70" s="29">
        <f>IF( ISERROR(OFFSET(SECUESTRADOS!D$1,MATCH(B70,SECUESTRADOS!A$2:A1405,0),0)) ,0 ,  OFFSET(SECUESTRADOS!D$1,MATCH(B70,SECUESTRADOS!A$2:A1405,0),0)  )</f>
        <v>0</v>
      </c>
      <c r="O70" s="30"/>
      <c r="P70" s="17" t="str">
        <f t="shared" si="3"/>
        <v>.socio</v>
      </c>
      <c r="Q70" s="17" t="str">
        <f t="shared" ref="Q70:Q71" si="55">IF(AND(A70=#REF!,B70=#REF!,C70=#REF!),"Repetido","")</f>
        <v>#REF!</v>
      </c>
      <c r="R70" s="31"/>
      <c r="S70" s="31"/>
      <c r="T70" s="31"/>
    </row>
    <row r="71">
      <c r="A71" s="18" t="s">
        <v>38</v>
      </c>
      <c r="B71" s="17">
        <v>894.0</v>
      </c>
      <c r="C71" s="19">
        <v>894.0</v>
      </c>
      <c r="D71" s="20" t="str">
        <f>IF(   ISERROR(OFFSET(PADRON!B$2,MATCH(C:C,PADRON!A$2:A1405,0)-1,0,1,1) )  ,  ,    OFFSET(PADRON!B$2,MATCH(C:C,PADRON!A$2:A1405,0)-1,0,1,1))</f>
        <v>SUWAK, FERNANDO</v>
      </c>
      <c r="E71" s="21">
        <v>45778.0</v>
      </c>
      <c r="F71" s="21">
        <v>45870.0</v>
      </c>
      <c r="G71" s="23" t="s">
        <v>39</v>
      </c>
      <c r="H71" s="24">
        <f>IF( ISERROR( OFFSET(   'Cuadro tarifario'!D$2  , MATCH(CONCATENATE(                 IF(F71&gt;Mes,OFFSET(NroCT!B$17, MATCH($F71,NroCT!$A$18:$A1405,0),0,1,1),Periodovigente)                                                                                                                     ,A71) ,'Cuadro tarifario'!A$2:A1405,0) -1 , 0 , 1 , 1) )   , 0  ,   OFFSET(   'Cuadro tarifario'!D$2  , MATCH(CONCATENATE( IF(F71&gt;Mes,OFFSET(NroCT!B$17, MATCH($F71,NroCT!$A$18:$A1405,0),0,1,1),Periodovigente) ,A71) ,'Cuadro tarifario'!A$2:A1405,0) -1 , 0 , 1 , 1))</f>
        <v>9000</v>
      </c>
      <c r="I71" s="25">
        <f t="shared" si="52"/>
        <v>3</v>
      </c>
      <c r="J71" s="24">
        <f t="shared" si="15"/>
        <v>27000</v>
      </c>
      <c r="K71" s="26">
        <f>IF(  AND(N71&gt;0,I71=0)          ,N71 ,                         IF(  IF( F71 ,  DAYS360(DATE(YEAR(F71),MONTH(F71),1),Mes)/30  ,  DAYS360(DATE(YEAR(E71),MONTH(E71),1),Mes)/30  )  &gt;  0 , IF(F71,   DAYS360(DATE(YEAR(F71),MONTH(F71),1),Mes)/30  ,  DAYS360(DATE(YEAR(E71),MONTH(E71),1),Mes)/30) , 0)       )</f>
        <v>0</v>
      </c>
      <c r="L71" s="27">
        <f t="shared" si="53"/>
        <v>0</v>
      </c>
      <c r="M71" s="28"/>
      <c r="N71" s="29">
        <f>IF( ISERROR(OFFSET(SECUESTRADOS!D$1,MATCH(B71,SECUESTRADOS!A$2:A1405,0),0)) ,0 ,  OFFSET(SECUESTRADOS!D$1,MATCH(B71,SECUESTRADOS!A$2:A1405,0),0)  )</f>
        <v>0</v>
      </c>
      <c r="O71" s="30"/>
      <c r="P71" s="17" t="str">
        <f t="shared" si="3"/>
        <v>Bono canon</v>
      </c>
      <c r="Q71" s="17" t="str">
        <f t="shared" si="55"/>
        <v>#REF!</v>
      </c>
      <c r="R71" s="31"/>
      <c r="S71" s="31"/>
      <c r="T71" s="31"/>
    </row>
    <row r="72">
      <c r="A72" s="33" t="s">
        <v>40</v>
      </c>
      <c r="B72" s="33" t="s">
        <v>86</v>
      </c>
      <c r="C72" s="19">
        <v>894.0</v>
      </c>
      <c r="D72" s="34" t="str">
        <f>if(   iserror(offset(PADRON!B$2,match(C:C,PADRON!A$2:A1405,0)-1,0,1,1) )  ,  ,    offset(PADRON!B$2,match(C:C,PADRON!A$2:A1405,0)-1,0,1,1))</f>
        <v>SUWAK, FERNANDO</v>
      </c>
      <c r="E72" s="22">
        <v>45778.0</v>
      </c>
      <c r="F72" s="22">
        <v>45870.0</v>
      </c>
      <c r="G72" s="23" t="s">
        <v>39</v>
      </c>
      <c r="H72" s="35">
        <f>IF( ISERROR( OFFSET(   'Cuadro tarifario'!D$2  , MATCH(CONCATENATE(                 IF(F72&gt;Mes,OFFSET(NroCT!B$17, MATCH($F72,NroCT!$A$18:$A1405,0),0,1,1),Periodovigente)                                                                                                                     ,A72) ,'Cuadro tarifario'!A$2:A1405,0) -1 , 0 , 1 , 1) )   , 0  ,   OFFSET(   'Cuadro tarifario'!D$2  , MATCH(CONCATENATE( IF(F72&gt;Mes,OFFSET(NroCT!B$17, MATCH($F72,NroCT!$A$18:$A1405,0),0,1,1),Periodovigente) ,A72) ,'Cuadro tarifario'!A$2:A1405,0) -1 , 0 , 1 , 1))</f>
        <v>12000</v>
      </c>
      <c r="I72" s="36">
        <f t="shared" ref="I72:I73" si="56">Int(If(F72,DAYS360(          date(Year(E72),Month(E72),1),         date(Year(F72)     ,      Month(F72),1 )    )            /30,0 ))</f>
        <v>3</v>
      </c>
      <c r="J72" s="37">
        <f t="shared" si="15"/>
        <v>36000</v>
      </c>
      <c r="K72" s="38">
        <f>if(  and(N72&gt;0,I72=0)          ,N72 ,                         If(  If( F72 ,  DAYS360(date(year(F72),month(F72),1),Mes)/30  ,  DAYS360(date(year(E72),month(E72),1),Mes)/30  )  &gt;  0 , If(F72,   DAYS360(date(year(F72),month(F72),1),Mes)/30  ,  DAYS360(date(year(E72),month(E72),1),Mes)/30) , 0)       )</f>
        <v>0</v>
      </c>
      <c r="L72" s="39">
        <f t="shared" ref="L72:L73" si="57">If(Iserror(K:K*H:H)   ,  0   ,   K:K*H:H)</f>
        <v>0</v>
      </c>
      <c r="M72" s="40"/>
      <c r="N72" s="29">
        <f>IF( ISERROR(OFFSET(SECUESTRADOS!D$1,MATCH(B72,SECUESTRADOS!A$2:A1405,0),0)) ,0 ,  OFFSET(SECUESTRADOS!D$1,MATCH(B72,SECUESTRADOS!A$2:A1405,0),0)  )</f>
        <v>0</v>
      </c>
      <c r="O72" s="30"/>
      <c r="P72" s="17" t="str">
        <f t="shared" si="3"/>
        <v>cuna windsurf</v>
      </c>
      <c r="Q72" s="17" t="str">
        <f>IF(AND(A72=A71,B72=B71,C72=C71),"Repetido","")</f>
        <v/>
      </c>
      <c r="R72" s="31"/>
      <c r="S72" s="31"/>
      <c r="T72" s="31"/>
    </row>
    <row r="73">
      <c r="A73" s="54" t="s">
        <v>71</v>
      </c>
      <c r="B73" s="54">
        <v>913.0</v>
      </c>
      <c r="C73" s="19">
        <v>913.0</v>
      </c>
      <c r="D73" s="34" t="str">
        <f>if(   iserror(offset(PADRON!B$2,match(C:C,PADRON!A$2:A1405,0)-1,0,1,1) )  ,  ,    offset(PADRON!B$2,match(C:C,PADRON!A$2:A1405,0)-1,0,1,1))</f>
        <v>AROZAMENA, GUSTAVO</v>
      </c>
      <c r="E73" s="22">
        <v>45839.0</v>
      </c>
      <c r="F73" s="22">
        <v>45870.0</v>
      </c>
      <c r="G73" s="23" t="s">
        <v>39</v>
      </c>
      <c r="H73" s="35">
        <f>IF( ISERROR( OFFSET(   'Cuadro tarifario'!D$2  , MATCH(CONCATENATE(                 IF(F73&gt;Mes,OFFSET(NroCT!B$17, MATCH($F73,NroCT!$A$18:$A1405,0),0,1,1),Periodovigente)                                                                                                                     ,A73) ,'Cuadro tarifario'!A$2:A1405,0) -1 , 0 , 1 , 1) )   , 0  ,   OFFSET(   'Cuadro tarifario'!D$2  , MATCH(CONCATENATE( IF(F73&gt;Mes,OFFSET(NroCT!B$17, MATCH($F73,NroCT!$A$18:$A1405,0),0,1,1),Periodovigente) ,A73) ,'Cuadro tarifario'!A$2:A1405,0) -1 , 0 , 1 , 1))</f>
        <v>11000</v>
      </c>
      <c r="I73" s="36">
        <f t="shared" si="56"/>
        <v>1</v>
      </c>
      <c r="J73" s="37">
        <f t="shared" si="15"/>
        <v>11000</v>
      </c>
      <c r="K73" s="38">
        <f>if(  and(N73&gt;0,I73=0)          ,N73 ,                         If(  If( F73 ,  DAYS360(date(year(F73),month(F73),1),Mes)/30  ,  DAYS360(date(year(E73),month(E73),1),Mes)/30  )  &gt;  0 , If(F73,   DAYS360(date(year(F73),month(F73),1),Mes)/30  ,  DAYS360(date(year(E73),month(E73),1),Mes)/30) , 0)       )</f>
        <v>0</v>
      </c>
      <c r="L73" s="39">
        <f t="shared" si="57"/>
        <v>0</v>
      </c>
      <c r="M73" s="40"/>
      <c r="N73" s="29">
        <f>IF( ISERROR(OFFSET(SECUESTRADOS!D$1,MATCH(B73,SECUESTRADOS!A$2:A1405,0),0)) ,0 ,  OFFSET(SECUESTRADOS!D$1,MATCH(B73,SECUESTRADOS!A$2:A1405,0),0)  )</f>
        <v>0</v>
      </c>
      <c r="O73" s="30"/>
      <c r="P73" s="17" t="str">
        <f t="shared" si="3"/>
        <v>.socio</v>
      </c>
      <c r="Q73" s="17" t="str">
        <f>IF(AND(A73=#REF!,B73=#REF!,C73=#REF!),"Repetido","")</f>
        <v>#REF!</v>
      </c>
      <c r="R73" s="31"/>
      <c r="S73" s="31"/>
      <c r="T73" s="31"/>
    </row>
    <row r="74">
      <c r="A74" s="18" t="s">
        <v>38</v>
      </c>
      <c r="B74" s="17">
        <v>913.0</v>
      </c>
      <c r="C74" s="19">
        <v>913.0</v>
      </c>
      <c r="D74" s="20" t="str">
        <f>IF(   ISERROR(OFFSET(PADRON!B$2,MATCH(C:C,PADRON!A$2:A1405,0)-1,0,1,1) )  ,  ,    OFFSET(PADRON!B$2,MATCH(C:C,PADRON!A$2:A1405,0)-1,0,1,1))</f>
        <v>AROZAMENA, GUSTAVO</v>
      </c>
      <c r="E74" s="21">
        <v>45839.0</v>
      </c>
      <c r="F74" s="22">
        <v>45870.0</v>
      </c>
      <c r="G74" s="23" t="s">
        <v>39</v>
      </c>
      <c r="H74" s="24">
        <f>IF( ISERROR( OFFSET(   'Cuadro tarifario'!D$2  , MATCH(CONCATENATE(                 IF(F74&gt;Mes,OFFSET(NroCT!B$17, MATCH($F74,NroCT!$A$18:$A1405,0),0,1,1),Periodovigente)                                                                                                                     ,A74) ,'Cuadro tarifario'!A$2:A1405,0) -1 , 0 , 1 , 1) )   , 0  ,   OFFSET(   'Cuadro tarifario'!D$2  , MATCH(CONCATENATE( IF(F74&gt;Mes,OFFSET(NroCT!B$17, MATCH($F74,NroCT!$A$18:$A1405,0),0,1,1),Periodovigente) ,A74) ,'Cuadro tarifario'!A$2:A1405,0) -1 , 0 , 1 , 1))</f>
        <v>9000</v>
      </c>
      <c r="I74" s="25">
        <f t="shared" ref="I74:I76" si="58">INT(IF(F74,DAYS360(          DATE(YEAR(E74),MONTH(E74),1),         DATE(YEAR(F74)     ,      MONTH(F74),1 )    )            /30,0 ))</f>
        <v>1</v>
      </c>
      <c r="J74" s="24">
        <f t="shared" si="15"/>
        <v>9000</v>
      </c>
      <c r="K74" s="26">
        <f>IF(  AND(N74&gt;0,I74=0)          ,N74 ,                         IF(  IF( F74 ,  DAYS360(DATE(YEAR(F74),MONTH(F74),1),Mes)/30  ,  DAYS360(DATE(YEAR(E74),MONTH(E74),1),Mes)/30  )  &gt;  0 , IF(F74,   DAYS360(DATE(YEAR(F74),MONTH(F74),1),Mes)/30  ,  DAYS360(DATE(YEAR(E74),MONTH(E74),1),Mes)/30) , 0)       )</f>
        <v>0</v>
      </c>
      <c r="L74" s="27">
        <f t="shared" ref="L74:L76" si="59">IF(ISERROR(K:K*H:H)   ,  0   ,   K:K*H:H)</f>
        <v>0</v>
      </c>
      <c r="M74" s="28"/>
      <c r="N74" s="29">
        <f>IF( ISERROR(OFFSET(SECUESTRADOS!D$1,MATCH(B74,SECUESTRADOS!A$2:A1405,0),0)) ,0 ,  OFFSET(SECUESTRADOS!D$1,MATCH(B74,SECUESTRADOS!A$2:A1405,0),0)  )</f>
        <v>0</v>
      </c>
      <c r="O74" s="30"/>
      <c r="P74" s="17" t="str">
        <f t="shared" si="3"/>
        <v>Bono canon</v>
      </c>
      <c r="Q74" s="17" t="str">
        <f>IF(AND(A74=A73,B74=B73,C74=C73),"Repetido","")</f>
        <v/>
      </c>
      <c r="R74" s="31"/>
      <c r="S74" s="31"/>
      <c r="T74" s="31"/>
    </row>
    <row r="75">
      <c r="A75" s="18" t="s">
        <v>48</v>
      </c>
      <c r="B75" s="18" t="s">
        <v>87</v>
      </c>
      <c r="C75" s="19">
        <v>913.0</v>
      </c>
      <c r="D75" s="20" t="str">
        <f>IF(   ISERROR(OFFSET(PADRON!B$2,MATCH(C:C,PADRON!A$2:A1405,0)-1,0,1,1) )  ,  ,    OFFSET(PADRON!B$2,MATCH(C:C,PADRON!A$2:A1405,0)-1,0,1,1))</f>
        <v>AROZAMENA, GUSTAVO</v>
      </c>
      <c r="E75" s="21">
        <v>45839.0</v>
      </c>
      <c r="F75" s="22">
        <v>45870.0</v>
      </c>
      <c r="G75" s="23" t="s">
        <v>39</v>
      </c>
      <c r="H75" s="24">
        <f>IF( ISERROR( OFFSET(   'Cuadro tarifario'!D$2  , MATCH(CONCATENATE(                 IF(F75&gt;Mes,OFFSET(NroCT!B$17, MATCH($F75,NroCT!$A$18:$A1405,0),0,1,1),Periodovigente)                                                                                                                     ,A75) ,'Cuadro tarifario'!A$2:A1405,0) -1 , 0 , 1 , 1) )   , 0  ,   OFFSET(   'Cuadro tarifario'!D$2  , MATCH(CONCATENATE( IF(F75&gt;Mes,OFFSET(NroCT!B$17, MATCH($F75,NroCT!$A$18:$A1405,0),0,1,1),Periodovigente) ,A75) ,'Cuadro tarifario'!A$2:A1405,0) -1 , 0 , 1 , 1))</f>
        <v>12000</v>
      </c>
      <c r="I75" s="25">
        <f t="shared" si="58"/>
        <v>1</v>
      </c>
      <c r="J75" s="23"/>
      <c r="K75" s="26">
        <f>IF(  AND(N75&gt;0,I75=0)          ,N75 ,                         IF(  IF( F75 ,  DAYS360(DATE(YEAR(F75),MONTH(F75),1),Mes)/30  ,  DAYS360(DATE(YEAR(E75),MONTH(E75),1),Mes)/30  )  &gt;  0 , IF(F75,   DAYS360(DATE(YEAR(F75),MONTH(F75),1),Mes)/30  ,  DAYS360(DATE(YEAR(E75),MONTH(E75),1),Mes)/30) , 0)       )</f>
        <v>0</v>
      </c>
      <c r="L75" s="27">
        <f t="shared" si="59"/>
        <v>0</v>
      </c>
      <c r="M75" s="65" t="s">
        <v>88</v>
      </c>
      <c r="N75" s="29">
        <f>IF( ISERROR(OFFSET(SECUESTRADOS!D$1,MATCH(B75,SECUESTRADOS!A$2:A1405,0),0)) ,0 ,  OFFSET(SECUESTRADOS!D$1,MATCH(B75,SECUESTRADOS!A$2:A1405,0),0)  )</f>
        <v>0</v>
      </c>
      <c r="O75" s="30"/>
      <c r="P75" s="17" t="str">
        <f t="shared" si="3"/>
        <v>velero</v>
      </c>
      <c r="Q75" s="17" t="str">
        <f t="shared" ref="Q75:Q76" si="60">IF(AND(A75=#REF!,B75=#REF!,C75=#REF!),"Repetido","")</f>
        <v>#REF!</v>
      </c>
      <c r="R75" s="31"/>
      <c r="S75" s="31"/>
      <c r="T75" s="31"/>
    </row>
    <row r="76">
      <c r="A76" s="18" t="s">
        <v>48</v>
      </c>
      <c r="B76" s="18" t="s">
        <v>89</v>
      </c>
      <c r="C76" s="19">
        <v>913.0</v>
      </c>
      <c r="D76" s="20" t="str">
        <f>IF(   ISERROR(OFFSET(PADRON!B$2,MATCH(C:C,PADRON!A$2:A1405,0)-1,0,1,1) )  ,  ,    OFFSET(PADRON!B$2,MATCH(C:C,PADRON!A$2:A1405,0)-1,0,1,1))</f>
        <v>AROZAMENA, GUSTAVO</v>
      </c>
      <c r="E76" s="21">
        <v>45839.0</v>
      </c>
      <c r="F76" s="22">
        <v>45870.0</v>
      </c>
      <c r="G76" s="23" t="s">
        <v>39</v>
      </c>
      <c r="H76" s="24">
        <f>IF( ISERROR( OFFSET(   'Cuadro tarifario'!D$2  , MATCH(CONCATENATE(                 IF(F76&gt;Mes,OFFSET(NroCT!B$17, MATCH($F76,NroCT!$A$18:$A1405,0),0,1,1),Periodovigente)                                                                                                                     ,A76) ,'Cuadro tarifario'!A$2:A1405,0) -1 , 0 , 1 , 1) )   , 0  ,   OFFSET(   'Cuadro tarifario'!D$2  , MATCH(CONCATENATE( IF(F76&gt;Mes,OFFSET(NroCT!B$17, MATCH($F76,NroCT!$A$18:$A1405,0),0,1,1),Periodovigente) ,A76) ,'Cuadro tarifario'!A$2:A1405,0) -1 , 0 , 1 , 1))</f>
        <v>12000</v>
      </c>
      <c r="I76" s="25">
        <f t="shared" si="58"/>
        <v>1</v>
      </c>
      <c r="J76" s="24">
        <f t="shared" ref="J76:J100" si="61">I76*H76</f>
        <v>12000</v>
      </c>
      <c r="K76" s="26">
        <f>IF(  AND(N76&gt;0,I76=0)          ,N76 ,                         IF(  IF( F76 ,  DAYS360(DATE(YEAR(F76),MONTH(F76),1),Mes)/30  ,  DAYS360(DATE(YEAR(E76),MONTH(E76),1),Mes)/30  )  &gt;  0 , IF(F76,   DAYS360(DATE(YEAR(F76),MONTH(F76),1),Mes)/30  ,  DAYS360(DATE(YEAR(E76),MONTH(E76),1),Mes)/30) , 0)       )</f>
        <v>0</v>
      </c>
      <c r="L76" s="27">
        <f t="shared" si="59"/>
        <v>0</v>
      </c>
      <c r="M76" s="65"/>
      <c r="N76" s="29">
        <f>IF( ISERROR(OFFSET(SECUESTRADOS!D$1,MATCH(B76,SECUESTRADOS!A$2:A1405,0),0)) ,0 ,  OFFSET(SECUESTRADOS!D$1,MATCH(B76,SECUESTRADOS!A$2:A1405,0),0)  )</f>
        <v>0</v>
      </c>
      <c r="O76" s="30"/>
      <c r="P76" s="17" t="str">
        <f t="shared" si="3"/>
        <v>velero</v>
      </c>
      <c r="Q76" s="17" t="str">
        <f t="shared" si="60"/>
        <v>#REF!</v>
      </c>
      <c r="R76" s="31"/>
      <c r="S76" s="31"/>
      <c r="T76" s="31"/>
    </row>
    <row r="77" ht="16.5" customHeight="1">
      <c r="A77" s="51" t="s">
        <v>50</v>
      </c>
      <c r="B77" s="51" t="s">
        <v>90</v>
      </c>
      <c r="C77" s="19">
        <v>913.0</v>
      </c>
      <c r="D77" s="34" t="str">
        <f>if(   iserror(offset(PADRON!B$2,match(C:C,PADRON!A$2:A1405,0)-1,0,1,1) )  ,  ,    offset(PADRON!B$2,match(C:C,PADRON!A$2:A1405,0)-1,0,1,1))</f>
        <v>AROZAMENA, GUSTAVO</v>
      </c>
      <c r="E77" s="22">
        <v>45992.0</v>
      </c>
      <c r="F77" s="22"/>
      <c r="G77" s="23" t="s">
        <v>39</v>
      </c>
      <c r="H77" s="35">
        <f>IF( ISERROR( OFFSET(   'Cuadro tarifario'!D$2  , MATCH(CONCATENATE(                 IF(F77&gt;Mes,OFFSET(NroCT!B$17, MATCH($F77,NroCT!$A$18:$A1405,0),0,1,1),Periodovigente)                                                                                                                     ,A77) ,'Cuadro tarifario'!A$2:A1405,0) -1 , 0 , 1 , 1) )   , 0  ,   OFFSET(   'Cuadro tarifario'!D$2  , MATCH(CONCATENATE( IF(F77&gt;Mes,OFFSET(NroCT!B$17, MATCH($F77,NroCT!$A$18:$A1405,0),0,1,1),Periodovigente) ,A77) ,'Cuadro tarifario'!A$2:A1405,0) -1 , 0 , 1 , 1))</f>
        <v>3600</v>
      </c>
      <c r="I77" s="36">
        <f>Int(If(F77,DAYS360(          date(Year(E77),Month(E77),1),         date(Year(F77)     ,      Month(F77),1 )    )            /30,0 ))</f>
        <v>0</v>
      </c>
      <c r="J77" s="37">
        <f t="shared" si="61"/>
        <v>0</v>
      </c>
      <c r="K77" s="38">
        <f>if(  and(N77&gt;0,I77=0)          ,N77 ,                         If(  If( F77 ,  DAYS360(date(year(F77),month(F77),1),Mes)/30  ,  DAYS360(date(year(E77),month(E77),1),Mes)/30  )  &gt;  0 , If(F77,   DAYS360(date(year(F77),month(F77),1),Mes)/30  ,  DAYS360(date(year(E77),month(E77),1),Mes)/30) , 0)       )</f>
        <v>0</v>
      </c>
      <c r="L77" s="39">
        <f>If(Iserror(K:K*H:H)   ,  0   ,   K:K*H:H)</f>
        <v>0</v>
      </c>
      <c r="M77" s="40"/>
      <c r="N77" s="29">
        <f>IF( ISERROR(OFFSET(SECUESTRADOS!D$1,MATCH(B77,SECUESTRADOS!A$2:A1405,0),0)) ,0 ,  OFFSET(SECUESTRADOS!D$1,MATCH(B77,SECUESTRADOS!A$2:A1405,0),0)  )</f>
        <v>0</v>
      </c>
      <c r="O77" s="30"/>
      <c r="P77" s="17" t="b">
        <f t="shared" si="3"/>
        <v>0</v>
      </c>
      <c r="Q77" s="17" t="str">
        <f>IF(AND(A77=A74,B77=B74,C77=C74),"Repetido","")</f>
        <v/>
      </c>
      <c r="R77" s="31"/>
      <c r="S77" s="31"/>
      <c r="T77" s="31"/>
    </row>
    <row r="78">
      <c r="A78" s="43" t="s">
        <v>52</v>
      </c>
      <c r="B78" s="43" t="s">
        <v>91</v>
      </c>
      <c r="C78" s="19">
        <v>913.0</v>
      </c>
      <c r="D78" s="44" t="str">
        <f>IF(   ISERROR(OFFSET(PADRON!B$2,MATCH(C:C,PADRON!A$2:A1405,0)-1,0,1,1) )  ,  ,    OFFSET(PADRON!B$2,MATCH(C:C,PADRON!A$2:A1405,0)-1,0,1,1))</f>
        <v>AROZAMENA, GUSTAVO</v>
      </c>
      <c r="E78" s="45">
        <v>45992.0</v>
      </c>
      <c r="F78" s="45"/>
      <c r="G78" s="23" t="s">
        <v>39</v>
      </c>
      <c r="H78" s="24">
        <f>IF( ISERROR( OFFSET(   'Cuadro tarifario'!D$2  , MATCH(CONCATENATE(                 IF(F78&gt;Mes,OFFSET(NroCT!B$17, MATCH($F78,NroCT!$A$18:$A1405,0),0,1,1),Periodovigente)                                                                                                                     ,A78) ,'Cuadro tarifario'!A$2:A1405,0) -1 , 0 , 1 , 1) )   , 0  ,   OFFSET(   'Cuadro tarifario'!D$2  , MATCH(CONCATENATE( IF(F78&gt;Mes,OFFSET(NroCT!B$17, MATCH($F78,NroCT!$A$18:$A1405,0),0,1,1),Periodovigente) ,A78) ,'Cuadro tarifario'!A$2:A1405,0) -1 , 0 , 1 , 1))</f>
        <v>4000</v>
      </c>
      <c r="I78" s="46">
        <f>INT(IF(F78,DAYS360(          DATE(YEAR(E78),MONTH(E78),1),         DATE(YEAR(F78)     ,      MONTH(F78),1 )    )            /30,0 ))</f>
        <v>0</v>
      </c>
      <c r="J78" s="47">
        <f t="shared" si="61"/>
        <v>0</v>
      </c>
      <c r="K78" s="48">
        <f>IF(  AND(N78&gt;0,I78=0)          ,N78 ,                         IF(  IF( F78 ,  DAYS360(DATE(YEAR(F78),MONTH(F78),1),Mes)/30  ,  DAYS360(DATE(YEAR(E78),MONTH(E78),1),Mes)/30  )  &gt;  0 , IF(F78,   DAYS360(DATE(YEAR(F78),MONTH(F78),1),Mes)/30  ,  DAYS360(DATE(YEAR(E78),MONTH(E78),1),Mes)/30) , 0)       )</f>
        <v>0</v>
      </c>
      <c r="L78" s="49">
        <f>IF(ISERROR(K:K*H:H)   ,  0   ,   K:K*H:H)</f>
        <v>0</v>
      </c>
      <c r="M78" s="50"/>
      <c r="N78" s="29">
        <f>IF( ISERROR(OFFSET(SECUESTRADOS!D$1,MATCH(B78,SECUESTRADOS!A$2:A1405,0),0)) ,0 ,  OFFSET(SECUESTRADOS!D$1,MATCH(B78,SECUESTRADOS!A$2:A1405,0),0)  )</f>
        <v>0</v>
      </c>
      <c r="O78" s="30"/>
      <c r="P78" s="17" t="b">
        <f t="shared" si="3"/>
        <v>0</v>
      </c>
      <c r="Q78" s="17" t="str">
        <f t="shared" ref="Q78:Q88" si="62">IF(AND(A78=A77,B78=B77,C78=C77),"Repetido","")</f>
        <v/>
      </c>
      <c r="R78" s="31"/>
      <c r="S78" s="31"/>
      <c r="T78" s="31"/>
    </row>
    <row r="79">
      <c r="A79" s="54" t="s">
        <v>71</v>
      </c>
      <c r="B79" s="54">
        <v>943.0</v>
      </c>
      <c r="C79" s="19">
        <v>943.0</v>
      </c>
      <c r="D79" s="34" t="str">
        <f>if(   iserror(offset(PADRON!B$2,match(C:C,PADRON!A$2:A1405,0)-1,0,1,1) )  ,  ,    offset(PADRON!B$2,match(C:C,PADRON!A$2:A1405,0)-1,0,1,1))</f>
        <v>CIDALE, LIDIA</v>
      </c>
      <c r="E79" s="22">
        <v>45839.0</v>
      </c>
      <c r="F79" s="22">
        <v>45870.0</v>
      </c>
      <c r="G79" s="23" t="s">
        <v>39</v>
      </c>
      <c r="H79" s="35">
        <f>IF( ISERROR( OFFSET(   'Cuadro tarifario'!D$2  , MATCH(CONCATENATE(                 IF(F79&gt;Mes,OFFSET(NroCT!B$17, MATCH($F79,NroCT!$A$18:$A1405,0),0,1,1),Periodovigente)                                                                                                                     ,A79) ,'Cuadro tarifario'!A$2:A1405,0) -1 , 0 , 1 , 1) )   , 0  ,   OFFSET(   'Cuadro tarifario'!D$2  , MATCH(CONCATENATE( IF(F79&gt;Mes,OFFSET(NroCT!B$17, MATCH($F79,NroCT!$A$18:$A1405,0),0,1,1),Periodovigente) ,A79) ,'Cuadro tarifario'!A$2:A1405,0) -1 , 0 , 1 , 1))</f>
        <v>11000</v>
      </c>
      <c r="I79" s="36">
        <f>Int(If(F79,DAYS360(          date(Year(E79),Month(E79),1),         date(Year(F79)     ,      Month(F79),1 )    )            /30,0 ))</f>
        <v>1</v>
      </c>
      <c r="J79" s="37">
        <f t="shared" si="61"/>
        <v>11000</v>
      </c>
      <c r="K79" s="38">
        <f>if(  and(N79&gt;0,I79=0)          ,N79 ,                         If(  If( F79 ,  DAYS360(date(year(F79),month(F79),1),Mes)/30  ,  DAYS360(date(year(E79),month(E79),1),Mes)/30  )  &gt;  0 , If(F79,   DAYS360(date(year(F79),month(F79),1),Mes)/30  ,  DAYS360(date(year(E79),month(E79),1),Mes)/30) , 0)       )</f>
        <v>0</v>
      </c>
      <c r="L79" s="39">
        <f>If(Iserror(K:K*H:H)   ,  0   ,   K:K*H:H)</f>
        <v>0</v>
      </c>
      <c r="M79" s="40" t="s">
        <v>58</v>
      </c>
      <c r="N79" s="29">
        <f>IF( ISERROR(OFFSET(SECUESTRADOS!D$1,MATCH(B79,SECUESTRADOS!A$2:A1405,0),0)) ,0 ,  OFFSET(SECUESTRADOS!D$1,MATCH(B79,SECUESTRADOS!A$2:A1405,0),0)  )</f>
        <v>0</v>
      </c>
      <c r="O79" s="30"/>
      <c r="P79" s="17" t="str">
        <f t="shared" si="3"/>
        <v>.socio</v>
      </c>
      <c r="Q79" s="17" t="str">
        <f t="shared" si="62"/>
        <v/>
      </c>
      <c r="R79" s="31"/>
      <c r="S79" s="31"/>
      <c r="T79" s="31"/>
    </row>
    <row r="80">
      <c r="A80" s="18" t="s">
        <v>38</v>
      </c>
      <c r="B80" s="17">
        <v>943.0</v>
      </c>
      <c r="C80" s="19">
        <v>943.0</v>
      </c>
      <c r="D80" s="20" t="str">
        <f>IF(   ISERROR(OFFSET(PADRON!B$2,MATCH(C:C,PADRON!A$2:A1405,0)-1,0,1,1) )  ,  ,    OFFSET(PADRON!B$2,MATCH(C:C,PADRON!A$2:A1405,0)-1,0,1,1))</f>
        <v>CIDALE, LIDIA</v>
      </c>
      <c r="E80" s="21">
        <v>45839.0</v>
      </c>
      <c r="F80" s="21">
        <v>45870.0</v>
      </c>
      <c r="G80" s="23" t="s">
        <v>39</v>
      </c>
      <c r="H80" s="24">
        <f>IF( ISERROR( OFFSET(   'Cuadro tarifario'!D$2  , MATCH(CONCATENATE(                 IF(F80&gt;Mes,OFFSET(NroCT!B$17, MATCH($F80,NroCT!$A$18:$A1405,0),0,1,1),Periodovigente)                                                                                                                     ,A80) ,'Cuadro tarifario'!A$2:A1405,0) -1 , 0 , 1 , 1) )   , 0  ,   OFFSET(   'Cuadro tarifario'!D$2  , MATCH(CONCATENATE( IF(F80&gt;Mes,OFFSET(NroCT!B$17, MATCH($F80,NroCT!$A$18:$A1405,0),0,1,1),Periodovigente) ,A80) ,'Cuadro tarifario'!A$2:A1405,0) -1 , 0 , 1 , 1))</f>
        <v>9000</v>
      </c>
      <c r="I80" s="25">
        <f>INT(IF(F80,DAYS360(          DATE(YEAR(E80),MONTH(E80),1),         DATE(YEAR(F80)     ,      MONTH(F80),1 )    )            /30,0 ))</f>
        <v>1</v>
      </c>
      <c r="J80" s="24">
        <f t="shared" si="61"/>
        <v>9000</v>
      </c>
      <c r="K80" s="26">
        <f>IF(  AND(N80&gt;0,I80=0)          ,N80 ,                         IF(  IF( F80 ,  DAYS360(DATE(YEAR(F80),MONTH(F80),1),Mes)/30  ,  DAYS360(DATE(YEAR(E80),MONTH(E80),1),Mes)/30  )  &gt;  0 , IF(F80,   DAYS360(DATE(YEAR(F80),MONTH(F80),1),Mes)/30  ,  DAYS360(DATE(YEAR(E80),MONTH(E80),1),Mes)/30) , 0)       )</f>
        <v>0</v>
      </c>
      <c r="L80" s="27">
        <f>IF(ISERROR(K:K*H:H)   ,  0   ,   K:K*H:H)</f>
        <v>0</v>
      </c>
      <c r="M80" s="28"/>
      <c r="N80" s="29">
        <f>IF( ISERROR(OFFSET(SECUESTRADOS!D$1,MATCH(B80,SECUESTRADOS!A$2:A1405,0),0)) ,0 ,  OFFSET(SECUESTRADOS!D$1,MATCH(B80,SECUESTRADOS!A$2:A1405,0),0)  )</f>
        <v>0</v>
      </c>
      <c r="O80" s="30"/>
      <c r="P80" s="17" t="str">
        <f t="shared" si="3"/>
        <v>Bono canon</v>
      </c>
      <c r="Q80" s="17" t="str">
        <f t="shared" si="62"/>
        <v/>
      </c>
      <c r="R80" s="31"/>
      <c r="S80" s="31"/>
      <c r="T80" s="31"/>
    </row>
    <row r="81">
      <c r="A81" s="54" t="s">
        <v>71</v>
      </c>
      <c r="B81" s="54">
        <v>977.0</v>
      </c>
      <c r="C81" s="19">
        <v>977.0</v>
      </c>
      <c r="D81" s="34" t="str">
        <f>if(   iserror(offset(PADRON!B$2,match(C:C,PADRON!A$2:A1405,0)-1,0,1,1) )  ,  ,    offset(PADRON!B$2,match(C:C,PADRON!A$2:A1405,0)-1,0,1,1))</f>
        <v>SACO, ROBERTO</v>
      </c>
      <c r="E81" s="22">
        <v>45992.0</v>
      </c>
      <c r="F81" s="22"/>
      <c r="G81" s="23" t="s">
        <v>39</v>
      </c>
      <c r="H81" s="35">
        <f>IF( ISERROR( OFFSET(   'Cuadro tarifario'!D$2  , MATCH(CONCATENATE(                 IF(F81&gt;Mes,OFFSET(NroCT!B$17, MATCH($F81,NroCT!$A$18:$A1405,0),0,1,1),Periodovigente)                                                                                                                     ,A81) ,'Cuadro tarifario'!A$2:A1405,0) -1 , 0 , 1 , 1) )   , 0  ,   OFFSET(   'Cuadro tarifario'!D$2  , MATCH(CONCATENATE( IF(F81&gt;Mes,OFFSET(NroCT!B$17, MATCH($F81,NroCT!$A$18:$A1405,0),0,1,1),Periodovigente) ,A81) ,'Cuadro tarifario'!A$2:A1405,0) -1 , 0 , 1 , 1))</f>
        <v>11000</v>
      </c>
      <c r="I81" s="36">
        <f>Int(If(F81,DAYS360(          date(Year(E81),Month(E81),1),         date(Year(F81)     ,      Month(F81),1 )    )            /30,0 ))</f>
        <v>0</v>
      </c>
      <c r="J81" s="37">
        <f t="shared" si="61"/>
        <v>0</v>
      </c>
      <c r="K81" s="38">
        <f>if(  and(N81&gt;0,I81=0)          ,N81 ,                         If(  If( F81 ,  DAYS360(date(year(F81),month(F81),1),Mes)/30  ,  DAYS360(date(year(E81),month(E81),1),Mes)/30  )  &gt;  0 , If(F81,   DAYS360(date(year(F81),month(F81),1),Mes)/30  ,  DAYS360(date(year(E81),month(E81),1),Mes)/30) , 0)       )</f>
        <v>0</v>
      </c>
      <c r="L81" s="39">
        <f>If(Iserror(K:K*H:H)   ,  0   ,   K:K*H:H)</f>
        <v>0</v>
      </c>
      <c r="M81" s="40"/>
      <c r="N81" s="29">
        <f>IF( ISERROR(OFFSET(SECUESTRADOS!D$1,MATCH(B81,SECUESTRADOS!A$2:A1405,0),0)) ,0 ,  OFFSET(SECUESTRADOS!D$1,MATCH(B81,SECUESTRADOS!A$2:A1405,0),0)  )</f>
        <v>0</v>
      </c>
      <c r="O81" s="30"/>
      <c r="P81" s="17" t="b">
        <f t="shared" si="3"/>
        <v>0</v>
      </c>
      <c r="Q81" s="17" t="str">
        <f t="shared" si="62"/>
        <v/>
      </c>
      <c r="R81" s="31"/>
      <c r="S81" s="31"/>
      <c r="T81" s="31"/>
    </row>
    <row r="82">
      <c r="A82" s="18" t="s">
        <v>38</v>
      </c>
      <c r="B82" s="17">
        <v>977.0</v>
      </c>
      <c r="C82" s="19">
        <v>977.0</v>
      </c>
      <c r="D82" s="20" t="str">
        <f>IF(   ISERROR(OFFSET(PADRON!B$2,MATCH(C:C,PADRON!A$2:A1405,0)-1,0,1,1) )  ,  ,    OFFSET(PADRON!B$2,MATCH(C:C,PADRON!A$2:A1405,0)-1,0,1,1))</f>
        <v>SACO, ROBERTO</v>
      </c>
      <c r="E82" s="21">
        <v>45992.0</v>
      </c>
      <c r="F82" s="21"/>
      <c r="G82" s="23" t="s">
        <v>39</v>
      </c>
      <c r="H82" s="24">
        <f>IF( ISERROR( OFFSET(   'Cuadro tarifario'!D$2  , MATCH(CONCATENATE(                 IF(F82&gt;Mes,OFFSET(NroCT!B$17, MATCH($F82,NroCT!$A$18:$A1405,0),0,1,1),Periodovigente)                                                                                                                     ,A82) ,'Cuadro tarifario'!A$2:A1405,0) -1 , 0 , 1 , 1) )   , 0  ,   OFFSET(   'Cuadro tarifario'!D$2  , MATCH(CONCATENATE( IF(F82&gt;Mes,OFFSET(NroCT!B$17, MATCH($F82,NroCT!$A$18:$A1405,0),0,1,1),Periodovigente) ,A82) ,'Cuadro tarifario'!A$2:A1405,0) -1 , 0 , 1 , 1))</f>
        <v>9000</v>
      </c>
      <c r="I82" s="25">
        <f>INT(IF(F82,DAYS360(          DATE(YEAR(E82),MONTH(E82),1),         DATE(YEAR(F82)     ,      MONTH(F82),1 )    )            /30,0 ))</f>
        <v>0</v>
      </c>
      <c r="J82" s="24">
        <f t="shared" si="61"/>
        <v>0</v>
      </c>
      <c r="K82" s="26">
        <f>IF(  AND(N82&gt;0,I82=0)          ,N82 ,                         IF(  IF( F82 ,  DAYS360(DATE(YEAR(F82),MONTH(F82),1),Mes)/30  ,  DAYS360(DATE(YEAR(E82),MONTH(E82),1),Mes)/30  )  &gt;  0 , IF(F82,   DAYS360(DATE(YEAR(F82),MONTH(F82),1),Mes)/30  ,  DAYS360(DATE(YEAR(E82),MONTH(E82),1),Mes)/30) , 0)       )</f>
        <v>0</v>
      </c>
      <c r="L82" s="27">
        <f>IF(ISERROR(K:K*H:H)   ,  0   ,   K:K*H:H)</f>
        <v>0</v>
      </c>
      <c r="M82" s="28"/>
      <c r="N82" s="29">
        <f>IF( ISERROR(OFFSET(SECUESTRADOS!D$1,MATCH(B82,SECUESTRADOS!A$2:A1405,0),0)) ,0 ,  OFFSET(SECUESTRADOS!D$1,MATCH(B82,SECUESTRADOS!A$2:A1405,0),0)  )</f>
        <v>0</v>
      </c>
      <c r="O82" s="30"/>
      <c r="P82" s="17" t="b">
        <f t="shared" si="3"/>
        <v>0</v>
      </c>
      <c r="Q82" s="17" t="str">
        <f t="shared" si="62"/>
        <v/>
      </c>
      <c r="R82" s="31"/>
      <c r="S82" s="31"/>
      <c r="T82" s="31"/>
    </row>
    <row r="83">
      <c r="A83" s="54" t="s">
        <v>71</v>
      </c>
      <c r="B83" s="54">
        <v>982.0</v>
      </c>
      <c r="C83" s="19">
        <v>982.0</v>
      </c>
      <c r="D83" s="34" t="str">
        <f>if(   iserror(offset(PADRON!B$2,match(C:C,PADRON!A$2:A1405,0)-1,0,1,1) )  ,  ,    offset(PADRON!B$2,match(C:C,PADRON!A$2:A1405,0)-1,0,1,1))</f>
        <v>PESCI, JOSE PEDRO</v>
      </c>
      <c r="E83" s="22">
        <v>45992.0</v>
      </c>
      <c r="F83" s="22"/>
      <c r="G83" s="23" t="s">
        <v>39</v>
      </c>
      <c r="H83" s="35">
        <f>IF( ISERROR( OFFSET(   'Cuadro tarifario'!D$2  , MATCH(CONCATENATE(                 IF(F83&gt;Mes,OFFSET(NroCT!B$17, MATCH($F83,NroCT!$A$18:$A1405,0),0,1,1),Periodovigente)                                                                                                                     ,A83) ,'Cuadro tarifario'!A$2:A1405,0) -1 , 0 , 1 , 1) )   , 0  ,   OFFSET(   'Cuadro tarifario'!D$2  , MATCH(CONCATENATE( IF(F83&gt;Mes,OFFSET(NroCT!B$17, MATCH($F83,NroCT!$A$18:$A1405,0),0,1,1),Periodovigente) ,A83) ,'Cuadro tarifario'!A$2:A1405,0) -1 , 0 , 1 , 1))</f>
        <v>11000</v>
      </c>
      <c r="I83" s="36">
        <f>Int(If(F83,DAYS360(          date(Year(E83),Month(E83),1),         date(Year(F83)     ,      Month(F83),1 )    )            /30,0 ))</f>
        <v>0</v>
      </c>
      <c r="J83" s="37">
        <f t="shared" si="61"/>
        <v>0</v>
      </c>
      <c r="K83" s="38">
        <f>if(  and(N83&gt;0,I83=0)          ,N83 ,                         If(  If( F83 ,  DAYS360(date(year(F83),month(F83),1),Mes)/30  ,  DAYS360(date(year(E83),month(E83),1),Mes)/30  )  &gt;  0 , If(F83,   DAYS360(date(year(F83),month(F83),1),Mes)/30  ,  DAYS360(date(year(E83),month(E83),1),Mes)/30) , 0)       )</f>
        <v>0</v>
      </c>
      <c r="L83" s="39">
        <f>If(Iserror(K:K*H:H)   ,  0   ,   K:K*H:H)</f>
        <v>0</v>
      </c>
      <c r="M83" s="40"/>
      <c r="N83" s="29">
        <f>IF( ISERROR(OFFSET(SECUESTRADOS!D$1,MATCH(B83,SECUESTRADOS!A$2:A1405,0),0)) ,0 ,  OFFSET(SECUESTRADOS!D$1,MATCH(B83,SECUESTRADOS!A$2:A1405,0),0)  )</f>
        <v>0</v>
      </c>
      <c r="O83" s="30"/>
      <c r="P83" s="17" t="b">
        <f t="shared" si="3"/>
        <v>0</v>
      </c>
      <c r="Q83" s="17" t="str">
        <f t="shared" si="62"/>
        <v/>
      </c>
      <c r="R83" s="31"/>
      <c r="S83" s="31"/>
      <c r="T83" s="31"/>
    </row>
    <row r="84" ht="14.25" customHeight="1">
      <c r="A84" s="18" t="s">
        <v>38</v>
      </c>
      <c r="B84" s="17">
        <v>982.0</v>
      </c>
      <c r="C84" s="19">
        <v>982.0</v>
      </c>
      <c r="D84" s="20" t="str">
        <f>IF(   ISERROR(OFFSET(PADRON!B$2,MATCH(C:C,PADRON!A$2:A1405,0)-1,0,1,1) )  ,  ,    OFFSET(PADRON!B$2,MATCH(C:C,PADRON!A$2:A1405,0)-1,0,1,1))</f>
        <v>PESCI, JOSE PEDRO</v>
      </c>
      <c r="E84" s="21">
        <v>45992.0</v>
      </c>
      <c r="F84" s="21"/>
      <c r="G84" s="23" t="s">
        <v>39</v>
      </c>
      <c r="H84" s="24">
        <f>IF( ISERROR( OFFSET(   'Cuadro tarifario'!D$2  , MATCH(CONCATENATE(                 IF(F84&gt;Mes,OFFSET(NroCT!B$17, MATCH($F84,NroCT!$A$18:$A1405,0),0,1,1),Periodovigente)                                                                                                                     ,A84) ,'Cuadro tarifario'!A$2:A1405,0) -1 , 0 , 1 , 1) )   , 0  ,   OFFSET(   'Cuadro tarifario'!D$2  , MATCH(CONCATENATE( IF(F84&gt;Mes,OFFSET(NroCT!B$17, MATCH($F84,NroCT!$A$18:$A1405,0),0,1,1),Periodovigente) ,A84) ,'Cuadro tarifario'!A$2:A1405,0) -1 , 0 , 1 , 1))</f>
        <v>9000</v>
      </c>
      <c r="I84" s="25">
        <f>INT(IF(F84,DAYS360(          DATE(YEAR(E84),MONTH(E84),1),         DATE(YEAR(F84)     ,      MONTH(F84),1 )    )            /30,0 ))</f>
        <v>0</v>
      </c>
      <c r="J84" s="24">
        <f t="shared" si="61"/>
        <v>0</v>
      </c>
      <c r="K84" s="26">
        <f>IF(  AND(N84&gt;0,I84=0)          ,N84 ,                         IF(  IF( F84 ,  DAYS360(DATE(YEAR(F84),MONTH(F84),1),Mes)/30  ,  DAYS360(DATE(YEAR(E84),MONTH(E84),1),Mes)/30  )  &gt;  0 , IF(F84,   DAYS360(DATE(YEAR(F84),MONTH(F84),1),Mes)/30  ,  DAYS360(DATE(YEAR(E84),MONTH(E84),1),Mes)/30) , 0)       )</f>
        <v>0</v>
      </c>
      <c r="L84" s="27">
        <f>IF(ISERROR(K:K*H:H)   ,  0   ,   K:K*H:H)</f>
        <v>0</v>
      </c>
      <c r="M84" s="28"/>
      <c r="N84" s="29">
        <f>IF( ISERROR(OFFSET(SECUESTRADOS!D$1,MATCH(B84,SECUESTRADOS!A$2:A1405,0),0)) ,0 ,  OFFSET(SECUESTRADOS!D$1,MATCH(B84,SECUESTRADOS!A$2:A1405,0),0)  )</f>
        <v>0</v>
      </c>
      <c r="O84" s="30"/>
      <c r="P84" s="17" t="b">
        <f t="shared" si="3"/>
        <v>0</v>
      </c>
      <c r="Q84" s="17" t="str">
        <f t="shared" si="62"/>
        <v/>
      </c>
      <c r="R84" s="31"/>
      <c r="S84" s="31"/>
      <c r="T84" s="31"/>
    </row>
    <row r="85">
      <c r="A85" s="33" t="s">
        <v>40</v>
      </c>
      <c r="B85" s="33" t="s">
        <v>92</v>
      </c>
      <c r="C85" s="19">
        <v>982.0</v>
      </c>
      <c r="D85" s="34" t="str">
        <f>if(   iserror(offset(PADRON!B$2,match(C:C,PADRON!A$2:A1405,0)-1,0,1,1) )  ,  ,    offset(PADRON!B$2,match(C:C,PADRON!A$2:A1405,0)-1,0,1,1))</f>
        <v>PESCI, JOSE PEDRO</v>
      </c>
      <c r="E85" s="22">
        <v>45992.0</v>
      </c>
      <c r="F85" s="22"/>
      <c r="G85" s="23" t="s">
        <v>39</v>
      </c>
      <c r="H85" s="35">
        <f>IF( ISERROR( OFFSET(   'Cuadro tarifario'!D$2  , MATCH(CONCATENATE(                 IF(F85&gt;Mes,OFFSET(NroCT!B$17, MATCH($F85,NroCT!$A$18:$A1405,0),0,1,1),Periodovigente)                                                                                                                     ,A85) ,'Cuadro tarifario'!A$2:A1405,0) -1 , 0 , 1 , 1) )   , 0  ,   OFFSET(   'Cuadro tarifario'!D$2  , MATCH(CONCATENATE( IF(F85&gt;Mes,OFFSET(NroCT!B$17, MATCH($F85,NroCT!$A$18:$A1405,0),0,1,1),Periodovigente) ,A85) ,'Cuadro tarifario'!A$2:A1405,0) -1 , 0 , 1 , 1))</f>
        <v>12000</v>
      </c>
      <c r="I85" s="36">
        <f t="shared" ref="I85:I87" si="63">Int(If(F85,DAYS360(          date(Year(E85),Month(E85),1),         date(Year(F85)     ,      Month(F85),1 )    )            /30,0 ))</f>
        <v>0</v>
      </c>
      <c r="J85" s="37">
        <f t="shared" si="61"/>
        <v>0</v>
      </c>
      <c r="K85" s="38">
        <f>if(  and(N85&gt;0,I85=0)          ,N85 ,                         If(  If( F85 ,  DAYS360(date(year(F85),month(F85),1),Mes)/30  ,  DAYS360(date(year(E85),month(E85),1),Mes)/30  )  &gt;  0 , If(F85,   DAYS360(date(year(F85),month(F85),1),Mes)/30  ,  DAYS360(date(year(E85),month(E85),1),Mes)/30) , 0)       )</f>
        <v>0</v>
      </c>
      <c r="L85" s="39">
        <f t="shared" ref="L85:L87" si="64">If(Iserror(K:K*H:H)   ,  0   ,   K:K*H:H)</f>
        <v>0</v>
      </c>
      <c r="M85" s="40"/>
      <c r="N85" s="29">
        <f>IF( ISERROR(OFFSET(SECUESTRADOS!D$1,MATCH(B85,SECUESTRADOS!A$2:A1405,0),0)) ,0 ,  OFFSET(SECUESTRADOS!D$1,MATCH(B85,SECUESTRADOS!A$2:A1405,0),0)  )</f>
        <v>0</v>
      </c>
      <c r="O85" s="30"/>
      <c r="P85" s="17" t="b">
        <f t="shared" si="3"/>
        <v>0</v>
      </c>
      <c r="Q85" s="17" t="str">
        <f t="shared" si="62"/>
        <v/>
      </c>
      <c r="R85" s="31"/>
      <c r="S85" s="31"/>
      <c r="T85" s="31"/>
    </row>
    <row r="86">
      <c r="A86" s="41" t="s">
        <v>42</v>
      </c>
      <c r="B86" s="41" t="s">
        <v>93</v>
      </c>
      <c r="C86" s="19">
        <v>982.0</v>
      </c>
      <c r="D86" s="34" t="str">
        <f>if(   iserror(offset(PADRON!B$2,match(C:C,PADRON!A$2:A1405,0)-1,0,1,1) )  ,  ,    offset(PADRON!B$2,match(C:C,PADRON!A$2:A1405,0)-1,0,1,1))</f>
        <v>PESCI, JOSE PEDRO</v>
      </c>
      <c r="E86" s="22">
        <v>45992.0</v>
      </c>
      <c r="F86" s="22"/>
      <c r="G86" s="23" t="s">
        <v>39</v>
      </c>
      <c r="H86" s="35">
        <f>IF( ISERROR( OFFSET(   'Cuadro tarifario'!D$2  , MATCH(CONCATENATE(                 IF(F86&gt;Mes,OFFSET(NroCT!B$17, MATCH($F86,NroCT!$A$18:$A1405,0),0,1,1),Periodovigente)                                                                                                                     ,A86) ,'Cuadro tarifario'!A$2:A1405,0) -1 , 0 , 1 , 1) )   , 0  ,   OFFSET(   'Cuadro tarifario'!D$2  , MATCH(CONCATENATE( IF(F86&gt;Mes,OFFSET(NroCT!B$17, MATCH($F86,NroCT!$A$18:$A1405,0),0,1,1),Periodovigente) ,A86) ,'Cuadro tarifario'!A$2:A1405,0) -1 , 0 , 1 , 1))</f>
        <v>4000</v>
      </c>
      <c r="I86" s="36">
        <f t="shared" si="63"/>
        <v>0</v>
      </c>
      <c r="J86" s="37">
        <f t="shared" si="61"/>
        <v>0</v>
      </c>
      <c r="K86" s="38">
        <f>if(  and(N86&gt;0,I86=0)          ,N86 ,                         If(  If( F86 ,  DAYS360(date(year(F86),month(F86),1),Mes)/30  ,  DAYS360(date(year(E86),month(E86),1),Mes)/30  )  &gt;  0 , If(F86,   DAYS360(date(year(F86),month(F86),1),Mes)/30  ,  DAYS360(date(year(E86),month(E86),1),Mes)/30) , 0)       )</f>
        <v>0</v>
      </c>
      <c r="L86" s="39">
        <f t="shared" si="64"/>
        <v>0</v>
      </c>
      <c r="M86" s="40"/>
      <c r="N86" s="29">
        <f>IF( ISERROR(OFFSET(SECUESTRADOS!D$1,MATCH(B86,SECUESTRADOS!A$2:A1405,0),0)) ,0 ,  OFFSET(SECUESTRADOS!D$1,MATCH(B86,SECUESTRADOS!A$2:A1405,0),0)  )</f>
        <v>0</v>
      </c>
      <c r="O86" s="30"/>
      <c r="P86" s="17" t="b">
        <f t="shared" si="3"/>
        <v>0</v>
      </c>
      <c r="Q86" s="17" t="str">
        <f t="shared" si="62"/>
        <v/>
      </c>
      <c r="R86" s="31"/>
      <c r="S86" s="31"/>
      <c r="T86" s="31"/>
    </row>
    <row r="87">
      <c r="A87" s="54" t="s">
        <v>71</v>
      </c>
      <c r="B87" s="54">
        <v>988.0</v>
      </c>
      <c r="C87" s="19">
        <v>988.0</v>
      </c>
      <c r="D87" s="34" t="str">
        <f>if(   iserror(offset(PADRON!B$2,match(C:C,PADRON!A$2:A1405,0)-1,0,1,1) )  ,  ,    offset(PADRON!B$2,match(C:C,PADRON!A$2:A1405,0)-1,0,1,1))</f>
        <v>CASADO, MARTÍN</v>
      </c>
      <c r="E87" s="22">
        <v>45778.0</v>
      </c>
      <c r="F87" s="22">
        <v>45870.0</v>
      </c>
      <c r="G87" s="23" t="s">
        <v>39</v>
      </c>
      <c r="H87" s="35">
        <f>IF( ISERROR( OFFSET(   'Cuadro tarifario'!D$2  , MATCH(CONCATENATE(                 IF(F87&gt;Mes,OFFSET(NroCT!B$17, MATCH($F87,NroCT!$A$18:$A1405,0),0,1,1),Periodovigente)                                                                                                                     ,A87) ,'Cuadro tarifario'!A$2:A1405,0) -1 , 0 , 1 , 1) )   , 0  ,   OFFSET(   'Cuadro tarifario'!D$2  , MATCH(CONCATENATE( IF(F87&gt;Mes,OFFSET(NroCT!B$17, MATCH($F87,NroCT!$A$18:$A1405,0),0,1,1),Periodovigente) ,A87) ,'Cuadro tarifario'!A$2:A1405,0) -1 , 0 , 1 , 1))</f>
        <v>11000</v>
      </c>
      <c r="I87" s="36">
        <f t="shared" si="63"/>
        <v>3</v>
      </c>
      <c r="J87" s="37">
        <f t="shared" si="61"/>
        <v>33000</v>
      </c>
      <c r="K87" s="38">
        <f>if(  and(N87&gt;0,I87=0)          ,N87 ,                         If(  If( F87 ,  DAYS360(date(year(F87),month(F87),1),Mes)/30  ,  DAYS360(date(year(E87),month(E87),1),Mes)/30  )  &gt;  0 , If(F87,   DAYS360(date(year(F87),month(F87),1),Mes)/30  ,  DAYS360(date(year(E87),month(E87),1),Mes)/30) , 0)       )</f>
        <v>0</v>
      </c>
      <c r="L87" s="39">
        <f t="shared" si="64"/>
        <v>0</v>
      </c>
      <c r="M87" s="40"/>
      <c r="N87" s="29">
        <f>IF( ISERROR(OFFSET(SECUESTRADOS!D$1,MATCH(B87,SECUESTRADOS!A$2:A1405,0),0)) ,0 ,  OFFSET(SECUESTRADOS!D$1,MATCH(B87,SECUESTRADOS!A$2:A1405,0),0)  )</f>
        <v>0</v>
      </c>
      <c r="O87" s="30"/>
      <c r="P87" s="17" t="str">
        <f t="shared" si="3"/>
        <v>.socio</v>
      </c>
      <c r="Q87" s="17" t="str">
        <f t="shared" si="62"/>
        <v/>
      </c>
      <c r="R87" s="31"/>
      <c r="S87" s="31"/>
      <c r="T87" s="31"/>
    </row>
    <row r="88">
      <c r="A88" s="18" t="s">
        <v>38</v>
      </c>
      <c r="B88" s="17">
        <v>988.0</v>
      </c>
      <c r="C88" s="19">
        <v>988.0</v>
      </c>
      <c r="D88" s="20" t="str">
        <f>IF(   ISERROR(OFFSET(PADRON!B$2,MATCH(C:C,PADRON!A$2:A1405,0)-1,0,1,1) )  ,  ,    OFFSET(PADRON!B$2,MATCH(C:C,PADRON!A$2:A1405,0)-1,0,1,1))</f>
        <v>CASADO, MARTÍN</v>
      </c>
      <c r="E88" s="21">
        <v>45778.0</v>
      </c>
      <c r="F88" s="21">
        <v>45870.0</v>
      </c>
      <c r="G88" s="23" t="s">
        <v>39</v>
      </c>
      <c r="H88" s="24">
        <f>IF( ISERROR( OFFSET(   'Cuadro tarifario'!D$2  , MATCH(CONCATENATE(                 IF(F88&gt;Mes,OFFSET(NroCT!B$17, MATCH($F88,NroCT!$A$18:$A1405,0),0,1,1),Periodovigente)                                                                                                                     ,A88) ,'Cuadro tarifario'!A$2:A1405,0) -1 , 0 , 1 , 1) )   , 0  ,   OFFSET(   'Cuadro tarifario'!D$2  , MATCH(CONCATENATE( IF(F88&gt;Mes,OFFSET(NroCT!B$17, MATCH($F88,NroCT!$A$18:$A1405,0),0,1,1),Periodovigente) ,A88) ,'Cuadro tarifario'!A$2:A1405,0) -1 , 0 , 1 , 1))</f>
        <v>9000</v>
      </c>
      <c r="I88" s="25">
        <f>INT(IF(F88,DAYS360(          DATE(YEAR(E88),MONTH(E88),1),         DATE(YEAR(F88)     ,      MONTH(F88),1 )    )            /30,0 ))</f>
        <v>3</v>
      </c>
      <c r="J88" s="24">
        <f t="shared" si="61"/>
        <v>27000</v>
      </c>
      <c r="K88" s="26">
        <f>IF(  AND(N88&gt;0,I88=0)          ,N88 ,                         IF(  IF( F88 ,  DAYS360(DATE(YEAR(F88),MONTH(F88),1),Mes)/30  ,  DAYS360(DATE(YEAR(E88),MONTH(E88),1),Mes)/30  )  &gt;  0 , IF(F88,   DAYS360(DATE(YEAR(F88),MONTH(F88),1),Mes)/30  ,  DAYS360(DATE(YEAR(E88),MONTH(E88),1),Mes)/30) , 0)       )</f>
        <v>0</v>
      </c>
      <c r="L88" s="27">
        <f>IF(ISERROR(K:K*H:H)   ,  0   ,   K:K*H:H)</f>
        <v>0</v>
      </c>
      <c r="M88" s="28"/>
      <c r="N88" s="29">
        <f>IF( ISERROR(OFFSET(SECUESTRADOS!D$1,MATCH(B88,SECUESTRADOS!A$2:A1405,0),0)) ,0 ,  OFFSET(SECUESTRADOS!D$1,MATCH(B88,SECUESTRADOS!A$2:A1405,0),0)  )</f>
        <v>0</v>
      </c>
      <c r="O88" s="30"/>
      <c r="P88" s="17" t="str">
        <f t="shared" si="3"/>
        <v>Bono canon</v>
      </c>
      <c r="Q88" s="17" t="str">
        <f t="shared" si="62"/>
        <v/>
      </c>
      <c r="R88" s="31"/>
      <c r="S88" s="31"/>
      <c r="T88" s="31"/>
    </row>
    <row r="89">
      <c r="A89" s="66" t="s">
        <v>71</v>
      </c>
      <c r="B89" s="66">
        <v>1041.0</v>
      </c>
      <c r="C89" s="19">
        <v>1041.0</v>
      </c>
      <c r="D89" s="67" t="str">
        <f>if(   iserror(offset(PADRON!B$2,match(C:C,PADRON!A$2:A1405,0)-1,0,1,1) )  ,  ,    offset(PADRON!B$2,match(C:C,PADRON!A$2:A1405,0)-1,0,1,1))</f>
        <v>FERNANDEZ, VIRGILIO</v>
      </c>
      <c r="E89" s="22">
        <v>45839.0</v>
      </c>
      <c r="F89" s="22">
        <v>45870.0</v>
      </c>
      <c r="G89" s="23" t="s">
        <v>39</v>
      </c>
      <c r="H89" s="35">
        <f>IF( ISERROR( OFFSET(   'Cuadro tarifario'!D$2  , MATCH(CONCATENATE(                 IF(F89&gt;Mes,OFFSET(NroCT!B$17, MATCH($F89,NroCT!$A$18:$A1405,0),0,1,1),Periodovigente)                                                                                                                     ,A89) ,'Cuadro tarifario'!A$2:A1405,0) -1 , 0 , 1 , 1) )   , 0  ,   OFFSET(   'Cuadro tarifario'!D$2  , MATCH(CONCATENATE( IF(F89&gt;Mes,OFFSET(NroCT!B$17, MATCH($F89,NroCT!$A$18:$A1405,0),0,1,1),Periodovigente) ,A89) ,'Cuadro tarifario'!A$2:A1405,0) -1 , 0 , 1 , 1))</f>
        <v>11000</v>
      </c>
      <c r="I89" s="68">
        <f>Int(If(F89,DAYS360(          date(Year(E89),Month(E89),1),         date(Year(F89)     ,      Month(F89),1 )    )            /30,0 ))</f>
        <v>1</v>
      </c>
      <c r="J89" s="69">
        <f t="shared" si="61"/>
        <v>11000</v>
      </c>
      <c r="K89" s="70">
        <f>if(  and(N89&gt;0,I89=0)          ,N89 ,                         If(  If( F89 ,  DAYS360(date(year(F89),month(F89),1),Mes)/30  ,  DAYS360(date(year(E89),month(E89),1),Mes)/30  )  &gt;  0 , If(F89,   DAYS360(date(year(F89),month(F89),1),Mes)/30  ,  DAYS360(date(year(E89),month(E89),1),Mes)/30) , 0)       )</f>
        <v>0</v>
      </c>
      <c r="L89" s="71">
        <f>If(Iserror(K:K*H:H)   ,  0   ,   K:K*H:H)</f>
        <v>0</v>
      </c>
      <c r="M89" s="72"/>
      <c r="N89" s="29">
        <f>IF( ISERROR(OFFSET(SECUESTRADOS!D$1,MATCH(B89,SECUESTRADOS!A$2:A1405,0),0)) ,0 ,  OFFSET(SECUESTRADOS!D$1,MATCH(B89,SECUESTRADOS!A$2:A1405,0),0)  )</f>
        <v>0</v>
      </c>
      <c r="O89" s="30"/>
      <c r="P89" s="17" t="str">
        <f t="shared" si="3"/>
        <v>.socio</v>
      </c>
      <c r="Q89" s="17" t="str">
        <f>IF(AND(A89=#REF!,B89=#REF!,C89=#REF!),"Repetido","")</f>
        <v>#REF!</v>
      </c>
      <c r="R89" s="31"/>
      <c r="S89" s="31"/>
      <c r="T89" s="31"/>
    </row>
    <row r="90" ht="20.25" customHeight="1">
      <c r="A90" s="18" t="s">
        <v>38</v>
      </c>
      <c r="B90" s="17">
        <v>1041.0</v>
      </c>
      <c r="C90" s="19">
        <v>1041.0</v>
      </c>
      <c r="D90" s="20" t="str">
        <f>IF(   ISERROR(OFFSET(PADRON!B$2,MATCH(C:C,PADRON!A$2:A1405,0)-1,0,1,1) )  ,  ,    OFFSET(PADRON!B$2,MATCH(C:C,PADRON!A$2:A1405,0)-1,0,1,1))</f>
        <v>FERNANDEZ, VIRGILIO</v>
      </c>
      <c r="E90" s="21">
        <v>45839.0</v>
      </c>
      <c r="F90" s="21">
        <v>45870.0</v>
      </c>
      <c r="G90" s="23" t="s">
        <v>39</v>
      </c>
      <c r="H90" s="24">
        <f>IF( ISERROR( OFFSET(   'Cuadro tarifario'!D$2  , MATCH(CONCATENATE(                 IF(F90&gt;Mes,OFFSET(NroCT!B$17, MATCH($F90,NroCT!$A$18:$A1405,0),0,1,1),Periodovigente)                                                                                                                     ,A90) ,'Cuadro tarifario'!A$2:A1405,0) -1 , 0 , 1 , 1) )   , 0  ,   OFFSET(   'Cuadro tarifario'!D$2  , MATCH(CONCATENATE( IF(F90&gt;Mes,OFFSET(NroCT!B$17, MATCH($F90,NroCT!$A$18:$A1405,0),0,1,1),Periodovigente) ,A90) ,'Cuadro tarifario'!A$2:A1405,0) -1 , 0 , 1 , 1))</f>
        <v>9000</v>
      </c>
      <c r="I90" s="25">
        <f>INT(IF(F90,DAYS360(          DATE(YEAR(E90),MONTH(E90),1),         DATE(YEAR(F90)     ,      MONTH(F90),1 )    )            /30,0 ))</f>
        <v>1</v>
      </c>
      <c r="J90" s="24">
        <f t="shared" si="61"/>
        <v>9000</v>
      </c>
      <c r="K90" s="26">
        <f>IF(  AND(N90&gt;0,I90=0)          ,N90 ,                         IF(  IF( F90 ,  DAYS360(DATE(YEAR(F90),MONTH(F90),1),Mes)/30  ,  DAYS360(DATE(YEAR(E90),MONTH(E90),1),Mes)/30  )  &gt;  0 , IF(F90,   DAYS360(DATE(YEAR(F90),MONTH(F90),1),Mes)/30  ,  DAYS360(DATE(YEAR(E90),MONTH(E90),1),Mes)/30) , 0)       )</f>
        <v>0</v>
      </c>
      <c r="L90" s="27">
        <f>IF(ISERROR(K:K*H:H)   ,  0   ,   K:K*H:H)</f>
        <v>0</v>
      </c>
      <c r="M90" s="28"/>
      <c r="N90" s="29">
        <f>IF( ISERROR(OFFSET(SECUESTRADOS!D$1,MATCH(B90,SECUESTRADOS!A$2:A1405,0),0)) ,0 ,  OFFSET(SECUESTRADOS!D$1,MATCH(B90,SECUESTRADOS!A$2:A1405,0),0)  )</f>
        <v>0</v>
      </c>
      <c r="O90" s="30"/>
      <c r="P90" s="17" t="str">
        <f t="shared" si="3"/>
        <v>Bono canon</v>
      </c>
      <c r="Q90" s="17" t="str">
        <f t="shared" ref="Q90:Q92" si="65">IF(AND(A90=A89,B90=B89,C90=C89),"Repetido","")</f>
        <v/>
      </c>
      <c r="R90" s="31"/>
      <c r="S90" s="31"/>
      <c r="T90" s="31"/>
    </row>
    <row r="91" ht="17.25" customHeight="1">
      <c r="A91" s="51" t="s">
        <v>48</v>
      </c>
      <c r="B91" s="51" t="s">
        <v>94</v>
      </c>
      <c r="C91" s="19">
        <v>1041.0</v>
      </c>
      <c r="D91" s="34" t="str">
        <f>if(   iserror(offset(PADRON!B$2,match(C:C,PADRON!A$2:A1405,0)-1,0,1,1) )  ,  ,    offset(PADRON!B$2,match(C:C,PADRON!A$2:A1405,0)-1,0,1,1))</f>
        <v>FERNANDEZ, VIRGILIO</v>
      </c>
      <c r="E91" s="22">
        <v>45839.0</v>
      </c>
      <c r="F91" s="22">
        <v>45870.0</v>
      </c>
      <c r="G91" s="23" t="s">
        <v>39</v>
      </c>
      <c r="H91" s="35">
        <f>IF( ISERROR( OFFSET(   'Cuadro tarifario'!D$2  , MATCH(CONCATENATE(                 IF(F91&gt;Mes,OFFSET(NroCT!B$17, MATCH($F91,NroCT!$A$18:$A1405,0),0,1,1),Periodovigente)                                                                                                                     ,A91) ,'Cuadro tarifario'!A$2:A1405,0) -1 , 0 , 1 , 1) )   , 0  ,   OFFSET(   'Cuadro tarifario'!D$2  , MATCH(CONCATENATE( IF(F91&gt;Mes,OFFSET(NroCT!B$17, MATCH($F91,NroCT!$A$18:$A1405,0),0,1,1),Periodovigente) ,A91) ,'Cuadro tarifario'!A$2:A1405,0) -1 , 0 , 1 , 1))</f>
        <v>12000</v>
      </c>
      <c r="I91" s="36">
        <f t="shared" ref="I91:I93" si="66">Int(If(F91,DAYS360(          date(Year(E91),Month(E91),1),         date(Year(F91)     ,      Month(F91),1 )    )            /30,0 ))</f>
        <v>1</v>
      </c>
      <c r="J91" s="37">
        <f t="shared" si="61"/>
        <v>12000</v>
      </c>
      <c r="K91" s="38">
        <f>if(  and(N91&gt;0,I91=0)          ,N91 ,                         If(  If( F91 ,  DAYS360(date(year(F91),month(F91),1),Mes)/30  ,  DAYS360(date(year(E91),month(E91),1),Mes)/30  )  &gt;  0 , If(F91,   DAYS360(date(year(F91),month(F91),1),Mes)/30  ,  DAYS360(date(year(E91),month(E91),1),Mes)/30) , 0)       )</f>
        <v>0</v>
      </c>
      <c r="L91" s="39">
        <f t="shared" ref="L91:L93" si="67">If(Iserror(K:K*H:H)   ,  0   ,   K:K*H:H)</f>
        <v>0</v>
      </c>
      <c r="M91" s="40"/>
      <c r="N91" s="29">
        <f>IF( ISERROR(OFFSET(SECUESTRADOS!D$1,MATCH(B91,SECUESTRADOS!A$2:A1405,0),0)) ,0 ,  OFFSET(SECUESTRADOS!D$1,MATCH(B91,SECUESTRADOS!A$2:A1405,0),0)  )</f>
        <v>0</v>
      </c>
      <c r="O91" s="30"/>
      <c r="P91" s="17" t="str">
        <f t="shared" si="3"/>
        <v>velero</v>
      </c>
      <c r="Q91" s="17" t="str">
        <f t="shared" si="65"/>
        <v/>
      </c>
      <c r="R91" s="31"/>
      <c r="S91" s="31"/>
      <c r="T91" s="31"/>
    </row>
    <row r="92" ht="13.5" customHeight="1">
      <c r="A92" s="51" t="s">
        <v>48</v>
      </c>
      <c r="B92" s="51" t="s">
        <v>95</v>
      </c>
      <c r="C92" s="19">
        <v>1041.0</v>
      </c>
      <c r="D92" s="34" t="str">
        <f>if(   iserror(offset(PADRON!B$2,match(C:C,PADRON!A$2:A1405,0)-1,0,1,1) )  ,  ,    offset(PADRON!B$2,match(C:C,PADRON!A$2:A1405,0)-1,0,1,1))</f>
        <v>FERNANDEZ, VIRGILIO</v>
      </c>
      <c r="E92" s="22">
        <v>45839.0</v>
      </c>
      <c r="F92" s="22">
        <v>45870.0</v>
      </c>
      <c r="G92" s="23" t="s">
        <v>39</v>
      </c>
      <c r="H92" s="35">
        <f>IF( ISERROR( OFFSET(   'Cuadro tarifario'!D$2  , MATCH(CONCATENATE(                 IF(F92&gt;Mes,OFFSET(NroCT!B$17, MATCH($F92,NroCT!$A$18:$A1405,0),0,1,1),Periodovigente)                                                                                                                     ,A92) ,'Cuadro tarifario'!A$2:A1405,0) -1 , 0 , 1 , 1) )   , 0  ,   OFFSET(   'Cuadro tarifario'!D$2  , MATCH(CONCATENATE( IF(F92&gt;Mes,OFFSET(NroCT!B$17, MATCH($F92,NroCT!$A$18:$A1405,0),0,1,1),Periodovigente) ,A92) ,'Cuadro tarifario'!A$2:A1405,0) -1 , 0 , 1 , 1))</f>
        <v>12000</v>
      </c>
      <c r="I92" s="36">
        <f t="shared" si="66"/>
        <v>1</v>
      </c>
      <c r="J92" s="37">
        <f t="shared" si="61"/>
        <v>12000</v>
      </c>
      <c r="K92" s="38">
        <f>if(  and(N92&gt;0,I92=0)          ,N92 ,                         If(  If( F92 ,  DAYS360(date(year(F92),month(F92),1),Mes)/30  ,  DAYS360(date(year(E92),month(E92),1),Mes)/30  )  &gt;  0 , If(F92,   DAYS360(date(year(F92),month(F92),1),Mes)/30  ,  DAYS360(date(year(E92),month(E92),1),Mes)/30) , 0)       )</f>
        <v>0</v>
      </c>
      <c r="L92" s="39">
        <f t="shared" si="67"/>
        <v>0</v>
      </c>
      <c r="M92" s="40"/>
      <c r="N92" s="29">
        <f>IF( ISERROR(OFFSET(SECUESTRADOS!D$1,MATCH(B92,SECUESTRADOS!A$2:A1405,0),0)) ,0 ,  OFFSET(SECUESTRADOS!D$1,MATCH(B92,SECUESTRADOS!A$2:A1405,0),0)  )</f>
        <v>0</v>
      </c>
      <c r="O92" s="30"/>
      <c r="P92" s="17" t="str">
        <f t="shared" si="3"/>
        <v>velero</v>
      </c>
      <c r="Q92" s="17" t="str">
        <f t="shared" si="65"/>
        <v/>
      </c>
      <c r="R92" s="31"/>
      <c r="S92" s="31"/>
      <c r="T92" s="31"/>
    </row>
    <row r="93" ht="17.25" customHeight="1">
      <c r="A93" s="54" t="s">
        <v>71</v>
      </c>
      <c r="B93" s="54">
        <v>1048.0</v>
      </c>
      <c r="C93" s="19">
        <v>1048.0</v>
      </c>
      <c r="D93" s="34" t="str">
        <f>if(   iserror(offset(PADRON!B$2,match(C:C,PADRON!A$2:A1405,0)-1,0,1,1) )  ,  ,    offset(PADRON!B$2,match(C:C,PADRON!A$2:A1405,0)-1,0,1,1))</f>
        <v>CASADO ,EDUARDO</v>
      </c>
      <c r="E93" s="22">
        <v>45839.0</v>
      </c>
      <c r="F93" s="22">
        <v>45870.0</v>
      </c>
      <c r="G93" s="23" t="s">
        <v>39</v>
      </c>
      <c r="H93" s="35">
        <f>IF( ISERROR( OFFSET(   'Cuadro tarifario'!D$2  , MATCH(CONCATENATE(                 IF(F93&gt;Mes,OFFSET(NroCT!B$17, MATCH($F93,NroCT!$A$18:$A1405,0),0,1,1),Periodovigente)                                                                                                                     ,A93) ,'Cuadro tarifario'!A$2:A1405,0) -1 , 0 , 1 , 1) )   , 0  ,   OFFSET(   'Cuadro tarifario'!D$2  , MATCH(CONCATENATE( IF(F93&gt;Mes,OFFSET(NroCT!B$17, MATCH($F93,NroCT!$A$18:$A1405,0),0,1,1),Periodovigente) ,A93) ,'Cuadro tarifario'!A$2:A1405,0) -1 , 0 , 1 , 1))</f>
        <v>11000</v>
      </c>
      <c r="I93" s="36">
        <f t="shared" si="66"/>
        <v>1</v>
      </c>
      <c r="J93" s="37">
        <f t="shared" si="61"/>
        <v>11000</v>
      </c>
      <c r="K93" s="38">
        <f>if(  and(N93&gt;0,I93=0)          ,N93 ,                         If(  If( F93 ,  DAYS360(date(year(F93),month(F93),1),Mes)/30  ,  DAYS360(date(year(E93),month(E93),1),Mes)/30  )  &gt;  0 , If(F93,   DAYS360(date(year(F93),month(F93),1),Mes)/30  ,  DAYS360(date(year(E93),month(E93),1),Mes)/30) , 0)       )</f>
        <v>0</v>
      </c>
      <c r="L93" s="39">
        <f t="shared" si="67"/>
        <v>0</v>
      </c>
      <c r="M93" s="40"/>
      <c r="N93" s="29">
        <f>IF( ISERROR(OFFSET(SECUESTRADOS!D$1,MATCH(B93,SECUESTRADOS!A$2:A1405,0),0)) ,0 ,  OFFSET(SECUESTRADOS!D$1,MATCH(B93,SECUESTRADOS!A$2:A1405,0),0)  )</f>
        <v>0</v>
      </c>
      <c r="O93" s="30"/>
      <c r="P93" s="17" t="str">
        <f t="shared" si="3"/>
        <v>.socio</v>
      </c>
      <c r="Q93" s="17" t="str">
        <f>IF(AND(A93=#REF!,B93=#REF!,C93=#REF!),"Repetido","")</f>
        <v>#REF!</v>
      </c>
      <c r="R93" s="31"/>
      <c r="S93" s="31"/>
      <c r="T93" s="31"/>
    </row>
    <row r="94">
      <c r="A94" s="18" t="s">
        <v>38</v>
      </c>
      <c r="B94" s="17">
        <v>1048.0</v>
      </c>
      <c r="C94" s="19">
        <v>1048.0</v>
      </c>
      <c r="D94" s="20" t="str">
        <f>IF(   ISERROR(OFFSET(PADRON!B$2,MATCH(C:C,PADRON!A$2:A1405,0)-1,0,1,1) )  ,  ,    OFFSET(PADRON!B$2,MATCH(C:C,PADRON!A$2:A1405,0)-1,0,1,1))</f>
        <v>CASADO ,EDUARDO</v>
      </c>
      <c r="E94" s="21">
        <v>45839.0</v>
      </c>
      <c r="F94" s="21">
        <v>45870.0</v>
      </c>
      <c r="G94" s="23" t="s">
        <v>39</v>
      </c>
      <c r="H94" s="24">
        <f>IF( ISERROR( OFFSET(   'Cuadro tarifario'!D$2  , MATCH(CONCATENATE(                 IF(F94&gt;Mes,OFFSET(NroCT!B$17, MATCH($F94,NroCT!$A$18:$A1405,0),0,1,1),Periodovigente)                                                                                                                     ,A94) ,'Cuadro tarifario'!A$2:A1405,0) -1 , 0 , 1 , 1) )   , 0  ,   OFFSET(   'Cuadro tarifario'!D$2  , MATCH(CONCATENATE( IF(F94&gt;Mes,OFFSET(NroCT!B$17, MATCH($F94,NroCT!$A$18:$A1405,0),0,1,1),Periodovigente) ,A94) ,'Cuadro tarifario'!A$2:A1405,0) -1 , 0 , 1 , 1))</f>
        <v>9000</v>
      </c>
      <c r="I94" s="25">
        <f t="shared" ref="I94:I96" si="68">INT(IF(F94,DAYS360(          DATE(YEAR(E94),MONTH(E94),1),         DATE(YEAR(F94)     ,      MONTH(F94),1 )    )            /30,0 ))</f>
        <v>1</v>
      </c>
      <c r="J94" s="24">
        <f t="shared" si="61"/>
        <v>9000</v>
      </c>
      <c r="K94" s="26">
        <f>IF(  AND(N94&gt;0,I94=0)          ,N94 ,                         IF(  IF( F94 ,  DAYS360(DATE(YEAR(F94),MONTH(F94),1),Mes)/30  ,  DAYS360(DATE(YEAR(E94),MONTH(E94),1),Mes)/30  )  &gt;  0 , IF(F94,   DAYS360(DATE(YEAR(F94),MONTH(F94),1),Mes)/30  ,  DAYS360(DATE(YEAR(E94),MONTH(E94),1),Mes)/30) , 0)       )</f>
        <v>0</v>
      </c>
      <c r="L94" s="27">
        <f t="shared" ref="L94:L96" si="69">IF(ISERROR(K:K*H:H)   ,  0   ,   K:K*H:H)</f>
        <v>0</v>
      </c>
      <c r="M94" s="28"/>
      <c r="N94" s="29">
        <f>IF( ISERROR(OFFSET(SECUESTRADOS!D$1,MATCH(B94,SECUESTRADOS!A$2:A1405,0),0)) ,0 ,  OFFSET(SECUESTRADOS!D$1,MATCH(B94,SECUESTRADOS!A$2:A1405,0),0)  )</f>
        <v>0</v>
      </c>
      <c r="O94" s="30"/>
      <c r="P94" s="17" t="str">
        <f t="shared" si="3"/>
        <v>Bono canon</v>
      </c>
      <c r="Q94" s="17" t="str">
        <f t="shared" ref="Q94:Q96" si="70">IF(AND(A94=A93,B94=B93,C94=C93),"Repetido","")</f>
        <v/>
      </c>
      <c r="R94" s="31"/>
      <c r="S94" s="31"/>
      <c r="T94" s="31"/>
    </row>
    <row r="95">
      <c r="A95" s="18" t="s">
        <v>82</v>
      </c>
      <c r="B95" s="18" t="s">
        <v>96</v>
      </c>
      <c r="C95" s="19">
        <v>1048.0</v>
      </c>
      <c r="D95" s="20" t="str">
        <f>IF(   ISERROR(OFFSET(PADRON!B$2,MATCH(C:C,PADRON!A$2:A1405,0)-1,0,1,1) )  ,  ,    OFFSET(PADRON!B$2,MATCH(C:C,PADRON!A$2:A1405,0)-1,0,1,1))</f>
        <v>CASADO ,EDUARDO</v>
      </c>
      <c r="E95" s="21">
        <v>45839.0</v>
      </c>
      <c r="F95" s="21">
        <v>45870.0</v>
      </c>
      <c r="G95" s="23" t="s">
        <v>39</v>
      </c>
      <c r="H95" s="24">
        <f>IF( ISERROR( OFFSET(   'Cuadro tarifario'!D$2  , MATCH(CONCATENATE(                 IF(F95&gt;Mes,OFFSET(NroCT!B$17, MATCH($F95,NroCT!$A$18:$A1405,0),0,1,1),Periodovigente)                                                                                                                     ,A95) ,'Cuadro tarifario'!A$2:A1405,0) -1 , 0 , 1 , 1) )   , 0  ,   OFFSET(   'Cuadro tarifario'!D$2  , MATCH(CONCATENATE( IF(F95&gt;Mes,OFFSET(NroCT!B$17, MATCH($F95,NroCT!$A$18:$A1405,0),0,1,1),Periodovigente) ,A95) ,'Cuadro tarifario'!A$2:A1405,0) -1 , 0 , 1 , 1))</f>
        <v>12000</v>
      </c>
      <c r="I95" s="25">
        <f t="shared" si="68"/>
        <v>1</v>
      </c>
      <c r="J95" s="24">
        <f t="shared" si="61"/>
        <v>12000</v>
      </c>
      <c r="K95" s="26">
        <f>IF(  AND(N95&gt;0,I95=0)          ,N95 ,                         IF(  IF( F95 ,  DAYS360(DATE(YEAR(F95),MONTH(F95),1),Mes)/30  ,  DAYS360(DATE(YEAR(E95),MONTH(E95),1),Mes)/30  )  &gt;  0 , IF(F95,   DAYS360(DATE(YEAR(F95),MONTH(F95),1),Mes)/30  ,  DAYS360(DATE(YEAR(E95),MONTH(E95),1),Mes)/30) , 0)       )</f>
        <v>0</v>
      </c>
      <c r="L95" s="27">
        <f t="shared" si="69"/>
        <v>0</v>
      </c>
      <c r="M95" s="28"/>
      <c r="N95" s="29">
        <f>IF( ISERROR(OFFSET(SECUESTRADOS!D$1,MATCH(B95,SECUESTRADOS!A$2:A1405,0),0)) ,0 ,  OFFSET(SECUESTRADOS!D$1,MATCH(B95,SECUESTRADOS!A$2:A1405,0),0)  )</f>
        <v>0</v>
      </c>
      <c r="O95" s="30"/>
      <c r="P95" s="17" t="str">
        <f t="shared" si="3"/>
        <v>cuna kayak</v>
      </c>
      <c r="Q95" s="17" t="str">
        <f t="shared" si="70"/>
        <v/>
      </c>
      <c r="R95" s="31"/>
      <c r="S95" s="31"/>
      <c r="T95" s="31"/>
    </row>
    <row r="96">
      <c r="A96" s="18" t="s">
        <v>40</v>
      </c>
      <c r="B96" s="18" t="s">
        <v>97</v>
      </c>
      <c r="C96" s="19">
        <v>1048.0</v>
      </c>
      <c r="D96" s="20" t="str">
        <f>IF(   ISERROR(OFFSET(PADRON!B$2,MATCH(C:C,PADRON!A$2:A1405,0)-1,0,1,1) )  ,  ,    OFFSET(PADRON!B$2,MATCH(C:C,PADRON!A$2:A1405,0)-1,0,1,1))</f>
        <v>CASADO ,EDUARDO</v>
      </c>
      <c r="E96" s="21">
        <v>45839.0</v>
      </c>
      <c r="F96" s="21">
        <v>45870.0</v>
      </c>
      <c r="G96" s="23" t="s">
        <v>39</v>
      </c>
      <c r="H96" s="24">
        <f>IF( ISERROR( OFFSET(   'Cuadro tarifario'!D$2  , MATCH(CONCATENATE(                 IF(F96&gt;Mes,OFFSET(NroCT!B$17, MATCH($F96,NroCT!$A$18:$A1405,0),0,1,1),Periodovigente)                                                                                                                     ,A96) ,'Cuadro tarifario'!A$2:A1405,0) -1 , 0 , 1 , 1) )   , 0  ,   OFFSET(   'Cuadro tarifario'!D$2  , MATCH(CONCATENATE( IF(F96&gt;Mes,OFFSET(NroCT!B$17, MATCH($F96,NroCT!$A$18:$A1405,0),0,1,1),Periodovigente) ,A96) ,'Cuadro tarifario'!A$2:A1405,0) -1 , 0 , 1 , 1))</f>
        <v>12000</v>
      </c>
      <c r="I96" s="25">
        <f t="shared" si="68"/>
        <v>1</v>
      </c>
      <c r="J96" s="24">
        <f t="shared" si="61"/>
        <v>12000</v>
      </c>
      <c r="K96" s="26">
        <f>IF(  AND(N96&gt;0,I96=0)          ,N96 ,                         IF(  IF( F96 ,  DAYS360(DATE(YEAR(F96),MONTH(F96),1),Mes)/30  ,  DAYS360(DATE(YEAR(E96),MONTH(E96),1),Mes)/30  )  &gt;  0 , IF(F96,   DAYS360(DATE(YEAR(F96),MONTH(F96),1),Mes)/30  ,  DAYS360(DATE(YEAR(E96),MONTH(E96),1),Mes)/30) , 0)       )</f>
        <v>0</v>
      </c>
      <c r="L96" s="27">
        <f t="shared" si="69"/>
        <v>0</v>
      </c>
      <c r="M96" s="28"/>
      <c r="N96" s="29">
        <f>IF( ISERROR(OFFSET(SECUESTRADOS!D$1,MATCH(B96,SECUESTRADOS!A$2:A1405,0),0)) ,0 ,  OFFSET(SECUESTRADOS!D$1,MATCH(B96,SECUESTRADOS!A$2:A1405,0),0)  )</f>
        <v>0</v>
      </c>
      <c r="O96" s="30"/>
      <c r="P96" s="17" t="str">
        <f t="shared" si="3"/>
        <v>cuna windsurf</v>
      </c>
      <c r="Q96" s="17" t="str">
        <f t="shared" si="70"/>
        <v/>
      </c>
      <c r="R96" s="31"/>
      <c r="S96" s="31"/>
      <c r="T96" s="31"/>
    </row>
    <row r="97">
      <c r="A97" s="41" t="s">
        <v>42</v>
      </c>
      <c r="B97" s="41" t="s">
        <v>98</v>
      </c>
      <c r="C97" s="19">
        <v>1048.0</v>
      </c>
      <c r="D97" s="34" t="str">
        <f>if(   iserror(offset(PADRON!B$2,match(C:C,PADRON!A$2:A1405,0)-1,0,1,1) )  ,  ,    offset(PADRON!B$2,match(C:C,PADRON!A$2:A1405,0)-1,0,1,1))</f>
        <v>CASADO ,EDUARDO</v>
      </c>
      <c r="E97" s="22">
        <v>45992.0</v>
      </c>
      <c r="F97" s="22"/>
      <c r="G97" s="23" t="s">
        <v>39</v>
      </c>
      <c r="H97" s="35">
        <f>IF( ISERROR( OFFSET(   'Cuadro tarifario'!D$2  , MATCH(CONCATENATE(                 IF(F97&gt;Mes,OFFSET(NroCT!B$17, MATCH($F97,NroCT!$A$18:$A1405,0),0,1,1),Periodovigente)                                                                                                                     ,A97) ,'Cuadro tarifario'!A$2:A1405,0) -1 , 0 , 1 , 1) )   , 0  ,   OFFSET(   'Cuadro tarifario'!D$2  , MATCH(CONCATENATE( IF(F97&gt;Mes,OFFSET(NroCT!B$17, MATCH($F97,NroCT!$A$18:$A1405,0),0,1,1),Periodovigente) ,A97) ,'Cuadro tarifario'!A$2:A1405,0) -1 , 0 , 1 , 1))</f>
        <v>4000</v>
      </c>
      <c r="I97" s="36">
        <f t="shared" ref="I97:I98" si="71">Int(If(F97,DAYS360(          date(Year(E97),Month(E97),1),         date(Year(F97)     ,      Month(F97),1 )    )            /30,0 ))</f>
        <v>0</v>
      </c>
      <c r="J97" s="37">
        <f t="shared" si="61"/>
        <v>0</v>
      </c>
      <c r="K97" s="38">
        <f>if(  and(N97&gt;0,I97=0)          ,N97 ,                         If(  If( F97 ,  DAYS360(date(year(F97),month(F97),1),Mes)/30  ,  DAYS360(date(year(E97),month(E97),1),Mes)/30  )  &gt;  0 , If(F97,   DAYS360(date(year(F97),month(F97),1),Mes)/30  ,  DAYS360(date(year(E97),month(E97),1),Mes)/30) , 0)       )</f>
        <v>0</v>
      </c>
      <c r="L97" s="39">
        <f t="shared" ref="L97:L98" si="72">If(Iserror(K:K*H:H)   ,  0   ,   K:K*H:H)</f>
        <v>0</v>
      </c>
      <c r="M97" s="40"/>
      <c r="N97" s="29">
        <f>IF( ISERROR(OFFSET(SECUESTRADOS!D$1,MATCH(B97,SECUESTRADOS!A$2:A1405,0),0)) ,0 ,  OFFSET(SECUESTRADOS!D$1,MATCH(B97,SECUESTRADOS!A$2:A1405,0),0)  )</f>
        <v>0</v>
      </c>
      <c r="O97" s="30"/>
      <c r="P97" s="17" t="b">
        <f t="shared" si="3"/>
        <v>0</v>
      </c>
      <c r="Q97" s="17" t="str">
        <f t="shared" ref="Q97:Q98" si="73">IF(AND(A97=#REF!,B97=#REF!,C97=#REF!),"Repetido","")</f>
        <v>#REF!</v>
      </c>
      <c r="R97" s="31"/>
      <c r="S97" s="31"/>
      <c r="T97" s="31"/>
    </row>
    <row r="98">
      <c r="A98" s="54" t="s">
        <v>71</v>
      </c>
      <c r="B98" s="54">
        <v>1066.0</v>
      </c>
      <c r="C98" s="19">
        <v>1066.0</v>
      </c>
      <c r="D98" s="34" t="str">
        <f>if(   iserror(offset(PADRON!B$2,match(C:C,PADRON!A$2:A1405,0)-1,0,1,1) )  ,  ,    offset(PADRON!B$2,match(C:C,PADRON!A$2:A1405,0)-1,0,1,1))</f>
        <v>SANTANA, MIGUEL</v>
      </c>
      <c r="E98" s="22">
        <v>45839.0</v>
      </c>
      <c r="F98" s="22">
        <v>45870.0</v>
      </c>
      <c r="G98" s="23" t="s">
        <v>39</v>
      </c>
      <c r="H98" s="35">
        <f>IF( ISERROR( OFFSET(   'Cuadro tarifario'!D$2  , MATCH(CONCATENATE(                 IF(F98&gt;Mes,OFFSET(NroCT!B$17, MATCH($F98,NroCT!$A$18:$A1405,0),0,1,1),Periodovigente)                                                                                                                     ,A98) ,'Cuadro tarifario'!A$2:A1405,0) -1 , 0 , 1 , 1) )   , 0  ,   OFFSET(   'Cuadro tarifario'!D$2  , MATCH(CONCATENATE( IF(F98&gt;Mes,OFFSET(NroCT!B$17, MATCH($F98,NroCT!$A$18:$A1405,0),0,1,1),Periodovigente) ,A98) ,'Cuadro tarifario'!A$2:A1405,0) -1 , 0 , 1 , 1))</f>
        <v>11000</v>
      </c>
      <c r="I98" s="36">
        <f t="shared" si="71"/>
        <v>1</v>
      </c>
      <c r="J98" s="37">
        <f t="shared" si="61"/>
        <v>11000</v>
      </c>
      <c r="K98" s="38">
        <f>if(  and(N98&gt;0,I98=0)          ,N98 ,                         If(  If( F98 ,  DAYS360(date(year(F98),month(F98),1),Mes)/30  ,  DAYS360(date(year(E98),month(E98),1),Mes)/30  )  &gt;  0 , If(F98,   DAYS360(date(year(F98),month(F98),1),Mes)/30  ,  DAYS360(date(year(E98),month(E98),1),Mes)/30) , 0)       )</f>
        <v>0</v>
      </c>
      <c r="L98" s="39">
        <f t="shared" si="72"/>
        <v>0</v>
      </c>
      <c r="M98" s="40"/>
      <c r="N98" s="29">
        <f>IF( ISERROR(OFFSET(SECUESTRADOS!D$1,MATCH(B98,SECUESTRADOS!A$2:A1405,0),0)) ,0 ,  OFFSET(SECUESTRADOS!D$1,MATCH(B98,SECUESTRADOS!A$2:A1405,0),0)  )</f>
        <v>0</v>
      </c>
      <c r="O98" s="30"/>
      <c r="P98" s="17" t="str">
        <f t="shared" si="3"/>
        <v>.socio</v>
      </c>
      <c r="Q98" s="17" t="str">
        <f t="shared" si="73"/>
        <v>#REF!</v>
      </c>
      <c r="R98" s="31"/>
      <c r="S98" s="31"/>
      <c r="T98" s="31"/>
    </row>
    <row r="99">
      <c r="A99" s="18" t="s">
        <v>38</v>
      </c>
      <c r="B99" s="17">
        <v>1066.0</v>
      </c>
      <c r="C99" s="19">
        <v>1066.0</v>
      </c>
      <c r="D99" s="20" t="str">
        <f>IF(   ISERROR(OFFSET(PADRON!B$2,MATCH(C:C,PADRON!A$2:A1405,0)-1,0,1,1) )  ,  ,    OFFSET(PADRON!B$2,MATCH(C:C,PADRON!A$2:A1405,0)-1,0,1,1))</f>
        <v>SANTANA, MIGUEL</v>
      </c>
      <c r="E99" s="21">
        <v>45839.0</v>
      </c>
      <c r="F99" s="21">
        <v>45870.0</v>
      </c>
      <c r="G99" s="23" t="s">
        <v>39</v>
      </c>
      <c r="H99" s="24">
        <f>IF( ISERROR( OFFSET(   'Cuadro tarifario'!D$2  , MATCH(CONCATENATE(                 IF(F99&gt;Mes,OFFSET(NroCT!B$17, MATCH($F99,NroCT!$A$18:$A1405,0),0,1,1),Periodovigente)                                                                                                                     ,A99) ,'Cuadro tarifario'!A$2:A1405,0) -1 , 0 , 1 , 1) )   , 0  ,   OFFSET(   'Cuadro tarifario'!D$2  , MATCH(CONCATENATE( IF(F99&gt;Mes,OFFSET(NroCT!B$17, MATCH($F99,NroCT!$A$18:$A1405,0),0,1,1),Periodovigente) ,A99) ,'Cuadro tarifario'!A$2:A1405,0) -1 , 0 , 1 , 1))</f>
        <v>9000</v>
      </c>
      <c r="I99" s="25">
        <f t="shared" ref="I99:I100" si="74">INT(IF(F99,DAYS360(          DATE(YEAR(E99),MONTH(E99),1),         DATE(YEAR(F99)     ,      MONTH(F99),1 )    )            /30,0 ))</f>
        <v>1</v>
      </c>
      <c r="J99" s="24">
        <f t="shared" si="61"/>
        <v>9000</v>
      </c>
      <c r="K99" s="26">
        <f>IF(  AND(N99&gt;0,I99=0)          ,N99 ,                         IF(  IF( F99 ,  DAYS360(DATE(YEAR(F99),MONTH(F99),1),Mes)/30  ,  DAYS360(DATE(YEAR(E99),MONTH(E99),1),Mes)/30  )  &gt;  0 , IF(F99,   DAYS360(DATE(YEAR(F99),MONTH(F99),1),Mes)/30  ,  DAYS360(DATE(YEAR(E99),MONTH(E99),1),Mes)/30) , 0)       )</f>
        <v>0</v>
      </c>
      <c r="L99" s="27">
        <f t="shared" ref="L99:L100" si="75">IF(ISERROR(K:K*H:H)   ,  0   ,   K:K*H:H)</f>
        <v>0</v>
      </c>
      <c r="M99" s="28"/>
      <c r="N99" s="29">
        <f>IF( ISERROR(OFFSET(SECUESTRADOS!D$1,MATCH(B99,SECUESTRADOS!A$2:A1405,0),0)) ,0 ,  OFFSET(SECUESTRADOS!D$1,MATCH(B99,SECUESTRADOS!A$2:A1405,0),0)  )</f>
        <v>0</v>
      </c>
      <c r="O99" s="30"/>
      <c r="P99" s="17" t="str">
        <f t="shared" si="3"/>
        <v>Bono canon</v>
      </c>
      <c r="Q99" s="17" t="str">
        <f t="shared" ref="Q99:Q100" si="76">IF(AND(A99=A98,B99=B98,C99=C98),"Repetido","")</f>
        <v/>
      </c>
      <c r="R99" s="31"/>
      <c r="S99" s="31"/>
      <c r="T99" s="31"/>
    </row>
    <row r="100">
      <c r="A100" s="73" t="s">
        <v>48</v>
      </c>
      <c r="B100" s="74" t="s">
        <v>99</v>
      </c>
      <c r="C100" s="19">
        <v>1066.0</v>
      </c>
      <c r="D100" s="20" t="str">
        <f>IF(   ISERROR(OFFSET(PADRON!B$2,MATCH(C:C,PADRON!A$2:A1405,0)-1,0,1,1) )  ,  ,    OFFSET(PADRON!B$2,MATCH(C:C,PADRON!A$2:A1405,0)-1,0,1,1))</f>
        <v>SANTANA, MIGUEL</v>
      </c>
      <c r="E100" s="21">
        <v>45839.0</v>
      </c>
      <c r="F100" s="21">
        <v>45870.0</v>
      </c>
      <c r="G100" s="23" t="s">
        <v>39</v>
      </c>
      <c r="H100" s="24">
        <f>IF( ISERROR( OFFSET(   'Cuadro tarifario'!D$2  , MATCH(CONCATENATE(                 IF(F100&gt;Mes,OFFSET(NroCT!B$17, MATCH($F100,NroCT!$A$18:$A1405,0),0,1,1),Periodovigente)                                                                                                                     ,A100) ,'Cuadro tarifario'!A$2:A1405,0) -1 , 0 , 1 , 1) )   , 0  ,   OFFSET(   'Cuadro tarifario'!D$2  , MATCH(CONCATENATE( IF(F100&gt;Mes,OFFSET(NroCT!B$17, MATCH($F100,NroCT!$A$18:$A1405,0),0,1,1),Periodovigente) ,A100) ,'Cuadro tarifario'!A$2:A1405,0) -1 , 0 , 1 , 1))</f>
        <v>12000</v>
      </c>
      <c r="I100" s="25">
        <f t="shared" si="74"/>
        <v>1</v>
      </c>
      <c r="J100" s="24">
        <f t="shared" si="61"/>
        <v>12000</v>
      </c>
      <c r="K100" s="26">
        <f>IF(  AND(N100&gt;0,I100=0)          ,N100 ,                         IF(  IF( F100 ,  DAYS360(DATE(YEAR(F100),MONTH(F100),1),Mes)/30  ,  DAYS360(DATE(YEAR(E100),MONTH(E100),1),Mes)/30  )  &gt;  0 , IF(F100,   DAYS360(DATE(YEAR(F100),MONTH(F100),1),Mes)/30  ,  DAYS360(DATE(YEAR(E100),MONTH(E100),1),Mes)/30) , 0)       )</f>
        <v>0</v>
      </c>
      <c r="L100" s="27">
        <f t="shared" si="75"/>
        <v>0</v>
      </c>
      <c r="M100" s="28"/>
      <c r="N100" s="29">
        <f>IF( ISERROR(OFFSET(SECUESTRADOS!D$1,MATCH(B100,SECUESTRADOS!A$2:A1405,0),0)) ,0 ,  OFFSET(SECUESTRADOS!D$1,MATCH(B100,SECUESTRADOS!A$2:A1405,0),0)  )</f>
        <v>0</v>
      </c>
      <c r="O100" s="30"/>
      <c r="P100" s="17" t="str">
        <f t="shared" si="3"/>
        <v>velero</v>
      </c>
      <c r="Q100" s="17" t="str">
        <f t="shared" si="76"/>
        <v/>
      </c>
      <c r="R100" s="31"/>
      <c r="S100" s="31"/>
      <c r="T100" s="31"/>
    </row>
    <row r="101">
      <c r="A101" s="42" t="s">
        <v>50</v>
      </c>
      <c r="B101" s="42" t="s">
        <v>100</v>
      </c>
      <c r="C101" s="19">
        <v>1066.0</v>
      </c>
      <c r="D101" s="34" t="str">
        <f>if(   iserror(offset(PADRON!B$2,match(C:C,PADRON!A$2:A1405,0)-1,0,1,1) )  ,  ,    offset(PADRON!B$2,match(C:C,PADRON!A$2:A1405,0)-1,0,1,1))</f>
        <v>SANTANA, MIGUEL</v>
      </c>
      <c r="E101" s="22">
        <v>45992.0</v>
      </c>
      <c r="F101" s="22"/>
      <c r="G101" s="23" t="s">
        <v>39</v>
      </c>
      <c r="H101" s="35">
        <f>IF( ISERROR( OFFSET(   'Cuadro tarifario'!D$2  , MATCH(CONCATENATE(                 IF(F101&gt;Mes,OFFSET(NroCT!B$17, MATCH($F101,NroCT!$A$18:$A1405,0),0,1,1),Periodovigente)                                                                                                                     ,A101) ,'Cuadro tarifario'!A$2:A1405,0) -1 , 0 , 1 , 1) )   , 0  ,   OFFSET(   'Cuadro tarifario'!D$2  , MATCH(CONCATENATE( IF(F101&gt;Mes,OFFSET(NroCT!B$17, MATCH($F101,NroCT!$A$18:$A1405,0),0,1,1),Periodovigente) ,A101) ,'Cuadro tarifario'!A$2:A1405,0) -1 , 0 , 1 , 1))</f>
        <v>3600</v>
      </c>
      <c r="I101" s="36">
        <f t="shared" ref="I101:I102" si="77">Int(If(F101,DAYS360(          date(Year(E101),Month(E101),1),         date(Year(F101)     ,      Month(F101),1 )    )            /30,0 ))</f>
        <v>0</v>
      </c>
      <c r="J101" s="36"/>
      <c r="K101" s="38">
        <f>if(  and(N101&gt;0,I101=0)          ,N101 ,                         If(  If( F101 ,  DAYS360(date(year(F101),month(F101),1),Mes)/30  ,  DAYS360(date(year(E101),month(E101),1),Mes)/30  )  &gt;  0 , If(F101,   DAYS360(date(year(F101),month(F101),1),Mes)/30  ,  DAYS360(date(year(E101),month(E101),1),Mes)/30) , 0)       )</f>
        <v>0</v>
      </c>
      <c r="L101" s="39">
        <f t="shared" ref="L101:L102" si="78">If(Iserror(K:K*H:H)   ,  0   ,   K:K*H:H)</f>
        <v>0</v>
      </c>
      <c r="M101" s="40" t="s">
        <v>101</v>
      </c>
      <c r="N101" s="29">
        <f>IF( ISERROR(OFFSET(SECUESTRADOS!D$1,MATCH(B101,SECUESTRADOS!A$2:A1405,0),0)) ,0 ,  OFFSET(SECUESTRADOS!D$1,MATCH(B101,SECUESTRADOS!A$2:A1405,0),0)  )</f>
        <v>0</v>
      </c>
      <c r="O101" s="30"/>
      <c r="P101" s="17" t="b">
        <f t="shared" si="3"/>
        <v>0</v>
      </c>
      <c r="Q101" s="17" t="str">
        <f>IF(AND(A101=A99,B101=B99,C101=C99),"Repetido","")</f>
        <v/>
      </c>
      <c r="R101" s="31"/>
      <c r="S101" s="31"/>
      <c r="T101" s="31"/>
    </row>
    <row r="102">
      <c r="A102" s="54" t="s">
        <v>71</v>
      </c>
      <c r="B102" s="54">
        <v>1097.0</v>
      </c>
      <c r="C102" s="19">
        <v>1097.0</v>
      </c>
      <c r="D102" s="34" t="str">
        <f>if(   iserror(offset(PADRON!B$2,match(C:C,PADRON!A$2:A1405,0)-1,0,1,1) )  ,  ,    offset(PADRON!B$2,match(C:C,PADRON!A$2:A1405,0)-1,0,1,1))</f>
        <v>PONCE, GRACIELA</v>
      </c>
      <c r="E102" s="22">
        <v>45839.0</v>
      </c>
      <c r="F102" s="22">
        <v>45870.0</v>
      </c>
      <c r="G102" s="23" t="s">
        <v>39</v>
      </c>
      <c r="H102" s="35">
        <f>IF( ISERROR( OFFSET(   'Cuadro tarifario'!D$2  , MATCH(CONCATENATE(                 IF(F102&gt;Mes,OFFSET(NroCT!B$17, MATCH($F102,NroCT!$A$18:$A1405,0),0,1,1),Periodovigente)                                                                                                                     ,A102) ,'Cuadro tarifario'!A$2:A1405,0) -1 , 0 , 1 , 1) )   , 0  ,   OFFSET(   'Cuadro tarifario'!D$2  , MATCH(CONCATENATE( IF(F102&gt;Mes,OFFSET(NroCT!B$17, MATCH($F102,NroCT!$A$18:$A1405,0),0,1,1),Periodovigente) ,A102) ,'Cuadro tarifario'!A$2:A1405,0) -1 , 0 , 1 , 1))</f>
        <v>11000</v>
      </c>
      <c r="I102" s="36">
        <f t="shared" si="77"/>
        <v>1</v>
      </c>
      <c r="J102" s="37">
        <f t="shared" ref="J102:J324" si="79">I102*H102</f>
        <v>11000</v>
      </c>
      <c r="K102" s="38">
        <f>if(  and(N102&gt;0,I102=0)          ,N102 ,                         If(  If( F102 ,  DAYS360(date(year(F102),month(F102),1),Mes)/30  ,  DAYS360(date(year(E102),month(E102),1),Mes)/30  )  &gt;  0 , If(F102,   DAYS360(date(year(F102),month(F102),1),Mes)/30  ,  DAYS360(date(year(E102),month(E102),1),Mes)/30) , 0)       )</f>
        <v>0</v>
      </c>
      <c r="L102" s="39">
        <f t="shared" si="78"/>
        <v>0</v>
      </c>
      <c r="M102" s="40"/>
      <c r="N102" s="29">
        <f>IF( ISERROR(OFFSET(SECUESTRADOS!D$1,MATCH(B102,SECUESTRADOS!A$2:A1405,0),0)) ,0 ,  OFFSET(SECUESTRADOS!D$1,MATCH(B102,SECUESTRADOS!A$2:A1405,0),0)  )</f>
        <v>0</v>
      </c>
      <c r="O102" s="30"/>
      <c r="P102" s="17" t="str">
        <f t="shared" si="3"/>
        <v>.socio</v>
      </c>
      <c r="Q102" s="17" t="str">
        <f>IF(AND(A102=#REF!,B102=#REF!,C102=#REF!),"Repetido","")</f>
        <v>#REF!</v>
      </c>
      <c r="R102" s="31"/>
      <c r="S102" s="31"/>
      <c r="T102" s="31"/>
    </row>
    <row r="103">
      <c r="A103" s="18" t="s">
        <v>38</v>
      </c>
      <c r="B103" s="17">
        <v>1097.0</v>
      </c>
      <c r="C103" s="19">
        <v>1097.0</v>
      </c>
      <c r="D103" s="20" t="str">
        <f>IF(   ISERROR(OFFSET(PADRON!B$2,MATCH(C:C,PADRON!A$2:A1405,0)-1,0,1,1) )  ,  ,    OFFSET(PADRON!B$2,MATCH(C:C,PADRON!A$2:A1405,0)-1,0,1,1))</f>
        <v>PONCE, GRACIELA</v>
      </c>
      <c r="E103" s="21">
        <v>45839.0</v>
      </c>
      <c r="F103" s="21">
        <v>45870.0</v>
      </c>
      <c r="G103" s="23" t="s">
        <v>39</v>
      </c>
      <c r="H103" s="24">
        <f>IF( ISERROR( OFFSET(   'Cuadro tarifario'!D$2  , MATCH(CONCATENATE(                 IF(F103&gt;Mes,OFFSET(NroCT!B$17, MATCH($F103,NroCT!$A$18:$A1405,0),0,1,1),Periodovigente)                                                                                                                     ,A103) ,'Cuadro tarifario'!A$2:A1405,0) -1 , 0 , 1 , 1) )   , 0  ,   OFFSET(   'Cuadro tarifario'!D$2  , MATCH(CONCATENATE( IF(F103&gt;Mes,OFFSET(NroCT!B$17, MATCH($F103,NroCT!$A$18:$A1405,0),0,1,1),Periodovigente) ,A103) ,'Cuadro tarifario'!A$2:A1405,0) -1 , 0 , 1 , 1))</f>
        <v>9000</v>
      </c>
      <c r="I103" s="25">
        <f>INT(IF(F103,DAYS360(          DATE(YEAR(E103),MONTH(E103),1),         DATE(YEAR(F103)     ,      MONTH(F103),1 )    )            /30,0 ))</f>
        <v>1</v>
      </c>
      <c r="J103" s="24">
        <f t="shared" si="79"/>
        <v>9000</v>
      </c>
      <c r="K103" s="26">
        <f>IF(  AND(N103&gt;0,I103=0)          ,N103 ,                         IF(  IF( F103 ,  DAYS360(DATE(YEAR(F103),MONTH(F103),1),Mes)/30  ,  DAYS360(DATE(YEAR(E103),MONTH(E103),1),Mes)/30  )  &gt;  0 , IF(F103,   DAYS360(DATE(YEAR(F103),MONTH(F103),1),Mes)/30  ,  DAYS360(DATE(YEAR(E103),MONTH(E103),1),Mes)/30) , 0)       )</f>
        <v>0</v>
      </c>
      <c r="L103" s="27">
        <f>IF(ISERROR(K:K*H:H)   ,  0   ,   K:K*H:H)</f>
        <v>0</v>
      </c>
      <c r="M103" s="28"/>
      <c r="N103" s="29">
        <f>IF( ISERROR(OFFSET(SECUESTRADOS!D$1,MATCH(B103,SECUESTRADOS!A$2:A1405,0),0)) ,0 ,  OFFSET(SECUESTRADOS!D$1,MATCH(B103,SECUESTRADOS!A$2:A1405,0),0)  )</f>
        <v>0</v>
      </c>
      <c r="O103" s="30"/>
      <c r="P103" s="17" t="str">
        <f t="shared" si="3"/>
        <v>Bono canon</v>
      </c>
      <c r="Q103" s="17" t="str">
        <f t="shared" ref="Q103:Q110" si="80">IF(AND(A103=A102,B103=B102,C103=C102),"Repetido","")</f>
        <v/>
      </c>
      <c r="R103" s="31"/>
      <c r="S103" s="31"/>
      <c r="T103" s="31"/>
    </row>
    <row r="104">
      <c r="A104" s="54" t="s">
        <v>71</v>
      </c>
      <c r="B104" s="54">
        <v>1141.0</v>
      </c>
      <c r="C104" s="19">
        <v>1141.0</v>
      </c>
      <c r="D104" s="34" t="str">
        <f>if(   iserror(offset(PADRON!B$2,match(C:C,PADRON!A$2:A1405,0)-1,0,1,1) )  ,  ,    offset(PADRON!B$2,match(C:C,PADRON!A$2:A1405,0)-1,0,1,1))</f>
        <v>BASOALTO, CLAUDIA</v>
      </c>
      <c r="E104" s="22">
        <v>45839.0</v>
      </c>
      <c r="F104" s="22">
        <v>45870.0</v>
      </c>
      <c r="G104" s="23" t="s">
        <v>39</v>
      </c>
      <c r="H104" s="35">
        <f>IF( ISERROR( OFFSET(   'Cuadro tarifario'!D$2  , MATCH(CONCATENATE(                 IF(F104&gt;Mes,OFFSET(NroCT!B$17, MATCH($F104,NroCT!$A$18:$A1405,0),0,1,1),Periodovigente)                                                                                                                     ,A104) ,'Cuadro tarifario'!A$2:A1405,0) -1 , 0 , 1 , 1) )   , 0  ,   OFFSET(   'Cuadro tarifario'!D$2  , MATCH(CONCATENATE( IF(F104&gt;Mes,OFFSET(NroCT!B$17, MATCH($F104,NroCT!$A$18:$A1405,0),0,1,1),Periodovigente) ,A104) ,'Cuadro tarifario'!A$2:A1405,0) -1 , 0 , 1 , 1))</f>
        <v>11000</v>
      </c>
      <c r="I104" s="36">
        <f>Int(If(F104,DAYS360(          date(Year(E104),Month(E104),1),         date(Year(F104)     ,      Month(F104),1 )    )            /30,0 ))</f>
        <v>1</v>
      </c>
      <c r="J104" s="37">
        <f t="shared" si="79"/>
        <v>11000</v>
      </c>
      <c r="K104" s="38">
        <f>if(  and(N104&gt;0,I104=0)          ,N104 ,                         If(  If( F104 ,  DAYS360(date(year(F104),month(F104),1),Mes)/30  ,  DAYS360(date(year(E104),month(E104),1),Mes)/30  )  &gt;  0 , If(F104,   DAYS360(date(year(F104),month(F104),1),Mes)/30  ,  DAYS360(date(year(E104),month(E104),1),Mes)/30) , 0)       )</f>
        <v>0</v>
      </c>
      <c r="L104" s="39">
        <f>If(Iserror(K:K*H:H)   ,  0   ,   K:K*H:H)</f>
        <v>0</v>
      </c>
      <c r="M104" s="40"/>
      <c r="N104" s="29">
        <f>IF( ISERROR(OFFSET(SECUESTRADOS!D$1,MATCH(B104,SECUESTRADOS!A$2:A1405,0),0)) ,0 ,  OFFSET(SECUESTRADOS!D$1,MATCH(B104,SECUESTRADOS!A$2:A1405,0),0)  )</f>
        <v>0</v>
      </c>
      <c r="O104" s="30"/>
      <c r="P104" s="17" t="str">
        <f t="shared" si="3"/>
        <v>.socio</v>
      </c>
      <c r="Q104" s="17" t="str">
        <f t="shared" si="80"/>
        <v/>
      </c>
      <c r="R104" s="31"/>
      <c r="S104" s="31"/>
      <c r="T104" s="31"/>
    </row>
    <row r="105">
      <c r="A105" s="18" t="s">
        <v>38</v>
      </c>
      <c r="B105" s="17">
        <v>1141.0</v>
      </c>
      <c r="C105" s="19">
        <v>1141.0</v>
      </c>
      <c r="D105" s="20" t="str">
        <f>IF(   ISERROR(OFFSET(PADRON!B$2,MATCH(C:C,PADRON!A$2:A1405,0)-1,0,1,1) )  ,  ,    OFFSET(PADRON!B$2,MATCH(C:C,PADRON!A$2:A1405,0)-1,0,1,1))</f>
        <v>BASOALTO, CLAUDIA</v>
      </c>
      <c r="E105" s="21">
        <v>45839.0</v>
      </c>
      <c r="F105" s="21">
        <v>45870.0</v>
      </c>
      <c r="G105" s="23" t="s">
        <v>39</v>
      </c>
      <c r="H105" s="24">
        <f>IF( ISERROR( OFFSET(   'Cuadro tarifario'!D$2  , MATCH(CONCATENATE(                 IF(F105&gt;Mes,OFFSET(NroCT!B$17, MATCH($F105,NroCT!$A$18:$A1405,0),0,1,1),Periodovigente)                                                                                                                     ,A105) ,'Cuadro tarifario'!A$2:A1405,0) -1 , 0 , 1 , 1) )   , 0  ,   OFFSET(   'Cuadro tarifario'!D$2  , MATCH(CONCATENATE( IF(F105&gt;Mes,OFFSET(NroCT!B$17, MATCH($F105,NroCT!$A$18:$A1405,0),0,1,1),Periodovigente) ,A105) ,'Cuadro tarifario'!A$2:A1405,0) -1 , 0 , 1 , 1))</f>
        <v>9000</v>
      </c>
      <c r="I105" s="25">
        <f>INT(IF(F105,DAYS360(          DATE(YEAR(E105),MONTH(E105),1),         DATE(YEAR(F105)     ,      MONTH(F105),1 )    )            /30,0 ))</f>
        <v>1</v>
      </c>
      <c r="J105" s="24">
        <f t="shared" si="79"/>
        <v>9000</v>
      </c>
      <c r="K105" s="26">
        <f>IF(  AND(N105&gt;0,I105=0)          ,N105 ,                         IF(  IF( F105 ,  DAYS360(DATE(YEAR(F105),MONTH(F105),1),Mes)/30  ,  DAYS360(DATE(YEAR(E105),MONTH(E105),1),Mes)/30  )  &gt;  0 , IF(F105,   DAYS360(DATE(YEAR(F105),MONTH(F105),1),Mes)/30  ,  DAYS360(DATE(YEAR(E105),MONTH(E105),1),Mes)/30) , 0)       )</f>
        <v>0</v>
      </c>
      <c r="L105" s="27">
        <f>IF(ISERROR(K:K*H:H)   ,  0   ,   K:K*H:H)</f>
        <v>0</v>
      </c>
      <c r="M105" s="28"/>
      <c r="N105" s="29">
        <f>IF( ISERROR(OFFSET(SECUESTRADOS!D$1,MATCH(B105,SECUESTRADOS!A$2:A1405,0),0)) ,0 ,  OFFSET(SECUESTRADOS!D$1,MATCH(B105,SECUESTRADOS!A$2:A1405,0),0)  )</f>
        <v>0</v>
      </c>
      <c r="O105" s="30"/>
      <c r="P105" s="17" t="str">
        <f t="shared" si="3"/>
        <v>Bono canon</v>
      </c>
      <c r="Q105" s="17" t="str">
        <f t="shared" si="80"/>
        <v/>
      </c>
      <c r="R105" s="31"/>
      <c r="S105" s="31"/>
      <c r="T105" s="31"/>
    </row>
    <row r="106">
      <c r="A106" s="33" t="s">
        <v>40</v>
      </c>
      <c r="B106" s="33" t="s">
        <v>102</v>
      </c>
      <c r="C106" s="19">
        <v>1141.0</v>
      </c>
      <c r="D106" s="34" t="str">
        <f>if(   iserror(offset(PADRON!B$2,match(C:C,PADRON!A$2:A1405,0)-1,0,1,1) )  ,  ,    offset(PADRON!B$2,match(C:C,PADRON!A$2:A1405,0)-1,0,1,1))</f>
        <v>BASOALTO, CLAUDIA</v>
      </c>
      <c r="E106" s="22">
        <v>45839.0</v>
      </c>
      <c r="F106" s="22">
        <v>45870.0</v>
      </c>
      <c r="G106" s="23" t="s">
        <v>39</v>
      </c>
      <c r="H106" s="35">
        <f>IF( ISERROR( OFFSET(   'Cuadro tarifario'!D$2  , MATCH(CONCATENATE(                 IF(F106&gt;Mes,OFFSET(NroCT!B$17, MATCH($F106,NroCT!$A$18:$A1405,0),0,1,1),Periodovigente)                                                                                                                     ,A106) ,'Cuadro tarifario'!A$2:A1405,0) -1 , 0 , 1 , 1) )   , 0  ,   OFFSET(   'Cuadro tarifario'!D$2  , MATCH(CONCATENATE( IF(F106&gt;Mes,OFFSET(NroCT!B$17, MATCH($F106,NroCT!$A$18:$A1405,0),0,1,1),Periodovigente) ,A106) ,'Cuadro tarifario'!A$2:A1405,0) -1 , 0 , 1 , 1))</f>
        <v>12000</v>
      </c>
      <c r="I106" s="36">
        <f t="shared" ref="I106:I108" si="81">Int(If(F106,DAYS360(          date(Year(E106),Month(E106),1),         date(Year(F106)     ,      Month(F106),1 )    )            /30,0 ))</f>
        <v>1</v>
      </c>
      <c r="J106" s="37">
        <f t="shared" si="79"/>
        <v>12000</v>
      </c>
      <c r="K106" s="38">
        <f>if(  and(N106&gt;0,I106=0)          ,N106 ,                         If(  If( F106 ,  DAYS360(date(year(F106),month(F106),1),Mes)/30  ,  DAYS360(date(year(E106),month(E106),1),Mes)/30  )  &gt;  0 , If(F106,   DAYS360(date(year(F106),month(F106),1),Mes)/30  ,  DAYS360(date(year(E106),month(E106),1),Mes)/30) , 0)       )</f>
        <v>0</v>
      </c>
      <c r="L106" s="39">
        <f t="shared" ref="L106:L108" si="82">If(Iserror(K:K*H:H)   ,  0   ,   K:K*H:H)</f>
        <v>0</v>
      </c>
      <c r="M106" s="40"/>
      <c r="N106" s="29">
        <f>IF( ISERROR(OFFSET(SECUESTRADOS!D$1,MATCH(B106,SECUESTRADOS!A$2:A1405,0),0)) ,0 ,  OFFSET(SECUESTRADOS!D$1,MATCH(B106,SECUESTRADOS!A$2:A1405,0),0)  )</f>
        <v>0</v>
      </c>
      <c r="O106" s="30"/>
      <c r="P106" s="17" t="str">
        <f t="shared" si="3"/>
        <v>cuna windsurf</v>
      </c>
      <c r="Q106" s="17" t="str">
        <f t="shared" si="80"/>
        <v/>
      </c>
      <c r="R106" s="31"/>
      <c r="S106" s="31"/>
      <c r="T106" s="31"/>
    </row>
    <row r="107">
      <c r="A107" s="41" t="s">
        <v>42</v>
      </c>
      <c r="B107" s="41" t="s">
        <v>103</v>
      </c>
      <c r="C107" s="19">
        <v>1141.0</v>
      </c>
      <c r="D107" s="34" t="str">
        <f>if(   iserror(offset(PADRON!B$2,match(C:C,PADRON!A$2:A1405,0)-1,0,1,1) )  ,  ,    offset(PADRON!B$2,match(C:C,PADRON!A$2:A1405,0)-1,0,1,1))</f>
        <v>BASOALTO, CLAUDIA</v>
      </c>
      <c r="E107" s="22">
        <v>45992.0</v>
      </c>
      <c r="F107" s="22"/>
      <c r="G107" s="23" t="s">
        <v>56</v>
      </c>
      <c r="H107" s="35">
        <f>IF( ISERROR( OFFSET(   'Cuadro tarifario'!D$2  , MATCH(CONCATENATE(                 IF(F107&gt;Mes,OFFSET(NroCT!B$17, MATCH($F107,NroCT!$A$18:$A1405,0),0,1,1),Periodovigente)                                                                                                                     ,A107) ,'Cuadro tarifario'!A$2:A1405,0) -1 , 0 , 1 , 1) )   , 0  ,   OFFSET(   'Cuadro tarifario'!D$2  , MATCH(CONCATENATE( IF(F107&gt;Mes,OFFSET(NroCT!B$17, MATCH($F107,NroCT!$A$18:$A1405,0),0,1,1),Periodovigente) ,A107) ,'Cuadro tarifario'!A$2:A1405,0) -1 , 0 , 1 , 1))</f>
        <v>4000</v>
      </c>
      <c r="I107" s="36">
        <f t="shared" si="81"/>
        <v>0</v>
      </c>
      <c r="J107" s="37">
        <f t="shared" si="79"/>
        <v>0</v>
      </c>
      <c r="K107" s="38">
        <f>if(  and(N107&gt;0,I107=0)          ,N107 ,                         If(  If( F107 ,  DAYS360(date(year(F107),month(F107),1),Mes)/30  ,  DAYS360(date(year(E107),month(E107),1),Mes)/30  )  &gt;  0 , If(F107,   DAYS360(date(year(F107),month(F107),1),Mes)/30  ,  DAYS360(date(year(E107),month(E107),1),Mes)/30) , 0)       )</f>
        <v>0</v>
      </c>
      <c r="L107" s="39">
        <f t="shared" si="82"/>
        <v>0</v>
      </c>
      <c r="M107" s="40"/>
      <c r="N107" s="29">
        <f>IF( ISERROR(OFFSET(SECUESTRADOS!D$1,MATCH(B107,SECUESTRADOS!A$2:A1405,0),0)) ,0 ,  OFFSET(SECUESTRADOS!D$1,MATCH(B107,SECUESTRADOS!A$2:A1405,0),0)  )</f>
        <v>0</v>
      </c>
      <c r="O107" s="30"/>
      <c r="P107" s="17" t="b">
        <f t="shared" si="3"/>
        <v>0</v>
      </c>
      <c r="Q107" s="17" t="str">
        <f t="shared" si="80"/>
        <v/>
      </c>
      <c r="R107" s="31"/>
      <c r="S107" s="31"/>
      <c r="T107" s="31"/>
    </row>
    <row r="108">
      <c r="A108" s="54" t="s">
        <v>71</v>
      </c>
      <c r="B108" s="54">
        <v>1147.0</v>
      </c>
      <c r="C108" s="19">
        <v>1147.0</v>
      </c>
      <c r="D108" s="34" t="str">
        <f>if(   iserror(offset(PADRON!B$2,match(C:C,PADRON!A$2:A1405,0)-1,0,1,1) )  ,  ,    offset(PADRON!B$2,match(C:C,PADRON!A$2:A1405,0)-1,0,1,1))</f>
        <v>ICARDI, NESTOR</v>
      </c>
      <c r="E108" s="22">
        <v>45839.0</v>
      </c>
      <c r="F108" s="22">
        <v>45870.0</v>
      </c>
      <c r="G108" s="23" t="s">
        <v>39</v>
      </c>
      <c r="H108" s="35">
        <f>IF( ISERROR( OFFSET(   'Cuadro tarifario'!D$2  , MATCH(CONCATENATE(                 IF(F108&gt;Mes,OFFSET(NroCT!B$17, MATCH($F108,NroCT!$A$18:$A1405,0),0,1,1),Periodovigente)                                                                                                                     ,A108) ,'Cuadro tarifario'!A$2:A1405,0) -1 , 0 , 1 , 1) )   , 0  ,   OFFSET(   'Cuadro tarifario'!D$2  , MATCH(CONCATENATE( IF(F108&gt;Mes,OFFSET(NroCT!B$17, MATCH($F108,NroCT!$A$18:$A1405,0),0,1,1),Periodovigente) ,A108) ,'Cuadro tarifario'!A$2:A1405,0) -1 , 0 , 1 , 1))</f>
        <v>11000</v>
      </c>
      <c r="I108" s="36">
        <f t="shared" si="81"/>
        <v>1</v>
      </c>
      <c r="J108" s="37">
        <f t="shared" si="79"/>
        <v>11000</v>
      </c>
      <c r="K108" s="38">
        <f>if(  and(N108&gt;0,I108=0)          ,N108 ,                         If(  If( F108 ,  DAYS360(date(year(F108),month(F108),1),Mes)/30  ,  DAYS360(date(year(E108),month(E108),1),Mes)/30  )  &gt;  0 , If(F108,   DAYS360(date(year(F108),month(F108),1),Mes)/30  ,  DAYS360(date(year(E108),month(E108),1),Mes)/30) , 0)       )</f>
        <v>0</v>
      </c>
      <c r="L108" s="39">
        <f t="shared" si="82"/>
        <v>0</v>
      </c>
      <c r="M108" s="40"/>
      <c r="N108" s="29">
        <f>IF( ISERROR(OFFSET(SECUESTRADOS!D$1,MATCH(B108,SECUESTRADOS!A$2:A1405,0),0)) ,0 ,  OFFSET(SECUESTRADOS!D$1,MATCH(B108,SECUESTRADOS!A$2:A1405,0),0)  )</f>
        <v>0</v>
      </c>
      <c r="O108" s="30"/>
      <c r="P108" s="17" t="str">
        <f t="shared" si="3"/>
        <v>.socio</v>
      </c>
      <c r="Q108" s="17" t="str">
        <f t="shared" si="80"/>
        <v/>
      </c>
      <c r="R108" s="31"/>
      <c r="S108" s="31"/>
      <c r="T108" s="31"/>
    </row>
    <row r="109">
      <c r="A109" s="18" t="s">
        <v>38</v>
      </c>
      <c r="B109" s="17">
        <v>1147.0</v>
      </c>
      <c r="C109" s="19">
        <v>1147.0</v>
      </c>
      <c r="D109" s="20" t="str">
        <f>IF(   ISERROR(OFFSET(PADRON!B$2,MATCH(C:C,PADRON!A$2:A1405,0)-1,0,1,1) )  ,  ,    OFFSET(PADRON!B$2,MATCH(C:C,PADRON!A$2:A1405,0)-1,0,1,1))</f>
        <v>ICARDI, NESTOR</v>
      </c>
      <c r="E109" s="21">
        <v>45839.0</v>
      </c>
      <c r="F109" s="21">
        <v>45870.0</v>
      </c>
      <c r="G109" s="23" t="s">
        <v>39</v>
      </c>
      <c r="H109" s="24">
        <f>IF( ISERROR( OFFSET(   'Cuadro tarifario'!D$2  , MATCH(CONCATENATE(                 IF(F109&gt;Mes,OFFSET(NroCT!B$17, MATCH($F109,NroCT!$A$18:$A1405,0),0,1,1),Periodovigente)                                                                                                                     ,A109) ,'Cuadro tarifario'!A$2:A1405,0) -1 , 0 , 1 , 1) )   , 0  ,   OFFSET(   'Cuadro tarifario'!D$2  , MATCH(CONCATENATE( IF(F109&gt;Mes,OFFSET(NroCT!B$17, MATCH($F109,NroCT!$A$18:$A1405,0),0,1,1),Periodovigente) ,A109) ,'Cuadro tarifario'!A$2:A1405,0) -1 , 0 , 1 , 1))</f>
        <v>9000</v>
      </c>
      <c r="I109" s="25">
        <f t="shared" ref="I109:I110" si="83">INT(IF(F109,DAYS360(          DATE(YEAR(E109),MONTH(E109),1),         DATE(YEAR(F109)     ,      MONTH(F109),1 )    )            /30,0 ))</f>
        <v>1</v>
      </c>
      <c r="J109" s="24">
        <f t="shared" si="79"/>
        <v>9000</v>
      </c>
      <c r="K109" s="26">
        <f>IF(  AND(N109&gt;0,I109=0)          ,N109 ,                         IF(  IF( F109 ,  DAYS360(DATE(YEAR(F109),MONTH(F109),1),Mes)/30  ,  DAYS360(DATE(YEAR(E109),MONTH(E109),1),Mes)/30  )  &gt;  0 , IF(F109,   DAYS360(DATE(YEAR(F109),MONTH(F109),1),Mes)/30  ,  DAYS360(DATE(YEAR(E109),MONTH(E109),1),Mes)/30) , 0)       )</f>
        <v>0</v>
      </c>
      <c r="L109" s="27">
        <f t="shared" ref="L109:L110" si="84">IF(ISERROR(K:K*H:H)   ,  0   ,   K:K*H:H)</f>
        <v>0</v>
      </c>
      <c r="M109" s="28"/>
      <c r="N109" s="29">
        <f>IF( ISERROR(OFFSET(SECUESTRADOS!D$1,MATCH(B109,SECUESTRADOS!A$2:A1405,0),0)) ,0 ,  OFFSET(SECUESTRADOS!D$1,MATCH(B109,SECUESTRADOS!A$2:A1405,0),0)  )</f>
        <v>0</v>
      </c>
      <c r="O109" s="30"/>
      <c r="P109" s="17" t="str">
        <f t="shared" si="3"/>
        <v>Bono canon</v>
      </c>
      <c r="Q109" s="17" t="str">
        <f t="shared" si="80"/>
        <v/>
      </c>
      <c r="R109" s="31"/>
      <c r="S109" s="31"/>
      <c r="T109" s="31"/>
    </row>
    <row r="110">
      <c r="A110" s="18" t="s">
        <v>40</v>
      </c>
      <c r="B110" s="18" t="s">
        <v>104</v>
      </c>
      <c r="C110" s="19">
        <v>1147.0</v>
      </c>
      <c r="D110" s="20" t="str">
        <f>IF(   ISERROR(OFFSET(PADRON!B$2,MATCH(C:C,PADRON!A$2:A1405,0)-1,0,1,1) )  ,  ,    OFFSET(PADRON!B$2,MATCH(C:C,PADRON!A$2:A1405,0)-1,0,1,1))</f>
        <v>ICARDI, NESTOR</v>
      </c>
      <c r="E110" s="21">
        <v>45839.0</v>
      </c>
      <c r="F110" s="21">
        <v>45870.0</v>
      </c>
      <c r="G110" s="23" t="s">
        <v>39</v>
      </c>
      <c r="H110" s="24">
        <f>IF( ISERROR( OFFSET(   'Cuadro tarifario'!D$2  , MATCH(CONCATENATE(                 IF(F110&gt;Mes,OFFSET(NroCT!B$17, MATCH($F110,NroCT!$A$18:$A1405,0),0,1,1),Periodovigente)                                                                                                                     ,A110) ,'Cuadro tarifario'!A$2:A1405,0) -1 , 0 , 1 , 1) )   , 0  ,   OFFSET(   'Cuadro tarifario'!D$2  , MATCH(CONCATENATE( IF(F110&gt;Mes,OFFSET(NroCT!B$17, MATCH($F110,NroCT!$A$18:$A1405,0),0,1,1),Periodovigente) ,A110) ,'Cuadro tarifario'!A$2:A1405,0) -1 , 0 , 1 , 1))</f>
        <v>12000</v>
      </c>
      <c r="I110" s="25">
        <f t="shared" si="83"/>
        <v>1</v>
      </c>
      <c r="J110" s="24">
        <f t="shared" si="79"/>
        <v>12000</v>
      </c>
      <c r="K110" s="26">
        <f>IF(  AND(N110&gt;0,I110=0)          ,N110 ,                         IF(  IF( F110 ,  DAYS360(DATE(YEAR(F110),MONTH(F110),1),Mes)/30  ,  DAYS360(DATE(YEAR(E110),MONTH(E110),1),Mes)/30  )  &gt;  0 , IF(F110,   DAYS360(DATE(YEAR(F110),MONTH(F110),1),Mes)/30  ,  DAYS360(DATE(YEAR(E110),MONTH(E110),1),Mes)/30) , 0)       )</f>
        <v>0</v>
      </c>
      <c r="L110" s="27">
        <f t="shared" si="84"/>
        <v>0</v>
      </c>
      <c r="M110" s="28"/>
      <c r="N110" s="29">
        <f>IF( ISERROR(OFFSET(SECUESTRADOS!D$1,MATCH(B110,SECUESTRADOS!A$2:A1405,0),0)) ,0 ,  OFFSET(SECUESTRADOS!D$1,MATCH(B110,SECUESTRADOS!A$2:A1405,0),0)  )</f>
        <v>0</v>
      </c>
      <c r="O110" s="30"/>
      <c r="P110" s="17" t="str">
        <f t="shared" si="3"/>
        <v>cuna windsurf</v>
      </c>
      <c r="Q110" s="17" t="str">
        <f t="shared" si="80"/>
        <v/>
      </c>
      <c r="R110" s="31"/>
      <c r="S110" s="31"/>
      <c r="T110" s="31"/>
    </row>
    <row r="111">
      <c r="A111" s="54" t="s">
        <v>71</v>
      </c>
      <c r="B111" s="54">
        <v>1165.0</v>
      </c>
      <c r="C111" s="19">
        <v>1165.0</v>
      </c>
      <c r="D111" s="34" t="str">
        <f>if(   iserror(offset(PADRON!B$2,match(C:C,PADRON!A$2:A1405,0)-1,0,1,1) )  ,  ,    offset(PADRON!B$2,match(C:C,PADRON!A$2:A1405,0)-1,0,1,1))</f>
        <v>MACHI MAURICIO</v>
      </c>
      <c r="E111" s="22">
        <v>45839.0</v>
      </c>
      <c r="F111" s="22">
        <v>45870.0</v>
      </c>
      <c r="G111" s="23" t="s">
        <v>39</v>
      </c>
      <c r="H111" s="35">
        <f>IF( ISERROR( OFFSET(   'Cuadro tarifario'!D$2  , MATCH(CONCATENATE(                 IF(F111&gt;Mes,OFFSET(NroCT!B$17, MATCH($F111,NroCT!$A$18:$A1405,0),0,1,1),Periodovigente)                                                                                                                     ,A111) ,'Cuadro tarifario'!A$2:A1405,0) -1 , 0 , 1 , 1) )   , 0  ,   OFFSET(   'Cuadro tarifario'!D$2  , MATCH(CONCATENATE( IF(F111&gt;Mes,OFFSET(NroCT!B$17, MATCH($F111,NroCT!$A$18:$A1405,0),0,1,1),Periodovigente) ,A111) ,'Cuadro tarifario'!A$2:A1405,0) -1 , 0 , 1 , 1))</f>
        <v>11000</v>
      </c>
      <c r="I111" s="36">
        <f>Int(If(F111,DAYS360(          date(Year(E111),Month(E111),1),         date(Year(F111)     ,      Month(F111),1 )    )            /30,0 ))</f>
        <v>1</v>
      </c>
      <c r="J111" s="37">
        <f t="shared" si="79"/>
        <v>11000</v>
      </c>
      <c r="K111" s="38">
        <f>if(  and(N111&gt;0,I111=0)          ,N111 ,                         If(  If( F111 ,  DAYS360(date(year(F111),month(F111),1),Mes)/30  ,  DAYS360(date(year(E111),month(E111),1),Mes)/30  )  &gt;  0 , If(F111,   DAYS360(date(year(F111),month(F111),1),Mes)/30  ,  DAYS360(date(year(E111),month(E111),1),Mes)/30) , 0)       )</f>
        <v>0</v>
      </c>
      <c r="L111" s="39">
        <f>If(Iserror(K:K*H:H)   ,  0   ,   K:K*H:H)</f>
        <v>0</v>
      </c>
      <c r="M111" s="40"/>
      <c r="N111" s="29">
        <f>IF( ISERROR(OFFSET(SECUESTRADOS!D$1,MATCH(B111,SECUESTRADOS!A$2:A1405,0),0)) ,0 ,  OFFSET(SECUESTRADOS!D$1,MATCH(B111,SECUESTRADOS!A$2:A1405,0),0)  )</f>
        <v>0</v>
      </c>
      <c r="O111" s="30"/>
      <c r="P111" s="17" t="str">
        <f t="shared" si="3"/>
        <v>.socio</v>
      </c>
      <c r="Q111" s="17" t="str">
        <f>IF(AND(A111=A109,B111=B109,C111=C109),"Repetido","")</f>
        <v/>
      </c>
      <c r="R111" s="31"/>
      <c r="S111" s="31"/>
      <c r="T111" s="31"/>
    </row>
    <row r="112">
      <c r="A112" s="18" t="s">
        <v>38</v>
      </c>
      <c r="B112" s="17">
        <v>1165.0</v>
      </c>
      <c r="C112" s="19">
        <v>1165.0</v>
      </c>
      <c r="D112" s="20" t="str">
        <f>IF(   ISERROR(OFFSET(PADRON!B$2,MATCH(C:C,PADRON!A$2:A1405,0)-1,0,1,1) )  ,  ,    OFFSET(PADRON!B$2,MATCH(C:C,PADRON!A$2:A1405,0)-1,0,1,1))</f>
        <v>MACHI MAURICIO</v>
      </c>
      <c r="E112" s="21">
        <v>45839.0</v>
      </c>
      <c r="F112" s="21">
        <v>45870.0</v>
      </c>
      <c r="G112" s="23" t="s">
        <v>39</v>
      </c>
      <c r="H112" s="24">
        <f>IF( ISERROR( OFFSET(   'Cuadro tarifario'!D$2  , MATCH(CONCATENATE(                 IF(F112&gt;Mes,OFFSET(NroCT!B$17, MATCH($F112,NroCT!$A$18:$A1405,0),0,1,1),Periodovigente)                                                                                                                     ,A112) ,'Cuadro tarifario'!A$2:A1405,0) -1 , 0 , 1 , 1) )   , 0  ,   OFFSET(   'Cuadro tarifario'!D$2  , MATCH(CONCATENATE( IF(F112&gt;Mes,OFFSET(NroCT!B$17, MATCH($F112,NroCT!$A$18:$A1405,0),0,1,1),Periodovigente) ,A112) ,'Cuadro tarifario'!A$2:A1405,0) -1 , 0 , 1 , 1))</f>
        <v>9000</v>
      </c>
      <c r="I112" s="25">
        <f t="shared" ref="I112:I117" si="85">INT(IF(F112,DAYS360(          DATE(YEAR(E112),MONTH(E112),1),         DATE(YEAR(F112)     ,      MONTH(F112),1 )    )            /30,0 ))</f>
        <v>1</v>
      </c>
      <c r="J112" s="24">
        <f t="shared" si="79"/>
        <v>9000</v>
      </c>
      <c r="K112" s="26">
        <f>IF(  AND(N112&gt;0,I112=0)          ,N112 ,                         IF(  IF( F112 ,  DAYS360(DATE(YEAR(F112),MONTH(F112),1),Mes)/30  ,  DAYS360(DATE(YEAR(E112),MONTH(E112),1),Mes)/30  )  &gt;  0 , IF(F112,   DAYS360(DATE(YEAR(F112),MONTH(F112),1),Mes)/30  ,  DAYS360(DATE(YEAR(E112),MONTH(E112),1),Mes)/30) , 0)       )</f>
        <v>0</v>
      </c>
      <c r="L112" s="27">
        <f t="shared" ref="L112:L117" si="86">IF(ISERROR(K:K*H:H)   ,  0   ,   K:K*H:H)</f>
        <v>0</v>
      </c>
      <c r="M112" s="28"/>
      <c r="N112" s="29">
        <f>IF( ISERROR(OFFSET(SECUESTRADOS!D$1,MATCH(B112,SECUESTRADOS!A$2:A1405,0),0)) ,0 ,  OFFSET(SECUESTRADOS!D$1,MATCH(B112,SECUESTRADOS!A$2:A1405,0),0)  )</f>
        <v>0</v>
      </c>
      <c r="O112" s="30"/>
      <c r="P112" s="17" t="str">
        <f t="shared" si="3"/>
        <v>Bono canon</v>
      </c>
      <c r="Q112" s="17" t="str">
        <f t="shared" ref="Q112:Q115" si="87">IF(AND(A112=A111,B112=B111,C112=C111),"Repetido","")</f>
        <v/>
      </c>
      <c r="R112" s="31"/>
      <c r="S112" s="31"/>
      <c r="T112" s="31"/>
    </row>
    <row r="113">
      <c r="A113" s="18" t="s">
        <v>48</v>
      </c>
      <c r="B113" s="18" t="s">
        <v>105</v>
      </c>
      <c r="C113" s="19">
        <v>1165.0</v>
      </c>
      <c r="D113" s="20" t="str">
        <f>IF(   ISERROR(OFFSET(PADRON!B$2,MATCH(C:C,PADRON!A$2:A1405,0)-1,0,1,1) )  ,  ,    OFFSET(PADRON!B$2,MATCH(C:C,PADRON!A$2:A1405,0)-1,0,1,1))</f>
        <v>MACHI MAURICIO</v>
      </c>
      <c r="E113" s="21">
        <v>45839.0</v>
      </c>
      <c r="F113" s="21">
        <v>45870.0</v>
      </c>
      <c r="G113" s="23" t="s">
        <v>39</v>
      </c>
      <c r="H113" s="24">
        <f>IF( ISERROR( OFFSET(   'Cuadro tarifario'!D$2  , MATCH(CONCATENATE(                 IF(F113&gt;Mes,OFFSET(NroCT!B$17, MATCH($F113,NroCT!$A$18:$A1405,0),0,1,1),Periodovigente)                                                                                                                     ,A113) ,'Cuadro tarifario'!A$2:A1405,0) -1 , 0 , 1 , 1) )   , 0  ,   OFFSET(   'Cuadro tarifario'!D$2  , MATCH(CONCATENATE( IF(F113&gt;Mes,OFFSET(NroCT!B$17, MATCH($F113,NroCT!$A$18:$A1405,0),0,1,1),Periodovigente) ,A113) ,'Cuadro tarifario'!A$2:A1405,0) -1 , 0 , 1 , 1))</f>
        <v>12000</v>
      </c>
      <c r="I113" s="25">
        <f t="shared" si="85"/>
        <v>1</v>
      </c>
      <c r="J113" s="24">
        <f t="shared" si="79"/>
        <v>12000</v>
      </c>
      <c r="K113" s="26">
        <f>IF(  AND(N113&gt;0,I113=0)          ,N113 ,                         IF(  IF( F113 ,  DAYS360(DATE(YEAR(F113),MONTH(F113),1),Mes)/30  ,  DAYS360(DATE(YEAR(E113),MONTH(E113),1),Mes)/30  )  &gt;  0 , IF(F113,   DAYS360(DATE(YEAR(F113),MONTH(F113),1),Mes)/30  ,  DAYS360(DATE(YEAR(E113),MONTH(E113),1),Mes)/30) , 0)       )</f>
        <v>0</v>
      </c>
      <c r="L113" s="27">
        <f t="shared" si="86"/>
        <v>0</v>
      </c>
      <c r="M113" s="28"/>
      <c r="N113" s="29">
        <f>IF( ISERROR(OFFSET(SECUESTRADOS!D$1,MATCH(B113,SECUESTRADOS!A$2:A1405,0),0)) ,0 ,  OFFSET(SECUESTRADOS!D$1,MATCH(B113,SECUESTRADOS!A$2:A1405,0),0)  )</f>
        <v>0</v>
      </c>
      <c r="O113" s="30"/>
      <c r="P113" s="17" t="str">
        <f t="shared" si="3"/>
        <v>velero</v>
      </c>
      <c r="Q113" s="17" t="str">
        <f t="shared" si="87"/>
        <v/>
      </c>
      <c r="R113" s="31"/>
      <c r="S113" s="31"/>
      <c r="T113" s="31"/>
    </row>
    <row r="114">
      <c r="A114" s="18" t="s">
        <v>40</v>
      </c>
      <c r="B114" s="18" t="s">
        <v>106</v>
      </c>
      <c r="C114" s="19">
        <v>1165.0</v>
      </c>
      <c r="D114" s="20" t="str">
        <f>IF(   ISERROR(OFFSET(PADRON!B$2,MATCH(C:C,PADRON!A$2:A1405,0)-1,0,1,1) )  ,  ,    OFFSET(PADRON!B$2,MATCH(C:C,PADRON!A$2:A1405,0)-1,0,1,1))</f>
        <v>MACHI MAURICIO</v>
      </c>
      <c r="E114" s="21">
        <v>45839.0</v>
      </c>
      <c r="F114" s="21">
        <v>45870.0</v>
      </c>
      <c r="G114" s="23" t="s">
        <v>39</v>
      </c>
      <c r="H114" s="24">
        <f>IF( ISERROR( OFFSET(   'Cuadro tarifario'!D$2  , MATCH(CONCATENATE(                 IF(F114&gt;Mes,OFFSET(NroCT!B$17, MATCH($F114,NroCT!$A$18:$A1405,0),0,1,1),Periodovigente)                                                                                                                     ,A114) ,'Cuadro tarifario'!A$2:A1405,0) -1 , 0 , 1 , 1) )   , 0  ,   OFFSET(   'Cuadro tarifario'!D$2  , MATCH(CONCATENATE( IF(F114&gt;Mes,OFFSET(NroCT!B$17, MATCH($F114,NroCT!$A$18:$A1405,0),0,1,1),Periodovigente) ,A114) ,'Cuadro tarifario'!A$2:A1405,0) -1 , 0 , 1 , 1))</f>
        <v>12000</v>
      </c>
      <c r="I114" s="25">
        <f t="shared" si="85"/>
        <v>1</v>
      </c>
      <c r="J114" s="24">
        <f t="shared" si="79"/>
        <v>12000</v>
      </c>
      <c r="K114" s="26">
        <f>IF(  AND(N114&gt;0,I114=0)          ,N114 ,                         IF(  IF( F114 ,  DAYS360(DATE(YEAR(F114),MONTH(F114),1),Mes)/30  ,  DAYS360(DATE(YEAR(E114),MONTH(E114),1),Mes)/30  )  &gt;  0 , IF(F114,   DAYS360(DATE(YEAR(F114),MONTH(F114),1),Mes)/30  ,  DAYS360(DATE(YEAR(E114),MONTH(E114),1),Mes)/30) , 0)       )</f>
        <v>0</v>
      </c>
      <c r="L114" s="27">
        <f t="shared" si="86"/>
        <v>0</v>
      </c>
      <c r="M114" s="28"/>
      <c r="N114" s="29">
        <f>IF( ISERROR(OFFSET(SECUESTRADOS!D$1,MATCH(B114,SECUESTRADOS!A$2:A1405,0),0)) ,0 ,  OFFSET(SECUESTRADOS!D$1,MATCH(B114,SECUESTRADOS!A$2:A1405,0),0)  )</f>
        <v>0</v>
      </c>
      <c r="O114" s="30"/>
      <c r="P114" s="17" t="str">
        <f t="shared" si="3"/>
        <v>cuna windsurf</v>
      </c>
      <c r="Q114" s="17" t="str">
        <f t="shared" si="87"/>
        <v/>
      </c>
      <c r="R114" s="31"/>
      <c r="S114" s="31"/>
      <c r="T114" s="31"/>
    </row>
    <row r="115">
      <c r="A115" s="18" t="s">
        <v>42</v>
      </c>
      <c r="B115" s="18" t="s">
        <v>107</v>
      </c>
      <c r="C115" s="19">
        <v>1165.0</v>
      </c>
      <c r="D115" s="20" t="str">
        <f>IF(   ISERROR(OFFSET(PADRON!B$2,MATCH(C:C,PADRON!A$2:A1405,0)-1,0,1,1) )  ,  ,    OFFSET(PADRON!B$2,MATCH(C:C,PADRON!A$2:A1405,0)-1,0,1,1))</f>
        <v>MACHI MAURICIO</v>
      </c>
      <c r="E115" s="21">
        <v>45992.0</v>
      </c>
      <c r="F115" s="21"/>
      <c r="G115" s="23" t="s">
        <v>39</v>
      </c>
      <c r="H115" s="24">
        <f>IF( ISERROR( OFFSET(   'Cuadro tarifario'!D$2  , MATCH(CONCATENATE(                 IF(F115&gt;Mes,OFFSET(NroCT!B$17, MATCH($F115,NroCT!$A$18:$A1405,0),0,1,1),Periodovigente)                                                                                                                     ,A115) ,'Cuadro tarifario'!A$2:A1405,0) -1 , 0 , 1 , 1) )   , 0  ,   OFFSET(   'Cuadro tarifario'!D$2  , MATCH(CONCATENATE( IF(F115&gt;Mes,OFFSET(NroCT!B$17, MATCH($F115,NroCT!$A$18:$A1405,0),0,1,1),Periodovigente) ,A115) ,'Cuadro tarifario'!A$2:A1405,0) -1 , 0 , 1 , 1))</f>
        <v>4000</v>
      </c>
      <c r="I115" s="25">
        <f t="shared" si="85"/>
        <v>0</v>
      </c>
      <c r="J115" s="24">
        <f t="shared" si="79"/>
        <v>0</v>
      </c>
      <c r="K115" s="26">
        <f>IF(  AND(N115&gt;0,I115=0)          ,N115 ,                         IF(  IF( F115 ,  DAYS360(DATE(YEAR(F115),MONTH(F115),1),Mes)/30  ,  DAYS360(DATE(YEAR(E115),MONTH(E115),1),Mes)/30  )  &gt;  0 , IF(F115,   DAYS360(DATE(YEAR(F115),MONTH(F115),1),Mes)/30  ,  DAYS360(DATE(YEAR(E115),MONTH(E115),1),Mes)/30) , 0)       )</f>
        <v>0</v>
      </c>
      <c r="L115" s="27">
        <f t="shared" si="86"/>
        <v>0</v>
      </c>
      <c r="M115" s="28"/>
      <c r="N115" s="29">
        <f>IF( ISERROR(OFFSET(SECUESTRADOS!D$1,MATCH(B115,SECUESTRADOS!A$2:A1405,0),0)) ,0 ,  OFFSET(SECUESTRADOS!D$1,MATCH(B115,SECUESTRADOS!A$2:A1405,0),0)  )</f>
        <v>0</v>
      </c>
      <c r="O115" s="30"/>
      <c r="P115" s="17" t="b">
        <f t="shared" si="3"/>
        <v>0</v>
      </c>
      <c r="Q115" s="17" t="str">
        <f t="shared" si="87"/>
        <v/>
      </c>
      <c r="R115" s="31"/>
      <c r="S115" s="31"/>
      <c r="T115" s="31"/>
    </row>
    <row r="116">
      <c r="A116" s="73" t="s">
        <v>71</v>
      </c>
      <c r="B116" s="73">
        <v>1173.0</v>
      </c>
      <c r="C116" s="19">
        <v>1173.0</v>
      </c>
      <c r="D116" s="44" t="str">
        <f>IF(   ISERROR(OFFSET(PADRON!B$2,MATCH(C:C,PADRON!A$2:A1405,0)-1,0,1,1) )  ,  ,    OFFSET(PADRON!B$2,MATCH(C:C,PADRON!A$2:A1405,0)-1,0,1,1))</f>
        <v>ALBARRACIN, JORGE</v>
      </c>
      <c r="E116" s="45">
        <v>45839.0</v>
      </c>
      <c r="F116" s="45">
        <v>45870.0</v>
      </c>
      <c r="G116" s="23" t="s">
        <v>39</v>
      </c>
      <c r="H116" s="75">
        <f>IF( ISERROR( OFFSET(   'Cuadro tarifario'!D$2  , MATCH(CONCATENATE(                 IF(F116&gt;Mes,OFFSET(NroCT!B$17, MATCH($F116,NroCT!$A$18:$A1405,0),0,1,1),Periodovigente)                                                                                                                     ,A116) ,'Cuadro tarifario'!A$2:A1405,0) -1 , 0 , 1 , 1) )   , 0  ,   OFFSET(   'Cuadro tarifario'!D$2  , MATCH(CONCATENATE( IF(F116&gt;Mes,OFFSET(NroCT!B$17, MATCH($F116,NroCT!$A$18:$A1405,0),0,1,1),Periodovigente) ,A116) ,'Cuadro tarifario'!A$2:A1405,0) -1 , 0 , 1 , 1))</f>
        <v>11000</v>
      </c>
      <c r="I116" s="46">
        <f t="shared" si="85"/>
        <v>1</v>
      </c>
      <c r="J116" s="76">
        <f t="shared" si="79"/>
        <v>11000</v>
      </c>
      <c r="K116" s="48">
        <f>IF(  AND(N116&gt;0,I116=0)          ,N116 ,                         IF(  IF( F116 ,  DAYS360(DATE(YEAR(F116),MONTH(F116),1),Mes)/30  ,  DAYS360(DATE(YEAR(E116),MONTH(E116),1),Mes)/30  )  &gt;  0 , IF(F116,   DAYS360(DATE(YEAR(F116),MONTH(F116),1),Mes)/30  ,  DAYS360(DATE(YEAR(E116),MONTH(E116),1),Mes)/30) , 0)       )</f>
        <v>0</v>
      </c>
      <c r="L116" s="77">
        <f t="shared" si="86"/>
        <v>0</v>
      </c>
      <c r="M116" s="78"/>
      <c r="N116" s="29">
        <f>IF( ISERROR(OFFSET(SECUESTRADOS!D$1,MATCH(B116,SECUESTRADOS!A$2:A1405,0),0)) ,0 ,  OFFSET(SECUESTRADOS!D$1,MATCH(B116,SECUESTRADOS!A$2:A1405,0),0)  )</f>
        <v>0</v>
      </c>
      <c r="O116" s="30"/>
      <c r="P116" s="17" t="str">
        <f t="shared" si="3"/>
        <v>.socio</v>
      </c>
      <c r="Q116" s="17" t="str">
        <f>IF(AND(A116=A112,B116=B112,C116=C112),"Repetido","")</f>
        <v/>
      </c>
      <c r="R116" s="31"/>
      <c r="S116" s="31"/>
      <c r="T116" s="31"/>
    </row>
    <row r="117">
      <c r="A117" s="18" t="s">
        <v>38</v>
      </c>
      <c r="B117" s="17">
        <v>1173.0</v>
      </c>
      <c r="C117" s="19">
        <v>1173.0</v>
      </c>
      <c r="D117" s="20" t="str">
        <f>IF(   ISERROR(OFFSET(PADRON!B$2,MATCH(C:C,PADRON!A$2:A1405,0)-1,0,1,1) )  ,  ,    OFFSET(PADRON!B$2,MATCH(C:C,PADRON!A$2:A1405,0)-1,0,1,1))</f>
        <v>ALBARRACIN, JORGE</v>
      </c>
      <c r="E117" s="21">
        <v>45839.0</v>
      </c>
      <c r="F117" s="21">
        <v>45870.0</v>
      </c>
      <c r="G117" s="23" t="s">
        <v>39</v>
      </c>
      <c r="H117" s="24">
        <f>IF( ISERROR( OFFSET(   'Cuadro tarifario'!D$2  , MATCH(CONCATENATE(                 IF(F117&gt;Mes,OFFSET(NroCT!B$17, MATCH($F117,NroCT!$A$18:$A1405,0),0,1,1),Periodovigente)                                                                                                                     ,A117) ,'Cuadro tarifario'!A$2:A1405,0) -1 , 0 , 1 , 1) )   , 0  ,   OFFSET(   'Cuadro tarifario'!D$2  , MATCH(CONCATENATE( IF(F117&gt;Mes,OFFSET(NroCT!B$17, MATCH($F117,NroCT!$A$18:$A1405,0),0,1,1),Periodovigente) ,A117) ,'Cuadro tarifario'!A$2:A1405,0) -1 , 0 , 1 , 1))</f>
        <v>9000</v>
      </c>
      <c r="I117" s="25">
        <f t="shared" si="85"/>
        <v>1</v>
      </c>
      <c r="J117" s="24">
        <f t="shared" si="79"/>
        <v>9000</v>
      </c>
      <c r="K117" s="26">
        <f>IF(  AND(N117&gt;0,I117=0)          ,N117 ,                         IF(  IF( F117 ,  DAYS360(DATE(YEAR(F117),MONTH(F117),1),Mes)/30  ,  DAYS360(DATE(YEAR(E117),MONTH(E117),1),Mes)/30  )  &gt;  0 , IF(F117,   DAYS360(DATE(YEAR(F117),MONTH(F117),1),Mes)/30  ,  DAYS360(DATE(YEAR(E117),MONTH(E117),1),Mes)/30) , 0)       )</f>
        <v>0</v>
      </c>
      <c r="L117" s="27">
        <f t="shared" si="86"/>
        <v>0</v>
      </c>
      <c r="M117" s="28"/>
      <c r="N117" s="29">
        <f>IF( ISERROR(OFFSET(SECUESTRADOS!D$1,MATCH(B117,SECUESTRADOS!A$2:A1405,0),0)) ,0 ,  OFFSET(SECUESTRADOS!D$1,MATCH(B117,SECUESTRADOS!A$2:A1405,0),0)  )</f>
        <v>0</v>
      </c>
      <c r="O117" s="30"/>
      <c r="P117" s="17" t="str">
        <f t="shared" si="3"/>
        <v>Bono canon</v>
      </c>
      <c r="Q117" s="17" t="str">
        <f t="shared" ref="Q117:Q119" si="88">IF(AND(A117=A116,B117=B116,C117=C116),"Repetido","")</f>
        <v/>
      </c>
      <c r="R117" s="31"/>
      <c r="S117" s="31"/>
      <c r="T117" s="31"/>
    </row>
    <row r="118">
      <c r="A118" s="54" t="s">
        <v>71</v>
      </c>
      <c r="B118" s="54">
        <v>1175.0</v>
      </c>
      <c r="C118" s="19">
        <v>1175.0</v>
      </c>
      <c r="D118" s="34" t="str">
        <f>if(   iserror(offset(PADRON!B$2,match(C:C,PADRON!A$2:A1405,0)-1,0,1,1) )  ,  ,    offset(PADRON!B$2,match(C:C,PADRON!A$2:A1405,0)-1,0,1,1))</f>
        <v>COUYET, FERNANDO</v>
      </c>
      <c r="E118" s="22">
        <v>45778.0</v>
      </c>
      <c r="F118" s="22">
        <v>45870.0</v>
      </c>
      <c r="G118" s="23" t="s">
        <v>39</v>
      </c>
      <c r="H118" s="35">
        <f>IF( ISERROR( OFFSET(   'Cuadro tarifario'!D$2  , MATCH(CONCATENATE(                 IF(F118&gt;Mes,OFFSET(NroCT!B$17, MATCH($F118,NroCT!$A$18:$A1405,0),0,1,1),Periodovigente)                                                                                                                     ,A118) ,'Cuadro tarifario'!A$2:A1405,0) -1 , 0 , 1 , 1) )   , 0  ,   OFFSET(   'Cuadro tarifario'!D$2  , MATCH(CONCATENATE( IF(F118&gt;Mes,OFFSET(NroCT!B$17, MATCH($F118,NroCT!$A$18:$A1405,0),0,1,1),Periodovigente) ,A118) ,'Cuadro tarifario'!A$2:A1405,0) -1 , 0 , 1 , 1))</f>
        <v>11000</v>
      </c>
      <c r="I118" s="36">
        <f>Int(If(F118,DAYS360(          date(Year(E118),Month(E118),1),         date(Year(F118)     ,      Month(F118),1 )    )            /30,0 ))</f>
        <v>3</v>
      </c>
      <c r="J118" s="37">
        <f t="shared" si="79"/>
        <v>33000</v>
      </c>
      <c r="K118" s="38">
        <f>if(  and(N118&gt;0,I118=0)          ,N118 ,                         If(  If( F118 ,  DAYS360(date(year(F118),month(F118),1),Mes)/30  ,  DAYS360(date(year(E118),month(E118),1),Mes)/30  )  &gt;  0 , If(F118,   DAYS360(date(year(F118),month(F118),1),Mes)/30  ,  DAYS360(date(year(E118),month(E118),1),Mes)/30) , 0)       )</f>
        <v>0</v>
      </c>
      <c r="L118" s="39">
        <f>If(Iserror(K:K*H:H)   ,  0   ,   K:K*H:H)</f>
        <v>0</v>
      </c>
      <c r="M118" s="40"/>
      <c r="N118" s="29">
        <f>IF( ISERROR(OFFSET(SECUESTRADOS!D$1,MATCH(B118,SECUESTRADOS!A$2:A1405,0),0)) ,0 ,  OFFSET(SECUESTRADOS!D$1,MATCH(B118,SECUESTRADOS!A$2:A1405,0),0)  )</f>
        <v>0</v>
      </c>
      <c r="O118" s="30"/>
      <c r="P118" s="17" t="str">
        <f t="shared" si="3"/>
        <v>.socio</v>
      </c>
      <c r="Q118" s="17" t="str">
        <f t="shared" si="88"/>
        <v/>
      </c>
      <c r="R118" s="31"/>
      <c r="S118" s="31"/>
      <c r="T118" s="31"/>
    </row>
    <row r="119">
      <c r="A119" s="18" t="s">
        <v>38</v>
      </c>
      <c r="B119" s="17">
        <v>1175.0</v>
      </c>
      <c r="C119" s="19">
        <v>1175.0</v>
      </c>
      <c r="D119" s="20" t="str">
        <f>IF(   ISERROR(OFFSET(PADRON!B$2,MATCH(C:C,PADRON!A$2:A1405,0)-1,0,1,1) )  ,  ,    OFFSET(PADRON!B$2,MATCH(C:C,PADRON!A$2:A1405,0)-1,0,1,1))</f>
        <v>COUYET, FERNANDO</v>
      </c>
      <c r="E119" s="21">
        <v>45778.0</v>
      </c>
      <c r="F119" s="21">
        <v>45870.0</v>
      </c>
      <c r="G119" s="23" t="s">
        <v>39</v>
      </c>
      <c r="H119" s="24">
        <f>IF( ISERROR( OFFSET(   'Cuadro tarifario'!D$2  , MATCH(CONCATENATE(                 IF(F119&gt;Mes,OFFSET(NroCT!B$17, MATCH($F119,NroCT!$A$18:$A1405,0),0,1,1),Periodovigente)                                                                                                                     ,A119) ,'Cuadro tarifario'!A$2:A1405,0) -1 , 0 , 1 , 1) )   , 0  ,   OFFSET(   'Cuadro tarifario'!D$2  , MATCH(CONCATENATE( IF(F119&gt;Mes,OFFSET(NroCT!B$17, MATCH($F119,NroCT!$A$18:$A1405,0),0,1,1),Periodovigente) ,A119) ,'Cuadro tarifario'!A$2:A1405,0) -1 , 0 , 1 , 1))</f>
        <v>9000</v>
      </c>
      <c r="I119" s="25">
        <f>INT(IF(F119,DAYS360(          DATE(YEAR(E119),MONTH(E119),1),         DATE(YEAR(F119)     ,      MONTH(F119),1 )    )            /30,0 ))</f>
        <v>3</v>
      </c>
      <c r="J119" s="24">
        <f t="shared" si="79"/>
        <v>27000</v>
      </c>
      <c r="K119" s="26">
        <f>IF(  AND(N119&gt;0,I119=0)          ,N119 ,                         IF(  IF( F119 ,  DAYS360(DATE(YEAR(F119),MONTH(F119),1),Mes)/30  ,  DAYS360(DATE(YEAR(E119),MONTH(E119),1),Mes)/30  )  &gt;  0 , IF(F119,   DAYS360(DATE(YEAR(F119),MONTH(F119),1),Mes)/30  ,  DAYS360(DATE(YEAR(E119),MONTH(E119),1),Mes)/30) , 0)       )</f>
        <v>0</v>
      </c>
      <c r="L119" s="27">
        <f>IF(ISERROR(K:K*H:H)   ,  0   ,   K:K*H:H)</f>
        <v>0</v>
      </c>
      <c r="M119" s="28"/>
      <c r="N119" s="29">
        <f>IF( ISERROR(OFFSET(SECUESTRADOS!D$1,MATCH(B119,SECUESTRADOS!A$2:A1405,0),0)) ,0 ,  OFFSET(SECUESTRADOS!D$1,MATCH(B119,SECUESTRADOS!A$2:A1405,0),0)  )</f>
        <v>0</v>
      </c>
      <c r="O119" s="30"/>
      <c r="P119" s="17" t="str">
        <f t="shared" si="3"/>
        <v>Bono canon</v>
      </c>
      <c r="Q119" s="17" t="str">
        <f t="shared" si="88"/>
        <v/>
      </c>
      <c r="R119" s="31"/>
      <c r="S119" s="31"/>
      <c r="T119" s="31"/>
    </row>
    <row r="120">
      <c r="A120" s="54" t="s">
        <v>71</v>
      </c>
      <c r="B120" s="54">
        <v>1186.0</v>
      </c>
      <c r="C120" s="19">
        <v>1186.0</v>
      </c>
      <c r="D120" s="34" t="str">
        <f>if(   iserror(offset(PADRON!B$2,match(C:C,PADRON!A$2:A1405,0)-1,0,1,1) )  ,  ,    offset(PADRON!B$2,match(C:C,PADRON!A$2:A1405,0)-1,0,1,1))</f>
        <v>MORENO,MAURO</v>
      </c>
      <c r="E120" s="22">
        <v>45870.0</v>
      </c>
      <c r="F120" s="22"/>
      <c r="G120" s="23" t="s">
        <v>39</v>
      </c>
      <c r="H120" s="35">
        <f>IF( ISERROR( OFFSET(   'Cuadro tarifario'!D$2  , MATCH(CONCATENATE(                 IF(F120&gt;Mes,OFFSET(NroCT!B$17, MATCH($F120,NroCT!$A$18:$A1405,0),0,1,1),Periodovigente)                                                                                                                     ,A120) ,'Cuadro tarifario'!A$2:A1405,0) -1 , 0 , 1 , 1) )   , 0  ,   OFFSET(   'Cuadro tarifario'!D$2  , MATCH(CONCATENATE( IF(F120&gt;Mes,OFFSET(NroCT!B$17, MATCH($F120,NroCT!$A$18:$A1405,0),0,1,1),Periodovigente) ,A120) ,'Cuadro tarifario'!A$2:A1405,0) -1 , 0 , 1 , 1))</f>
        <v>11000</v>
      </c>
      <c r="I120" s="36">
        <f>Int(If(F120,DAYS360(          date(Year(E120),Month(E120),1),         date(Year(F120)     ,      Month(F120),1 )    )            /30,0 ))</f>
        <v>0</v>
      </c>
      <c r="J120" s="37">
        <f t="shared" si="79"/>
        <v>0</v>
      </c>
      <c r="K120" s="38">
        <f>if(  and(N120&gt;0,I120=0)          ,N120 ,                         If(  If( F120 ,  DAYS360(date(year(F120),month(F120),1),Mes)/30  ,  DAYS360(date(year(E120),month(E120),1),Mes)/30  )  &gt;  0 , If(F120,   DAYS360(date(year(F120),month(F120),1),Mes)/30  ,  DAYS360(date(year(E120),month(E120),1),Mes)/30) , 0)       )</f>
        <v>0</v>
      </c>
      <c r="L120" s="39">
        <f>If(Iserror(K:K*H:H)   ,  0   ,   K:K*H:H)</f>
        <v>0</v>
      </c>
      <c r="M120" s="40"/>
      <c r="N120" s="29">
        <f>IF( ISERROR(OFFSET(SECUESTRADOS!D$1,MATCH(B120,SECUESTRADOS!A$2:A1405,0),0)) ,0 ,  OFFSET(SECUESTRADOS!D$1,MATCH(B120,SECUESTRADOS!A$2:A1405,0),0)  )</f>
        <v>0</v>
      </c>
      <c r="O120" s="30"/>
      <c r="P120" s="17" t="b">
        <f t="shared" si="3"/>
        <v>0</v>
      </c>
      <c r="Q120" s="17" t="str">
        <f>IF(AND(A120=#REF!,B120=#REF!,C120=#REF!),"Repetido","")</f>
        <v>#REF!</v>
      </c>
      <c r="R120" s="31"/>
      <c r="S120" s="31"/>
      <c r="T120" s="31"/>
    </row>
    <row r="121">
      <c r="A121" s="18" t="s">
        <v>38</v>
      </c>
      <c r="B121" s="17">
        <v>1186.0</v>
      </c>
      <c r="C121" s="19">
        <v>1186.0</v>
      </c>
      <c r="D121" s="20" t="str">
        <f>IF(   ISERROR(OFFSET(PADRON!B$2,MATCH(C:C,PADRON!A$2:A1405,0)-1,0,1,1) )  ,  ,    OFFSET(PADRON!B$2,MATCH(C:C,PADRON!A$2:A1405,0)-1,0,1,1))</f>
        <v>MORENO,MAURO</v>
      </c>
      <c r="E121" s="21">
        <v>45870.0</v>
      </c>
      <c r="F121" s="21"/>
      <c r="G121" s="23" t="s">
        <v>39</v>
      </c>
      <c r="H121" s="24">
        <f>IF( ISERROR( OFFSET(   'Cuadro tarifario'!D$2  , MATCH(CONCATENATE(                 IF(F121&gt;Mes,OFFSET(NroCT!B$17, MATCH($F121,NroCT!$A$18:$A1405,0),0,1,1),Periodovigente)                                                                                                                     ,A121) ,'Cuadro tarifario'!A$2:A1405,0) -1 , 0 , 1 , 1) )   , 0  ,   OFFSET(   'Cuadro tarifario'!D$2  , MATCH(CONCATENATE( IF(F121&gt;Mes,OFFSET(NroCT!B$17, MATCH($F121,NroCT!$A$18:$A1405,0),0,1,1),Periodovigente) ,A121) ,'Cuadro tarifario'!A$2:A1405,0) -1 , 0 , 1 , 1))</f>
        <v>9000</v>
      </c>
      <c r="I121" s="25">
        <f>INT(IF(F121,DAYS360(          DATE(YEAR(E121),MONTH(E121),1),         DATE(YEAR(F121)     ,      MONTH(F121),1 )    )            /30,0 ))</f>
        <v>0</v>
      </c>
      <c r="J121" s="24">
        <f t="shared" si="79"/>
        <v>0</v>
      </c>
      <c r="K121" s="26">
        <f>IF(  AND(N121&gt;0,I121=0)          ,N121 ,                         IF(  IF( F121 ,  DAYS360(DATE(YEAR(F121),MONTH(F121),1),Mes)/30  ,  DAYS360(DATE(YEAR(E121),MONTH(E121),1),Mes)/30  )  &gt;  0 , IF(F121,   DAYS360(DATE(YEAR(F121),MONTH(F121),1),Mes)/30  ,  DAYS360(DATE(YEAR(E121),MONTH(E121),1),Mes)/30) , 0)       )</f>
        <v>0</v>
      </c>
      <c r="L121" s="27">
        <f>IF(ISERROR(K:K*H:H)   ,  0   ,   K:K*H:H)</f>
        <v>0</v>
      </c>
      <c r="M121" s="28"/>
      <c r="N121" s="29">
        <f>IF( ISERROR(OFFSET(SECUESTRADOS!D$1,MATCH(B121,SECUESTRADOS!A$2:A1405,0),0)) ,0 ,  OFFSET(SECUESTRADOS!D$1,MATCH(B121,SECUESTRADOS!A$2:A1405,0),0)  )</f>
        <v>0</v>
      </c>
      <c r="O121" s="30"/>
      <c r="P121" s="17" t="b">
        <f t="shared" si="3"/>
        <v>0</v>
      </c>
      <c r="Q121" s="17" t="str">
        <f t="shared" ref="Q121:Q123" si="89">IF(AND(A121=A120,B121=B120,C121=C120),"Repetido","")</f>
        <v/>
      </c>
      <c r="R121" s="31"/>
      <c r="S121" s="31"/>
      <c r="T121" s="31"/>
    </row>
    <row r="122">
      <c r="A122" s="54" t="s">
        <v>71</v>
      </c>
      <c r="B122" s="54">
        <v>1189.0</v>
      </c>
      <c r="C122" s="19">
        <v>1189.0</v>
      </c>
      <c r="D122" s="34" t="str">
        <f>if(   iserror(offset(PADRON!B$2,match(C:C,PADRON!A$2:A1405,0)-1,0,1,1) )  ,  ,    offset(PADRON!B$2,match(C:C,PADRON!A$2:A1405,0)-1,0,1,1))</f>
        <v>QUARTI, CARMEN</v>
      </c>
      <c r="E122" s="22">
        <v>45839.0</v>
      </c>
      <c r="F122" s="22">
        <v>45870.0</v>
      </c>
      <c r="G122" s="23" t="s">
        <v>39</v>
      </c>
      <c r="H122" s="35">
        <f>IF( ISERROR( OFFSET(   'Cuadro tarifario'!D$2  , MATCH(CONCATENATE(                 IF(F122&gt;Mes,OFFSET(NroCT!B$17, MATCH($F122,NroCT!$A$18:$A1405,0),0,1,1),Periodovigente)                                                                                                                     ,A122) ,'Cuadro tarifario'!A$2:A1405,0) -1 , 0 , 1 , 1) )   , 0  ,   OFFSET(   'Cuadro tarifario'!D$2  , MATCH(CONCATENATE( IF(F122&gt;Mes,OFFSET(NroCT!B$17, MATCH($F122,NroCT!$A$18:$A1405,0),0,1,1),Periodovigente) ,A122) ,'Cuadro tarifario'!A$2:A1405,0) -1 , 0 , 1 , 1))</f>
        <v>11000</v>
      </c>
      <c r="I122" s="36">
        <f>Int(If(F122,DAYS360(          date(Year(E122),Month(E122),1),         date(Year(F122)     ,      Month(F122),1 )    )            /30,0 ))</f>
        <v>1</v>
      </c>
      <c r="J122" s="37">
        <f t="shared" si="79"/>
        <v>11000</v>
      </c>
      <c r="K122" s="38">
        <f>if(  and(N122&gt;0,I122=0)          ,N122 ,                         If(  If( F122 ,  DAYS360(date(year(F122),month(F122),1),Mes)/30  ,  DAYS360(date(year(E122),month(E122),1),Mes)/30  )  &gt;  0 , If(F122,   DAYS360(date(year(F122),month(F122),1),Mes)/30  ,  DAYS360(date(year(E122),month(E122),1),Mes)/30) , 0)       )</f>
        <v>0</v>
      </c>
      <c r="L122" s="39">
        <f>If(Iserror(K:K*H:H)   ,  0   ,   K:K*H:H)</f>
        <v>0</v>
      </c>
      <c r="M122" s="40"/>
      <c r="N122" s="29">
        <f>IF( ISERROR(OFFSET(SECUESTRADOS!D$1,MATCH(B122,SECUESTRADOS!A$2:A1405,0),0)) ,0 ,  OFFSET(SECUESTRADOS!D$1,MATCH(B122,SECUESTRADOS!A$2:A1405,0),0)  )</f>
        <v>0</v>
      </c>
      <c r="O122" s="30"/>
      <c r="P122" s="17" t="str">
        <f t="shared" si="3"/>
        <v>.socio</v>
      </c>
      <c r="Q122" s="17" t="str">
        <f t="shared" si="89"/>
        <v/>
      </c>
      <c r="R122" s="31"/>
      <c r="S122" s="31"/>
      <c r="T122" s="31"/>
    </row>
    <row r="123">
      <c r="A123" s="18" t="s">
        <v>38</v>
      </c>
      <c r="B123" s="17">
        <v>1189.0</v>
      </c>
      <c r="C123" s="19">
        <v>1189.0</v>
      </c>
      <c r="D123" s="20" t="str">
        <f>IF(   ISERROR(OFFSET(PADRON!B$2,MATCH(C:C,PADRON!A$2:A1405,0)-1,0,1,1) )  ,  ,    OFFSET(PADRON!B$2,MATCH(C:C,PADRON!A$2:A1405,0)-1,0,1,1))</f>
        <v>QUARTI, CARMEN</v>
      </c>
      <c r="E123" s="21">
        <v>45839.0</v>
      </c>
      <c r="F123" s="21">
        <v>45870.0</v>
      </c>
      <c r="G123" s="23" t="s">
        <v>39</v>
      </c>
      <c r="H123" s="24">
        <f>IF( ISERROR( OFFSET(   'Cuadro tarifario'!D$2  , MATCH(CONCATENATE(                 IF(F123&gt;Mes,OFFSET(NroCT!B$17, MATCH($F123,NroCT!$A$18:$A1405,0),0,1,1),Periodovigente)                                                                                                                     ,A123) ,'Cuadro tarifario'!A$2:A1405,0) -1 , 0 , 1 , 1) )   , 0  ,   OFFSET(   'Cuadro tarifario'!D$2  , MATCH(CONCATENATE( IF(F123&gt;Mes,OFFSET(NroCT!B$17, MATCH($F123,NroCT!$A$18:$A1405,0),0,1,1),Periodovigente) ,A123) ,'Cuadro tarifario'!A$2:A1405,0) -1 , 0 , 1 , 1))</f>
        <v>9000</v>
      </c>
      <c r="I123" s="25">
        <f t="shared" ref="I123:I125" si="90">INT(IF(F123,DAYS360(          DATE(YEAR(E123),MONTH(E123),1),         DATE(YEAR(F123)     ,      MONTH(F123),1 )    )            /30,0 ))</f>
        <v>1</v>
      </c>
      <c r="J123" s="24">
        <f t="shared" si="79"/>
        <v>9000</v>
      </c>
      <c r="K123" s="26">
        <f>IF(  AND(N123&gt;0,I123=0)          ,N123 ,                         IF(  IF( F123 ,  DAYS360(DATE(YEAR(F123),MONTH(F123),1),Mes)/30  ,  DAYS360(DATE(YEAR(E123),MONTH(E123),1),Mes)/30  )  &gt;  0 , IF(F123,   DAYS360(DATE(YEAR(F123),MONTH(F123),1),Mes)/30  ,  DAYS360(DATE(YEAR(E123),MONTH(E123),1),Mes)/30) , 0)       )</f>
        <v>0</v>
      </c>
      <c r="L123" s="27">
        <f t="shared" ref="L123:L125" si="91">IF(ISERROR(K:K*H:H)   ,  0   ,   K:K*H:H)</f>
        <v>0</v>
      </c>
      <c r="M123" s="28"/>
      <c r="N123" s="29">
        <f>IF( ISERROR(OFFSET(SECUESTRADOS!D$1,MATCH(B123,SECUESTRADOS!A$2:A1405,0),0)) ,0 ,  OFFSET(SECUESTRADOS!D$1,MATCH(B123,SECUESTRADOS!A$2:A1405,0),0)  )</f>
        <v>0</v>
      </c>
      <c r="O123" s="30"/>
      <c r="P123" s="17" t="str">
        <f t="shared" si="3"/>
        <v>Bono canon</v>
      </c>
      <c r="Q123" s="17" t="str">
        <f t="shared" si="89"/>
        <v/>
      </c>
      <c r="R123" s="31"/>
      <c r="S123" s="31"/>
      <c r="T123" s="31"/>
    </row>
    <row r="124">
      <c r="A124" s="73" t="s">
        <v>71</v>
      </c>
      <c r="B124" s="73">
        <v>1204.0</v>
      </c>
      <c r="C124" s="19">
        <v>1204.0</v>
      </c>
      <c r="D124" s="44" t="str">
        <f>IF(   ISERROR(OFFSET(PADRON!B$2,MATCH(C:C,PADRON!A$2:A1405,0)-1,0,1,1) )  ,  ,    OFFSET(PADRON!B$2,MATCH(C:C,PADRON!A$2:A1405,0)-1,0,1,1))</f>
        <v>PIETRA FIGUEREDO, GUILLERMO</v>
      </c>
      <c r="E124" s="45">
        <v>45778.0</v>
      </c>
      <c r="F124" s="45">
        <v>45870.0</v>
      </c>
      <c r="G124" s="23" t="s">
        <v>39</v>
      </c>
      <c r="H124" s="24">
        <f>IF( ISERROR( OFFSET(   'Cuadro tarifario'!D$2  , MATCH(CONCATENATE(                 IF(F124&gt;Mes,OFFSET(NroCT!B$17, MATCH($F124,NroCT!$A$18:$A1405,0),0,1,1),Periodovigente)                                                                                                                     ,A124) ,'Cuadro tarifario'!A$2:A1405,0) -1 , 0 , 1 , 1) )   , 0  ,   OFFSET(   'Cuadro tarifario'!D$2  , MATCH(CONCATENATE( IF(F124&gt;Mes,OFFSET(NroCT!B$17, MATCH($F124,NroCT!$A$18:$A1405,0),0,1,1),Periodovigente) ,A124) ,'Cuadro tarifario'!A$2:A1405,0) -1 , 0 , 1 , 1))</f>
        <v>11000</v>
      </c>
      <c r="I124" s="46">
        <f t="shared" si="90"/>
        <v>3</v>
      </c>
      <c r="J124" s="47">
        <f t="shared" si="79"/>
        <v>33000</v>
      </c>
      <c r="K124" s="48">
        <f>IF(  AND(N124&gt;0,I124=0)          ,N124 ,                         IF(  IF( F124 ,  DAYS360(DATE(YEAR(F124),MONTH(F124),1),Mes)/30  ,  DAYS360(DATE(YEAR(E124),MONTH(E124),1),Mes)/30  )  &gt;  0 , IF(F124,   DAYS360(DATE(YEAR(F124),MONTH(F124),1),Mes)/30  ,  DAYS360(DATE(YEAR(E124),MONTH(E124),1),Mes)/30) , 0)       )</f>
        <v>0</v>
      </c>
      <c r="L124" s="49">
        <f t="shared" si="91"/>
        <v>0</v>
      </c>
      <c r="M124" s="50"/>
      <c r="N124" s="29">
        <f>IF( ISERROR(OFFSET(SECUESTRADOS!D$1,MATCH(B124,SECUESTRADOS!A$2:A1405,0),0)) ,0 ,  OFFSET(SECUESTRADOS!D$1,MATCH(B124,SECUESTRADOS!A$2:A1405,0),0)  )</f>
        <v>0</v>
      </c>
      <c r="O124" s="30"/>
      <c r="P124" s="17" t="str">
        <f t="shared" si="3"/>
        <v>.socio</v>
      </c>
      <c r="Q124" s="17" t="str">
        <f>IF(AND(A124=#REF!,B124=#REF!,C124=#REF!),"Repetido","")</f>
        <v>#REF!</v>
      </c>
      <c r="R124" s="31"/>
      <c r="S124" s="31"/>
      <c r="T124" s="31"/>
    </row>
    <row r="125">
      <c r="A125" s="18" t="s">
        <v>38</v>
      </c>
      <c r="B125" s="17">
        <v>1204.0</v>
      </c>
      <c r="C125" s="19">
        <v>1204.0</v>
      </c>
      <c r="D125" s="20" t="str">
        <f>IF(   ISERROR(OFFSET(PADRON!B$2,MATCH(C:C,PADRON!A$2:A1405,0)-1,0,1,1) )  ,  ,    OFFSET(PADRON!B$2,MATCH(C:C,PADRON!A$2:A1405,0)-1,0,1,1))</f>
        <v>PIETRA FIGUEREDO, GUILLERMO</v>
      </c>
      <c r="E125" s="21">
        <v>45778.0</v>
      </c>
      <c r="F125" s="21">
        <v>45870.0</v>
      </c>
      <c r="G125" s="23" t="s">
        <v>39</v>
      </c>
      <c r="H125" s="24">
        <f>IF( ISERROR( OFFSET(   'Cuadro tarifario'!D$2  , MATCH(CONCATENATE(                 IF(F125&gt;Mes,OFFSET(NroCT!B$17, MATCH($F125,NroCT!$A$18:$A1405,0),0,1,1),Periodovigente)                                                                                                                     ,A125) ,'Cuadro tarifario'!A$2:A1405,0) -1 , 0 , 1 , 1) )   , 0  ,   OFFSET(   'Cuadro tarifario'!D$2  , MATCH(CONCATENATE( IF(F125&gt;Mes,OFFSET(NroCT!B$17, MATCH($F125,NroCT!$A$18:$A1405,0),0,1,1),Periodovigente) ,A125) ,'Cuadro tarifario'!A$2:A1405,0) -1 , 0 , 1 , 1))</f>
        <v>9000</v>
      </c>
      <c r="I125" s="25">
        <f t="shared" si="90"/>
        <v>3</v>
      </c>
      <c r="J125" s="24">
        <f t="shared" si="79"/>
        <v>27000</v>
      </c>
      <c r="K125" s="26">
        <f>IF(  AND(N125&gt;0,I125=0)          ,N125 ,                         IF(  IF( F125 ,  DAYS360(DATE(YEAR(F125),MONTH(F125),1),Mes)/30  ,  DAYS360(DATE(YEAR(E125),MONTH(E125),1),Mes)/30  )  &gt;  0 , IF(F125,   DAYS360(DATE(YEAR(F125),MONTH(F125),1),Mes)/30  ,  DAYS360(DATE(YEAR(E125),MONTH(E125),1),Mes)/30) , 0)       )</f>
        <v>0</v>
      </c>
      <c r="L125" s="27">
        <f t="shared" si="91"/>
        <v>0</v>
      </c>
      <c r="M125" s="28"/>
      <c r="N125" s="29">
        <f>IF( ISERROR(OFFSET(SECUESTRADOS!D$1,MATCH(B125,SECUESTRADOS!A$2:A1405,0),0)) ,0 ,  OFFSET(SECUESTRADOS!D$1,MATCH(B125,SECUESTRADOS!A$2:A1405,0),0)  )</f>
        <v>0</v>
      </c>
      <c r="O125" s="30"/>
      <c r="P125" s="17" t="str">
        <f t="shared" si="3"/>
        <v>Bono canon</v>
      </c>
      <c r="Q125" s="17" t="str">
        <f t="shared" ref="Q125:Q128" si="92">IF(AND(A125=A124,B125=B124,C125=C124),"Repetido","")</f>
        <v/>
      </c>
      <c r="R125" s="31"/>
      <c r="S125" s="31"/>
      <c r="T125" s="31"/>
    </row>
    <row r="126">
      <c r="A126" s="33" t="s">
        <v>40</v>
      </c>
      <c r="B126" s="33" t="s">
        <v>108</v>
      </c>
      <c r="C126" s="19">
        <v>1204.0</v>
      </c>
      <c r="D126" s="34" t="str">
        <f>if(   iserror(offset(PADRON!B$2,match(C:C,PADRON!A$2:A1405,0)-1,0,1,1) )  ,  ,    offset(PADRON!B$2,match(C:C,PADRON!A$2:A1405,0)-1,0,1,1))</f>
        <v>PIETRA FIGUEREDO, GUILLERMO</v>
      </c>
      <c r="E126" s="22">
        <v>45778.0</v>
      </c>
      <c r="F126" s="22">
        <v>45870.0</v>
      </c>
      <c r="G126" s="23" t="s">
        <v>39</v>
      </c>
      <c r="H126" s="35">
        <f>IF( ISERROR( OFFSET(   'Cuadro tarifario'!D$2  , MATCH(CONCATENATE(                 IF(F126&gt;Mes,OFFSET(NroCT!B$17, MATCH($F126,NroCT!$A$18:$A1405,0),0,1,1),Periodovigente)                                                                                                                     ,A126) ,'Cuadro tarifario'!A$2:A1405,0) -1 , 0 , 1 , 1) )   , 0  ,   OFFSET(   'Cuadro tarifario'!D$2  , MATCH(CONCATENATE( IF(F126&gt;Mes,OFFSET(NroCT!B$17, MATCH($F126,NroCT!$A$18:$A1405,0),0,1,1),Periodovigente) ,A126) ,'Cuadro tarifario'!A$2:A1405,0) -1 , 0 , 1 , 1))</f>
        <v>12000</v>
      </c>
      <c r="I126" s="36">
        <f t="shared" ref="I126:I127" si="93">Int(If(F126,DAYS360(          date(Year(E126),Month(E126),1),         date(Year(F126)     ,      Month(F126),1 )    )            /30,0 ))</f>
        <v>3</v>
      </c>
      <c r="J126" s="37">
        <f t="shared" si="79"/>
        <v>36000</v>
      </c>
      <c r="K126" s="38">
        <f>if(  and(N126&gt;0,I126=0)          ,N126 ,                         If(  If( F126 ,  DAYS360(date(year(F126),month(F126),1),Mes)/30  ,  DAYS360(date(year(E126),month(E126),1),Mes)/30  )  &gt;  0 , If(F126,   DAYS360(date(year(F126),month(F126),1),Mes)/30  ,  DAYS360(date(year(E126),month(E126),1),Mes)/30) , 0)       )</f>
        <v>0</v>
      </c>
      <c r="L126" s="39">
        <f t="shared" ref="L126:L127" si="94">If(Iserror(K:K*H:H)   ,  0   ,   K:K*H:H)</f>
        <v>0</v>
      </c>
      <c r="M126" s="40"/>
      <c r="N126" s="29">
        <f>IF( ISERROR(OFFSET(SECUESTRADOS!D$1,MATCH(B126,SECUESTRADOS!A$2:A1405,0),0)) ,0 ,  OFFSET(SECUESTRADOS!D$1,MATCH(B126,SECUESTRADOS!A$2:A1405,0),0)  )</f>
        <v>0</v>
      </c>
      <c r="O126" s="30"/>
      <c r="P126" s="17" t="str">
        <f t="shared" si="3"/>
        <v>cuna windsurf</v>
      </c>
      <c r="Q126" s="17" t="str">
        <f t="shared" si="92"/>
        <v/>
      </c>
      <c r="R126" s="31"/>
      <c r="S126" s="31"/>
      <c r="T126" s="31"/>
    </row>
    <row r="127">
      <c r="A127" s="33" t="s">
        <v>40</v>
      </c>
      <c r="B127" s="33" t="s">
        <v>109</v>
      </c>
      <c r="C127" s="19">
        <v>1204.0</v>
      </c>
      <c r="D127" s="34" t="str">
        <f>if(   iserror(offset(PADRON!B$2,match(C:C,PADRON!A$2:A1405,0)-1,0,1,1) )  ,  ,    offset(PADRON!B$2,match(C:C,PADRON!A$2:A1405,0)-1,0,1,1))</f>
        <v>PIETRA FIGUEREDO, GUILLERMO</v>
      </c>
      <c r="E127" s="22">
        <v>45778.0</v>
      </c>
      <c r="F127" s="22">
        <v>45870.0</v>
      </c>
      <c r="G127" s="23" t="s">
        <v>39</v>
      </c>
      <c r="H127" s="35">
        <f>IF( ISERROR( OFFSET(   'Cuadro tarifario'!D$2  , MATCH(CONCATENATE(                 IF(F127&gt;Mes,OFFSET(NroCT!B$17, MATCH($F127,NroCT!$A$18:$A1405,0),0,1,1),Periodovigente)                                                                                                                     ,A127) ,'Cuadro tarifario'!A$2:A1405,0) -1 , 0 , 1 , 1) )   , 0  ,   OFFSET(   'Cuadro tarifario'!D$2  , MATCH(CONCATENATE( IF(F127&gt;Mes,OFFSET(NroCT!B$17, MATCH($F127,NroCT!$A$18:$A1405,0),0,1,1),Periodovigente) ,A127) ,'Cuadro tarifario'!A$2:A1405,0) -1 , 0 , 1 , 1))</f>
        <v>12000</v>
      </c>
      <c r="I127" s="36">
        <f t="shared" si="93"/>
        <v>3</v>
      </c>
      <c r="J127" s="37">
        <f t="shared" si="79"/>
        <v>36000</v>
      </c>
      <c r="K127" s="38">
        <f>if(  and(N127&gt;0,I127=0)          ,N127 ,                         If(  If( F127 ,  DAYS360(date(year(F127),month(F127),1),Mes)/30  ,  DAYS360(date(year(E127),month(E127),1),Mes)/30  )  &gt;  0 , If(F127,   DAYS360(date(year(F127),month(F127),1),Mes)/30  ,  DAYS360(date(year(E127),month(E127),1),Mes)/30) , 0)       )</f>
        <v>0</v>
      </c>
      <c r="L127" s="39">
        <f t="shared" si="94"/>
        <v>0</v>
      </c>
      <c r="M127" s="40"/>
      <c r="N127" s="29">
        <f>IF( ISERROR(OFFSET(SECUESTRADOS!D$1,MATCH(B127,SECUESTRADOS!A$2:A1405,0),0)) ,0 ,  OFFSET(SECUESTRADOS!D$1,MATCH(B127,SECUESTRADOS!A$2:A1405,0),0)  )</f>
        <v>0</v>
      </c>
      <c r="O127" s="30"/>
      <c r="P127" s="17" t="str">
        <f t="shared" si="3"/>
        <v>cuna windsurf</v>
      </c>
      <c r="Q127" s="17" t="str">
        <f t="shared" si="92"/>
        <v/>
      </c>
      <c r="R127" s="31"/>
      <c r="S127" s="31"/>
      <c r="T127" s="31"/>
    </row>
    <row r="128">
      <c r="A128" s="18" t="s">
        <v>50</v>
      </c>
      <c r="B128" s="18" t="s">
        <v>110</v>
      </c>
      <c r="C128" s="19">
        <v>1204.0</v>
      </c>
      <c r="D128" s="20" t="str">
        <f>IF(   ISERROR(OFFSET(PADRON!B$2,MATCH(C:C,PADRON!A$2:A1405,0)-1,0,1,1) )  ,  ,    OFFSET(PADRON!B$2,MATCH(C:C,PADRON!A$2:A1405,0)-1,0,1,1))</f>
        <v>PIETRA FIGUEREDO, GUILLERMO</v>
      </c>
      <c r="E128" s="21">
        <v>45992.0</v>
      </c>
      <c r="F128" s="21"/>
      <c r="G128" s="23" t="s">
        <v>39</v>
      </c>
      <c r="H128" s="24">
        <f>IF( ISERROR( OFFSET(   'Cuadro tarifario'!D$2  , MATCH(CONCATENATE(                 IF(F128&gt;Mes,OFFSET(NroCT!B$17, MATCH($F128,NroCT!$A$18:$A1405,0),0,1,1),Periodovigente)                                                                                                                     ,A128) ,'Cuadro tarifario'!A$2:A1405,0) -1 , 0 , 1 , 1) )   , 0  ,   OFFSET(   'Cuadro tarifario'!D$2  , MATCH(CONCATENATE( IF(F128&gt;Mes,OFFSET(NroCT!B$17, MATCH($F128,NroCT!$A$18:$A1405,0),0,1,1),Periodovigente) ,A128) ,'Cuadro tarifario'!A$2:A1405,0) -1 , 0 , 1 , 1))</f>
        <v>3600</v>
      </c>
      <c r="I128" s="25">
        <f>INT(IF(F128,DAYS360(          DATE(YEAR(E128),MONTH(E128),1),         DATE(YEAR(F128)     ,      MONTH(F128),1 )    )            /30,0 ))</f>
        <v>0</v>
      </c>
      <c r="J128" s="24">
        <f t="shared" si="79"/>
        <v>0</v>
      </c>
      <c r="K128" s="26">
        <f>IF(  AND(N128&gt;0,I128=0)          ,N128 ,                         IF(  IF( F128 ,  DAYS360(DATE(YEAR(F128),MONTH(F128),1),Mes)/30  ,  DAYS360(DATE(YEAR(E128),MONTH(E128),1),Mes)/30  )  &gt;  0 , IF(F128,   DAYS360(DATE(YEAR(F128),MONTH(F128),1),Mes)/30  ,  DAYS360(DATE(YEAR(E128),MONTH(E128),1),Mes)/30) , 0)       )</f>
        <v>0</v>
      </c>
      <c r="L128" s="27">
        <f>IF(ISERROR(K:K*H:H)   ,  0   ,   K:K*H:H)</f>
        <v>0</v>
      </c>
      <c r="M128" s="28"/>
      <c r="N128" s="29">
        <f>IF( ISERROR(OFFSET(SECUESTRADOS!D$1,MATCH(B128,SECUESTRADOS!A$2:A1405,0),0)) ,0 ,  OFFSET(SECUESTRADOS!D$1,MATCH(B128,SECUESTRADOS!A$2:A1405,0),0)  )</f>
        <v>0</v>
      </c>
      <c r="O128" s="30"/>
      <c r="P128" s="17" t="b">
        <f t="shared" si="3"/>
        <v>0</v>
      </c>
      <c r="Q128" s="17" t="str">
        <f t="shared" si="92"/>
        <v/>
      </c>
      <c r="R128" s="31"/>
      <c r="S128" s="31"/>
      <c r="T128" s="31"/>
    </row>
    <row r="129">
      <c r="A129" s="42" t="s">
        <v>71</v>
      </c>
      <c r="B129" s="42">
        <v>1213.0</v>
      </c>
      <c r="C129" s="19">
        <v>1213.0</v>
      </c>
      <c r="D129" s="34" t="str">
        <f>if(   iserror(offset(PADRON!B$2,match(C:C,PADRON!A$2:A1405,0)-1,0,1,1) )  ,  ,    offset(PADRON!B$2,match(C:C,PADRON!A$2:A1405,0)-1,0,1,1))</f>
        <v>PEREZ CANDREVA, LEONARDO</v>
      </c>
      <c r="E129" s="22">
        <v>45839.0</v>
      </c>
      <c r="F129" s="22">
        <v>45901.0</v>
      </c>
      <c r="G129" s="23" t="s">
        <v>39</v>
      </c>
      <c r="H129" s="35">
        <f>IF( ISERROR( OFFSET(   'Cuadro tarifario'!D$2  , MATCH(CONCATENATE(                 IF(F129&gt;Mes,OFFSET(NroCT!B$17, MATCH($F129,NroCT!$A$18:$A1405,0),0,1,1),Periodovigente)                                                                                                                     ,A129) ,'Cuadro tarifario'!A$2:A1405,0) -1 , 0 , 1 , 1) )   , 0  ,   OFFSET(   'Cuadro tarifario'!D$2  , MATCH(CONCATENATE( IF(F129&gt;Mes,OFFSET(NroCT!B$17, MATCH($F129,NroCT!$A$18:$A1405,0),0,1,1),Periodovigente) ,A129) ,'Cuadro tarifario'!A$2:A1405,0) -1 , 0 , 1 , 1))</f>
        <v>11000</v>
      </c>
      <c r="I129" s="36">
        <f t="shared" ref="I129:I131" si="95">Int(If(F129,DAYS360(          date(Year(E129),Month(E129),1),         date(Year(F129)     ,      Month(F129),1 )    )            /30,0 ))</f>
        <v>2</v>
      </c>
      <c r="J129" s="37">
        <f t="shared" si="79"/>
        <v>22000</v>
      </c>
      <c r="K129" s="38">
        <f>if(  and(N129&gt;0,I129=0)          ,N129 ,                         If(  If( F129 ,  DAYS360(date(year(F129),month(F129),1),Mes)/30  ,  DAYS360(date(year(E129),month(E129),1),Mes)/30  )  &gt;  0 , If(F129,   DAYS360(date(year(F129),month(F129),1),Mes)/30  ,  DAYS360(date(year(E129),month(E129),1),Mes)/30) , 0)       )</f>
        <v>0</v>
      </c>
      <c r="L129" s="39">
        <f t="shared" ref="L129:L131" si="96">If(Iserror(K:K*H:H)   ,  0   ,   K:K*H:H)</f>
        <v>0</v>
      </c>
      <c r="M129" s="40"/>
      <c r="N129" s="29">
        <f>IF( ISERROR(OFFSET(SECUESTRADOS!D$1,MATCH(B129,SECUESTRADOS!A$2:A1405,0),0)) ,0 ,  OFFSET(SECUESTRADOS!D$1,MATCH(B129,SECUESTRADOS!A$2:A1405,0),0)  )</f>
        <v>0</v>
      </c>
      <c r="O129" s="30"/>
      <c r="P129" s="17" t="str">
        <f t="shared" si="3"/>
        <v>.socio</v>
      </c>
      <c r="Q129" s="17" t="str">
        <f>IF(AND(A129=A127,B129=B127,C129=C127),"Repetido","")</f>
        <v/>
      </c>
      <c r="R129" s="31"/>
      <c r="S129" s="31"/>
      <c r="T129" s="31"/>
    </row>
    <row r="130">
      <c r="A130" s="42" t="s">
        <v>38</v>
      </c>
      <c r="B130" s="42">
        <v>1213.0</v>
      </c>
      <c r="C130" s="19">
        <v>1213.0</v>
      </c>
      <c r="D130" s="34" t="str">
        <f>if(   iserror(offset(PADRON!B$2,match(C:C,PADRON!A$2:A1405,0)-1,0,1,1) )  ,  ,    offset(PADRON!B$2,match(C:C,PADRON!A$2:A1405,0)-1,0,1,1))</f>
        <v>PEREZ CANDREVA, LEONARDO</v>
      </c>
      <c r="E130" s="22">
        <v>45839.0</v>
      </c>
      <c r="F130" s="22">
        <v>45901.0</v>
      </c>
      <c r="G130" s="23" t="s">
        <v>39</v>
      </c>
      <c r="H130" s="35">
        <f>IF( ISERROR( OFFSET(   'Cuadro tarifario'!D$2  , MATCH(CONCATENATE(                 IF(F130&gt;Mes,OFFSET(NroCT!B$17, MATCH($F130,NroCT!$A$18:$A1405,0),0,1,1),Periodovigente)                                                                                                                     ,A130) ,'Cuadro tarifario'!A$2:A1405,0) -1 , 0 , 1 , 1) )   , 0  ,   OFFSET(   'Cuadro tarifario'!D$2  , MATCH(CONCATENATE( IF(F130&gt;Mes,OFFSET(NroCT!B$17, MATCH($F130,NroCT!$A$18:$A1405,0),0,1,1),Periodovigente) ,A130) ,'Cuadro tarifario'!A$2:A1405,0) -1 , 0 , 1 , 1))</f>
        <v>9000</v>
      </c>
      <c r="I130" s="36">
        <f t="shared" si="95"/>
        <v>2</v>
      </c>
      <c r="J130" s="37">
        <f t="shared" si="79"/>
        <v>18000</v>
      </c>
      <c r="K130" s="38">
        <f>if(  and(N130&gt;0,I130=0)          ,N130 ,                         If(  If( F130 ,  DAYS360(date(year(F130),month(F130),1),Mes)/30  ,  DAYS360(date(year(E130),month(E130),1),Mes)/30  )  &gt;  0 , If(F130,   DAYS360(date(year(F130),month(F130),1),Mes)/30  ,  DAYS360(date(year(E130),month(E130),1),Mes)/30) , 0)       )</f>
        <v>0</v>
      </c>
      <c r="L130" s="39">
        <f t="shared" si="96"/>
        <v>0</v>
      </c>
      <c r="M130" s="40"/>
      <c r="N130" s="29">
        <f>IF( ISERROR(OFFSET(SECUESTRADOS!D$1,MATCH(B130,SECUESTRADOS!A$2:A1405,0),0)) ,0 ,  OFFSET(SECUESTRADOS!D$1,MATCH(B130,SECUESTRADOS!A$2:A1405,0),0)  )</f>
        <v>0</v>
      </c>
      <c r="O130" s="30"/>
      <c r="P130" s="17" t="str">
        <f t="shared" si="3"/>
        <v>Bono canon</v>
      </c>
      <c r="Q130" s="17" t="str">
        <f>IF(AND(A130=A129,B130=B129,C130=C129),"Repetido","")</f>
        <v/>
      </c>
      <c r="R130" s="31"/>
      <c r="S130" s="31"/>
      <c r="T130" s="31"/>
    </row>
    <row r="131">
      <c r="A131" s="54" t="s">
        <v>71</v>
      </c>
      <c r="B131" s="54">
        <v>1279.0</v>
      </c>
      <c r="C131" s="19">
        <v>1279.0</v>
      </c>
      <c r="D131" s="34" t="str">
        <f>if(   iserror(offset(PADRON!B$2,match(C:C,PADRON!A$2:A1405,0)-1,0,1,1) )  ,  ,    offset(PADRON!B$2,match(C:C,PADRON!A$2:A1405,0)-1,0,1,1))</f>
        <v>PAIS, VERONICA</v>
      </c>
      <c r="E131" s="22">
        <v>45809.0</v>
      </c>
      <c r="F131" s="22">
        <v>45992.0</v>
      </c>
      <c r="G131" s="23" t="s">
        <v>39</v>
      </c>
      <c r="H131" s="35">
        <f>IF( ISERROR( OFFSET(   'Cuadro tarifario'!D$2  , MATCH(CONCATENATE(                 IF(F131&gt;Mes,OFFSET(NroCT!B$17, MATCH($F131,NroCT!$A$18:$A1405,0),0,1,1),Periodovigente)                                                                                                                     ,A131) ,'Cuadro tarifario'!A$2:A1405,0) -1 , 0 , 1 , 1) )   , 0  ,   OFFSET(   'Cuadro tarifario'!D$2  , MATCH(CONCATENATE( IF(F131&gt;Mes,OFFSET(NroCT!B$17, MATCH($F131,NroCT!$A$18:$A1405,0),0,1,1),Periodovigente) ,A131) ,'Cuadro tarifario'!A$2:A1405,0) -1 , 0 , 1 , 1))</f>
        <v>11000</v>
      </c>
      <c r="I131" s="36">
        <f t="shared" si="95"/>
        <v>6</v>
      </c>
      <c r="J131" s="37">
        <f t="shared" si="79"/>
        <v>66000</v>
      </c>
      <c r="K131" s="38">
        <f>if(  and(N131&gt;0,I131=0)          ,N131 ,                         If(  If( F131 ,  DAYS360(date(year(F131),month(F131),1),Mes)/30  ,  DAYS360(date(year(E131),month(E131),1),Mes)/30  )  &gt;  0 , If(F131,   DAYS360(date(year(F131),month(F131),1),Mes)/30  ,  DAYS360(date(year(E131),month(E131),1),Mes)/30) , 0)       )</f>
        <v>0</v>
      </c>
      <c r="L131" s="39">
        <f t="shared" si="96"/>
        <v>0</v>
      </c>
      <c r="M131" s="40"/>
      <c r="N131" s="29">
        <f>IF( ISERROR(OFFSET(SECUESTRADOS!D$1,MATCH(B131,SECUESTRADOS!A$2:A1405,0),0)) ,0 ,  OFFSET(SECUESTRADOS!D$1,MATCH(B131,SECUESTRADOS!A$2:A1405,0),0)  )</f>
        <v>0</v>
      </c>
      <c r="O131" s="30"/>
      <c r="P131" s="17" t="str">
        <f t="shared" si="3"/>
        <v>.socio</v>
      </c>
      <c r="Q131" s="17" t="str">
        <f>IF(AND(A131=#REF!,B131=#REF!,C131=#REF!),"Repetido","")</f>
        <v>#REF!</v>
      </c>
      <c r="R131" s="31"/>
      <c r="S131" s="31"/>
      <c r="T131" s="31"/>
    </row>
    <row r="132">
      <c r="A132" s="18" t="s">
        <v>38</v>
      </c>
      <c r="B132" s="17">
        <v>1279.0</v>
      </c>
      <c r="C132" s="19">
        <v>1279.0</v>
      </c>
      <c r="D132" s="20" t="str">
        <f>IF(   ISERROR(OFFSET(PADRON!B$2,MATCH(C:C,PADRON!A$2:A1405,0)-1,0,1,1) )  ,  ,    OFFSET(PADRON!B$2,MATCH(C:C,PADRON!A$2:A1405,0)-1,0,1,1))</f>
        <v>PAIS, VERONICA</v>
      </c>
      <c r="E132" s="21">
        <v>45809.0</v>
      </c>
      <c r="F132" s="21">
        <v>45992.0</v>
      </c>
      <c r="G132" s="23" t="s">
        <v>39</v>
      </c>
      <c r="H132" s="24">
        <f>IF( ISERROR( OFFSET(   'Cuadro tarifario'!D$2  , MATCH(CONCATENATE(                 IF(F132&gt;Mes,OFFSET(NroCT!B$17, MATCH($F132,NroCT!$A$18:$A1405,0),0,1,1),Periodovigente)                                                                                                                     ,A132) ,'Cuadro tarifario'!A$2:A1405,0) -1 , 0 , 1 , 1) )   , 0  ,   OFFSET(   'Cuadro tarifario'!D$2  , MATCH(CONCATENATE( IF(F132&gt;Mes,OFFSET(NroCT!B$17, MATCH($F132,NroCT!$A$18:$A1405,0),0,1,1),Periodovigente) ,A132) ,'Cuadro tarifario'!A$2:A1405,0) -1 , 0 , 1 , 1))</f>
        <v>9000</v>
      </c>
      <c r="I132" s="25">
        <f>INT(IF(F132,DAYS360(          DATE(YEAR(E132),MONTH(E132),1),         DATE(YEAR(F132)     ,      MONTH(F132),1 )    )            /30,0 ))</f>
        <v>6</v>
      </c>
      <c r="J132" s="24">
        <f t="shared" si="79"/>
        <v>54000</v>
      </c>
      <c r="K132" s="26">
        <f>IF(  AND(N132&gt;0,I132=0)          ,N132 ,                         IF(  IF( F132 ,  DAYS360(DATE(YEAR(F132),MONTH(F132),1),Mes)/30  ,  DAYS360(DATE(YEAR(E132),MONTH(E132),1),Mes)/30  )  &gt;  0 , IF(F132,   DAYS360(DATE(YEAR(F132),MONTH(F132),1),Mes)/30  ,  DAYS360(DATE(YEAR(E132),MONTH(E132),1),Mes)/30) , 0)       )</f>
        <v>0</v>
      </c>
      <c r="L132" s="27">
        <f>IF(ISERROR(K:K*H:H)   ,  0   ,   K:K*H:H)</f>
        <v>0</v>
      </c>
      <c r="M132" s="28"/>
      <c r="N132" s="29">
        <f>IF( ISERROR(OFFSET(SECUESTRADOS!D$1,MATCH(B132,SECUESTRADOS!A$2:A1405,0),0)) ,0 ,  OFFSET(SECUESTRADOS!D$1,MATCH(B132,SECUESTRADOS!A$2:A1405,0),0)  )</f>
        <v>0</v>
      </c>
      <c r="O132" s="30"/>
      <c r="P132" s="17" t="str">
        <f t="shared" si="3"/>
        <v>Bono canon</v>
      </c>
      <c r="Q132" s="17" t="str">
        <f t="shared" ref="Q132:Q135" si="97">IF(AND(A132=A131,B132=B131,C132=C131),"Repetido","")</f>
        <v/>
      </c>
      <c r="R132" s="31"/>
      <c r="S132" s="31"/>
      <c r="T132" s="31"/>
    </row>
    <row r="133">
      <c r="A133" s="41" t="s">
        <v>40</v>
      </c>
      <c r="B133" s="41" t="s">
        <v>111</v>
      </c>
      <c r="C133" s="19">
        <v>1279.0</v>
      </c>
      <c r="D133" s="34" t="str">
        <f>if(   iserror(offset(PADRON!B$2,match(C:C,PADRON!A$2:A1405,0)-1,0,1,1) )  ,  ,    offset(PADRON!B$2,match(C:C,PADRON!A$2:A1405,0)-1,0,1,1))</f>
        <v>PAIS, VERONICA</v>
      </c>
      <c r="E133" s="22">
        <v>45809.0</v>
      </c>
      <c r="F133" s="22">
        <v>45992.0</v>
      </c>
      <c r="G133" s="23" t="s">
        <v>39</v>
      </c>
      <c r="H133" s="35">
        <f>IF( ISERROR( OFFSET(   'Cuadro tarifario'!D$2  , MATCH(CONCATENATE(                 IF(F133&gt;Mes,OFFSET(NroCT!B$17, MATCH($F133,NroCT!$A$18:$A1405,0),0,1,1),Periodovigente)                                                                                                                     ,A133) ,'Cuadro tarifario'!A$2:A1405,0) -1 , 0 , 1 , 1) )   , 0  ,   OFFSET(   'Cuadro tarifario'!D$2  , MATCH(CONCATENATE( IF(F133&gt;Mes,OFFSET(NroCT!B$17, MATCH($F133,NroCT!$A$18:$A1405,0),0,1,1),Periodovigente) ,A133) ,'Cuadro tarifario'!A$2:A1405,0) -1 , 0 , 1 , 1))</f>
        <v>12000</v>
      </c>
      <c r="I133" s="36">
        <f t="shared" ref="I133:I136" si="98">Int(If(F133,DAYS360(          date(Year(E133),Month(E133),1),         date(Year(F133)     ,      Month(F133),1 )    )            /30,0 ))</f>
        <v>6</v>
      </c>
      <c r="J133" s="37">
        <f t="shared" si="79"/>
        <v>72000</v>
      </c>
      <c r="K133" s="38">
        <f>if(  and(N133&gt;0,I133=0)          ,N133 ,                         If(  If( F133 ,  DAYS360(date(year(F133),month(F133),1),Mes)/30  ,  DAYS360(date(year(E133),month(E133),1),Mes)/30  )  &gt;  0 , If(F133,   DAYS360(date(year(F133),month(F133),1),Mes)/30  ,  DAYS360(date(year(E133),month(E133),1),Mes)/30) , 0)       )</f>
        <v>0</v>
      </c>
      <c r="L133" s="39">
        <f t="shared" ref="L133:L136" si="99">If(Iserror(K:K*H:H)   ,  0   ,   K:K*H:H)</f>
        <v>0</v>
      </c>
      <c r="M133" s="40"/>
      <c r="N133" s="29">
        <f>IF( ISERROR(OFFSET(SECUESTRADOS!D$1,MATCH(B133,SECUESTRADOS!A$2:A1405,0),0)) ,0 ,  OFFSET(SECUESTRADOS!D$1,MATCH(B133,SECUESTRADOS!A$2:A1405,0),0)  )</f>
        <v>0</v>
      </c>
      <c r="O133" s="30"/>
      <c r="P133" s="17" t="str">
        <f t="shared" si="3"/>
        <v>cuna windsurf</v>
      </c>
      <c r="Q133" s="17" t="str">
        <f t="shared" si="97"/>
        <v/>
      </c>
      <c r="R133" s="31"/>
      <c r="S133" s="31"/>
      <c r="T133" s="31"/>
    </row>
    <row r="134">
      <c r="A134" s="41" t="s">
        <v>42</v>
      </c>
      <c r="B134" s="41" t="s">
        <v>112</v>
      </c>
      <c r="C134" s="19">
        <v>1279.0</v>
      </c>
      <c r="D134" s="34" t="str">
        <f>if(   iserror(offset(PADRON!B$2,match(C:C,PADRON!A$2:A1405,0)-1,0,1,1) )  ,  ,    offset(PADRON!B$2,match(C:C,PADRON!A$2:A1405,0)-1,0,1,1))</f>
        <v>PAIS, VERONICA</v>
      </c>
      <c r="E134" s="22">
        <v>45992.0</v>
      </c>
      <c r="F134" s="22"/>
      <c r="G134" s="23" t="s">
        <v>39</v>
      </c>
      <c r="H134" s="35">
        <f>IF( ISERROR( OFFSET(   'Cuadro tarifario'!D$2  , MATCH(CONCATENATE(                 IF(F134&gt;Mes,OFFSET(NroCT!B$17, MATCH($F134,NroCT!$A$18:$A1405,0),0,1,1),Periodovigente)                                                                                                                     ,A134) ,'Cuadro tarifario'!A$2:A1405,0) -1 , 0 , 1 , 1) )   , 0  ,   OFFSET(   'Cuadro tarifario'!D$2  , MATCH(CONCATENATE( IF(F134&gt;Mes,OFFSET(NroCT!B$17, MATCH($F134,NroCT!$A$18:$A1405,0),0,1,1),Periodovigente) ,A134) ,'Cuadro tarifario'!A$2:A1405,0) -1 , 0 , 1 , 1))</f>
        <v>4000</v>
      </c>
      <c r="I134" s="36">
        <f t="shared" si="98"/>
        <v>0</v>
      </c>
      <c r="J134" s="37">
        <f t="shared" si="79"/>
        <v>0</v>
      </c>
      <c r="K134" s="38">
        <f>if(  and(N134&gt;0,I134=0)          ,N134 ,                         If(  If( F134 ,  DAYS360(date(year(F134),month(F134),1),Mes)/30  ,  DAYS360(date(year(E134),month(E134),1),Mes)/30  )  &gt;  0 , If(F134,   DAYS360(date(year(F134),month(F134),1),Mes)/30  ,  DAYS360(date(year(E134),month(E134),1),Mes)/30) , 0)       )</f>
        <v>0</v>
      </c>
      <c r="L134" s="39">
        <f t="shared" si="99"/>
        <v>0</v>
      </c>
      <c r="M134" s="40"/>
      <c r="N134" s="29">
        <f>IF( ISERROR(OFFSET(SECUESTRADOS!D$1,MATCH(B134,SECUESTRADOS!A$2:A1405,0),0)) ,0 ,  OFFSET(SECUESTRADOS!D$1,MATCH(B134,SECUESTRADOS!A$2:A1405,0),0)  )</f>
        <v>0</v>
      </c>
      <c r="O134" s="30"/>
      <c r="P134" s="17" t="b">
        <f t="shared" si="3"/>
        <v>0</v>
      </c>
      <c r="Q134" s="17" t="str">
        <f t="shared" si="97"/>
        <v/>
      </c>
      <c r="R134" s="31"/>
      <c r="S134" s="31"/>
      <c r="T134" s="31"/>
    </row>
    <row r="135">
      <c r="A135" s="41" t="s">
        <v>50</v>
      </c>
      <c r="B135" s="41" t="s">
        <v>113</v>
      </c>
      <c r="C135" s="19">
        <v>1279.0</v>
      </c>
      <c r="D135" s="34" t="str">
        <f>if(   iserror(offset(PADRON!B$2,match(C:C,PADRON!A$2:A1405,0)-1,0,1,1) )  ,  ,    offset(PADRON!B$2,match(C:C,PADRON!A$2:A1405,0)-1,0,1,1))</f>
        <v>PAIS, VERONICA</v>
      </c>
      <c r="E135" s="22">
        <v>45992.0</v>
      </c>
      <c r="F135" s="22"/>
      <c r="G135" s="23" t="s">
        <v>39</v>
      </c>
      <c r="H135" s="35">
        <f>IF( ISERROR( OFFSET(   'Cuadro tarifario'!D$2  , MATCH(CONCATENATE(                 IF(F135&gt;Mes,OFFSET(NroCT!B$17, MATCH($F135,NroCT!$A$18:$A1405,0),0,1,1),Periodovigente)                                                                                                                     ,A135) ,'Cuadro tarifario'!A$2:A1405,0) -1 , 0 , 1 , 1) )   , 0  ,   OFFSET(   'Cuadro tarifario'!D$2  , MATCH(CONCATENATE( IF(F135&gt;Mes,OFFSET(NroCT!B$17, MATCH($F135,NroCT!$A$18:$A1405,0),0,1,1),Periodovigente) ,A135) ,'Cuadro tarifario'!A$2:A1405,0) -1 , 0 , 1 , 1))</f>
        <v>3600</v>
      </c>
      <c r="I135" s="36">
        <f t="shared" si="98"/>
        <v>0</v>
      </c>
      <c r="J135" s="37">
        <f t="shared" si="79"/>
        <v>0</v>
      </c>
      <c r="K135" s="38">
        <f>if(  and(N135&gt;0,I135=0)          ,N135 ,                         If(  If( F135 ,  DAYS360(date(year(F135),month(F135),1),Mes)/30  ,  DAYS360(date(year(E135),month(E135),1),Mes)/30  )  &gt;  0 , If(F135,   DAYS360(date(year(F135),month(F135),1),Mes)/30  ,  DAYS360(date(year(E135),month(E135),1),Mes)/30) , 0)       )</f>
        <v>0</v>
      </c>
      <c r="L135" s="39">
        <f t="shared" si="99"/>
        <v>0</v>
      </c>
      <c r="M135" s="40"/>
      <c r="N135" s="29">
        <f>IF( ISERROR(OFFSET(SECUESTRADOS!D$1,MATCH(B135,SECUESTRADOS!A$2:A1405,0),0)) ,0 ,  OFFSET(SECUESTRADOS!D$1,MATCH(B135,SECUESTRADOS!A$2:A1405,0),0)  )</f>
        <v>0</v>
      </c>
      <c r="O135" s="30"/>
      <c r="P135" s="17" t="b">
        <f t="shared" si="3"/>
        <v>0</v>
      </c>
      <c r="Q135" s="17" t="str">
        <f t="shared" si="97"/>
        <v/>
      </c>
      <c r="R135" s="31"/>
      <c r="S135" s="31"/>
      <c r="T135" s="31"/>
    </row>
    <row r="136">
      <c r="A136" s="54" t="s">
        <v>71</v>
      </c>
      <c r="B136" s="54">
        <v>1280.0</v>
      </c>
      <c r="C136" s="19">
        <v>1280.0</v>
      </c>
      <c r="D136" s="34" t="str">
        <f>if(   iserror(offset(PADRON!B$2,match(C:C,PADRON!A$2:A1405,0)-1,0,1,1) )  ,  ,    offset(PADRON!B$2,match(C:C,PADRON!A$2:A1405,0)-1,0,1,1))</f>
        <v>OTAVIANELLI, JORGE</v>
      </c>
      <c r="E136" s="22">
        <v>45992.0</v>
      </c>
      <c r="F136" s="22"/>
      <c r="G136" s="23" t="s">
        <v>39</v>
      </c>
      <c r="H136" s="35">
        <f>IF( ISERROR( OFFSET(   'Cuadro tarifario'!D$2  , MATCH(CONCATENATE(                 IF(F136&gt;Mes,OFFSET(NroCT!B$17, MATCH($F136,NroCT!$A$18:$A1405,0),0,1,1),Periodovigente)                                                                                                                     ,A136) ,'Cuadro tarifario'!A$2:A1405,0) -1 , 0 , 1 , 1) )   , 0  ,   OFFSET(   'Cuadro tarifario'!D$2  , MATCH(CONCATENATE( IF(F136&gt;Mes,OFFSET(NroCT!B$17, MATCH($F136,NroCT!$A$18:$A1405,0),0,1,1),Periodovigente) ,A136) ,'Cuadro tarifario'!A$2:A1405,0) -1 , 0 , 1 , 1))</f>
        <v>11000</v>
      </c>
      <c r="I136" s="36">
        <f t="shared" si="98"/>
        <v>0</v>
      </c>
      <c r="J136" s="37">
        <f t="shared" si="79"/>
        <v>0</v>
      </c>
      <c r="K136" s="38">
        <f>if(  and(N136&gt;0,I136=0)          ,N136 ,                         If(  If( F136 ,  DAYS360(date(year(F136),month(F136),1),Mes)/30  ,  DAYS360(date(year(E136),month(E136),1),Mes)/30  )  &gt;  0 , If(F136,   DAYS360(date(year(F136),month(F136),1),Mes)/30  ,  DAYS360(date(year(E136),month(E136),1),Mes)/30) , 0)       )</f>
        <v>0</v>
      </c>
      <c r="L136" s="39">
        <f t="shared" si="99"/>
        <v>0</v>
      </c>
      <c r="M136" s="40"/>
      <c r="N136" s="29">
        <f>IF( ISERROR(OFFSET(SECUESTRADOS!D$1,MATCH(B136,SECUESTRADOS!A$2:A1405,0),0)) ,0 ,  OFFSET(SECUESTRADOS!D$1,MATCH(B136,SECUESTRADOS!A$2:A1405,0),0)  )</f>
        <v>0</v>
      </c>
      <c r="O136" s="30"/>
      <c r="P136" s="17" t="b">
        <f t="shared" si="3"/>
        <v>0</v>
      </c>
      <c r="Q136" s="17" t="str">
        <f>IF(AND(A136=#REF!,B136=#REF!,C136=#REF!),"Repetido","")</f>
        <v>#REF!</v>
      </c>
      <c r="R136" s="31"/>
      <c r="S136" s="31"/>
      <c r="T136" s="31"/>
    </row>
    <row r="137">
      <c r="A137" s="18" t="s">
        <v>38</v>
      </c>
      <c r="B137" s="17">
        <v>1280.0</v>
      </c>
      <c r="C137" s="19">
        <v>1280.0</v>
      </c>
      <c r="D137" s="20" t="str">
        <f>IF(   ISERROR(OFFSET(PADRON!B$2,MATCH(C:C,PADRON!A$2:A1405,0)-1,0,1,1) )  ,  ,    OFFSET(PADRON!B$2,MATCH(C:C,PADRON!A$2:A1405,0)-1,0,1,1))</f>
        <v>OTAVIANELLI, JORGE</v>
      </c>
      <c r="E137" s="21">
        <v>45992.0</v>
      </c>
      <c r="F137" s="21"/>
      <c r="G137" s="32" t="s">
        <v>39</v>
      </c>
      <c r="H137" s="24">
        <f>IF( ISERROR( OFFSET(   'Cuadro tarifario'!D$2  , MATCH(CONCATENATE(                 IF(F137&gt;Mes,OFFSET(NroCT!B$17, MATCH($F137,NroCT!$A$18:$A1405,0),0,1,1),Periodovigente)                                                                                                                     ,A137) ,'Cuadro tarifario'!A$2:A1405,0) -1 , 0 , 1 , 1) )   , 0  ,   OFFSET(   'Cuadro tarifario'!D$2  , MATCH(CONCATENATE( IF(F137&gt;Mes,OFFSET(NroCT!B$17, MATCH($F137,NroCT!$A$18:$A1405,0),0,1,1),Periodovigente) ,A137) ,'Cuadro tarifario'!A$2:A1405,0) -1 , 0 , 1 , 1))</f>
        <v>9000</v>
      </c>
      <c r="I137" s="25">
        <f>INT(IF(F137,DAYS360(          DATE(YEAR(E137),MONTH(E137),1),         DATE(YEAR(F137)     ,      MONTH(F137),1 )    )            /30,0 ))</f>
        <v>0</v>
      </c>
      <c r="J137" s="24">
        <f t="shared" si="79"/>
        <v>0</v>
      </c>
      <c r="K137" s="26">
        <f>IF(  AND(N137&gt;0,I137=0)          ,N137 ,                         IF(  IF( F137 ,  DAYS360(DATE(YEAR(F137),MONTH(F137),1),Mes)/30  ,  DAYS360(DATE(YEAR(E137),MONTH(E137),1),Mes)/30  )  &gt;  0 , IF(F137,   DAYS360(DATE(YEAR(F137),MONTH(F137),1),Mes)/30  ,  DAYS360(DATE(YEAR(E137),MONTH(E137),1),Mes)/30) , 0)       )</f>
        <v>0</v>
      </c>
      <c r="L137" s="27">
        <f>IF(ISERROR(K:K*H:H)   ,  0   ,   K:K*H:H)</f>
        <v>0</v>
      </c>
      <c r="M137" s="28"/>
      <c r="N137" s="29">
        <f>IF( ISERROR(OFFSET(SECUESTRADOS!D$1,MATCH(B137,SECUESTRADOS!A$2:A1405,0),0)) ,0 ,  OFFSET(SECUESTRADOS!D$1,MATCH(B137,SECUESTRADOS!A$2:A1405,0),0)  )</f>
        <v>0</v>
      </c>
      <c r="O137" s="30"/>
      <c r="P137" s="17" t="b">
        <f t="shared" si="3"/>
        <v>0</v>
      </c>
      <c r="Q137" s="17" t="str">
        <f>IF(AND(A137=A136,B137=B136,C137=C136),"Repetido","")</f>
        <v/>
      </c>
      <c r="R137" s="31"/>
      <c r="S137" s="31"/>
      <c r="T137" s="31"/>
    </row>
    <row r="138">
      <c r="A138" s="54" t="s">
        <v>71</v>
      </c>
      <c r="B138" s="54">
        <v>1293.0</v>
      </c>
      <c r="C138" s="19">
        <v>1293.0</v>
      </c>
      <c r="D138" s="34" t="str">
        <f>if(   iserror(offset(PADRON!B$2,match(C:C,PADRON!A$2:A1405,0)-1,0,1,1) )  ,  ,    offset(PADRON!B$2,match(C:C,PADRON!A$2:A1405,0)-1,0,1,1))</f>
        <v>PARDO, AUGUSTO</v>
      </c>
      <c r="E138" s="22">
        <v>45839.0</v>
      </c>
      <c r="F138" s="22">
        <v>45870.0</v>
      </c>
      <c r="G138" s="23" t="s">
        <v>39</v>
      </c>
      <c r="H138" s="35">
        <f>IF( ISERROR( OFFSET(   'Cuadro tarifario'!D$2  , MATCH(CONCATENATE(                 IF(F138&gt;Mes,OFFSET(NroCT!B$17, MATCH($F138,NroCT!$A$18:$A1405,0),0,1,1),Periodovigente)                                                                                                                     ,A138) ,'Cuadro tarifario'!A$2:A1405,0) -1 , 0 , 1 , 1) )   , 0  ,   OFFSET(   'Cuadro tarifario'!D$2  , MATCH(CONCATENATE( IF(F138&gt;Mes,OFFSET(NroCT!B$17, MATCH($F138,NroCT!$A$18:$A1405,0),0,1,1),Periodovigente) ,A138) ,'Cuadro tarifario'!A$2:A1405,0) -1 , 0 , 1 , 1))</f>
        <v>11000</v>
      </c>
      <c r="I138" s="36">
        <f>Int(If(F138,DAYS360(          date(Year(E138),Month(E138),1),         date(Year(F138)     ,      Month(F138),1 )    )            /30,0 ))</f>
        <v>1</v>
      </c>
      <c r="J138" s="37">
        <f t="shared" si="79"/>
        <v>11000</v>
      </c>
      <c r="K138" s="38">
        <f>if(  and(N138&gt;0,I138=0)          ,N138 ,                         If(  If( F138 ,  DAYS360(date(year(F138),month(F138),1),Mes)/30  ,  DAYS360(date(year(E138),month(E138),1),Mes)/30  )  &gt;  0 , If(F138,   DAYS360(date(year(F138),month(F138),1),Mes)/30  ,  DAYS360(date(year(E138),month(E138),1),Mes)/30) , 0)       )</f>
        <v>0</v>
      </c>
      <c r="L138" s="39">
        <f>If(Iserror(K:K*H:H)   ,  0   ,   K:K*H:H)</f>
        <v>0</v>
      </c>
      <c r="M138" s="40"/>
      <c r="N138" s="29">
        <f>IF( ISERROR(OFFSET(SECUESTRADOS!D$1,MATCH(B138,SECUESTRADOS!A$2:A1405,0),0)) ,0 ,  OFFSET(SECUESTRADOS!D$1,MATCH(B138,SECUESTRADOS!A$2:A1405,0),0)  )</f>
        <v>0</v>
      </c>
      <c r="O138" s="30"/>
      <c r="P138" s="17" t="str">
        <f t="shared" si="3"/>
        <v>.socio</v>
      </c>
      <c r="Q138" s="17" t="str">
        <f>IF(AND(A138=#REF!,B138=#REF!,C138=#REF!),"Repetido","")</f>
        <v>#REF!</v>
      </c>
      <c r="R138" s="31"/>
      <c r="S138" s="31"/>
      <c r="T138" s="31"/>
    </row>
    <row r="139">
      <c r="A139" s="18" t="s">
        <v>38</v>
      </c>
      <c r="B139" s="17">
        <v>1293.0</v>
      </c>
      <c r="C139" s="19">
        <v>1293.0</v>
      </c>
      <c r="D139" s="20" t="str">
        <f>IF(   ISERROR(OFFSET(PADRON!B$2,MATCH(C:C,PADRON!A$2:A1405,0)-1,0,1,1) )  ,  ,    OFFSET(PADRON!B$2,MATCH(C:C,PADRON!A$2:A1405,0)-1,0,1,1))</f>
        <v>PARDO, AUGUSTO</v>
      </c>
      <c r="E139" s="21">
        <v>45839.0</v>
      </c>
      <c r="F139" s="21">
        <v>45870.0</v>
      </c>
      <c r="G139" s="23" t="s">
        <v>39</v>
      </c>
      <c r="H139" s="24">
        <f>IF( ISERROR( OFFSET(   'Cuadro tarifario'!D$2  , MATCH(CONCATENATE(                 IF(F139&gt;Mes,OFFSET(NroCT!B$17, MATCH($F139,NroCT!$A$18:$A1405,0),0,1,1),Periodovigente)                                                                                                                     ,A139) ,'Cuadro tarifario'!A$2:A1405,0) -1 , 0 , 1 , 1) )   , 0  ,   OFFSET(   'Cuadro tarifario'!D$2  , MATCH(CONCATENATE( IF(F139&gt;Mes,OFFSET(NroCT!B$17, MATCH($F139,NroCT!$A$18:$A1405,0),0,1,1),Periodovigente) ,A139) ,'Cuadro tarifario'!A$2:A1405,0) -1 , 0 , 1 , 1))</f>
        <v>9000</v>
      </c>
      <c r="I139" s="25">
        <f>INT(IF(F139,DAYS360(          DATE(YEAR(E139),MONTH(E139),1),         DATE(YEAR(F139)     ,      MONTH(F139),1 )    )            /30,0 ))</f>
        <v>1</v>
      </c>
      <c r="J139" s="24">
        <f t="shared" si="79"/>
        <v>9000</v>
      </c>
      <c r="K139" s="26">
        <f>IF(  AND(N139&gt;0,I139=0)          ,N139 ,                         IF(  IF( F139 ,  DAYS360(DATE(YEAR(F139),MONTH(F139),1),Mes)/30  ,  DAYS360(DATE(YEAR(E139),MONTH(E139),1),Mes)/30  )  &gt;  0 , IF(F139,   DAYS360(DATE(YEAR(F139),MONTH(F139),1),Mes)/30  ,  DAYS360(DATE(YEAR(E139),MONTH(E139),1),Mes)/30) , 0)       )</f>
        <v>0</v>
      </c>
      <c r="L139" s="27">
        <f>IF(ISERROR(K:K*H:H)   ,  0   ,   K:K*H:H)</f>
        <v>0</v>
      </c>
      <c r="M139" s="28"/>
      <c r="N139" s="29">
        <f>IF( ISERROR(OFFSET(SECUESTRADOS!D$1,MATCH(B139,SECUESTRADOS!A$2:A1405,0),0)) ,0 ,  OFFSET(SECUESTRADOS!D$1,MATCH(B139,SECUESTRADOS!A$2:A1405,0),0)  )</f>
        <v>0</v>
      </c>
      <c r="O139" s="30"/>
      <c r="P139" s="17" t="str">
        <f t="shared" si="3"/>
        <v>Bono canon</v>
      </c>
      <c r="Q139" s="17" t="str">
        <f t="shared" ref="Q139:Q142" si="100">IF(AND(A139=A138,B139=B138,C139=C138),"Repetido","")</f>
        <v/>
      </c>
      <c r="R139" s="31"/>
      <c r="S139" s="31"/>
      <c r="T139" s="31"/>
    </row>
    <row r="140">
      <c r="A140" s="79" t="s">
        <v>82</v>
      </c>
      <c r="B140" s="79" t="s">
        <v>114</v>
      </c>
      <c r="C140" s="19">
        <v>1293.0</v>
      </c>
      <c r="D140" s="34" t="str">
        <f>if(   iserror(offset(PADRON!B$2,match(C:C,PADRON!A$2:A1405,0)-1,0,1,1) )  ,  ,    offset(PADRON!B$2,match(C:C,PADRON!A$2:A1405,0)-1,0,1,1))</f>
        <v>PARDO, AUGUSTO</v>
      </c>
      <c r="E140" s="22">
        <v>45839.0</v>
      </c>
      <c r="F140" s="22">
        <v>45870.0</v>
      </c>
      <c r="G140" s="23" t="s">
        <v>39</v>
      </c>
      <c r="H140" s="80">
        <f>IF( ISERROR( OFFSET(   'Cuadro tarifario'!D$2  , MATCH(CONCATENATE(                 IF(F140&gt;Mes,OFFSET(NroCT!B$17, MATCH($F140,NroCT!$A$18:$A1405,0),0,1,1),Periodovigente)                                                                                                                     ,A140) ,'Cuadro tarifario'!A$2:A1405,0) -1 , 0 , 1 , 1) )   , 0  ,   OFFSET(   'Cuadro tarifario'!D$2  , MATCH(CONCATENATE( IF(F140&gt;Mes,OFFSET(NroCT!B$17, MATCH($F140,NroCT!$A$18:$A1405,0),0,1,1),Periodovigente) ,A140) ,'Cuadro tarifario'!A$2:A1405,0) -1 , 0 , 1 , 1))</f>
        <v>12000</v>
      </c>
      <c r="I140" s="36">
        <f>Int(If(F140,DAYS360(          date(Year(E140),Month(E140),1),         date(Year(F140)     ,      Month(F140),1 )    )            /30,0 ))</f>
        <v>1</v>
      </c>
      <c r="J140" s="36">
        <f t="shared" si="79"/>
        <v>12000</v>
      </c>
      <c r="K140" s="38">
        <f>if(  and(N140&gt;0,I140=0)          ,N140 ,                         If(  If( F140 ,  DAYS360(date(year(F140),month(F140),1),Mes)/30  ,  DAYS360(date(year(E140),month(E140),1),Mes)/30  )  &gt;  0 , If(F140,   DAYS360(date(year(F140),month(F140),1),Mes)/30  ,  DAYS360(date(year(E140),month(E140),1),Mes)/30) , 0)       )</f>
        <v>0</v>
      </c>
      <c r="L140" s="38">
        <f>If(Iserror(K:K*H:H)   ,  0   ,   K:K*H:H)</f>
        <v>0</v>
      </c>
      <c r="M140" s="40"/>
      <c r="N140" s="29">
        <f>IF( ISERROR(OFFSET(SECUESTRADOS!D$1,MATCH(B140,SECUESTRADOS!A$2:A1405,0),0)) ,0 ,  OFFSET(SECUESTRADOS!D$1,MATCH(B140,SECUESTRADOS!A$2:A1405,0),0)  )</f>
        <v>0</v>
      </c>
      <c r="O140" s="30"/>
      <c r="P140" s="17" t="str">
        <f t="shared" si="3"/>
        <v>cuna kayak</v>
      </c>
      <c r="Q140" s="17" t="str">
        <f t="shared" si="100"/>
        <v/>
      </c>
      <c r="R140" s="31"/>
      <c r="S140" s="31"/>
      <c r="T140" s="31"/>
    </row>
    <row r="141">
      <c r="A141" s="81" t="s">
        <v>40</v>
      </c>
      <c r="B141" s="81" t="s">
        <v>115</v>
      </c>
      <c r="C141" s="19">
        <v>1293.0</v>
      </c>
      <c r="D141" s="82" t="str">
        <f>IF(   ISERROR(OFFSET(PADRON!B$2,MATCH(C:C,PADRON!A$2:A1405,0)-1,0,1,1) )  ,  ,    OFFSET(PADRON!B$2,MATCH(C:C,PADRON!A$2:A1405,0)-1,0,1,1))</f>
        <v>PARDO, AUGUSTO</v>
      </c>
      <c r="E141" s="22">
        <v>45839.0</v>
      </c>
      <c r="F141" s="83">
        <v>45870.0</v>
      </c>
      <c r="G141" s="23" t="s">
        <v>39</v>
      </c>
      <c r="H141" s="84">
        <f>IF( ISERROR( OFFSET(   'Cuadro tarifario'!D$2  , MATCH(CONCATENATE(                 IF(F141&gt;Mes,OFFSET(NroCT!B$17, MATCH($F141,NroCT!$A$18:$A1405,0),0,1,1),Periodovigente)                                                                                                                     ,A141) ,'Cuadro tarifario'!A$2:A1405,0) -1 , 0 , 1 , 1) )   , 0  ,   OFFSET(   'Cuadro tarifario'!D$2  , MATCH(CONCATENATE( IF(F141&gt;Mes,OFFSET(NroCT!B$17, MATCH($F141,NroCT!$A$18:$A1405,0),0,1,1),Periodovigente) ,A141) ,'Cuadro tarifario'!A$2:A1405,0) -1 , 0 , 1 , 1))</f>
        <v>12000</v>
      </c>
      <c r="I141" s="85">
        <f t="shared" ref="I141:I142" si="101">INT(IF(F141,DAYS360(          DATE(YEAR(E141),MONTH(E141),1),         DATE(YEAR(F141)     ,      MONTH(F141),1 )    )            /30,0 ))</f>
        <v>1</v>
      </c>
      <c r="J141" s="86">
        <f t="shared" si="79"/>
        <v>12000</v>
      </c>
      <c r="K141" s="87">
        <f>IF(  AND(N141&gt;0,I141=0)          ,N141 ,                         IF(  IF( F141 ,  DAYS360(DATE(YEAR(F141),MONTH(F141),1),Mes)/30  ,  DAYS360(DATE(YEAR(E141),MONTH(E141),1),Mes)/30  )  &gt;  0 , IF(F141,   DAYS360(DATE(YEAR(F141),MONTH(F141),1),Mes)/30  ,  DAYS360(DATE(YEAR(E141),MONTH(E141),1),Mes)/30) , 0)       )</f>
        <v>0</v>
      </c>
      <c r="L141" s="88">
        <f t="shared" ref="L141:L142" si="102">IF(ISERROR(K:K*H:H)   ,  0   ,   K:K*H:H)</f>
        <v>0</v>
      </c>
      <c r="M141" s="89"/>
      <c r="N141" s="29">
        <f>IF( ISERROR(OFFSET(SECUESTRADOS!D$1,MATCH(B141,SECUESTRADOS!A$2:A1405,0),0)) ,0 ,  OFFSET(SECUESTRADOS!D$1,MATCH(B141,SECUESTRADOS!A$2:A1405,0),0)  )</f>
        <v>0</v>
      </c>
      <c r="O141" s="30"/>
      <c r="P141" s="17" t="str">
        <f t="shared" si="3"/>
        <v>cuna windsurf</v>
      </c>
      <c r="Q141" s="17" t="str">
        <f t="shared" si="100"/>
        <v/>
      </c>
      <c r="R141" s="31"/>
      <c r="S141" s="31"/>
      <c r="T141" s="31"/>
    </row>
    <row r="142">
      <c r="A142" s="81" t="s">
        <v>40</v>
      </c>
      <c r="B142" s="90" t="s">
        <v>116</v>
      </c>
      <c r="C142" s="19">
        <v>1293.0</v>
      </c>
      <c r="D142" s="82" t="str">
        <f>IF(   ISERROR(OFFSET(PADRON!B$2,MATCH(C:C,PADRON!A$2:A1405,0)-1,0,1,1) )  ,  ,    OFFSET(PADRON!B$2,MATCH(C:C,PADRON!A$2:A1405,0)-1,0,1,1))</f>
        <v>PARDO, AUGUSTO</v>
      </c>
      <c r="E142" s="22">
        <v>45839.0</v>
      </c>
      <c r="F142" s="83">
        <v>45870.0</v>
      </c>
      <c r="G142" s="23" t="s">
        <v>39</v>
      </c>
      <c r="H142" s="84">
        <f>IF( ISERROR( OFFSET(   'Cuadro tarifario'!D$2  , MATCH(CONCATENATE(                 IF(F142&gt;Mes,OFFSET(NroCT!B$17, MATCH($F142,NroCT!$A$18:$A1405,0),0,1,1),Periodovigente)                                                                                                                     ,A142) ,'Cuadro tarifario'!A$2:A1405,0) -1 , 0 , 1 , 1) )   , 0  ,   OFFSET(   'Cuadro tarifario'!D$2  , MATCH(CONCATENATE( IF(F142&gt;Mes,OFFSET(NroCT!B$17, MATCH($F142,NroCT!$A$18:$A1405,0),0,1,1),Periodovigente) ,A142) ,'Cuadro tarifario'!A$2:A1405,0) -1 , 0 , 1 , 1))</f>
        <v>12000</v>
      </c>
      <c r="I142" s="85">
        <f t="shared" si="101"/>
        <v>1</v>
      </c>
      <c r="J142" s="86">
        <f t="shared" si="79"/>
        <v>12000</v>
      </c>
      <c r="K142" s="87">
        <f>IF(  AND(N142&gt;0,I142=0)          ,N142 ,                         IF(  IF( F142 ,  DAYS360(DATE(YEAR(F142),MONTH(F142),1),Mes)/30  ,  DAYS360(DATE(YEAR(E142),MONTH(E142),1),Mes)/30  )  &gt;  0 , IF(F142,   DAYS360(DATE(YEAR(F142),MONTH(F142),1),Mes)/30  ,  DAYS360(DATE(YEAR(E142),MONTH(E142),1),Mes)/30) , 0)       )</f>
        <v>0</v>
      </c>
      <c r="L142" s="88">
        <f t="shared" si="102"/>
        <v>0</v>
      </c>
      <c r="M142" s="89"/>
      <c r="N142" s="29">
        <f>IF( ISERROR(OFFSET(SECUESTRADOS!D$1,MATCH(B142,SECUESTRADOS!A$2:A1405,0),0)) ,0 ,  OFFSET(SECUESTRADOS!D$1,MATCH(B142,SECUESTRADOS!A$2:A1405,0),0)  )</f>
        <v>0</v>
      </c>
      <c r="O142" s="30"/>
      <c r="P142" s="17" t="str">
        <f t="shared" si="3"/>
        <v>cuna windsurf</v>
      </c>
      <c r="Q142" s="17" t="str">
        <f t="shared" si="100"/>
        <v/>
      </c>
      <c r="R142" s="31"/>
      <c r="S142" s="31"/>
      <c r="T142" s="31"/>
    </row>
    <row r="143">
      <c r="A143" s="42" t="s">
        <v>50</v>
      </c>
      <c r="B143" s="42" t="s">
        <v>117</v>
      </c>
      <c r="C143" s="19">
        <v>1293.0</v>
      </c>
      <c r="D143" s="34" t="str">
        <f>if(   iserror(offset(PADRON!B$2,match(C:C,PADRON!A$2:A1405,0)-1,0,1,1) )  ,  ,    offset(PADRON!B$2,match(C:C,PADRON!A$2:A1405,0)-1,0,1,1))</f>
        <v>PARDO, AUGUSTO</v>
      </c>
      <c r="E143" s="22">
        <v>45992.0</v>
      </c>
      <c r="F143" s="22"/>
      <c r="G143" s="23" t="s">
        <v>39</v>
      </c>
      <c r="H143" s="35">
        <f>IF( ISERROR( OFFSET(   'Cuadro tarifario'!D$2  , MATCH(CONCATENATE(                 IF(F143&gt;Mes,OFFSET(NroCT!B$17, MATCH($F143,NroCT!$A$18:$A1405,0),0,1,1),Periodovigente)                                                                                                                     ,A143) ,'Cuadro tarifario'!A$2:A1405,0) -1 , 0 , 1 , 1) )   , 0  ,   OFFSET(   'Cuadro tarifario'!D$2  , MATCH(CONCATENATE( IF(F143&gt;Mes,OFFSET(NroCT!B$17, MATCH($F143,NroCT!$A$18:$A1405,0),0,1,1),Periodovigente) ,A143) ,'Cuadro tarifario'!A$2:A1405,0) -1 , 0 , 1 , 1))</f>
        <v>3600</v>
      </c>
      <c r="I143" s="36">
        <f t="shared" ref="I143:I149" si="103">Int(If(F143,DAYS360(          date(Year(E143),Month(E143),1),         date(Year(F143)     ,      Month(F143),1 )    )            /30,0 ))</f>
        <v>0</v>
      </c>
      <c r="J143" s="37">
        <f t="shared" si="79"/>
        <v>0</v>
      </c>
      <c r="K143" s="38">
        <f>if(  and(N143&gt;0,I143=0)          ,N143 ,                         If(  If( F143 ,  DAYS360(date(year(F143),month(F143),1),Mes)/30  ,  DAYS360(date(year(E143),month(E143),1),Mes)/30  )  &gt;  0 , If(F143,   DAYS360(date(year(F143),month(F143),1),Mes)/30  ,  DAYS360(date(year(E143),month(E143),1),Mes)/30) , 0)       )</f>
        <v>0</v>
      </c>
      <c r="L143" s="39">
        <f t="shared" ref="L143:L149" si="104">If(Iserror(K:K*H:H)   ,  0   ,   K:K*H:H)</f>
        <v>0</v>
      </c>
      <c r="M143" s="40"/>
      <c r="N143" s="29">
        <f>IF( ISERROR(OFFSET(SECUESTRADOS!D$1,MATCH(B143,SECUESTRADOS!A$2:A1405,0),0)) ,0 ,  OFFSET(SECUESTRADOS!D$1,MATCH(B143,SECUESTRADOS!A$2:A1405,0),0)  )</f>
        <v>0</v>
      </c>
      <c r="O143" s="30"/>
      <c r="P143" s="17" t="b">
        <f t="shared" si="3"/>
        <v>0</v>
      </c>
      <c r="Q143" s="17" t="str">
        <f>IF(AND(A143=A141,B143=B141,C143=C141),"Repetido","")</f>
        <v/>
      </c>
      <c r="R143" s="31"/>
      <c r="S143" s="31"/>
      <c r="T143" s="31"/>
    </row>
    <row r="144">
      <c r="A144" s="41" t="s">
        <v>42</v>
      </c>
      <c r="B144" s="41" t="s">
        <v>118</v>
      </c>
      <c r="C144" s="19">
        <v>1293.0</v>
      </c>
      <c r="D144" s="34" t="str">
        <f>if(   iserror(offset(PADRON!B$2,match(C:C,PADRON!A$2:A1405,0)-1,0,1,1) )  ,  ,    offset(PADRON!B$2,match(C:C,PADRON!A$2:A1405,0)-1,0,1,1))</f>
        <v>PARDO, AUGUSTO</v>
      </c>
      <c r="E144" s="22">
        <v>45992.0</v>
      </c>
      <c r="F144" s="22"/>
      <c r="G144" s="23" t="s">
        <v>39</v>
      </c>
      <c r="H144" s="35">
        <f>IF( ISERROR( OFFSET(   'Cuadro tarifario'!D$2  , MATCH(CONCATENATE(                 IF(F144&gt;Mes,OFFSET(NroCT!B$17, MATCH($F144,NroCT!$A$18:$A1405,0),0,1,1),Periodovigente)                                                                                                                     ,A144) ,'Cuadro tarifario'!A$2:A1405,0) -1 , 0 , 1 , 1) )   , 0  ,   OFFSET(   'Cuadro tarifario'!D$2  , MATCH(CONCATENATE( IF(F144&gt;Mes,OFFSET(NroCT!B$17, MATCH($F144,NroCT!$A$18:$A1405,0),0,1,1),Periodovigente) ,A144) ,'Cuadro tarifario'!A$2:A1405,0) -1 , 0 , 1 , 1))</f>
        <v>4000</v>
      </c>
      <c r="I144" s="36">
        <f t="shared" si="103"/>
        <v>0</v>
      </c>
      <c r="J144" s="37">
        <f t="shared" si="79"/>
        <v>0</v>
      </c>
      <c r="K144" s="38">
        <f>if(  and(N144&gt;0,I144=0)          ,N144 ,                         If(  If( F144 ,  DAYS360(date(year(F144),month(F144),1),Mes)/30  ,  DAYS360(date(year(E144),month(E144),1),Mes)/30  )  &gt;  0 , If(F144,   DAYS360(date(year(F144),month(F144),1),Mes)/30  ,  DAYS360(date(year(E144),month(E144),1),Mes)/30) , 0)       )</f>
        <v>0</v>
      </c>
      <c r="L144" s="39">
        <f t="shared" si="104"/>
        <v>0</v>
      </c>
      <c r="M144" s="40"/>
      <c r="N144" s="29">
        <f>IF( ISERROR(OFFSET(SECUESTRADOS!D$1,MATCH(B144,SECUESTRADOS!A$2:A1405,0),0)) ,0 ,  OFFSET(SECUESTRADOS!D$1,MATCH(B144,SECUESTRADOS!A$2:A1405,0),0)  )</f>
        <v>0</v>
      </c>
      <c r="O144" s="30"/>
      <c r="P144" s="17" t="b">
        <f t="shared" si="3"/>
        <v>0</v>
      </c>
      <c r="Q144" s="17" t="str">
        <f t="shared" ref="Q144:Q145" si="105">IF(AND(A144=A143,B144=B143,C144=C143),"Repetido","")</f>
        <v/>
      </c>
      <c r="R144" s="31"/>
      <c r="S144" s="31"/>
      <c r="T144" s="31"/>
    </row>
    <row r="145">
      <c r="A145" s="41" t="s">
        <v>42</v>
      </c>
      <c r="B145" s="41" t="s">
        <v>119</v>
      </c>
      <c r="C145" s="19">
        <v>1293.0</v>
      </c>
      <c r="D145" s="34" t="str">
        <f>if(   iserror(offset(PADRON!B$2,match(C:C,PADRON!A$2:A1405,0)-1,0,1,1) )  ,  ,    offset(PADRON!B$2,match(C:C,PADRON!A$2:A1405,0)-1,0,1,1))</f>
        <v>PARDO, AUGUSTO</v>
      </c>
      <c r="E145" s="22">
        <v>45992.0</v>
      </c>
      <c r="F145" s="22"/>
      <c r="G145" s="23" t="s">
        <v>39</v>
      </c>
      <c r="H145" s="35">
        <f>IF( ISERROR( OFFSET(   'Cuadro tarifario'!D$2  , MATCH(CONCATENATE(                 IF(F145&gt;Mes,OFFSET(NroCT!B$17, MATCH($F145,NroCT!$A$18:$A1405,0),0,1,1),Periodovigente)                                                                                                                     ,A145) ,'Cuadro tarifario'!A$2:A1405,0) -1 , 0 , 1 , 1) )   , 0  ,   OFFSET(   'Cuadro tarifario'!D$2  , MATCH(CONCATENATE( IF(F145&gt;Mes,OFFSET(NroCT!B$17, MATCH($F145,NroCT!$A$18:$A1405,0),0,1,1),Periodovigente) ,A145) ,'Cuadro tarifario'!A$2:A1405,0) -1 , 0 , 1 , 1))</f>
        <v>4000</v>
      </c>
      <c r="I145" s="36">
        <f t="shared" si="103"/>
        <v>0</v>
      </c>
      <c r="J145" s="37">
        <f t="shared" si="79"/>
        <v>0</v>
      </c>
      <c r="K145" s="38">
        <f>if(  and(N145&gt;0,I145=0)          ,N145 ,                         If(  If( F145 ,  DAYS360(date(year(F145),month(F145),1),Mes)/30  ,  DAYS360(date(year(E145),month(E145),1),Mes)/30  )  &gt;  0 , If(F145,   DAYS360(date(year(F145),month(F145),1),Mes)/30  ,  DAYS360(date(year(E145),month(E145),1),Mes)/30) , 0)       )</f>
        <v>0</v>
      </c>
      <c r="L145" s="39">
        <f t="shared" si="104"/>
        <v>0</v>
      </c>
      <c r="M145" s="40"/>
      <c r="N145" s="29">
        <f>IF( ISERROR(OFFSET(SECUESTRADOS!D$1,MATCH(B145,SECUESTRADOS!A$2:A1405,0),0)) ,0 ,  OFFSET(SECUESTRADOS!D$1,MATCH(B145,SECUESTRADOS!A$2:A1405,0),0)  )</f>
        <v>0</v>
      </c>
      <c r="O145" s="30"/>
      <c r="P145" s="17" t="b">
        <f t="shared" si="3"/>
        <v>0</v>
      </c>
      <c r="Q145" s="17" t="str">
        <f t="shared" si="105"/>
        <v/>
      </c>
      <c r="R145" s="31"/>
      <c r="S145" s="31"/>
      <c r="T145" s="31"/>
    </row>
    <row r="146">
      <c r="A146" s="18" t="s">
        <v>71</v>
      </c>
      <c r="B146" s="18">
        <v>1305.0</v>
      </c>
      <c r="C146" s="19">
        <v>1305.0</v>
      </c>
      <c r="D146" s="34" t="str">
        <f>if(   iserror(offset(PADRON!B$2,match(C:C,PADRON!A$2:A1405,0)-1,0,1,1) )  ,  ,    offset(PADRON!B$2,match(C:C,PADRON!A$2:A1405,0)-1,0,1,1))</f>
        <v>GORDILLO,SANTIAGO</v>
      </c>
      <c r="E146" s="22">
        <v>45778.0</v>
      </c>
      <c r="F146" s="22"/>
      <c r="G146" s="23" t="s">
        <v>39</v>
      </c>
      <c r="H146" s="35">
        <f>IF( ISERROR( OFFSET(   'Cuadro tarifario'!D$2  , MATCH(CONCATENATE(                 IF(F146&gt;Mes,OFFSET(NroCT!B$17, MATCH($F146,NroCT!$A$18:$A1405,0),0,1,1),Periodovigente)                                                                                                                     ,A146) ,'Cuadro tarifario'!A$2:A1405,0) -1 , 0 , 1 , 1) )   , 0  ,   OFFSET(   'Cuadro tarifario'!D$2  , MATCH(CONCATENATE( IF(F146&gt;Mes,OFFSET(NroCT!B$17, MATCH($F146,NroCT!$A$18:$A1405,0),0,1,1),Periodovigente) ,A146) ,'Cuadro tarifario'!A$2:A1405,0) -1 , 0 , 1 , 1))</f>
        <v>11000</v>
      </c>
      <c r="I146" s="36">
        <f t="shared" si="103"/>
        <v>0</v>
      </c>
      <c r="J146" s="37">
        <f t="shared" si="79"/>
        <v>0</v>
      </c>
      <c r="K146" s="38">
        <f>if(  and(N146&gt;0,I146=0)          ,N146 ,                         If(  If( F146 ,  DAYS360(date(year(F146),month(F146),1),Mes)/30  ,  DAYS360(date(year(E146),month(E146),1),Mes)/30  )  &gt;  0 , If(F146,   DAYS360(date(year(F146),month(F146),1),Mes)/30  ,  DAYS360(date(year(E146),month(E146),1),Mes)/30) , 0)       )</f>
        <v>3</v>
      </c>
      <c r="L146" s="39">
        <f t="shared" si="104"/>
        <v>33000</v>
      </c>
      <c r="M146" s="40"/>
      <c r="N146" s="29">
        <f>IF( ISERROR(OFFSET(SECUESTRADOS!D$1,MATCH(B146,SECUESTRADOS!A$2:A1405,0),0)) ,0 ,  OFFSET(SECUESTRADOS!D$1,MATCH(B146,SECUESTRADOS!A$2:A1405,0),0)  )</f>
        <v>0</v>
      </c>
      <c r="O146" s="30"/>
      <c r="P146" s="17" t="b">
        <f t="shared" si="3"/>
        <v>0</v>
      </c>
      <c r="Q146" s="17" t="str">
        <f>IF(AND(A146=#REF!,B146=#REF!,C146=#REF!),"Repetido","")</f>
        <v>#REF!</v>
      </c>
      <c r="R146" s="31"/>
      <c r="S146" s="31"/>
      <c r="T146" s="31"/>
    </row>
    <row r="147">
      <c r="A147" s="18" t="s">
        <v>38</v>
      </c>
      <c r="B147" s="18">
        <v>1305.0</v>
      </c>
      <c r="C147" s="19">
        <v>1305.0</v>
      </c>
      <c r="D147" s="34" t="str">
        <f>if(   iserror(offset(PADRON!B$2,match(C:C,PADRON!A$2:A1405,0)-1,0,1,1) )  ,  ,    offset(PADRON!B$2,match(C:C,PADRON!A$2:A1405,0)-1,0,1,1))</f>
        <v>GORDILLO,SANTIAGO</v>
      </c>
      <c r="E147" s="22">
        <v>45778.0</v>
      </c>
      <c r="F147" s="22"/>
      <c r="G147" s="23" t="s">
        <v>39</v>
      </c>
      <c r="H147" s="35">
        <f>IF( ISERROR( OFFSET(   'Cuadro tarifario'!D$2  , MATCH(CONCATENATE(                 IF(F147&gt;Mes,OFFSET(NroCT!B$17, MATCH($F147,NroCT!$A$18:$A1405,0),0,1,1),Periodovigente)                                                                                                                     ,A147) ,'Cuadro tarifario'!A$2:A1405,0) -1 , 0 , 1 , 1) )   , 0  ,   OFFSET(   'Cuadro tarifario'!D$2  , MATCH(CONCATENATE( IF(F147&gt;Mes,OFFSET(NroCT!B$17, MATCH($F147,NroCT!$A$18:$A1405,0),0,1,1),Periodovigente) ,A147) ,'Cuadro tarifario'!A$2:A1405,0) -1 , 0 , 1 , 1))</f>
        <v>9000</v>
      </c>
      <c r="I147" s="36">
        <f t="shared" si="103"/>
        <v>0</v>
      </c>
      <c r="J147" s="37">
        <f t="shared" si="79"/>
        <v>0</v>
      </c>
      <c r="K147" s="38">
        <f>if(  and(N147&gt;0,I147=0)          ,N147 ,                         If(  If( F147 ,  DAYS360(date(year(F147),month(F147),1),Mes)/30  ,  DAYS360(date(year(E147),month(E147),1),Mes)/30  )  &gt;  0 , If(F147,   DAYS360(date(year(F147),month(F147),1),Mes)/30  ,  DAYS360(date(year(E147),month(E147),1),Mes)/30) , 0)       )</f>
        <v>3</v>
      </c>
      <c r="L147" s="39">
        <f t="shared" si="104"/>
        <v>27000</v>
      </c>
      <c r="M147" s="40"/>
      <c r="N147" s="29">
        <f>IF( ISERROR(OFFSET(SECUESTRADOS!D$1,MATCH(B147,SECUESTRADOS!A$2:A1405,0),0)) ,0 ,  OFFSET(SECUESTRADOS!D$1,MATCH(B147,SECUESTRADOS!A$2:A1405,0),0)  )</f>
        <v>0</v>
      </c>
      <c r="O147" s="30"/>
      <c r="P147" s="17" t="b">
        <f t="shared" si="3"/>
        <v>0</v>
      </c>
      <c r="Q147" s="17" t="str">
        <f t="shared" ref="Q147:Q148" si="106">IF(AND(A147=A146,B147=B146,C147=C146),"Repetido","")</f>
        <v/>
      </c>
      <c r="R147" s="31"/>
      <c r="S147" s="31"/>
      <c r="T147" s="31"/>
    </row>
    <row r="148">
      <c r="A148" s="51" t="s">
        <v>48</v>
      </c>
      <c r="B148" s="51" t="s">
        <v>120</v>
      </c>
      <c r="C148" s="19">
        <v>1305.0</v>
      </c>
      <c r="D148" s="34" t="str">
        <f>if(   iserror(offset(PADRON!B$2,match(C:C,PADRON!A$2:A1405,0)-1,0,1,1) )  ,  ,    offset(PADRON!B$2,match(C:C,PADRON!A$2:A1405,0)-1,0,1,1))</f>
        <v>GORDILLO,SANTIAGO</v>
      </c>
      <c r="E148" s="22">
        <v>45778.0</v>
      </c>
      <c r="F148" s="22"/>
      <c r="G148" s="23" t="s">
        <v>39</v>
      </c>
      <c r="H148" s="35">
        <f>IF( ISERROR( OFFSET(   'Cuadro tarifario'!D$2  , MATCH(CONCATENATE(                 IF(F148&gt;Mes,OFFSET(NroCT!B$17, MATCH($F148,NroCT!$A$18:$A1405,0),0,1,1),Periodovigente)                                                                                                                     ,A148) ,'Cuadro tarifario'!A$2:A1405,0) -1 , 0 , 1 , 1) )   , 0  ,   OFFSET(   'Cuadro tarifario'!D$2  , MATCH(CONCATENATE( IF(F148&gt;Mes,OFFSET(NroCT!B$17, MATCH($F148,NroCT!$A$18:$A1405,0),0,1,1),Periodovigente) ,A148) ,'Cuadro tarifario'!A$2:A1405,0) -1 , 0 , 1 , 1))</f>
        <v>12000</v>
      </c>
      <c r="I148" s="36">
        <f t="shared" si="103"/>
        <v>0</v>
      </c>
      <c r="J148" s="37">
        <f t="shared" si="79"/>
        <v>0</v>
      </c>
      <c r="K148" s="38">
        <f>if(  and(N148&gt;0,I148=0)          ,N148 ,                         If(  If( F148 ,  DAYS360(date(year(F148),month(F148),1),Mes)/30  ,  DAYS360(date(year(E148),month(E148),1),Mes)/30  )  &gt;  0 , If(F148,   DAYS360(date(year(F148),month(F148),1),Mes)/30  ,  DAYS360(date(year(E148),month(E148),1),Mes)/30) , 0)       )</f>
        <v>3</v>
      </c>
      <c r="L148" s="39">
        <f t="shared" si="104"/>
        <v>36000</v>
      </c>
      <c r="M148" s="40"/>
      <c r="N148" s="29">
        <f>IF( ISERROR(OFFSET(SECUESTRADOS!D$1,MATCH(B148,SECUESTRADOS!A$2:A1405,0),0)) ,0 ,  OFFSET(SECUESTRADOS!D$1,MATCH(B148,SECUESTRADOS!A$2:A1405,0),0)  )</f>
        <v>0</v>
      </c>
      <c r="O148" s="30"/>
      <c r="P148" s="17" t="b">
        <f t="shared" si="3"/>
        <v>0</v>
      </c>
      <c r="Q148" s="17" t="str">
        <f t="shared" si="106"/>
        <v/>
      </c>
      <c r="R148" s="31"/>
      <c r="S148" s="31"/>
      <c r="T148" s="31"/>
    </row>
    <row r="149">
      <c r="A149" s="54" t="s">
        <v>71</v>
      </c>
      <c r="B149" s="54">
        <v>1318.0</v>
      </c>
      <c r="C149" s="19">
        <v>1318.0</v>
      </c>
      <c r="D149" s="34" t="str">
        <f>if(   iserror(offset(PADRON!B$2,match(C:C,PADRON!A$2:A1405,0)-1,0,1,1) )  ,  ,    offset(PADRON!B$2,match(C:C,PADRON!A$2:A1405,0)-1,0,1,1))</f>
        <v>ARANAGA, FERNANDO</v>
      </c>
      <c r="E149" s="22">
        <v>45839.0</v>
      </c>
      <c r="F149" s="22">
        <v>45901.0</v>
      </c>
      <c r="G149" s="23" t="s">
        <v>39</v>
      </c>
      <c r="H149" s="35">
        <f>IF( ISERROR( OFFSET(   'Cuadro tarifario'!D$2  , MATCH(CONCATENATE(                 IF(F149&gt;Mes,OFFSET(NroCT!B$17, MATCH($F149,NroCT!$A$18:$A1405,0),0,1,1),Periodovigente)                                                                                                                     ,A149) ,'Cuadro tarifario'!A$2:A1405,0) -1 , 0 , 1 , 1) )   , 0  ,   OFFSET(   'Cuadro tarifario'!D$2  , MATCH(CONCATENATE( IF(F149&gt;Mes,OFFSET(NroCT!B$17, MATCH($F149,NroCT!$A$18:$A1405,0),0,1,1),Periodovigente) ,A149) ,'Cuadro tarifario'!A$2:A1405,0) -1 , 0 , 1 , 1))</f>
        <v>11000</v>
      </c>
      <c r="I149" s="36">
        <f t="shared" si="103"/>
        <v>2</v>
      </c>
      <c r="J149" s="37">
        <f t="shared" si="79"/>
        <v>22000</v>
      </c>
      <c r="K149" s="38">
        <f>if(  and(N149&gt;0,I149=0)          ,N149 ,                         If(  If( F149 ,  DAYS360(date(year(F149),month(F149),1),Mes)/30  ,  DAYS360(date(year(E149),month(E149),1),Mes)/30  )  &gt;  0 , If(F149,   DAYS360(date(year(F149),month(F149),1),Mes)/30  ,  DAYS360(date(year(E149),month(E149),1),Mes)/30) , 0)       )</f>
        <v>0</v>
      </c>
      <c r="L149" s="39">
        <f t="shared" si="104"/>
        <v>0</v>
      </c>
      <c r="M149" s="40"/>
      <c r="N149" s="29">
        <f>IF( ISERROR(OFFSET(SECUESTRADOS!D$1,MATCH(B149,SECUESTRADOS!A$2:A1405,0),0)) ,0 ,  OFFSET(SECUESTRADOS!D$1,MATCH(B149,SECUESTRADOS!A$2:A1405,0),0)  )</f>
        <v>0</v>
      </c>
      <c r="O149" s="30"/>
      <c r="P149" s="17" t="str">
        <f t="shared" si="3"/>
        <v>.socio</v>
      </c>
      <c r="Q149" s="17" t="str">
        <f>IF(AND(A149=#REF!,B149=#REF!,C149=#REF!),"Repetido","")</f>
        <v>#REF!</v>
      </c>
      <c r="R149" s="31"/>
      <c r="S149" s="31"/>
      <c r="T149" s="31"/>
    </row>
    <row r="150">
      <c r="A150" s="18" t="s">
        <v>38</v>
      </c>
      <c r="B150" s="17">
        <v>1318.0</v>
      </c>
      <c r="C150" s="19">
        <v>1318.0</v>
      </c>
      <c r="D150" s="20" t="str">
        <f>IF(   ISERROR(OFFSET(PADRON!B$2,MATCH(C:C,PADRON!A$2:A1405,0)-1,0,1,1) )  ,  ,    OFFSET(PADRON!B$2,MATCH(C:C,PADRON!A$2:A1405,0)-1,0,1,1))</f>
        <v>ARANAGA, FERNANDO</v>
      </c>
      <c r="E150" s="21">
        <v>45839.0</v>
      </c>
      <c r="F150" s="21">
        <v>45901.0</v>
      </c>
      <c r="G150" s="23" t="s">
        <v>39</v>
      </c>
      <c r="H150" s="24">
        <f>IF( ISERROR( OFFSET(   'Cuadro tarifario'!D$2  , MATCH(CONCATENATE(                 IF(F150&gt;Mes,OFFSET(NroCT!B$17, MATCH($F150,NroCT!$A$18:$A1405,0),0,1,1),Periodovigente)                                                                                                                     ,A150) ,'Cuadro tarifario'!A$2:A1405,0) -1 , 0 , 1 , 1) )   , 0  ,   OFFSET(   'Cuadro tarifario'!D$2  , MATCH(CONCATENATE( IF(F150&gt;Mes,OFFSET(NroCT!B$17, MATCH($F150,NroCT!$A$18:$A1405,0),0,1,1),Periodovigente) ,A150) ,'Cuadro tarifario'!A$2:A1405,0) -1 , 0 , 1 , 1))</f>
        <v>9000</v>
      </c>
      <c r="I150" s="25">
        <f>INT(IF(F150,DAYS360(          DATE(YEAR(E150),MONTH(E150),1),         DATE(YEAR(F150)     ,      MONTH(F150),1 )    )            /30,0 ))</f>
        <v>2</v>
      </c>
      <c r="J150" s="24">
        <f t="shared" si="79"/>
        <v>18000</v>
      </c>
      <c r="K150" s="26">
        <f>IF(  AND(N150&gt;0,I150=0)          ,N150 ,                         IF(  IF( F150 ,  DAYS360(DATE(YEAR(F150),MONTH(F150),1),Mes)/30  ,  DAYS360(DATE(YEAR(E150),MONTH(E150),1),Mes)/30  )  &gt;  0 , IF(F150,   DAYS360(DATE(YEAR(F150),MONTH(F150),1),Mes)/30  ,  DAYS360(DATE(YEAR(E150),MONTH(E150),1),Mes)/30) , 0)       )</f>
        <v>0</v>
      </c>
      <c r="L150" s="27">
        <f>IF(ISERROR(K:K*H:H)   ,  0   ,   K:K*H:H)</f>
        <v>0</v>
      </c>
      <c r="M150" s="28"/>
      <c r="N150" s="29">
        <f>IF( ISERROR(OFFSET(SECUESTRADOS!D$1,MATCH(B150,SECUESTRADOS!A$2:A1405,0),0)) ,0 ,  OFFSET(SECUESTRADOS!D$1,MATCH(B150,SECUESTRADOS!A$2:A1405,0),0)  )</f>
        <v>0</v>
      </c>
      <c r="O150" s="30"/>
      <c r="P150" s="17" t="str">
        <f t="shared" si="3"/>
        <v>Bono canon</v>
      </c>
      <c r="Q150" s="17" t="str">
        <f>IF(AND(A150=A149,B150=B149,C150=C149),"Repetido","")</f>
        <v/>
      </c>
      <c r="R150" s="31"/>
      <c r="S150" s="31"/>
      <c r="T150" s="31"/>
    </row>
    <row r="151">
      <c r="A151" s="54" t="s">
        <v>71</v>
      </c>
      <c r="B151" s="54">
        <v>1321.0</v>
      </c>
      <c r="C151" s="19">
        <v>1321.0</v>
      </c>
      <c r="D151" s="34" t="str">
        <f>if(   iserror(offset(PADRON!B$2,match(C:C,PADRON!A$2:A1405,0)-1,0,1,1) )  ,  ,    offset(PADRON!B$2,match(C:C,PADRON!A$2:A1405,0)-1,0,1,1))</f>
        <v>ROSAS, SEBASTIAN</v>
      </c>
      <c r="E151" s="22">
        <v>45839.0</v>
      </c>
      <c r="F151" s="22">
        <v>45901.0</v>
      </c>
      <c r="G151" s="23" t="s">
        <v>39</v>
      </c>
      <c r="H151" s="35">
        <f>IF( ISERROR( OFFSET(   'Cuadro tarifario'!D$2  , MATCH(CONCATENATE(                 IF(F151&gt;Mes,OFFSET(NroCT!B$17, MATCH($F151,NroCT!$A$18:$A1405,0),0,1,1),Periodovigente)                                                                                                                     ,A151) ,'Cuadro tarifario'!A$2:A1405,0) -1 , 0 , 1 , 1) )   , 0  ,   OFFSET(   'Cuadro tarifario'!D$2  , MATCH(CONCATENATE( IF(F151&gt;Mes,OFFSET(NroCT!B$17, MATCH($F151,NroCT!$A$18:$A1405,0),0,1,1),Periodovigente) ,A151) ,'Cuadro tarifario'!A$2:A1405,0) -1 , 0 , 1 , 1))</f>
        <v>11000</v>
      </c>
      <c r="I151" s="36">
        <f>Int(If(F151,DAYS360(          date(Year(E151),Month(E151),1),         date(Year(F151)     ,      Month(F151),1 )    )            /30,0 ))</f>
        <v>2</v>
      </c>
      <c r="J151" s="37">
        <f t="shared" si="79"/>
        <v>22000</v>
      </c>
      <c r="K151" s="38">
        <f>if(  and(N151&gt;0,I151=0)          ,N151 ,                         If(  If( F151 ,  DAYS360(date(year(F151),month(F151),1),Mes)/30  ,  DAYS360(date(year(E151),month(E151),1),Mes)/30  )  &gt;  0 , If(F151,   DAYS360(date(year(F151),month(F151),1),Mes)/30  ,  DAYS360(date(year(E151),month(E151),1),Mes)/30) , 0)       )</f>
        <v>0</v>
      </c>
      <c r="L151" s="39">
        <f>If(Iserror(K:K*H:H)   ,  0   ,   K:K*H:H)</f>
        <v>0</v>
      </c>
      <c r="M151" s="40"/>
      <c r="N151" s="29">
        <f>IF( ISERROR(OFFSET(SECUESTRADOS!D$1,MATCH(B151,SECUESTRADOS!A$2:A1405,0),0)) ,0 ,  OFFSET(SECUESTRADOS!D$1,MATCH(B151,SECUESTRADOS!A$2:A1405,0),0)  )</f>
        <v>0</v>
      </c>
      <c r="O151" s="30"/>
      <c r="P151" s="17" t="str">
        <f t="shared" si="3"/>
        <v>.socio</v>
      </c>
      <c r="Q151" s="17" t="str">
        <f>IF(AND(A151=#REF!,B151=#REF!,C151=#REF!),"Repetido","")</f>
        <v>#REF!</v>
      </c>
      <c r="R151" s="31"/>
      <c r="S151" s="31"/>
      <c r="T151" s="31"/>
    </row>
    <row r="152">
      <c r="A152" s="18" t="s">
        <v>38</v>
      </c>
      <c r="B152" s="17">
        <v>1321.0</v>
      </c>
      <c r="C152" s="19">
        <v>1321.0</v>
      </c>
      <c r="D152" s="20" t="str">
        <f>IF(   ISERROR(OFFSET(PADRON!B$2,MATCH(C:C,PADRON!A$2:A1405,0)-1,0,1,1) )  ,  ,    OFFSET(PADRON!B$2,MATCH(C:C,PADRON!A$2:A1405,0)-1,0,1,1))</f>
        <v>ROSAS, SEBASTIAN</v>
      </c>
      <c r="E152" s="21">
        <v>45839.0</v>
      </c>
      <c r="F152" s="21">
        <v>45901.0</v>
      </c>
      <c r="G152" s="23" t="s">
        <v>39</v>
      </c>
      <c r="H152" s="24">
        <f>IF( ISERROR( OFFSET(   'Cuadro tarifario'!D$2  , MATCH(CONCATENATE(                 IF(F152&gt;Mes,OFFSET(NroCT!B$17, MATCH($F152,NroCT!$A$18:$A1405,0),0,1,1),Periodovigente)                                                                                                                     ,A152) ,'Cuadro tarifario'!A$2:A1405,0) -1 , 0 , 1 , 1) )   , 0  ,   OFFSET(   'Cuadro tarifario'!D$2  , MATCH(CONCATENATE( IF(F152&gt;Mes,OFFSET(NroCT!B$17, MATCH($F152,NroCT!$A$18:$A1405,0),0,1,1),Periodovigente) ,A152) ,'Cuadro tarifario'!A$2:A1405,0) -1 , 0 , 1 , 1))</f>
        <v>9000</v>
      </c>
      <c r="I152" s="25">
        <f>INT(IF(F152,DAYS360(          DATE(YEAR(E152),MONTH(E152),1),         DATE(YEAR(F152)     ,      MONTH(F152),1 )    )            /30,0 ))</f>
        <v>2</v>
      </c>
      <c r="J152" s="24">
        <f t="shared" si="79"/>
        <v>18000</v>
      </c>
      <c r="K152" s="26">
        <f>IF(  AND(N152&gt;0,I152=0)          ,N152 ,                         IF(  IF( F152 ,  DAYS360(DATE(YEAR(F152),MONTH(F152),1),Mes)/30  ,  DAYS360(DATE(YEAR(E152),MONTH(E152),1),Mes)/30  )  &gt;  0 , IF(F152,   DAYS360(DATE(YEAR(F152),MONTH(F152),1),Mes)/30  ,  DAYS360(DATE(YEAR(E152),MONTH(E152),1),Mes)/30) , 0)       )</f>
        <v>0</v>
      </c>
      <c r="L152" s="27">
        <f>IF(ISERROR(K:K*H:H)   ,  0   ,   K:K*H:H)</f>
        <v>0</v>
      </c>
      <c r="M152" s="28"/>
      <c r="N152" s="29">
        <f>IF( ISERROR(OFFSET(SECUESTRADOS!D$1,MATCH(B152,SECUESTRADOS!A$2:A1405,0),0)) ,0 ,  OFFSET(SECUESTRADOS!D$1,MATCH(B152,SECUESTRADOS!A$2:A1405,0),0)  )</f>
        <v>0</v>
      </c>
      <c r="O152" s="30"/>
      <c r="P152" s="17" t="str">
        <f t="shared" si="3"/>
        <v>Bono canon</v>
      </c>
      <c r="Q152" s="17" t="str">
        <f t="shared" ref="Q152:Q156" si="107">IF(AND(A152=A151,B152=B151,C152=C151),"Repetido","")</f>
        <v/>
      </c>
      <c r="R152" s="31"/>
      <c r="S152" s="31"/>
      <c r="T152" s="31"/>
    </row>
    <row r="153">
      <c r="A153" s="54" t="s">
        <v>40</v>
      </c>
      <c r="B153" s="54" t="s">
        <v>121</v>
      </c>
      <c r="C153" s="19">
        <v>1321.0</v>
      </c>
      <c r="D153" s="34" t="str">
        <f>if(   iserror(offset(PADRON!B$2,match(C:C,PADRON!A$2:A1405,0)-1,0,1,1) )  ,  ,    offset(PADRON!B$2,match(C:C,PADRON!A$2:A1405,0)-1,0,1,1))</f>
        <v>ROSAS, SEBASTIAN</v>
      </c>
      <c r="E153" s="22">
        <v>45839.0</v>
      </c>
      <c r="F153" s="21">
        <v>45901.0</v>
      </c>
      <c r="G153" s="23" t="s">
        <v>39</v>
      </c>
      <c r="H153" s="35">
        <f>IF( ISERROR( OFFSET(   'Cuadro tarifario'!D$2  , MATCH(CONCATENATE(                 IF(F153&gt;Mes,OFFSET(NroCT!B$17, MATCH($F153,NroCT!$A$18:$A1405,0),0,1,1),Periodovigente)                                                                                                                     ,A153) ,'Cuadro tarifario'!A$2:A1405,0) -1 , 0 , 1 , 1) )   , 0  ,   OFFSET(   'Cuadro tarifario'!D$2  , MATCH(CONCATENATE( IF(F153&gt;Mes,OFFSET(NroCT!B$17, MATCH($F153,NroCT!$A$18:$A1405,0),0,1,1),Periodovigente) ,A153) ,'Cuadro tarifario'!A$2:A1405,0) -1 , 0 , 1 , 1))</f>
        <v>12000</v>
      </c>
      <c r="I153" s="36">
        <f>Int(If(F153,DAYS360(          date(Year(E153),Month(E153),1),         date(Year(F153)     ,      Month(F153),1 )    )            /30,0 ))</f>
        <v>2</v>
      </c>
      <c r="J153" s="37">
        <f t="shared" si="79"/>
        <v>24000</v>
      </c>
      <c r="K153" s="38">
        <f>if(  and(N153&gt;0,I153=0)          ,N153 ,                         If(  If( F153 ,  DAYS360(date(year(F153),month(F153),1),Mes)/30  ,  DAYS360(date(year(E153),month(E153),1),Mes)/30  )  &gt;  0 , If(F153,   DAYS360(date(year(F153),month(F153),1),Mes)/30  ,  DAYS360(date(year(E153),month(E153),1),Mes)/30) , 0)       )</f>
        <v>0</v>
      </c>
      <c r="L153" s="39">
        <f>If(Iserror(K:K*H:H)   ,  0   ,   K:K*H:H)</f>
        <v>0</v>
      </c>
      <c r="M153" s="40"/>
      <c r="N153" s="29">
        <f>IF( ISERROR(OFFSET(SECUESTRADOS!D$1,MATCH(B153,SECUESTRADOS!A$2:A1405,0),0)) ,0 ,  OFFSET(SECUESTRADOS!D$1,MATCH(B153,SECUESTRADOS!A$2:A1405,0),0)  )</f>
        <v>0</v>
      </c>
      <c r="O153" s="30"/>
      <c r="P153" s="17" t="str">
        <f t="shared" si="3"/>
        <v>cuna windsurf</v>
      </c>
      <c r="Q153" s="17" t="str">
        <f t="shared" si="107"/>
        <v/>
      </c>
      <c r="R153" s="31"/>
      <c r="S153" s="31"/>
      <c r="T153" s="31"/>
    </row>
    <row r="154">
      <c r="A154" s="91" t="s">
        <v>42</v>
      </c>
      <c r="B154" s="91" t="s">
        <v>122</v>
      </c>
      <c r="C154" s="19">
        <v>1321.0</v>
      </c>
      <c r="D154" s="44" t="str">
        <f>IF(   ISERROR(OFFSET(PADRON!B$2,MATCH(C:C,PADRON!A$2:A1405,0)-1,0,1,1) )  ,  ,    OFFSET(PADRON!B$2,MATCH(C:C,PADRON!A$2:A1405,0)-1,0,1,1))</f>
        <v>ROSAS, SEBASTIAN</v>
      </c>
      <c r="E154" s="45">
        <v>45992.0</v>
      </c>
      <c r="F154" s="45"/>
      <c r="G154" s="23" t="s">
        <v>39</v>
      </c>
      <c r="H154" s="24">
        <f>IF( ISERROR( OFFSET(   'Cuadro tarifario'!D$2  , MATCH(CONCATENATE(                 IF(F154&gt;Mes,OFFSET(NroCT!B$17, MATCH($F154,NroCT!$A$18:$A1405,0),0,1,1),Periodovigente)                                                                                                                     ,A154) ,'Cuadro tarifario'!A$2:A1405,0) -1 , 0 , 1 , 1) )   , 0  ,   OFFSET(   'Cuadro tarifario'!D$2  , MATCH(CONCATENATE( IF(F154&gt;Mes,OFFSET(NroCT!B$17, MATCH($F154,NroCT!$A$18:$A1405,0),0,1,1),Periodovigente) ,A154) ,'Cuadro tarifario'!A$2:A1405,0) -1 , 0 , 1 , 1))</f>
        <v>4000</v>
      </c>
      <c r="I154" s="46">
        <f t="shared" ref="I154:I156" si="108">INT(IF(F154,DAYS360(          DATE(YEAR(E154),MONTH(E154),1),         DATE(YEAR(F154)     ,      MONTH(F154),1 )    )            /30,0 ))</f>
        <v>0</v>
      </c>
      <c r="J154" s="47">
        <f t="shared" si="79"/>
        <v>0</v>
      </c>
      <c r="K154" s="48">
        <f>IF(  AND(N154&gt;0,I154=0)          ,N154 ,                         IF(  IF( F154 ,  DAYS360(DATE(YEAR(F154),MONTH(F154),1),Mes)/30  ,  DAYS360(DATE(YEAR(E154),MONTH(E154),1),Mes)/30  )  &gt;  0 , IF(F154,   DAYS360(DATE(YEAR(F154),MONTH(F154),1),Mes)/30  ,  DAYS360(DATE(YEAR(E154),MONTH(E154),1),Mes)/30) , 0)       )</f>
        <v>0</v>
      </c>
      <c r="L154" s="49">
        <f t="shared" ref="L154:L156" si="109">IF(ISERROR(K:K*H:H)   ,  0   ,   K:K*H:H)</f>
        <v>0</v>
      </c>
      <c r="M154" s="50"/>
      <c r="N154" s="29">
        <f>IF( ISERROR(OFFSET(SECUESTRADOS!D$1,MATCH(B154,SECUESTRADOS!A$2:A1405,0),0)) ,0 ,  OFFSET(SECUESTRADOS!D$1,MATCH(B154,SECUESTRADOS!A$2:A1405,0),0)  )</f>
        <v>0</v>
      </c>
      <c r="O154" s="30"/>
      <c r="P154" s="17" t="b">
        <f t="shared" si="3"/>
        <v>0</v>
      </c>
      <c r="Q154" s="17" t="str">
        <f t="shared" si="107"/>
        <v/>
      </c>
      <c r="R154" s="31"/>
      <c r="S154" s="31"/>
      <c r="T154" s="31"/>
    </row>
    <row r="155">
      <c r="A155" s="91" t="s">
        <v>42</v>
      </c>
      <c r="B155" s="91" t="s">
        <v>123</v>
      </c>
      <c r="C155" s="19">
        <v>1321.0</v>
      </c>
      <c r="D155" s="44" t="str">
        <f>IF(   ISERROR(OFFSET(PADRON!B$2,MATCH(C:C,PADRON!A$2:A1405,0)-1,0,1,1) )  ,  ,    OFFSET(PADRON!B$2,MATCH(C:C,PADRON!A$2:A1405,0)-1,0,1,1))</f>
        <v>ROSAS, SEBASTIAN</v>
      </c>
      <c r="E155" s="45">
        <v>45992.0</v>
      </c>
      <c r="F155" s="45"/>
      <c r="G155" s="23" t="s">
        <v>39</v>
      </c>
      <c r="H155" s="24">
        <f>IF( ISERROR( OFFSET(   'Cuadro tarifario'!D$2  , MATCH(CONCATENATE(                 IF(F155&gt;Mes,OFFSET(NroCT!B$17, MATCH($F155,NroCT!$A$18:$A1405,0),0,1,1),Periodovigente)                                                                                                                     ,A155) ,'Cuadro tarifario'!A$2:A1405,0) -1 , 0 , 1 , 1) )   , 0  ,   OFFSET(   'Cuadro tarifario'!D$2  , MATCH(CONCATENATE( IF(F155&gt;Mes,OFFSET(NroCT!B$17, MATCH($F155,NroCT!$A$18:$A1405,0),0,1,1),Periodovigente) ,A155) ,'Cuadro tarifario'!A$2:A1405,0) -1 , 0 , 1 , 1))</f>
        <v>4000</v>
      </c>
      <c r="I155" s="46">
        <f t="shared" si="108"/>
        <v>0</v>
      </c>
      <c r="J155" s="47">
        <f t="shared" si="79"/>
        <v>0</v>
      </c>
      <c r="K155" s="48">
        <f>IF(  AND(N155&gt;0,I155=0)          ,N155 ,                         IF(  IF( F155 ,  DAYS360(DATE(YEAR(F155),MONTH(F155),1),Mes)/30  ,  DAYS360(DATE(YEAR(E155),MONTH(E155),1),Mes)/30  )  &gt;  0 , IF(F155,   DAYS360(DATE(YEAR(F155),MONTH(F155),1),Mes)/30  ,  DAYS360(DATE(YEAR(E155),MONTH(E155),1),Mes)/30) , 0)       )</f>
        <v>0</v>
      </c>
      <c r="L155" s="49">
        <f t="shared" si="109"/>
        <v>0</v>
      </c>
      <c r="M155" s="50"/>
      <c r="N155" s="29">
        <f>IF( ISERROR(OFFSET(SECUESTRADOS!D$1,MATCH(B155,SECUESTRADOS!A$2:A1405,0),0)) ,0 ,  OFFSET(SECUESTRADOS!D$1,MATCH(B155,SECUESTRADOS!A$2:A1405,0),0)  )</f>
        <v>0</v>
      </c>
      <c r="O155" s="30"/>
      <c r="P155" s="17" t="b">
        <f t="shared" si="3"/>
        <v>0</v>
      </c>
      <c r="Q155" s="17" t="str">
        <f t="shared" si="107"/>
        <v/>
      </c>
      <c r="R155" s="31"/>
      <c r="S155" s="31"/>
      <c r="T155" s="31"/>
    </row>
    <row r="156">
      <c r="A156" s="91" t="s">
        <v>50</v>
      </c>
      <c r="B156" s="91" t="s">
        <v>124</v>
      </c>
      <c r="C156" s="19">
        <v>1321.0</v>
      </c>
      <c r="D156" s="44" t="str">
        <f>IF(   ISERROR(OFFSET(PADRON!B$2,MATCH(C:C,PADRON!A$2:A1405,0)-1,0,1,1) )  ,  ,    OFFSET(PADRON!B$2,MATCH(C:C,PADRON!A$2:A1405,0)-1,0,1,1))</f>
        <v>ROSAS, SEBASTIAN</v>
      </c>
      <c r="E156" s="45">
        <v>45992.0</v>
      </c>
      <c r="F156" s="45"/>
      <c r="G156" s="23" t="s">
        <v>39</v>
      </c>
      <c r="H156" s="24">
        <f>IF( ISERROR( OFFSET(   'Cuadro tarifario'!D$2  , MATCH(CONCATENATE(                 IF(F156&gt;Mes,OFFSET(NroCT!B$17, MATCH($F156,NroCT!$A$18:$A1405,0),0,1,1),Periodovigente)                                                                                                                     ,A156) ,'Cuadro tarifario'!A$2:A1405,0) -1 , 0 , 1 , 1) )   , 0  ,   OFFSET(   'Cuadro tarifario'!D$2  , MATCH(CONCATENATE( IF(F156&gt;Mes,OFFSET(NroCT!B$17, MATCH($F156,NroCT!$A$18:$A1405,0),0,1,1),Periodovigente) ,A156) ,'Cuadro tarifario'!A$2:A1405,0) -1 , 0 , 1 , 1))</f>
        <v>3600</v>
      </c>
      <c r="I156" s="46">
        <f t="shared" si="108"/>
        <v>0</v>
      </c>
      <c r="J156" s="47">
        <f t="shared" si="79"/>
        <v>0</v>
      </c>
      <c r="K156" s="48">
        <f>IF(  AND(N156&gt;0,I156=0)          ,N156 ,                         IF(  IF( F156 ,  DAYS360(DATE(YEAR(F156),MONTH(F156),1),Mes)/30  ,  DAYS360(DATE(YEAR(E156),MONTH(E156),1),Mes)/30  )  &gt;  0 , IF(F156,   DAYS360(DATE(YEAR(F156),MONTH(F156),1),Mes)/30  ,  DAYS360(DATE(YEAR(E156),MONTH(E156),1),Mes)/30) , 0)       )</f>
        <v>0</v>
      </c>
      <c r="L156" s="49">
        <f t="shared" si="109"/>
        <v>0</v>
      </c>
      <c r="M156" s="50"/>
      <c r="N156" s="29">
        <f>IF( ISERROR(OFFSET(SECUESTRADOS!D$1,MATCH(B156,SECUESTRADOS!A$2:A1405,0),0)) ,0 ,  OFFSET(SECUESTRADOS!D$1,MATCH(B156,SECUESTRADOS!A$2:A1405,0),0)  )</f>
        <v>0</v>
      </c>
      <c r="O156" s="30"/>
      <c r="P156" s="17" t="b">
        <f t="shared" si="3"/>
        <v>0</v>
      </c>
      <c r="Q156" s="17" t="str">
        <f t="shared" si="107"/>
        <v/>
      </c>
      <c r="R156" s="31"/>
      <c r="S156" s="31"/>
      <c r="T156" s="31"/>
    </row>
    <row r="157">
      <c r="A157" s="54" t="s">
        <v>71</v>
      </c>
      <c r="B157" s="54">
        <v>1362.0</v>
      </c>
      <c r="C157" s="19">
        <v>1362.0</v>
      </c>
      <c r="D157" s="34" t="str">
        <f>if(   iserror(offset(PADRON!B$2,match(C:C,PADRON!A$2:A1405,0)-1,0,1,1) )  ,  ,    offset(PADRON!B$2,match(C:C,PADRON!A$2:A1405,0)-1,0,1,1))</f>
        <v>BALLERINI, MARCELO</v>
      </c>
      <c r="E157" s="22">
        <v>45839.0</v>
      </c>
      <c r="F157" s="22">
        <v>45901.0</v>
      </c>
      <c r="G157" s="23" t="s">
        <v>39</v>
      </c>
      <c r="H157" s="35">
        <f>IF( ISERROR( OFFSET(   'Cuadro tarifario'!D$2  , MATCH(CONCATENATE(                 IF(F157&gt;Mes,OFFSET(NroCT!B$17, MATCH($F157,NroCT!$A$18:$A1405,0),0,1,1),Periodovigente)                                                                                                                     ,A157) ,'Cuadro tarifario'!A$2:A1405,0) -1 , 0 , 1 , 1) )   , 0  ,   OFFSET(   'Cuadro tarifario'!D$2  , MATCH(CONCATENATE( IF(F157&gt;Mes,OFFSET(NroCT!B$17, MATCH($F157,NroCT!$A$18:$A1405,0),0,1,1),Periodovigente) ,A157) ,'Cuadro tarifario'!A$2:A1405,0) -1 , 0 , 1 , 1))</f>
        <v>11000</v>
      </c>
      <c r="I157" s="36">
        <f>Int(If(F157,DAYS360(          date(Year(E157),Month(E157),1),         date(Year(F157)     ,      Month(F157),1 )    )            /30,0 ))</f>
        <v>2</v>
      </c>
      <c r="J157" s="37">
        <f t="shared" si="79"/>
        <v>22000</v>
      </c>
      <c r="K157" s="38">
        <f>if(  and(N157&gt;0,I157=0)          ,N157 ,                         If(  If( F157 ,  DAYS360(date(year(F157),month(F157),1),Mes)/30  ,  DAYS360(date(year(E157),month(E157),1),Mes)/30  )  &gt;  0 , If(F157,   DAYS360(date(year(F157),month(F157),1),Mes)/30  ,  DAYS360(date(year(E157),month(E157),1),Mes)/30) , 0)       )</f>
        <v>0</v>
      </c>
      <c r="L157" s="39">
        <f>If(Iserror(K:K*H:H)   ,  0   ,   K:K*H:H)</f>
        <v>0</v>
      </c>
      <c r="M157" s="40"/>
      <c r="N157" s="29">
        <f>IF( ISERROR(OFFSET(SECUESTRADOS!D$1,MATCH(B157,SECUESTRADOS!A$2:A1405,0),0)) ,0 ,  OFFSET(SECUESTRADOS!D$1,MATCH(B157,SECUESTRADOS!A$2:A1405,0),0)  )</f>
        <v>0</v>
      </c>
      <c r="O157" s="30"/>
      <c r="P157" s="17" t="str">
        <f t="shared" si="3"/>
        <v>.socio</v>
      </c>
      <c r="Q157" s="17" t="str">
        <f>IF(AND(A157=#REF!,B157=#REF!,C157=#REF!),"Repetido","")</f>
        <v>#REF!</v>
      </c>
      <c r="R157" s="31"/>
      <c r="S157" s="31"/>
      <c r="T157" s="31"/>
    </row>
    <row r="158">
      <c r="A158" s="18" t="s">
        <v>38</v>
      </c>
      <c r="B158" s="17">
        <v>1362.0</v>
      </c>
      <c r="C158" s="19">
        <v>1362.0</v>
      </c>
      <c r="D158" s="20" t="str">
        <f>IF(   ISERROR(OFFSET(PADRON!B$2,MATCH(C:C,PADRON!A$2:A1405,0)-1,0,1,1) )  ,  ,    OFFSET(PADRON!B$2,MATCH(C:C,PADRON!A$2:A1405,0)-1,0,1,1))</f>
        <v>BALLERINI, MARCELO</v>
      </c>
      <c r="E158" s="21">
        <v>45839.0</v>
      </c>
      <c r="F158" s="21">
        <v>45901.0</v>
      </c>
      <c r="G158" s="23" t="s">
        <v>39</v>
      </c>
      <c r="H158" s="24">
        <f>IF( ISERROR( OFFSET(   'Cuadro tarifario'!D$2  , MATCH(CONCATENATE(                 IF(F158&gt;Mes,OFFSET(NroCT!B$17, MATCH($F158,NroCT!$A$18:$A1405,0),0,1,1),Periodovigente)                                                                                                                     ,A158) ,'Cuadro tarifario'!A$2:A1405,0) -1 , 0 , 1 , 1) )   , 0  ,   OFFSET(   'Cuadro tarifario'!D$2  , MATCH(CONCATENATE( IF(F158&gt;Mes,OFFSET(NroCT!B$17, MATCH($F158,NroCT!$A$18:$A1405,0),0,1,1),Periodovigente) ,A158) ,'Cuadro tarifario'!A$2:A1405,0) -1 , 0 , 1 , 1))</f>
        <v>9000</v>
      </c>
      <c r="I158" s="25">
        <f>INT(IF(F158,DAYS360(          DATE(YEAR(E158),MONTH(E158),1),         DATE(YEAR(F158)     ,      MONTH(F158),1 )    )            /30,0 ))</f>
        <v>2</v>
      </c>
      <c r="J158" s="24">
        <f t="shared" si="79"/>
        <v>18000</v>
      </c>
      <c r="K158" s="26">
        <f>IF(  AND(N158&gt;0,I158=0)          ,N158 ,                         IF(  IF( F158 ,  DAYS360(DATE(YEAR(F158),MONTH(F158),1),Mes)/30  ,  DAYS360(DATE(YEAR(E158),MONTH(E158),1),Mes)/30  )  &gt;  0 , IF(F158,   DAYS360(DATE(YEAR(F158),MONTH(F158),1),Mes)/30  ,  DAYS360(DATE(YEAR(E158),MONTH(E158),1),Mes)/30) , 0)       )</f>
        <v>0</v>
      </c>
      <c r="L158" s="27">
        <f>IF(ISERROR(K:K*H:H)   ,  0   ,   K:K*H:H)</f>
        <v>0</v>
      </c>
      <c r="M158" s="28"/>
      <c r="N158" s="29">
        <f>IF( ISERROR(OFFSET(SECUESTRADOS!D$1,MATCH(B158,SECUESTRADOS!A$2:A1405,0),0)) ,0 ,  OFFSET(SECUESTRADOS!D$1,MATCH(B158,SECUESTRADOS!A$2:A1405,0),0)  )</f>
        <v>0</v>
      </c>
      <c r="O158" s="30"/>
      <c r="P158" s="17" t="str">
        <f t="shared" si="3"/>
        <v>Bono canon</v>
      </c>
      <c r="Q158" s="17" t="str">
        <f t="shared" ref="Q158:Q160" si="110">IF(AND(A158=A157,B158=B157,C158=C157),"Repetido","")</f>
        <v/>
      </c>
      <c r="R158" s="31"/>
      <c r="S158" s="31"/>
      <c r="T158" s="31"/>
    </row>
    <row r="159">
      <c r="A159" s="51" t="s">
        <v>48</v>
      </c>
      <c r="B159" s="51" t="s">
        <v>125</v>
      </c>
      <c r="C159" s="19">
        <v>1362.0</v>
      </c>
      <c r="D159" s="34" t="str">
        <f>if(   iserror(offset(PADRON!B$2,match(C:C,PADRON!A$2:A1405,0)-1,0,1,1) )  ,  ,    offset(PADRON!B$2,match(C:C,PADRON!A$2:A1405,0)-1,0,1,1))</f>
        <v>BALLERINI, MARCELO</v>
      </c>
      <c r="E159" s="22">
        <v>45839.0</v>
      </c>
      <c r="F159" s="22">
        <v>45901.0</v>
      </c>
      <c r="G159" s="32" t="s">
        <v>39</v>
      </c>
      <c r="H159" s="35">
        <f>IF( ISERROR( OFFSET(   'Cuadro tarifario'!D$2  , MATCH(CONCATENATE(                 IF(F159&gt;Mes,OFFSET(NroCT!B$17, MATCH($F159,NroCT!$A$18:$A1405,0),0,1,1),Periodovigente)                                                                                                                     ,A159) ,'Cuadro tarifario'!A$2:A1405,0) -1 , 0 , 1 , 1) )   , 0  ,   OFFSET(   'Cuadro tarifario'!D$2  , MATCH(CONCATENATE( IF(F159&gt;Mes,OFFSET(NroCT!B$17, MATCH($F159,NroCT!$A$18:$A1405,0),0,1,1),Periodovigente) ,A159) ,'Cuadro tarifario'!A$2:A1405,0) -1 , 0 , 1 , 1))</f>
        <v>12000</v>
      </c>
      <c r="I159" s="36">
        <f>Int(If(F159,DAYS360(          date(Year(E159),Month(E159),1),         date(Year(F159)     ,      Month(F159),1 )    )            /30,0 ))</f>
        <v>2</v>
      </c>
      <c r="J159" s="37">
        <f t="shared" si="79"/>
        <v>24000</v>
      </c>
      <c r="K159" s="38">
        <f>if(  and(N159&gt;0,I159=0)          ,N159 ,                         If(  If( F159 ,  DAYS360(date(year(F159),month(F159),1),Mes)/30  ,  DAYS360(date(year(E159),month(E159),1),Mes)/30  )  &gt;  0 , If(F159,   DAYS360(date(year(F159),month(F159),1),Mes)/30  ,  DAYS360(date(year(E159),month(E159),1),Mes)/30) , 0)       )</f>
        <v>0</v>
      </c>
      <c r="L159" s="39">
        <f>If(Iserror(K:K*H:H)   ,  0   ,   K:K*H:H)</f>
        <v>0</v>
      </c>
      <c r="M159" s="40"/>
      <c r="N159" s="29">
        <f>IF( ISERROR(OFFSET(SECUESTRADOS!D$1,MATCH(B159,SECUESTRADOS!A$2:A1405,0),0)) ,0 ,  OFFSET(SECUESTRADOS!D$1,MATCH(B159,SECUESTRADOS!A$2:A1405,0),0)  )</f>
        <v>0</v>
      </c>
      <c r="O159" s="30"/>
      <c r="P159" s="17" t="str">
        <f t="shared" si="3"/>
        <v>velero</v>
      </c>
      <c r="Q159" s="17" t="str">
        <f t="shared" si="110"/>
        <v/>
      </c>
      <c r="R159" s="31"/>
      <c r="S159" s="31"/>
      <c r="T159" s="31"/>
    </row>
    <row r="160">
      <c r="A160" s="92" t="s">
        <v>52</v>
      </c>
      <c r="B160" s="93" t="s">
        <v>126</v>
      </c>
      <c r="C160" s="94">
        <v>1362.0</v>
      </c>
      <c r="D160" s="57" t="str">
        <f>IF(   ISERROR(OFFSET(PADRON!B$2,MATCH(C:C,PADRON!A$2:A1405,0)-1,0,1,1) )  ,  ,    OFFSET(PADRON!B$2,MATCH(C:C,PADRON!A$2:A1405,0)-1,0,1,1))</f>
        <v>BALLERINI, MARCELO</v>
      </c>
      <c r="E160" s="58">
        <v>45992.0</v>
      </c>
      <c r="F160" s="58"/>
      <c r="G160" s="60" t="s">
        <v>39</v>
      </c>
      <c r="H160" s="95">
        <f>IF( ISERROR( OFFSET(   'Cuadro tarifario'!D$2  , MATCH(CONCATENATE(                 IF(F160&gt;Mes,OFFSET(NroCT!B$17, MATCH($F160,NroCT!$A$18:$A1405,0),0,1,1),Periodovigente)                                                                                                                     ,A160) ,'Cuadro tarifario'!A$2:A1405,0) -1 , 0 , 1 , 1) )   , 0  ,   OFFSET(   'Cuadro tarifario'!D$2  , MATCH(CONCATENATE( IF(F160&gt;Mes,OFFSET(NroCT!B$17, MATCH($F160,NroCT!$A$18:$A1405,0),0,1,1),Periodovigente) ,A160) ,'Cuadro tarifario'!A$2:A1405,0) -1 , 0 , 1 , 1))</f>
        <v>4000</v>
      </c>
      <c r="I160" s="61">
        <f>INT(IF(F160,DAYS360(          DATE(YEAR(E160),MONTH(E160),1),         DATE(YEAR(F160)     ,      MONTH(F160),1 )    )            /30,0 ))</f>
        <v>0</v>
      </c>
      <c r="J160" s="95">
        <f t="shared" si="79"/>
        <v>0</v>
      </c>
      <c r="K160" s="62">
        <f>IF(  AND(N160&gt;0,I160=0)          ,N160 ,                         IF(  IF( F160 ,  DAYS360(DATE(YEAR(F160),MONTH(F160),1),Mes)/30  ,  DAYS360(DATE(YEAR(E160),MONTH(E160),1),Mes)/30  )  &gt;  0 , IF(F160,   DAYS360(DATE(YEAR(F160),MONTH(F160),1),Mes)/30  ,  DAYS360(DATE(YEAR(E160),MONTH(E160),1),Mes)/30) , 0)       )</f>
        <v>0</v>
      </c>
      <c r="L160" s="96">
        <f>IF(ISERROR(K:K*H:H)   ,  0   ,   K:K*H:H)</f>
        <v>0</v>
      </c>
      <c r="M160" s="64"/>
      <c r="N160" s="97">
        <f>IF( ISERROR(OFFSET(SECUESTRADOS!D$1,MATCH(B160,SECUESTRADOS!A$2:A1405,0),0)) ,0 ,  OFFSET(SECUESTRADOS!D$1,MATCH(B160,SECUESTRADOS!A$2:A1405,0),0)  )</f>
        <v>0</v>
      </c>
      <c r="O160" s="98"/>
      <c r="P160" s="99" t="b">
        <f t="shared" si="3"/>
        <v>0</v>
      </c>
      <c r="Q160" s="99" t="str">
        <f t="shared" si="110"/>
        <v/>
      </c>
      <c r="R160" s="31"/>
      <c r="S160" s="31"/>
      <c r="T160" s="31"/>
    </row>
    <row r="161">
      <c r="A161" s="54" t="s">
        <v>71</v>
      </c>
      <c r="B161" s="54">
        <v>1366.0</v>
      </c>
      <c r="C161" s="19">
        <v>1366.0</v>
      </c>
      <c r="D161" s="34" t="str">
        <f>if(   iserror(offset(PADRON!B$2,match(C:C,PADRON!A$2:A1405,0)-1,0,1,1) )  ,  ,    offset(PADRON!B$2,match(C:C,PADRON!A$2:A1405,0)-1,0,1,1))</f>
        <v>PELLETIERI, GUSTAVO</v>
      </c>
      <c r="E161" s="22">
        <v>45809.0</v>
      </c>
      <c r="F161" s="22">
        <v>45870.0</v>
      </c>
      <c r="G161" s="23" t="s">
        <v>39</v>
      </c>
      <c r="H161" s="35">
        <f>IF( ISERROR( OFFSET(   'Cuadro tarifario'!D$2  , MATCH(CONCATENATE(                 IF(F161&gt;Mes,OFFSET(NroCT!B$17, MATCH($F161,NroCT!$A$18:$A1405,0),0,1,1),Periodovigente)                                                                                                                     ,A161) ,'Cuadro tarifario'!A$2:A1405,0) -1 , 0 , 1 , 1) )   , 0  ,   OFFSET(   'Cuadro tarifario'!D$2  , MATCH(CONCATENATE( IF(F161&gt;Mes,OFFSET(NroCT!B$17, MATCH($F161,NroCT!$A$18:$A1405,0),0,1,1),Periodovigente) ,A161) ,'Cuadro tarifario'!A$2:A1405,0) -1 , 0 , 1 , 1))</f>
        <v>11000</v>
      </c>
      <c r="I161" s="36">
        <f>Int(If(F161,DAYS360(          date(Year(E161),Month(E161),1),         date(Year(F161)     ,      Month(F161),1 )    )            /30,0 ))</f>
        <v>2</v>
      </c>
      <c r="J161" s="37">
        <f t="shared" si="79"/>
        <v>22000</v>
      </c>
      <c r="K161" s="38">
        <f>if(  and(N161&gt;0,I161=0)          ,N161 ,                         If(  If( F161 ,  DAYS360(date(year(F161),month(F161),1),Mes)/30  ,  DAYS360(date(year(E161),month(E161),1),Mes)/30  )  &gt;  0 , If(F161,   DAYS360(date(year(F161),month(F161),1),Mes)/30  ,  DAYS360(date(year(E161),month(E161),1),Mes)/30) , 0)       )</f>
        <v>0</v>
      </c>
      <c r="L161" s="39">
        <f>If(Iserror(K:K*H:H)   ,  0   ,   K:K*H:H)</f>
        <v>0</v>
      </c>
      <c r="M161" s="40"/>
      <c r="N161" s="29">
        <f>IF( ISERROR(OFFSET(SECUESTRADOS!D$1,MATCH(B161,SECUESTRADOS!A$2:A1405,0),0)) ,0 ,  OFFSET(SECUESTRADOS!D$1,MATCH(B161,SECUESTRADOS!A$2:A1405,0),0)  )</f>
        <v>0</v>
      </c>
      <c r="O161" s="30"/>
      <c r="P161" s="17" t="str">
        <f t="shared" si="3"/>
        <v>.socio</v>
      </c>
      <c r="Q161" s="17" t="str">
        <f>IF(AND(A161=A159,B161=B159,C161=C159),"Repetido","")</f>
        <v/>
      </c>
      <c r="R161" s="31"/>
      <c r="S161" s="31"/>
      <c r="T161" s="31"/>
    </row>
    <row r="162">
      <c r="A162" s="18" t="s">
        <v>38</v>
      </c>
      <c r="B162" s="17">
        <v>1366.0</v>
      </c>
      <c r="C162" s="19">
        <v>1366.0</v>
      </c>
      <c r="D162" s="20" t="str">
        <f>IF(   ISERROR(OFFSET(PADRON!B$2,MATCH(C:C,PADRON!A$2:A1405,0)-1,0,1,1) )  ,  ,    OFFSET(PADRON!B$2,MATCH(C:C,PADRON!A$2:A1405,0)-1,0,1,1))</f>
        <v>PELLETIERI, GUSTAVO</v>
      </c>
      <c r="E162" s="21">
        <v>45809.0</v>
      </c>
      <c r="F162" s="21">
        <v>45870.0</v>
      </c>
      <c r="G162" s="23" t="s">
        <v>39</v>
      </c>
      <c r="H162" s="24">
        <f>IF( ISERROR( OFFSET(   'Cuadro tarifario'!D$2  , MATCH(CONCATENATE(                 IF(F162&gt;Mes,OFFSET(NroCT!B$17, MATCH($F162,NroCT!$A$18:$A1405,0),0,1,1),Periodovigente)                                                                                                                     ,A162) ,'Cuadro tarifario'!A$2:A1405,0) -1 , 0 , 1 , 1) )   , 0  ,   OFFSET(   'Cuadro tarifario'!D$2  , MATCH(CONCATENATE( IF(F162&gt;Mes,OFFSET(NroCT!B$17, MATCH($F162,NroCT!$A$18:$A1405,0),0,1,1),Periodovigente) ,A162) ,'Cuadro tarifario'!A$2:A1405,0) -1 , 0 , 1 , 1))</f>
        <v>9000</v>
      </c>
      <c r="I162" s="25">
        <f>INT(IF(F162,DAYS360(          DATE(YEAR(E162),MONTH(E162),1),         DATE(YEAR(F162)     ,      MONTH(F162),1 )    )            /30,0 ))</f>
        <v>2</v>
      </c>
      <c r="J162" s="24">
        <f t="shared" si="79"/>
        <v>18000</v>
      </c>
      <c r="K162" s="26">
        <f>IF(  AND(N162&gt;0,I162=0)          ,N162 ,                         IF(  IF( F162 ,  DAYS360(DATE(YEAR(F162),MONTH(F162),1),Mes)/30  ,  DAYS360(DATE(YEAR(E162),MONTH(E162),1),Mes)/30  )  &gt;  0 , IF(F162,   DAYS360(DATE(YEAR(F162),MONTH(F162),1),Mes)/30  ,  DAYS360(DATE(YEAR(E162),MONTH(E162),1),Mes)/30) , 0)       )</f>
        <v>0</v>
      </c>
      <c r="L162" s="27">
        <f>IF(ISERROR(K:K*H:H)   ,  0   ,   K:K*H:H)</f>
        <v>0</v>
      </c>
      <c r="M162" s="28"/>
      <c r="N162" s="29">
        <f>IF( ISERROR(OFFSET(SECUESTRADOS!D$1,MATCH(B162,SECUESTRADOS!A$2:A1405,0),0)) ,0 ,  OFFSET(SECUESTRADOS!D$1,MATCH(B162,SECUESTRADOS!A$2:A1405,0),0)  )</f>
        <v>0</v>
      </c>
      <c r="O162" s="30"/>
      <c r="P162" s="17" t="str">
        <f t="shared" si="3"/>
        <v>Bono canon</v>
      </c>
      <c r="Q162" s="17" t="str">
        <f t="shared" ref="Q162:Q163" si="111">IF(AND(A162=A161,B162=B161,C162=C161),"Repetido","")</f>
        <v/>
      </c>
      <c r="R162" s="31"/>
      <c r="S162" s="31"/>
      <c r="T162" s="31"/>
    </row>
    <row r="163">
      <c r="A163" s="41" t="s">
        <v>42</v>
      </c>
      <c r="B163" s="41" t="s">
        <v>127</v>
      </c>
      <c r="C163" s="19">
        <v>1366.0</v>
      </c>
      <c r="D163" s="34" t="str">
        <f>if(   iserror(offset(PADRON!B$2,match(C:C,PADRON!A$2:A1405,0)-1,0,1,1) )  ,  ,    offset(PADRON!B$2,match(C:C,PADRON!A$2:A1405,0)-1,0,1,1))</f>
        <v>PELLETIERI, GUSTAVO</v>
      </c>
      <c r="E163" s="22">
        <v>45992.0</v>
      </c>
      <c r="F163" s="22"/>
      <c r="G163" s="23" t="s">
        <v>39</v>
      </c>
      <c r="H163" s="35">
        <f>IF( ISERROR( OFFSET(   'Cuadro tarifario'!D$2  , MATCH(CONCATENATE(                 IF(F163&gt;Mes,OFFSET(NroCT!B$17, MATCH($F163,NroCT!$A$18:$A1405,0),0,1,1),Periodovigente)                                                                                                                     ,A163) ,'Cuadro tarifario'!A$2:A1405,0) -1 , 0 , 1 , 1) )   , 0  ,   OFFSET(   'Cuadro tarifario'!D$2  , MATCH(CONCATENATE( IF(F163&gt;Mes,OFFSET(NroCT!B$17, MATCH($F163,NroCT!$A$18:$A1405,0),0,1,1),Periodovigente) ,A163) ,'Cuadro tarifario'!A$2:A1405,0) -1 , 0 , 1 , 1))</f>
        <v>4000</v>
      </c>
      <c r="I163" s="36">
        <f t="shared" ref="I163:I164" si="112">Int(If(F163,DAYS360(          date(Year(E163),Month(E163),1),         date(Year(F163)     ,      Month(F163),1 )    )            /30,0 ))</f>
        <v>0</v>
      </c>
      <c r="J163" s="37">
        <f t="shared" si="79"/>
        <v>0</v>
      </c>
      <c r="K163" s="38">
        <f>if(  and(N163&gt;0,I163=0)          ,N163 ,                         If(  If( F163 ,  DAYS360(date(year(F163),month(F163),1),Mes)/30  ,  DAYS360(date(year(E163),month(E163),1),Mes)/30  )  &gt;  0 , If(F163,   DAYS360(date(year(F163),month(F163),1),Mes)/30  ,  DAYS360(date(year(E163),month(E163),1),Mes)/30) , 0)       )</f>
        <v>0</v>
      </c>
      <c r="L163" s="39">
        <f t="shared" ref="L163:L164" si="113">If(Iserror(K:K*H:H)   ,  0   ,   K:K*H:H)</f>
        <v>0</v>
      </c>
      <c r="M163" s="40"/>
      <c r="N163" s="29">
        <f>IF( ISERROR(OFFSET(SECUESTRADOS!D$1,MATCH(B163,SECUESTRADOS!A$2:A1405,0),0)) ,0 ,  OFFSET(SECUESTRADOS!D$1,MATCH(B163,SECUESTRADOS!A$2:A1405,0),0)  )</f>
        <v>0</v>
      </c>
      <c r="O163" s="30"/>
      <c r="P163" s="17" t="b">
        <f t="shared" si="3"/>
        <v>0</v>
      </c>
      <c r="Q163" s="17" t="str">
        <f t="shared" si="111"/>
        <v/>
      </c>
      <c r="R163" s="31"/>
      <c r="S163" s="31"/>
      <c r="T163" s="31"/>
    </row>
    <row r="164" ht="14.25" customHeight="1">
      <c r="A164" s="54" t="s">
        <v>71</v>
      </c>
      <c r="B164" s="54">
        <v>1384.0</v>
      </c>
      <c r="C164" s="19">
        <v>1384.0</v>
      </c>
      <c r="D164" s="34" t="str">
        <f>if(   iserror(offset(PADRON!B$2,match(C:C,PADRON!A$2:A1405,0)-1,0,1,1) )  ,  ,    offset(PADRON!B$2,match(C:C,PADRON!A$2:A1405,0)-1,0,1,1))</f>
        <v>DE PIERRIS, ESTEBAN</v>
      </c>
      <c r="E164" s="22">
        <v>45839.0</v>
      </c>
      <c r="F164" s="22">
        <v>45901.0</v>
      </c>
      <c r="G164" s="23" t="s">
        <v>39</v>
      </c>
      <c r="H164" s="35">
        <f>IF( ISERROR( OFFSET(   'Cuadro tarifario'!D$2  , MATCH(CONCATENATE(                 IF(F164&gt;Mes,OFFSET(NroCT!B$17, MATCH($F164,NroCT!$A$18:$A1405,0),0,1,1),Periodovigente)                                                                                                                     ,A164) ,'Cuadro tarifario'!A$2:A1405,0) -1 , 0 , 1 , 1) )   , 0  ,   OFFSET(   'Cuadro tarifario'!D$2  , MATCH(CONCATENATE( IF(F164&gt;Mes,OFFSET(NroCT!B$17, MATCH($F164,NroCT!$A$18:$A1405,0),0,1,1),Periodovigente) ,A164) ,'Cuadro tarifario'!A$2:A1405,0) -1 , 0 , 1 , 1))</f>
        <v>11000</v>
      </c>
      <c r="I164" s="36">
        <f t="shared" si="112"/>
        <v>2</v>
      </c>
      <c r="J164" s="37">
        <f t="shared" si="79"/>
        <v>22000</v>
      </c>
      <c r="K164" s="38">
        <f>if(  and(N164&gt;0,I164=0)          ,N164 ,                         If(  If( F164 ,  DAYS360(date(year(F164),month(F164),1),Mes)/30  ,  DAYS360(date(year(E164),month(E164),1),Mes)/30  )  &gt;  0 , If(F164,   DAYS360(date(year(F164),month(F164),1),Mes)/30  ,  DAYS360(date(year(E164),month(E164),1),Mes)/30) , 0)       )</f>
        <v>0</v>
      </c>
      <c r="L164" s="39">
        <f t="shared" si="113"/>
        <v>0</v>
      </c>
      <c r="M164" s="40"/>
      <c r="N164" s="29">
        <f>IF( ISERROR(OFFSET(SECUESTRADOS!D$1,MATCH(B164,SECUESTRADOS!A$2:A1405,0),0)) ,0 ,  OFFSET(SECUESTRADOS!D$1,MATCH(B164,SECUESTRADOS!A$2:A1405,0),0)  )</f>
        <v>0</v>
      </c>
      <c r="O164" s="30"/>
      <c r="P164" s="17" t="str">
        <f t="shared" si="3"/>
        <v>.socio</v>
      </c>
      <c r="Q164" s="17" t="str">
        <f>IF(AND(A164=#REF!,B164=#REF!,C164=#REF!),"Repetido","")</f>
        <v>#REF!</v>
      </c>
      <c r="R164" s="31"/>
      <c r="S164" s="31"/>
      <c r="T164" s="31"/>
    </row>
    <row r="165">
      <c r="A165" s="18" t="s">
        <v>38</v>
      </c>
      <c r="B165" s="18">
        <v>1384.0</v>
      </c>
      <c r="C165" s="19">
        <v>1384.0</v>
      </c>
      <c r="D165" s="20" t="str">
        <f>IF(   ISERROR(OFFSET(PADRON!B$2,MATCH(C:C,PADRON!A$2:A1405,0)-1,0,1,1) )  ,  ,    OFFSET(PADRON!B$2,MATCH(C:C,PADRON!A$2:A1405,0)-1,0,1,1))</f>
        <v>DE PIERRIS, ESTEBAN</v>
      </c>
      <c r="E165" s="21">
        <v>45839.0</v>
      </c>
      <c r="F165" s="21">
        <v>45901.0</v>
      </c>
      <c r="G165" s="23" t="s">
        <v>39</v>
      </c>
      <c r="H165" s="24">
        <f>IF( ISERROR( OFFSET(   'Cuadro tarifario'!D$2  , MATCH(CONCATENATE(                 IF(F165&gt;Mes,OFFSET(NroCT!B$17, MATCH($F165,NroCT!$A$18:$A1405,0),0,1,1),Periodovigente)                                                                                                                     ,A165) ,'Cuadro tarifario'!A$2:A1405,0) -1 , 0 , 1 , 1) )   , 0  ,   OFFSET(   'Cuadro tarifario'!D$2  , MATCH(CONCATENATE( IF(F165&gt;Mes,OFFSET(NroCT!B$17, MATCH($F165,NroCT!$A$18:$A1405,0),0,1,1),Periodovigente) ,A165) ,'Cuadro tarifario'!A$2:A1405,0) -1 , 0 , 1 , 1))</f>
        <v>9000</v>
      </c>
      <c r="I165" s="25">
        <f>INT(IF(F165,DAYS360(          DATE(YEAR(E165),MONTH(E165),1),         DATE(YEAR(F165)     ,      MONTH(F165),1 )    )            /30,0 ))</f>
        <v>2</v>
      </c>
      <c r="J165" s="24">
        <f t="shared" si="79"/>
        <v>18000</v>
      </c>
      <c r="K165" s="26">
        <f>IF(  AND(N165&gt;0,I165=0)          ,N165 ,                         IF(  IF( F165 ,  DAYS360(DATE(YEAR(F165),MONTH(F165),1),Mes)/30  ,  DAYS360(DATE(YEAR(E165),MONTH(E165),1),Mes)/30  )  &gt;  0 , IF(F165,   DAYS360(DATE(YEAR(F165),MONTH(F165),1),Mes)/30  ,  DAYS360(DATE(YEAR(E165),MONTH(E165),1),Mes)/30) , 0)       )</f>
        <v>0</v>
      </c>
      <c r="L165" s="27">
        <f>IF(ISERROR(K:K*H:H)   ,  0   ,   K:K*H:H)</f>
        <v>0</v>
      </c>
      <c r="M165" s="28"/>
      <c r="N165" s="29">
        <f>IF( ISERROR(OFFSET(SECUESTRADOS!D$1,MATCH(B165,SECUESTRADOS!A$2:A1405,0),0)) ,0 ,  OFFSET(SECUESTRADOS!D$1,MATCH(B165,SECUESTRADOS!A$2:A1405,0),0)  )</f>
        <v>0</v>
      </c>
      <c r="O165" s="30"/>
      <c r="P165" s="17" t="str">
        <f t="shared" si="3"/>
        <v>Bono canon</v>
      </c>
      <c r="Q165" s="17" t="str">
        <f>IF(AND(A165=A164,B165=B164,C165=C164),"Repetido","")</f>
        <v/>
      </c>
      <c r="R165" s="31"/>
      <c r="S165" s="31"/>
      <c r="T165" s="31"/>
    </row>
    <row r="166" ht="15.0" customHeight="1">
      <c r="A166" s="41" t="s">
        <v>40</v>
      </c>
      <c r="B166" s="41" t="s">
        <v>128</v>
      </c>
      <c r="C166" s="19">
        <v>1384.0</v>
      </c>
      <c r="D166" s="34" t="str">
        <f>if(   iserror(offset(PADRON!B$2,match(C:C,PADRON!A$2:A1405,0)-1,0,1,1) )  ,  ,    offset(PADRON!B$2,match(C:C,PADRON!A$2:A1405,0)-1,0,1,1))</f>
        <v>DE PIERRIS, ESTEBAN</v>
      </c>
      <c r="E166" s="22">
        <v>45839.0</v>
      </c>
      <c r="F166" s="22">
        <v>45901.0</v>
      </c>
      <c r="G166" s="23" t="s">
        <v>39</v>
      </c>
      <c r="H166" s="35">
        <f>IF( ISERROR( OFFSET(   'Cuadro tarifario'!D$2  , MATCH(CONCATENATE(                 IF(F166&gt;Mes,OFFSET(NroCT!B$17, MATCH($F166,NroCT!$A$18:$A1405,0),0,1,1),Periodovigente)                                                                                                                     ,A166) ,'Cuadro tarifario'!A$2:A1405,0) -1 , 0 , 1 , 1) )   , 0  ,   OFFSET(   'Cuadro tarifario'!D$2  , MATCH(CONCATENATE( IF(F166&gt;Mes,OFFSET(NroCT!B$17, MATCH($F166,NroCT!$A$18:$A1405,0),0,1,1),Periodovigente) ,A166) ,'Cuadro tarifario'!A$2:A1405,0) -1 , 0 , 1 , 1))</f>
        <v>12000</v>
      </c>
      <c r="I166" s="36">
        <f t="shared" ref="I166:I168" si="114">Int(If(F166,DAYS360(          date(Year(E166),Month(E166),1),         date(Year(F166)     ,      Month(F166),1 )    )            /30,0 ))</f>
        <v>2</v>
      </c>
      <c r="J166" s="37">
        <f t="shared" si="79"/>
        <v>24000</v>
      </c>
      <c r="K166" s="38">
        <f>if(  and(N166&gt;0,I166=0)          ,N166 ,                         If(  If( F166 ,  DAYS360(date(year(F166),month(F166),1),Mes)/30  ,  DAYS360(date(year(E166),month(E166),1),Mes)/30  )  &gt;  0 , If(F166,   DAYS360(date(year(F166),month(F166),1),Mes)/30  ,  DAYS360(date(year(E166),month(E166),1),Mes)/30) , 0)       )</f>
        <v>0</v>
      </c>
      <c r="L166" s="39">
        <f t="shared" ref="L166:L168" si="115">If(Iserror(K:K*H:H)   ,  0   ,   K:K*H:H)</f>
        <v>0</v>
      </c>
      <c r="M166" s="40"/>
      <c r="N166" s="29">
        <f>IF( ISERROR(OFFSET(SECUESTRADOS!D$1,MATCH(B166,SECUESTRADOS!A$2:A1405,0),0)) ,0 ,  OFFSET(SECUESTRADOS!D$1,MATCH(B166,SECUESTRADOS!A$2:A1405,0),0)  )</f>
        <v>0</v>
      </c>
      <c r="O166" s="30"/>
      <c r="P166" s="17" t="str">
        <f t="shared" si="3"/>
        <v>cuna windsurf</v>
      </c>
      <c r="Q166" s="17" t="str">
        <f t="shared" ref="Q166:Q168" si="116">IF(AND(A166=#REF!,B166=#REF!,C166=#REF!),"Repetido","")</f>
        <v>#REF!</v>
      </c>
      <c r="R166" s="31"/>
      <c r="S166" s="31"/>
      <c r="T166" s="31"/>
    </row>
    <row r="167" ht="15.0" customHeight="1">
      <c r="A167" s="41" t="s">
        <v>40</v>
      </c>
      <c r="B167" s="41" t="s">
        <v>129</v>
      </c>
      <c r="C167" s="19">
        <v>1384.0</v>
      </c>
      <c r="D167" s="34" t="str">
        <f>if(   iserror(offset(PADRON!B$2,match(C:C,PADRON!A$2:A1405,0)-1,0,1,1) )  ,  ,    offset(PADRON!B$2,match(C:C,PADRON!A$2:A1405,0)-1,0,1,1))</f>
        <v>DE PIERRIS, ESTEBAN</v>
      </c>
      <c r="E167" s="22">
        <v>45839.0</v>
      </c>
      <c r="F167" s="22">
        <v>45901.0</v>
      </c>
      <c r="G167" s="23" t="s">
        <v>39</v>
      </c>
      <c r="H167" s="35">
        <f>IF( ISERROR( OFFSET(   'Cuadro tarifario'!D$2  , MATCH(CONCATENATE(                 IF(F167&gt;Mes,OFFSET(NroCT!B$17, MATCH($F167,NroCT!$A$18:$A1405,0),0,1,1),Periodovigente)                                                                                                                     ,A167) ,'Cuadro tarifario'!A$2:A1405,0) -1 , 0 , 1 , 1) )   , 0  ,   OFFSET(   'Cuadro tarifario'!D$2  , MATCH(CONCATENATE( IF(F167&gt;Mes,OFFSET(NroCT!B$17, MATCH($F167,NroCT!$A$18:$A1405,0),0,1,1),Periodovigente) ,A167) ,'Cuadro tarifario'!A$2:A1405,0) -1 , 0 , 1 , 1))</f>
        <v>12000</v>
      </c>
      <c r="I167" s="36">
        <f t="shared" si="114"/>
        <v>2</v>
      </c>
      <c r="J167" s="37">
        <f t="shared" si="79"/>
        <v>24000</v>
      </c>
      <c r="K167" s="38">
        <f>if(  and(N167&gt;0,I167=0)          ,N167 ,                         If(  If( F167 ,  DAYS360(date(year(F167),month(F167),1),Mes)/30  ,  DAYS360(date(year(E167),month(E167),1),Mes)/30  )  &gt;  0 , If(F167,   DAYS360(date(year(F167),month(F167),1),Mes)/30  ,  DAYS360(date(year(E167),month(E167),1),Mes)/30) , 0)       )</f>
        <v>0</v>
      </c>
      <c r="L167" s="39">
        <f t="shared" si="115"/>
        <v>0</v>
      </c>
      <c r="M167" s="40"/>
      <c r="N167" s="29">
        <f>IF( ISERROR(OFFSET(SECUESTRADOS!D$1,MATCH(B167,SECUESTRADOS!A$2:A1405,0),0)) ,0 ,  OFFSET(SECUESTRADOS!D$1,MATCH(B167,SECUESTRADOS!A$2:A1405,0),0)  )</f>
        <v>0</v>
      </c>
      <c r="O167" s="30"/>
      <c r="P167" s="17" t="str">
        <f t="shared" si="3"/>
        <v>cuna windsurf</v>
      </c>
      <c r="Q167" s="17" t="str">
        <f t="shared" si="116"/>
        <v>#REF!</v>
      </c>
      <c r="R167" s="31"/>
      <c r="S167" s="31"/>
      <c r="T167" s="31"/>
    </row>
    <row r="168" ht="15.0" customHeight="1">
      <c r="A168" s="41" t="s">
        <v>42</v>
      </c>
      <c r="B168" s="41">
        <v>117.0</v>
      </c>
      <c r="C168" s="19">
        <v>1384.0</v>
      </c>
      <c r="D168" s="34" t="str">
        <f>if(   iserror(offset(PADRON!B$2,match(C:C,PADRON!A$2:A1405,0)-1,0,1,1) )  ,  ,    offset(PADRON!B$2,match(C:C,PADRON!A$2:A1405,0)-1,0,1,1))</f>
        <v>DE PIERRIS, ESTEBAN</v>
      </c>
      <c r="E168" s="22">
        <v>45992.0</v>
      </c>
      <c r="F168" s="22"/>
      <c r="G168" s="23" t="s">
        <v>39</v>
      </c>
      <c r="H168" s="35">
        <f>IF( ISERROR( OFFSET(   'Cuadro tarifario'!D$2  , MATCH(CONCATENATE(                 IF(F168&gt;Mes,OFFSET(NroCT!B$17, MATCH($F168,NroCT!$A$18:$A1405,0),0,1,1),Periodovigente)                                                                                                                     ,A168) ,'Cuadro tarifario'!A$2:A1405,0) -1 , 0 , 1 , 1) )   , 0  ,   OFFSET(   'Cuadro tarifario'!D$2  , MATCH(CONCATENATE( IF(F168&gt;Mes,OFFSET(NroCT!B$17, MATCH($F168,NroCT!$A$18:$A1405,0),0,1,1),Periodovigente) ,A168) ,'Cuadro tarifario'!A$2:A1405,0) -1 , 0 , 1 , 1))</f>
        <v>4000</v>
      </c>
      <c r="I168" s="36">
        <f t="shared" si="114"/>
        <v>0</v>
      </c>
      <c r="J168" s="37">
        <f t="shared" si="79"/>
        <v>0</v>
      </c>
      <c r="K168" s="38">
        <f>if(  and(N168&gt;0,I168=0)          ,N168 ,                         If(  If( F168 ,  DAYS360(date(year(F168),month(F168),1),Mes)/30  ,  DAYS360(date(year(E168),month(E168),1),Mes)/30  )  &gt;  0 , If(F168,   DAYS360(date(year(F168),month(F168),1),Mes)/30  ,  DAYS360(date(year(E168),month(E168),1),Mes)/30) , 0)       )</f>
        <v>0</v>
      </c>
      <c r="L168" s="39">
        <f t="shared" si="115"/>
        <v>0</v>
      </c>
      <c r="M168" s="40"/>
      <c r="N168" s="29">
        <f>IF( ISERROR(OFFSET(SECUESTRADOS!D$1,MATCH(B168,SECUESTRADOS!A$2:A1405,0),0)) ,0 ,  OFFSET(SECUESTRADOS!D$1,MATCH(B168,SECUESTRADOS!A$2:A1405,0),0)  )</f>
        <v>0</v>
      </c>
      <c r="O168" s="30"/>
      <c r="P168" s="17" t="b">
        <f t="shared" si="3"/>
        <v>0</v>
      </c>
      <c r="Q168" s="17" t="str">
        <f t="shared" si="116"/>
        <v>#REF!</v>
      </c>
      <c r="R168" s="31"/>
      <c r="S168" s="31"/>
      <c r="T168" s="31"/>
    </row>
    <row r="169">
      <c r="A169" s="18" t="s">
        <v>71</v>
      </c>
      <c r="B169" s="17">
        <v>1385.0</v>
      </c>
      <c r="C169" s="19">
        <v>1385.0</v>
      </c>
      <c r="D169" s="20" t="str">
        <f>IF(   ISERROR(OFFSET(PADRON!B$2,MATCH(C:C,PADRON!A$2:A1405,0)-1,0,1,1) )  ,  ,    OFFSET(PADRON!B$2,MATCH(C:C,PADRON!A$2:A1405,0)-1,0,1,1))</f>
        <v>QUARANTA, M. CRISTINA</v>
      </c>
      <c r="E169" s="21">
        <v>45839.0</v>
      </c>
      <c r="F169" s="21">
        <v>45870.0</v>
      </c>
      <c r="G169" s="32" t="s">
        <v>39</v>
      </c>
      <c r="H169" s="24">
        <f>IF( ISERROR( OFFSET(   'Cuadro tarifario'!D$2  , MATCH(CONCATENATE(                 IF(F169&gt;Mes,OFFSET(NroCT!B$17, MATCH($F169,NroCT!$A$18:$A1405,0),0,1,1),Periodovigente)                                                                                                                     ,A169) ,'Cuadro tarifario'!A$2:A1405,0) -1 , 0 , 1 , 1) )   , 0  ,   OFFSET(   'Cuadro tarifario'!D$2  , MATCH(CONCATENATE( IF(F169&gt;Mes,OFFSET(NroCT!B$17, MATCH($F169,NroCT!$A$18:$A1405,0),0,1,1),Periodovigente) ,A169) ,'Cuadro tarifario'!A$2:A1405,0) -1 , 0 , 1 , 1))</f>
        <v>11000</v>
      </c>
      <c r="I169" s="25">
        <f t="shared" ref="I169:I170" si="117">INT(IF(F169,DAYS360(          DATE(YEAR(E169),MONTH(E169),1),         DATE(YEAR(F169)     ,      MONTH(F169),1 )    )            /30,0 ))</f>
        <v>1</v>
      </c>
      <c r="J169" s="24">
        <f t="shared" si="79"/>
        <v>11000</v>
      </c>
      <c r="K169" s="26">
        <f>IF(  AND(N169&gt;0,I169=0)          ,N169 ,                         IF(  IF( F169 ,  DAYS360(DATE(YEAR(F169),MONTH(F169),1),Mes)/30  ,  DAYS360(DATE(YEAR(E169),MONTH(E169),1),Mes)/30  )  &gt;  0 , IF(F169,   DAYS360(DATE(YEAR(F169),MONTH(F169),1),Mes)/30  ,  DAYS360(DATE(YEAR(E169),MONTH(E169),1),Mes)/30) , 0)       )</f>
        <v>0</v>
      </c>
      <c r="L169" s="27">
        <f t="shared" ref="L169:L170" si="118">IF(ISERROR(K:K*H:H)   ,  0   ,   K:K*H:H)</f>
        <v>0</v>
      </c>
      <c r="M169" s="28"/>
      <c r="N169" s="29">
        <f>IF( ISERROR(OFFSET(SECUESTRADOS!D$1,MATCH(B169,SECUESTRADOS!A$2:A1405,0),0)) ,0 ,  OFFSET(SECUESTRADOS!D$1,MATCH(B169,SECUESTRADOS!A$2:A1405,0),0)  )</f>
        <v>0</v>
      </c>
      <c r="O169" s="30"/>
      <c r="P169" s="17" t="str">
        <f t="shared" si="3"/>
        <v>.socio</v>
      </c>
      <c r="Q169" s="17" t="str">
        <f>IF(AND(A169=A167,B169=B167,C169=C167),"Repetido","")</f>
        <v/>
      </c>
      <c r="R169" s="31"/>
      <c r="S169" s="31"/>
      <c r="T169" s="31"/>
    </row>
    <row r="170">
      <c r="A170" s="18" t="s">
        <v>38</v>
      </c>
      <c r="B170" s="17">
        <v>1385.0</v>
      </c>
      <c r="C170" s="19">
        <v>1385.0</v>
      </c>
      <c r="D170" s="20" t="str">
        <f>IF(   ISERROR(OFFSET(PADRON!B$2,MATCH(C:C,PADRON!A$2:A1405,0)-1,0,1,1) )  ,  ,    OFFSET(PADRON!B$2,MATCH(C:C,PADRON!A$2:A1405,0)-1,0,1,1))</f>
        <v>QUARANTA, M. CRISTINA</v>
      </c>
      <c r="E170" s="21">
        <v>45839.0</v>
      </c>
      <c r="F170" s="21">
        <v>45870.0</v>
      </c>
      <c r="G170" s="32" t="s">
        <v>39</v>
      </c>
      <c r="H170" s="24">
        <f>IF( ISERROR( OFFSET(   'Cuadro tarifario'!D$2  , MATCH(CONCATENATE(                 IF(F170&gt;Mes,OFFSET(NroCT!B$17, MATCH($F170,NroCT!$A$18:$A1405,0),0,1,1),Periodovigente)                                                                                                                     ,A170) ,'Cuadro tarifario'!A$2:A1405,0) -1 , 0 , 1 , 1) )   , 0  ,   OFFSET(   'Cuadro tarifario'!D$2  , MATCH(CONCATENATE( IF(F170&gt;Mes,OFFSET(NroCT!B$17, MATCH($F170,NroCT!$A$18:$A1405,0),0,1,1),Periodovigente) ,A170) ,'Cuadro tarifario'!A$2:A1405,0) -1 , 0 , 1 , 1))</f>
        <v>9000</v>
      </c>
      <c r="I170" s="25">
        <f t="shared" si="117"/>
        <v>1</v>
      </c>
      <c r="J170" s="24">
        <f t="shared" si="79"/>
        <v>9000</v>
      </c>
      <c r="K170" s="26">
        <f>IF(  AND(N170&gt;0,I170=0)          ,N170 ,                         IF(  IF( F170 ,  DAYS360(DATE(YEAR(F170),MONTH(F170),1),Mes)/30  ,  DAYS360(DATE(YEAR(E170),MONTH(E170),1),Mes)/30  )  &gt;  0 , IF(F170,   DAYS360(DATE(YEAR(F170),MONTH(F170),1),Mes)/30  ,  DAYS360(DATE(YEAR(E170),MONTH(E170),1),Mes)/30) , 0)       )</f>
        <v>0</v>
      </c>
      <c r="L170" s="27">
        <f t="shared" si="118"/>
        <v>0</v>
      </c>
      <c r="M170" s="28"/>
      <c r="N170" s="29">
        <f>IF( ISERROR(OFFSET(SECUESTRADOS!D$1,MATCH(B170,SECUESTRADOS!A$2:A1405,0),0)) ,0 ,  OFFSET(SECUESTRADOS!D$1,MATCH(B170,SECUESTRADOS!A$2:A1405,0),0)  )</f>
        <v>0</v>
      </c>
      <c r="O170" s="30"/>
      <c r="P170" s="17" t="str">
        <f t="shared" si="3"/>
        <v>Bono canon</v>
      </c>
      <c r="Q170" s="17" t="str">
        <f t="shared" ref="Q170:Q174" si="119">IF(AND(A170=A169,B170=B169,C170=C169),"Repetido","")</f>
        <v/>
      </c>
      <c r="R170" s="31"/>
      <c r="S170" s="31"/>
      <c r="T170" s="31"/>
    </row>
    <row r="171">
      <c r="A171" s="54" t="s">
        <v>71</v>
      </c>
      <c r="B171" s="54">
        <v>1403.0</v>
      </c>
      <c r="C171" s="19">
        <v>1403.0</v>
      </c>
      <c r="D171" s="34" t="str">
        <f>if(   iserror(offset(PADRON!B$2,match(C:C,PADRON!A$2:A1405,0)-1,0,1,1) )  ,  ,    offset(PADRON!B$2,match(C:C,PADRON!A$2:A1405,0)-1,0,1,1))</f>
        <v>CARRASQUET, PABLO</v>
      </c>
      <c r="E171" s="22">
        <v>45839.0</v>
      </c>
      <c r="F171" s="22"/>
      <c r="G171" s="23" t="s">
        <v>39</v>
      </c>
      <c r="H171" s="35">
        <f>IF( ISERROR( OFFSET(   'Cuadro tarifario'!D$2  , MATCH(CONCATENATE(                 IF(F171&gt;Mes,OFFSET(NroCT!B$17, MATCH($F171,NroCT!$A$18:$A1405,0),0,1,1),Periodovigente)                                                                                                                     ,A171) ,'Cuadro tarifario'!A$2:A1405,0) -1 , 0 , 1 , 1) )   , 0  ,   OFFSET(   'Cuadro tarifario'!D$2  , MATCH(CONCATENATE( IF(F171&gt;Mes,OFFSET(NroCT!B$17, MATCH($F171,NroCT!$A$18:$A1405,0),0,1,1),Periodovigente) ,A171) ,'Cuadro tarifario'!A$2:A1405,0) -1 , 0 , 1 , 1))</f>
        <v>11000</v>
      </c>
      <c r="I171" s="36">
        <f>Int(If(F171,DAYS360(          date(Year(E171),Month(E171),1),         date(Year(F171)     ,      Month(F171),1 )    )            /30,0 ))</f>
        <v>0</v>
      </c>
      <c r="J171" s="37">
        <f t="shared" si="79"/>
        <v>0</v>
      </c>
      <c r="K171" s="38">
        <f>if(  and(N171&gt;0,I171=0)          ,N171 ,                         If(  If( F171 ,  DAYS360(date(year(F171),month(F171),1),Mes)/30  ,  DAYS360(date(year(E171),month(E171),1),Mes)/30  )  &gt;  0 , If(F171,   DAYS360(date(year(F171),month(F171),1),Mes)/30  ,  DAYS360(date(year(E171),month(E171),1),Mes)/30) , 0)       )</f>
        <v>1</v>
      </c>
      <c r="L171" s="39">
        <f>If(Iserror(K:K*H:H)   ,  0   ,   K:K*H:H)</f>
        <v>11000</v>
      </c>
      <c r="M171" s="40"/>
      <c r="N171" s="29">
        <f>IF( ISERROR(OFFSET(SECUESTRADOS!D$1,MATCH(B171,SECUESTRADOS!A$2:A1405,0),0)) ,0 ,  OFFSET(SECUESTRADOS!D$1,MATCH(B171,SECUESTRADOS!A$2:A1405,0),0)  )</f>
        <v>0</v>
      </c>
      <c r="O171" s="30"/>
      <c r="P171" s="17" t="b">
        <f t="shared" si="3"/>
        <v>0</v>
      </c>
      <c r="Q171" s="17" t="str">
        <f t="shared" si="119"/>
        <v/>
      </c>
      <c r="R171" s="31"/>
      <c r="S171" s="31"/>
      <c r="T171" s="31"/>
    </row>
    <row r="172">
      <c r="A172" s="18" t="s">
        <v>38</v>
      </c>
      <c r="B172" s="17">
        <v>1403.0</v>
      </c>
      <c r="C172" s="19">
        <v>1403.0</v>
      </c>
      <c r="D172" s="20" t="str">
        <f>IF(   ISERROR(OFFSET(PADRON!B$2,MATCH(C:C,PADRON!A$2:A1405,0)-1,0,1,1) )  ,  ,    OFFSET(PADRON!B$2,MATCH(C:C,PADRON!A$2:A1405,0)-1,0,1,1))</f>
        <v>CARRASQUET, PABLO</v>
      </c>
      <c r="E172" s="21">
        <v>45839.0</v>
      </c>
      <c r="F172" s="21"/>
      <c r="G172" s="23" t="s">
        <v>39</v>
      </c>
      <c r="H172" s="24">
        <f>IF( ISERROR( OFFSET(   'Cuadro tarifario'!D$2  , MATCH(CONCATENATE(                 IF(F172&gt;Mes,OFFSET(NroCT!B$17, MATCH($F172,NroCT!$A$18:$A1405,0),0,1,1),Periodovigente)                                                                                                                     ,A172) ,'Cuadro tarifario'!A$2:A1405,0) -1 , 0 , 1 , 1) )   , 0  ,   OFFSET(   'Cuadro tarifario'!D$2  , MATCH(CONCATENATE( IF(F172&gt;Mes,OFFSET(NroCT!B$17, MATCH($F172,NroCT!$A$18:$A1405,0),0,1,1),Periodovigente) ,A172) ,'Cuadro tarifario'!A$2:A1405,0) -1 , 0 , 1 , 1))</f>
        <v>9000</v>
      </c>
      <c r="I172" s="25">
        <f>INT(IF(F172,DAYS360(          DATE(YEAR(E172),MONTH(E172),1),         DATE(YEAR(F172)     ,      MONTH(F172),1 )    )            /30,0 ))</f>
        <v>0</v>
      </c>
      <c r="J172" s="24">
        <f t="shared" si="79"/>
        <v>0</v>
      </c>
      <c r="K172" s="26">
        <f>IF(  AND(N172&gt;0,I172=0)          ,N172 ,                         IF(  IF( F172 ,  DAYS360(DATE(YEAR(F172),MONTH(F172),1),Mes)/30  ,  DAYS360(DATE(YEAR(E172),MONTH(E172),1),Mes)/30  )  &gt;  0 , IF(F172,   DAYS360(DATE(YEAR(F172),MONTH(F172),1),Mes)/30  ,  DAYS360(DATE(YEAR(E172),MONTH(E172),1),Mes)/30) , 0)       )</f>
        <v>1</v>
      </c>
      <c r="L172" s="27">
        <f>IF(ISERROR(K:K*H:H)   ,  0   ,   K:K*H:H)</f>
        <v>9000</v>
      </c>
      <c r="M172" s="28"/>
      <c r="N172" s="29">
        <f>IF( ISERROR(OFFSET(SECUESTRADOS!D$1,MATCH(B172,SECUESTRADOS!A$2:A1405,0),0)) ,0 ,  OFFSET(SECUESTRADOS!D$1,MATCH(B172,SECUESTRADOS!A$2:A1405,0),0)  )</f>
        <v>0</v>
      </c>
      <c r="O172" s="30"/>
      <c r="P172" s="17" t="b">
        <f t="shared" si="3"/>
        <v>0</v>
      </c>
      <c r="Q172" s="17" t="str">
        <f t="shared" si="119"/>
        <v/>
      </c>
      <c r="R172" s="31"/>
      <c r="S172" s="31"/>
      <c r="T172" s="31"/>
    </row>
    <row r="173">
      <c r="A173" s="51" t="s">
        <v>48</v>
      </c>
      <c r="B173" s="51" t="s">
        <v>130</v>
      </c>
      <c r="C173" s="19">
        <v>1403.0</v>
      </c>
      <c r="D173" s="34" t="str">
        <f>if(   iserror(offset(PADRON!B$2,match(C:C,PADRON!A$2:A1405,0)-1,0,1,1) )  ,  ,    offset(PADRON!B$2,match(C:C,PADRON!A$2:A1405,0)-1,0,1,1))</f>
        <v>CARRASQUET, PABLO</v>
      </c>
      <c r="E173" s="22">
        <v>45839.0</v>
      </c>
      <c r="F173" s="21"/>
      <c r="G173" s="23" t="s">
        <v>39</v>
      </c>
      <c r="H173" s="35">
        <f>IF( ISERROR( OFFSET(   'Cuadro tarifario'!D$2  , MATCH(CONCATENATE(                 IF(F173&gt;Mes,OFFSET(NroCT!B$17, MATCH($F173,NroCT!$A$18:$A1405,0),0,1,1),Periodovigente)                                                                                                                     ,A173) ,'Cuadro tarifario'!A$2:A1405,0) -1 , 0 , 1 , 1) )   , 0  ,   OFFSET(   'Cuadro tarifario'!D$2  , MATCH(CONCATENATE( IF(F173&gt;Mes,OFFSET(NroCT!B$17, MATCH($F173,NroCT!$A$18:$A1405,0),0,1,1),Periodovigente) ,A173) ,'Cuadro tarifario'!A$2:A1405,0) -1 , 0 , 1 , 1))</f>
        <v>12000</v>
      </c>
      <c r="I173" s="36">
        <f t="shared" ref="I173:I174" si="120">Int(If(F173,DAYS360(          date(Year(E173),Month(E173),1),         date(Year(F173)     ,      Month(F173),1 )    )            /30,0 ))</f>
        <v>0</v>
      </c>
      <c r="J173" s="37">
        <f t="shared" si="79"/>
        <v>0</v>
      </c>
      <c r="K173" s="38">
        <f>if(  and(N173&gt;0,I173=0)          ,N173 ,                         If(  If( F173 ,  DAYS360(date(year(F173),month(F173),1),Mes)/30  ,  DAYS360(date(year(E173),month(E173),1),Mes)/30  )  &gt;  0 , If(F173,   DAYS360(date(year(F173),month(F173),1),Mes)/30  ,  DAYS360(date(year(E173),month(E173),1),Mes)/30) , 0)       )</f>
        <v>1</v>
      </c>
      <c r="L173" s="39">
        <f t="shared" ref="L173:L174" si="121">If(Iserror(K:K*H:H)   ,  0   ,   K:K*H:H)</f>
        <v>12000</v>
      </c>
      <c r="M173" s="40"/>
      <c r="N173" s="29">
        <f>IF( ISERROR(OFFSET(SECUESTRADOS!D$1,MATCH(B173,SECUESTRADOS!A$2:A1405,0),0)) ,0 ,  OFFSET(SECUESTRADOS!D$1,MATCH(B173,SECUESTRADOS!A$2:A1405,0),0)  )</f>
        <v>0</v>
      </c>
      <c r="O173" s="30"/>
      <c r="P173" s="17" t="b">
        <f t="shared" si="3"/>
        <v>0</v>
      </c>
      <c r="Q173" s="17" t="str">
        <f t="shared" si="119"/>
        <v/>
      </c>
      <c r="R173" s="31"/>
      <c r="S173" s="31"/>
      <c r="T173" s="31"/>
    </row>
    <row r="174">
      <c r="A174" s="51" t="s">
        <v>40</v>
      </c>
      <c r="B174" s="51" t="s">
        <v>131</v>
      </c>
      <c r="C174" s="19">
        <v>1403.0</v>
      </c>
      <c r="D174" s="34" t="str">
        <f>if(   iserror(offset(PADRON!B$2,match(C:C,PADRON!A$2:A1405,0)-1,0,1,1) )  ,  ,    offset(PADRON!B$2,match(C:C,PADRON!A$2:A1405,0)-1,0,1,1))</f>
        <v>CARRASQUET, PABLO</v>
      </c>
      <c r="E174" s="22">
        <v>45839.0</v>
      </c>
      <c r="F174" s="21"/>
      <c r="G174" s="23" t="s">
        <v>39</v>
      </c>
      <c r="H174" s="35">
        <f>IF( ISERROR( OFFSET(   'Cuadro tarifario'!D$2  , MATCH(CONCATENATE(                 IF(F174&gt;Mes,OFFSET(NroCT!B$17, MATCH($F174,NroCT!$A$18:$A1405,0),0,1,1),Periodovigente)                                                                                                                     ,A174) ,'Cuadro tarifario'!A$2:A1405,0) -1 , 0 , 1 , 1) )   , 0  ,   OFFSET(   'Cuadro tarifario'!D$2  , MATCH(CONCATENATE( IF(F174&gt;Mes,OFFSET(NroCT!B$17, MATCH($F174,NroCT!$A$18:$A1405,0),0,1,1),Periodovigente) ,A174) ,'Cuadro tarifario'!A$2:A1405,0) -1 , 0 , 1 , 1))</f>
        <v>12000</v>
      </c>
      <c r="I174" s="36">
        <f t="shared" si="120"/>
        <v>0</v>
      </c>
      <c r="J174" s="37">
        <f t="shared" si="79"/>
        <v>0</v>
      </c>
      <c r="K174" s="38">
        <f>if(  and(N174&gt;0,I174=0)          ,N174 ,                         If(  If( F174 ,  DAYS360(date(year(F174),month(F174),1),Mes)/30  ,  DAYS360(date(year(E174),month(E174),1),Mes)/30  )  &gt;  0 , If(F174,   DAYS360(date(year(F174),month(F174),1),Mes)/30  ,  DAYS360(date(year(E174),month(E174),1),Mes)/30) , 0)       )</f>
        <v>1</v>
      </c>
      <c r="L174" s="39">
        <f t="shared" si="121"/>
        <v>12000</v>
      </c>
      <c r="M174" s="40"/>
      <c r="N174" s="29">
        <f>IF( ISERROR(OFFSET(SECUESTRADOS!D$1,MATCH(B174,SECUESTRADOS!A$2:A1405,0),0)) ,0 ,  OFFSET(SECUESTRADOS!D$1,MATCH(B174,SECUESTRADOS!A$2:A1405,0),0)  )</f>
        <v>0</v>
      </c>
      <c r="O174" s="30"/>
      <c r="P174" s="17" t="b">
        <f t="shared" si="3"/>
        <v>0</v>
      </c>
      <c r="Q174" s="17" t="str">
        <f t="shared" si="119"/>
        <v/>
      </c>
      <c r="R174" s="31"/>
      <c r="S174" s="31"/>
      <c r="T174" s="31"/>
    </row>
    <row r="175">
      <c r="A175" s="18" t="s">
        <v>52</v>
      </c>
      <c r="B175" s="18" t="s">
        <v>132</v>
      </c>
      <c r="C175" s="19">
        <v>1403.0</v>
      </c>
      <c r="D175" s="20" t="str">
        <f>IF(   ISERROR(OFFSET(PADRON!B$2,MATCH(C:C,PADRON!A$2:A1405,0)-1,0,1,1) )  ,  ,    OFFSET(PADRON!B$2,MATCH(C:C,PADRON!A$2:A1405,0)-1,0,1,1))</f>
        <v>CARRASQUET, PABLO</v>
      </c>
      <c r="E175" s="21">
        <v>45992.0</v>
      </c>
      <c r="F175" s="21"/>
      <c r="G175" s="23" t="s">
        <v>39</v>
      </c>
      <c r="H175" s="24">
        <f>IF( ISERROR( OFFSET(   'Cuadro tarifario'!D$2  , MATCH(CONCATENATE(                 IF(F175&gt;Mes,OFFSET(NroCT!B$17, MATCH($F175,NroCT!$A$18:$A1405,0),0,1,1),Periodovigente)                                                                                                                     ,A175) ,'Cuadro tarifario'!A$2:A1405,0) -1 , 0 , 1 , 1) )   , 0  ,   OFFSET(   'Cuadro tarifario'!D$2  , MATCH(CONCATENATE( IF(F175&gt;Mes,OFFSET(NroCT!B$17, MATCH($F175,NroCT!$A$18:$A1405,0),0,1,1),Periodovigente) ,A175) ,'Cuadro tarifario'!A$2:A1405,0) -1 , 0 , 1 , 1))</f>
        <v>4000</v>
      </c>
      <c r="I175" s="25">
        <f>INT(IF(F175,DAYS360(          DATE(YEAR(E175),MONTH(E175),1),         DATE(YEAR(F175)     ,      MONTH(F175),1 )    )            /30,0 ))</f>
        <v>0</v>
      </c>
      <c r="J175" s="24">
        <f t="shared" si="79"/>
        <v>0</v>
      </c>
      <c r="K175" s="26">
        <f>IF(  AND(N175&gt;0,I175=0)          ,N175 ,                         IF(  IF( F175 ,  DAYS360(DATE(YEAR(F175),MONTH(F175),1),Mes)/30  ,  DAYS360(DATE(YEAR(E175),MONTH(E175),1),Mes)/30  )  &gt;  0 , IF(F175,   DAYS360(DATE(YEAR(F175),MONTH(F175),1),Mes)/30  ,  DAYS360(DATE(YEAR(E175),MONTH(E175),1),Mes)/30) , 0)       )</f>
        <v>0</v>
      </c>
      <c r="L175" s="27">
        <f>IF(ISERROR(K:K*H:H)   ,  0   ,   K:K*H:H)</f>
        <v>0</v>
      </c>
      <c r="M175" s="28"/>
      <c r="N175" s="29">
        <f>IF( ISERROR(OFFSET(SECUESTRADOS!D$1,MATCH(B175,SECUESTRADOS!A$2:A1405,0),0)) ,0 ,  OFFSET(SECUESTRADOS!D$1,MATCH(B175,SECUESTRADOS!A$2:A1405,0),0)  )</f>
        <v>0</v>
      </c>
      <c r="O175" s="30"/>
      <c r="P175" s="17" t="b">
        <f t="shared" si="3"/>
        <v>0</v>
      </c>
      <c r="Q175" s="17" t="str">
        <f>IF(AND(A175=A173,B175=B173,C175=C173),"Repetido","")</f>
        <v/>
      </c>
      <c r="R175" s="31"/>
      <c r="S175" s="31"/>
      <c r="T175" s="31"/>
    </row>
    <row r="176">
      <c r="A176" s="54" t="s">
        <v>71</v>
      </c>
      <c r="B176" s="54">
        <v>1405.0</v>
      </c>
      <c r="C176" s="19">
        <v>1405.0</v>
      </c>
      <c r="D176" s="34" t="str">
        <f>if(   iserror(offset(PADRON!B$2,match(C:C,PADRON!A$2:A1405,0)-1,0,1,1) )  ,  ,    offset(PADRON!B$2,match(C:C,PADRON!A$2:A1405,0)-1,0,1,1))</f>
        <v>CONSTANZO, FABIAN</v>
      </c>
      <c r="E176" s="22">
        <v>45839.0</v>
      </c>
      <c r="F176" s="22">
        <v>45870.0</v>
      </c>
      <c r="G176" s="23" t="s">
        <v>39</v>
      </c>
      <c r="H176" s="35">
        <f>IF( ISERROR( OFFSET(   'Cuadro tarifario'!D$2  , MATCH(CONCATENATE(                 IF(F176&gt;Mes,OFFSET(NroCT!B$17, MATCH($F176,NroCT!$A$18:$A1405,0),0,1,1),Periodovigente)                                                                                                                     ,A176) ,'Cuadro tarifario'!A$2:A1405,0) -1 , 0 , 1 , 1) )   , 0  ,   OFFSET(   'Cuadro tarifario'!D$2  , MATCH(CONCATENATE( IF(F176&gt;Mes,OFFSET(NroCT!B$17, MATCH($F176,NroCT!$A$18:$A1405,0),0,1,1),Periodovigente) ,A176) ,'Cuadro tarifario'!A$2:A1405,0) -1 , 0 , 1 , 1))</f>
        <v>11000</v>
      </c>
      <c r="I176" s="36">
        <f>Int(If(F176,DAYS360(          date(Year(E176),Month(E176),1),         date(Year(F176)     ,      Month(F176),1 )    )            /30,0 ))</f>
        <v>1</v>
      </c>
      <c r="J176" s="37">
        <f t="shared" si="79"/>
        <v>11000</v>
      </c>
      <c r="K176" s="38">
        <f>if(  and(N176&gt;0,I176=0)          ,N176 ,                         If(  If( F176 ,  DAYS360(date(year(F176),month(F176),1),Mes)/30  ,  DAYS360(date(year(E176),month(E176),1),Mes)/30  )  &gt;  0 , If(F176,   DAYS360(date(year(F176),month(F176),1),Mes)/30  ,  DAYS360(date(year(E176),month(E176),1),Mes)/30) , 0)       )</f>
        <v>0</v>
      </c>
      <c r="L176" s="39">
        <f>If(Iserror(K:K*H:H)   ,  0   ,   K:K*H:H)</f>
        <v>0</v>
      </c>
      <c r="M176" s="40"/>
      <c r="N176" s="29">
        <f>IF( ISERROR(OFFSET(SECUESTRADOS!D$1,MATCH(B176,SECUESTRADOS!A$2:A1405,0),0)) ,0 ,  OFFSET(SECUESTRADOS!D$1,MATCH(B176,SECUESTRADOS!A$2:A1405,0),0)  )</f>
        <v>0</v>
      </c>
      <c r="O176" s="30"/>
      <c r="P176" s="17" t="str">
        <f t="shared" si="3"/>
        <v>.socio</v>
      </c>
      <c r="Q176" s="17" t="str">
        <f>IF(AND(A176=A173,B176=B173,C176=C173),"Repetido","")</f>
        <v/>
      </c>
      <c r="R176" s="31"/>
      <c r="S176" s="31"/>
      <c r="T176" s="31"/>
    </row>
    <row r="177" ht="15.0" customHeight="1">
      <c r="A177" s="18" t="s">
        <v>38</v>
      </c>
      <c r="B177" s="17">
        <v>1405.0</v>
      </c>
      <c r="C177" s="19">
        <v>1405.0</v>
      </c>
      <c r="D177" s="20" t="str">
        <f>IF(   ISERROR(OFFSET(PADRON!B$2,MATCH(C:C,PADRON!A$2:A1405,0)-1,0,1,1) )  ,  ,    OFFSET(PADRON!B$2,MATCH(C:C,PADRON!A$2:A1405,0)-1,0,1,1))</f>
        <v>CONSTANZO, FABIAN</v>
      </c>
      <c r="E177" s="21">
        <v>45839.0</v>
      </c>
      <c r="F177" s="21">
        <v>45870.0</v>
      </c>
      <c r="G177" s="23" t="s">
        <v>39</v>
      </c>
      <c r="H177" s="24">
        <f>IF( ISERROR( OFFSET(   'Cuadro tarifario'!D$2  , MATCH(CONCATENATE(                 IF(F177&gt;Mes,OFFSET(NroCT!B$17, MATCH($F177,NroCT!$A$18:$A1405,0),0,1,1),Periodovigente)                                                                                                                     ,A177) ,'Cuadro tarifario'!A$2:A1405,0) -1 , 0 , 1 , 1) )   , 0  ,   OFFSET(   'Cuadro tarifario'!D$2  , MATCH(CONCATENATE( IF(F177&gt;Mes,OFFSET(NroCT!B$17, MATCH($F177,NroCT!$A$18:$A1405,0),0,1,1),Periodovigente) ,A177) ,'Cuadro tarifario'!A$2:A1405,0) -1 , 0 , 1 , 1))</f>
        <v>9000</v>
      </c>
      <c r="I177" s="25">
        <f>INT(IF(F177,DAYS360(          DATE(YEAR(E177),MONTH(E177),1),         DATE(YEAR(F177)     ,      MONTH(F177),1 )    )            /30,0 ))</f>
        <v>1</v>
      </c>
      <c r="J177" s="24">
        <f t="shared" si="79"/>
        <v>9000</v>
      </c>
      <c r="K177" s="26">
        <f>IF(  AND(N177&gt;0,I177=0)          ,N177 ,                         IF(  IF( F177 ,  DAYS360(DATE(YEAR(F177),MONTH(F177),1),Mes)/30  ,  DAYS360(DATE(YEAR(E177),MONTH(E177),1),Mes)/30  )  &gt;  0 , IF(F177,   DAYS360(DATE(YEAR(F177),MONTH(F177),1),Mes)/30  ,  DAYS360(DATE(YEAR(E177),MONTH(E177),1),Mes)/30) , 0)       )</f>
        <v>0</v>
      </c>
      <c r="L177" s="27">
        <f>IF(ISERROR(K:K*H:H)   ,  0   ,   K:K*H:H)</f>
        <v>0</v>
      </c>
      <c r="M177" s="28"/>
      <c r="N177" s="29">
        <f>IF( ISERROR(OFFSET(SECUESTRADOS!D$1,MATCH(B177,SECUESTRADOS!A$2:A1405,0),0)) ,0 ,  OFFSET(SECUESTRADOS!D$1,MATCH(B177,SECUESTRADOS!A$2:A1405,0),0)  )</f>
        <v>0</v>
      </c>
      <c r="O177" s="30"/>
      <c r="P177" s="17" t="str">
        <f t="shared" si="3"/>
        <v>Bono canon</v>
      </c>
      <c r="Q177" s="17" t="str">
        <f>IF(AND(A177=A176,B177=B176,C177=C176),"Repetido","")</f>
        <v/>
      </c>
      <c r="R177" s="31"/>
      <c r="S177" s="31"/>
      <c r="T177" s="31"/>
    </row>
    <row r="178" ht="15.0" customHeight="1">
      <c r="A178" s="54" t="s">
        <v>71</v>
      </c>
      <c r="B178" s="54">
        <v>1414.0</v>
      </c>
      <c r="C178" s="19">
        <v>1414.0</v>
      </c>
      <c r="D178" s="34" t="str">
        <f>if(   iserror(offset(PADRON!B$2,match(C:C,PADRON!A$2:A1405,0)-1,0,1,1) )  ,  ,    offset(PADRON!B$2,match(C:C,PADRON!A$2:A1405,0)-1,0,1,1))</f>
        <v>CORTINA, MARCELO OSVALDO</v>
      </c>
      <c r="E178" s="22">
        <v>45839.0</v>
      </c>
      <c r="F178" s="22">
        <v>45870.0</v>
      </c>
      <c r="G178" s="23" t="s">
        <v>39</v>
      </c>
      <c r="H178" s="35">
        <f>IF( ISERROR( OFFSET(   'Cuadro tarifario'!D$2  , MATCH(CONCATENATE(                 IF(F178&gt;Mes,OFFSET(NroCT!B$17, MATCH($F178,NroCT!$A$18:$A1405,0),0,1,1),Periodovigente)                                                                                                                     ,A178) ,'Cuadro tarifario'!A$2:A1405,0) -1 , 0 , 1 , 1) )   , 0  ,   OFFSET(   'Cuadro tarifario'!D$2  , MATCH(CONCATENATE( IF(F178&gt;Mes,OFFSET(NroCT!B$17, MATCH($F178,NroCT!$A$18:$A1405,0),0,1,1),Periodovigente) ,A178) ,'Cuadro tarifario'!A$2:A1405,0) -1 , 0 , 1 , 1))</f>
        <v>11000</v>
      </c>
      <c r="I178" s="36">
        <f>Int(If(F178,DAYS360(          date(Year(E178),Month(E178),1),         date(Year(F178)     ,      Month(F178),1 )    )            /30,0 ))</f>
        <v>1</v>
      </c>
      <c r="J178" s="37">
        <f t="shared" si="79"/>
        <v>11000</v>
      </c>
      <c r="K178" s="38">
        <f>if(  and(N178&gt;0,I178=0)          ,N178 ,                         If(  If( F178 ,  DAYS360(date(year(F178),month(F178),1),Mes)/30  ,  DAYS360(date(year(E178),month(E178),1),Mes)/30  )  &gt;  0 , If(F178,   DAYS360(date(year(F178),month(F178),1),Mes)/30  ,  DAYS360(date(year(E178),month(E178),1),Mes)/30) , 0)       )</f>
        <v>0</v>
      </c>
      <c r="L178" s="39">
        <f>If(Iserror(K:K*H:H)   ,  0   ,   K:K*H:H)</f>
        <v>0</v>
      </c>
      <c r="M178" s="40"/>
      <c r="N178" s="29">
        <f>IF( ISERROR(OFFSET(SECUESTRADOS!D$1,MATCH(B178,SECUESTRADOS!A$2:A1405,0),0)) ,0 ,  OFFSET(SECUESTRADOS!D$1,MATCH(B178,SECUESTRADOS!A$2:A1405,0),0)  )</f>
        <v>0</v>
      </c>
      <c r="O178" s="30"/>
      <c r="P178" s="17" t="str">
        <f t="shared" si="3"/>
        <v>.socio</v>
      </c>
      <c r="Q178" s="17" t="str">
        <f>IF(AND(A178=#REF!,B178=#REF!,C178=#REF!),"Repetido","")</f>
        <v>#REF!</v>
      </c>
      <c r="R178" s="31"/>
      <c r="S178" s="31"/>
      <c r="T178" s="31"/>
    </row>
    <row r="179" ht="15.0" customHeight="1">
      <c r="A179" s="18" t="s">
        <v>38</v>
      </c>
      <c r="B179" s="17">
        <v>1414.0</v>
      </c>
      <c r="C179" s="19">
        <v>1414.0</v>
      </c>
      <c r="D179" s="20" t="str">
        <f>IF(   ISERROR(OFFSET(PADRON!B$2,MATCH(C:C,PADRON!A$2:A1405,0)-1,0,1,1) )  ,  ,    OFFSET(PADRON!B$2,MATCH(C:C,PADRON!A$2:A1405,0)-1,0,1,1))</f>
        <v>CORTINA, MARCELO OSVALDO</v>
      </c>
      <c r="E179" s="21">
        <v>45839.0</v>
      </c>
      <c r="F179" s="21">
        <v>45870.0</v>
      </c>
      <c r="G179" s="23" t="s">
        <v>39</v>
      </c>
      <c r="H179" s="24">
        <f>IF( ISERROR( OFFSET(   'Cuadro tarifario'!D$2  , MATCH(CONCATENATE(                 IF(F179&gt;Mes,OFFSET(NroCT!B$17, MATCH($F179,NroCT!$A$18:$A1405,0),0,1,1),Periodovigente)                                                                                                                     ,A179) ,'Cuadro tarifario'!A$2:A1405,0) -1 , 0 , 1 , 1) )   , 0  ,   OFFSET(   'Cuadro tarifario'!D$2  , MATCH(CONCATENATE( IF(F179&gt;Mes,OFFSET(NroCT!B$17, MATCH($F179,NroCT!$A$18:$A1405,0),0,1,1),Periodovigente) ,A179) ,'Cuadro tarifario'!A$2:A1405,0) -1 , 0 , 1 , 1))</f>
        <v>9000</v>
      </c>
      <c r="I179" s="25">
        <f>INT(IF(F179,DAYS360(          DATE(YEAR(E179),MONTH(E179),1),         DATE(YEAR(F179)     ,      MONTH(F179),1 )    )            /30,0 ))</f>
        <v>1</v>
      </c>
      <c r="J179" s="24">
        <f t="shared" si="79"/>
        <v>9000</v>
      </c>
      <c r="K179" s="26">
        <f>IF(  AND(N179&gt;0,I179=0)          ,N179 ,                         IF(  IF( F179 ,  DAYS360(DATE(YEAR(F179),MONTH(F179),1),Mes)/30  ,  DAYS360(DATE(YEAR(E179),MONTH(E179),1),Mes)/30  )  &gt;  0 , IF(F179,   DAYS360(DATE(YEAR(F179),MONTH(F179),1),Mes)/30  ,  DAYS360(DATE(YEAR(E179),MONTH(E179),1),Mes)/30) , 0)       )</f>
        <v>0</v>
      </c>
      <c r="L179" s="27">
        <f>IF(ISERROR(K:K*H:H)   ,  0   ,   K:K*H:H)</f>
        <v>0</v>
      </c>
      <c r="M179" s="28"/>
      <c r="N179" s="29">
        <f>IF( ISERROR(OFFSET(SECUESTRADOS!D$1,MATCH(B179,SECUESTRADOS!A$2:A1405,0),0)) ,0 ,  OFFSET(SECUESTRADOS!D$1,MATCH(B179,SECUESTRADOS!A$2:A1405,0),0)  )</f>
        <v>0</v>
      </c>
      <c r="O179" s="30"/>
      <c r="P179" s="17" t="str">
        <f t="shared" si="3"/>
        <v>Bono canon</v>
      </c>
      <c r="Q179" s="17" t="str">
        <f>IF(AND(A179=A178,B179=B178,C179=C178),"Repetido","")</f>
        <v/>
      </c>
      <c r="R179" s="31"/>
      <c r="S179" s="31"/>
      <c r="T179" s="31"/>
    </row>
    <row r="180" ht="15.0" customHeight="1">
      <c r="A180" s="54" t="s">
        <v>71</v>
      </c>
      <c r="B180" s="54">
        <v>1441.0</v>
      </c>
      <c r="C180" s="19">
        <v>1441.0</v>
      </c>
      <c r="D180" s="34" t="str">
        <f>if(   iserror(offset(PADRON!B$2,match(C:C,PADRON!A$2:A1405,0)-1,0,1,1) )  ,  ,    offset(PADRON!B$2,match(C:C,PADRON!A$2:A1405,0)-1,0,1,1))</f>
        <v>MACEDO, SERGIO</v>
      </c>
      <c r="E180" s="22">
        <v>45839.0</v>
      </c>
      <c r="F180" s="22">
        <v>45870.0</v>
      </c>
      <c r="G180" s="23" t="s">
        <v>39</v>
      </c>
      <c r="H180" s="35">
        <f>IF( ISERROR( OFFSET(   'Cuadro tarifario'!D$2  , MATCH(CONCATENATE(                 IF(F180&gt;Mes,OFFSET(NroCT!B$17, MATCH($F180,NroCT!$A$18:$A1405,0),0,1,1),Periodovigente)                                                                                                                     ,A180) ,'Cuadro tarifario'!A$2:A1405,0) -1 , 0 , 1 , 1) )   , 0  ,   OFFSET(   'Cuadro tarifario'!D$2  , MATCH(CONCATENATE( IF(F180&gt;Mes,OFFSET(NroCT!B$17, MATCH($F180,NroCT!$A$18:$A1405,0),0,1,1),Periodovigente) ,A180) ,'Cuadro tarifario'!A$2:A1405,0) -1 , 0 , 1 , 1))</f>
        <v>11000</v>
      </c>
      <c r="I180" s="36">
        <f>Int(If(F180,DAYS360(          date(Year(E180),Month(E180),1),         date(Year(F180)     ,      Month(F180),1 )    )            /30,0 ))</f>
        <v>1</v>
      </c>
      <c r="J180" s="37">
        <f t="shared" si="79"/>
        <v>11000</v>
      </c>
      <c r="K180" s="38">
        <f>if(  and(N180&gt;0,I180=0)          ,N180 ,                         If(  If( F180 ,  DAYS360(date(year(F180),month(F180),1),Mes)/30  ,  DAYS360(date(year(E180),month(E180),1),Mes)/30  )  &gt;  0 , If(F180,   DAYS360(date(year(F180),month(F180),1),Mes)/30  ,  DAYS360(date(year(E180),month(E180),1),Mes)/30) , 0)       )</f>
        <v>0</v>
      </c>
      <c r="L180" s="39">
        <f>If(Iserror(K:K*H:H)   ,  0   ,   K:K*H:H)</f>
        <v>0</v>
      </c>
      <c r="M180" s="40"/>
      <c r="N180" s="29">
        <f>IF( ISERROR(OFFSET(SECUESTRADOS!D$1,MATCH(B180,SECUESTRADOS!A$2:A1405,0),0)) ,0 ,  OFFSET(SECUESTRADOS!D$1,MATCH(B180,SECUESTRADOS!A$2:A1405,0),0)  )</f>
        <v>0</v>
      </c>
      <c r="O180" s="30"/>
      <c r="P180" s="17" t="str">
        <f t="shared" si="3"/>
        <v>.socio</v>
      </c>
      <c r="Q180" s="17" t="str">
        <f>IF(AND(A180=#REF!,B180=#REF!,C180=#REF!),"Repetido","")</f>
        <v>#REF!</v>
      </c>
      <c r="R180" s="31"/>
      <c r="S180" s="31"/>
      <c r="T180" s="31"/>
    </row>
    <row r="181" ht="15.0" customHeight="1">
      <c r="A181" s="18" t="s">
        <v>38</v>
      </c>
      <c r="B181" s="17">
        <v>1441.0</v>
      </c>
      <c r="C181" s="19">
        <v>1441.0</v>
      </c>
      <c r="D181" s="20" t="str">
        <f>IF(   ISERROR(OFFSET(PADRON!B$2,MATCH(C:C,PADRON!A$2:A1405,0)-1,0,1,1) )  ,  ,    OFFSET(PADRON!B$2,MATCH(C:C,PADRON!A$2:A1405,0)-1,0,1,1))</f>
        <v>MACEDO, SERGIO</v>
      </c>
      <c r="E181" s="21">
        <v>45839.0</v>
      </c>
      <c r="F181" s="21">
        <v>45870.0</v>
      </c>
      <c r="G181" s="23" t="s">
        <v>39</v>
      </c>
      <c r="H181" s="24">
        <f>IF( ISERROR( OFFSET(   'Cuadro tarifario'!D$2  , MATCH(CONCATENATE(                 IF(F181&gt;Mes,OFFSET(NroCT!B$17, MATCH($F181,NroCT!$A$18:$A1405,0),0,1,1),Periodovigente)                                                                                                                     ,A181) ,'Cuadro tarifario'!A$2:A1405,0) -1 , 0 , 1 , 1) )   , 0  ,   OFFSET(   'Cuadro tarifario'!D$2  , MATCH(CONCATENATE( IF(F181&gt;Mes,OFFSET(NroCT!B$17, MATCH($F181,NroCT!$A$18:$A1405,0),0,1,1),Periodovigente) ,A181) ,'Cuadro tarifario'!A$2:A1405,0) -1 , 0 , 1 , 1))</f>
        <v>9000</v>
      </c>
      <c r="I181" s="25">
        <f>INT(IF(F181,DAYS360(          DATE(YEAR(E181),MONTH(E181),1),         DATE(YEAR(F181)     ,      MONTH(F181),1 )    )            /30,0 ))</f>
        <v>1</v>
      </c>
      <c r="J181" s="24">
        <f t="shared" si="79"/>
        <v>9000</v>
      </c>
      <c r="K181" s="26">
        <f>IF(  AND(N181&gt;0,I181=0)          ,N181 ,                         IF(  IF( F181 ,  DAYS360(DATE(YEAR(F181),MONTH(F181),1),Mes)/30  ,  DAYS360(DATE(YEAR(E181),MONTH(E181),1),Mes)/30  )  &gt;  0 , IF(F181,   DAYS360(DATE(YEAR(F181),MONTH(F181),1),Mes)/30  ,  DAYS360(DATE(YEAR(E181),MONTH(E181),1),Mes)/30) , 0)       )</f>
        <v>0</v>
      </c>
      <c r="L181" s="27">
        <f>IF(ISERROR(K:K*H:H)   ,  0   ,   K:K*H:H)</f>
        <v>0</v>
      </c>
      <c r="M181" s="28"/>
      <c r="N181" s="29">
        <f>IF( ISERROR(OFFSET(SECUESTRADOS!D$1,MATCH(B181,SECUESTRADOS!A$2:A1405,0),0)) ,0 ,  OFFSET(SECUESTRADOS!D$1,MATCH(B181,SECUESTRADOS!A$2:A1405,0),0)  )</f>
        <v>0</v>
      </c>
      <c r="O181" s="30"/>
      <c r="P181" s="17" t="str">
        <f t="shared" si="3"/>
        <v>Bono canon</v>
      </c>
      <c r="Q181" s="17" t="str">
        <f t="shared" ref="Q181:Q183" si="122">IF(AND(A181=A180,B181=B180,C181=C180),"Repetido","")</f>
        <v/>
      </c>
      <c r="R181" s="31"/>
      <c r="S181" s="31"/>
      <c r="T181" s="31"/>
    </row>
    <row r="182" ht="15.0" customHeight="1">
      <c r="A182" s="33" t="s">
        <v>40</v>
      </c>
      <c r="B182" s="33" t="s">
        <v>133</v>
      </c>
      <c r="C182" s="19">
        <v>1441.0</v>
      </c>
      <c r="D182" s="34" t="str">
        <f>if(   iserror(offset(PADRON!B$2,match(C:C,PADRON!A$2:A1405,0)-1,0,1,1) )  ,  ,    offset(PADRON!B$2,match(C:C,PADRON!A$2:A1405,0)-1,0,1,1))</f>
        <v>MACEDO, SERGIO</v>
      </c>
      <c r="E182" s="22">
        <v>45839.0</v>
      </c>
      <c r="F182" s="22">
        <v>45870.0</v>
      </c>
      <c r="G182" s="23" t="s">
        <v>39</v>
      </c>
      <c r="H182" s="35">
        <f>IF( ISERROR( OFFSET(   'Cuadro tarifario'!D$2  , MATCH(CONCATENATE(                 IF(F182&gt;Mes,OFFSET(NroCT!B$17, MATCH($F182,NroCT!$A$18:$A1405,0),0,1,1),Periodovigente)                                                                                                                     ,A182) ,'Cuadro tarifario'!A$2:A1405,0) -1 , 0 , 1 , 1) )   , 0  ,   OFFSET(   'Cuadro tarifario'!D$2  , MATCH(CONCATENATE( IF(F182&gt;Mes,OFFSET(NroCT!B$17, MATCH($F182,NroCT!$A$18:$A1405,0),0,1,1),Periodovigente) ,A182) ,'Cuadro tarifario'!A$2:A1405,0) -1 , 0 , 1 , 1))</f>
        <v>12000</v>
      </c>
      <c r="I182" s="36">
        <f t="shared" ref="I182:I184" si="123">Int(If(F182,DAYS360(          date(Year(E182),Month(E182),1),         date(Year(F182)     ,      Month(F182),1 )    )            /30,0 ))</f>
        <v>1</v>
      </c>
      <c r="J182" s="37">
        <f t="shared" si="79"/>
        <v>12000</v>
      </c>
      <c r="K182" s="38">
        <f>if(  and(N182&gt;0,I182=0)          ,N182 ,                         If(  If( F182 ,  DAYS360(date(year(F182),month(F182),1),Mes)/30  ,  DAYS360(date(year(E182),month(E182),1),Mes)/30  )  &gt;  0 , If(F182,   DAYS360(date(year(F182),month(F182),1),Mes)/30  ,  DAYS360(date(year(E182),month(E182),1),Mes)/30) , 0)       )</f>
        <v>0</v>
      </c>
      <c r="L182" s="39">
        <f t="shared" ref="L182:L184" si="124">If(Iserror(K:K*H:H)   ,  0   ,   K:K*H:H)</f>
        <v>0</v>
      </c>
      <c r="M182" s="40"/>
      <c r="N182" s="29">
        <f>IF( ISERROR(OFFSET(SECUESTRADOS!D$1,MATCH(B182,SECUESTRADOS!A$2:A1405,0),0)) ,0 ,  OFFSET(SECUESTRADOS!D$1,MATCH(B182,SECUESTRADOS!A$2:A1405,0),0)  )</f>
        <v>0</v>
      </c>
      <c r="O182" s="30"/>
      <c r="P182" s="17" t="str">
        <f t="shared" si="3"/>
        <v>cuna windsurf</v>
      </c>
      <c r="Q182" s="17" t="str">
        <f t="shared" si="122"/>
        <v/>
      </c>
      <c r="R182" s="31"/>
      <c r="S182" s="31"/>
      <c r="T182" s="31"/>
    </row>
    <row r="183" ht="15.0" customHeight="1">
      <c r="A183" s="41" t="s">
        <v>52</v>
      </c>
      <c r="B183" s="41" t="s">
        <v>134</v>
      </c>
      <c r="C183" s="19">
        <v>1441.0</v>
      </c>
      <c r="D183" s="34" t="str">
        <f>if(   iserror(offset(PADRON!B$2,match(C:C,PADRON!A$2:A1405,0)-1,0,1,1) )  ,  ,    offset(PADRON!B$2,match(C:C,PADRON!A$2:A1405,0)-1,0,1,1))</f>
        <v>MACEDO, SERGIO</v>
      </c>
      <c r="E183" s="22">
        <v>45992.0</v>
      </c>
      <c r="F183" s="22"/>
      <c r="G183" s="23" t="s">
        <v>39</v>
      </c>
      <c r="H183" s="35">
        <f>IF( ISERROR( OFFSET(   'Cuadro tarifario'!D$2  , MATCH(CONCATENATE(                 IF(F183&gt;Mes,OFFSET(NroCT!B$17, MATCH($F183,NroCT!$A$18:$A1405,0),0,1,1),Periodovigente)                                                                                                                     ,A183) ,'Cuadro tarifario'!A$2:A1405,0) -1 , 0 , 1 , 1) )   , 0  ,   OFFSET(   'Cuadro tarifario'!D$2  , MATCH(CONCATENATE( IF(F183&gt;Mes,OFFSET(NroCT!B$17, MATCH($F183,NroCT!$A$18:$A1405,0),0,1,1),Periodovigente) ,A183) ,'Cuadro tarifario'!A$2:A1405,0) -1 , 0 , 1 , 1))</f>
        <v>4000</v>
      </c>
      <c r="I183" s="36">
        <f t="shared" si="123"/>
        <v>0</v>
      </c>
      <c r="J183" s="37">
        <f t="shared" si="79"/>
        <v>0</v>
      </c>
      <c r="K183" s="38">
        <f>if(  and(N183&gt;0,I183=0)          ,N183 ,                         If(  If( F183 ,  DAYS360(date(year(F183),month(F183),1),Mes)/30  ,  DAYS360(date(year(E183),month(E183),1),Mes)/30  )  &gt;  0 , If(F183,   DAYS360(date(year(F183),month(F183),1),Mes)/30  ,  DAYS360(date(year(E183),month(E183),1),Mes)/30) , 0)       )</f>
        <v>0</v>
      </c>
      <c r="L183" s="39">
        <f t="shared" si="124"/>
        <v>0</v>
      </c>
      <c r="M183" s="40"/>
      <c r="N183" s="29">
        <f>IF( ISERROR(OFFSET(SECUESTRADOS!D$1,MATCH(B183,SECUESTRADOS!A$2:A1405,0),0)) ,0 ,  OFFSET(SECUESTRADOS!D$1,MATCH(B183,SECUESTRADOS!A$2:A1405,0),0)  )</f>
        <v>0</v>
      </c>
      <c r="O183" s="30"/>
      <c r="P183" s="17" t="b">
        <f t="shared" si="3"/>
        <v>0</v>
      </c>
      <c r="Q183" s="17" t="str">
        <f t="shared" si="122"/>
        <v/>
      </c>
      <c r="R183" s="31"/>
      <c r="S183" s="31"/>
      <c r="T183" s="31"/>
    </row>
    <row r="184" ht="15.0" customHeight="1">
      <c r="A184" s="54" t="s">
        <v>71</v>
      </c>
      <c r="B184" s="54">
        <v>1446.0</v>
      </c>
      <c r="C184" s="19">
        <v>1446.0</v>
      </c>
      <c r="D184" s="34" t="str">
        <f>if(   iserror(offset(PADRON!B$2,match(C:C,PADRON!A$2:A1405,0)-1,0,1,1) )  ,  ,    offset(PADRON!B$2,match(C:C,PADRON!A$2:A1405,0)-1,0,1,1))</f>
        <v>MANCEBO, NESTOR</v>
      </c>
      <c r="E184" s="22">
        <v>45870.0</v>
      </c>
      <c r="F184" s="22">
        <v>45931.0</v>
      </c>
      <c r="G184" s="23" t="s">
        <v>39</v>
      </c>
      <c r="H184" s="35">
        <f>IF( ISERROR( OFFSET(   'Cuadro tarifario'!D$2  , MATCH(CONCATENATE(                 IF(F184&gt;Mes,OFFSET(NroCT!B$17, MATCH($F184,NroCT!$A$18:$A1405,0),0,1,1),Periodovigente)                                                                                                                     ,A184) ,'Cuadro tarifario'!A$2:A1405,0) -1 , 0 , 1 , 1) )   , 0  ,   OFFSET(   'Cuadro tarifario'!D$2  , MATCH(CONCATENATE( IF(F184&gt;Mes,OFFSET(NroCT!B$17, MATCH($F184,NroCT!$A$18:$A1405,0),0,1,1),Periodovigente) ,A184) ,'Cuadro tarifario'!A$2:A1405,0) -1 , 0 , 1 , 1))</f>
        <v>11000</v>
      </c>
      <c r="I184" s="36">
        <f t="shared" si="123"/>
        <v>2</v>
      </c>
      <c r="J184" s="37">
        <f t="shared" si="79"/>
        <v>22000</v>
      </c>
      <c r="K184" s="38">
        <f>if(  and(N184&gt;0,I184=0)          ,N184 ,                         If(  If( F184 ,  DAYS360(date(year(F184),month(F184),1),Mes)/30  ,  DAYS360(date(year(E184),month(E184),1),Mes)/30  )  &gt;  0 , If(F184,   DAYS360(date(year(F184),month(F184),1),Mes)/30  ,  DAYS360(date(year(E184),month(E184),1),Mes)/30) , 0)       )</f>
        <v>0</v>
      </c>
      <c r="L184" s="39">
        <f t="shared" si="124"/>
        <v>0</v>
      </c>
      <c r="M184" s="40"/>
      <c r="N184" s="29">
        <f>IF( ISERROR(OFFSET(SECUESTRADOS!D$1,MATCH(B184,SECUESTRADOS!A$2:A1405,0),0)) ,0 ,  OFFSET(SECUESTRADOS!D$1,MATCH(B184,SECUESTRADOS!A$2:A1405,0),0)  )</f>
        <v>0</v>
      </c>
      <c r="O184" s="30"/>
      <c r="P184" s="17" t="str">
        <f t="shared" si="3"/>
        <v>.socio</v>
      </c>
      <c r="Q184" s="17" t="str">
        <f>IF(AND(A184=#REF!,B184=#REF!,C184=#REF!),"Repetido","")</f>
        <v>#REF!</v>
      </c>
      <c r="R184" s="31"/>
      <c r="S184" s="31"/>
      <c r="T184" s="31"/>
    </row>
    <row r="185" ht="15.0" customHeight="1">
      <c r="A185" s="18" t="s">
        <v>38</v>
      </c>
      <c r="B185" s="17">
        <v>1446.0</v>
      </c>
      <c r="C185" s="19">
        <v>1446.0</v>
      </c>
      <c r="D185" s="20" t="str">
        <f>IF(   ISERROR(OFFSET(PADRON!B$2,MATCH(C:C,PADRON!A$2:A1405,0)-1,0,1,1) )  ,  ,    OFFSET(PADRON!B$2,MATCH(C:C,PADRON!A$2:A1405,0)-1,0,1,1))</f>
        <v>MANCEBO, NESTOR</v>
      </c>
      <c r="E185" s="21">
        <v>45870.0</v>
      </c>
      <c r="F185" s="21">
        <v>45931.0</v>
      </c>
      <c r="G185" s="23" t="s">
        <v>39</v>
      </c>
      <c r="H185" s="24">
        <f>IF( ISERROR( OFFSET(   'Cuadro tarifario'!D$2  , MATCH(CONCATENATE(                 IF(F185&gt;Mes,OFFSET(NroCT!B$17, MATCH($F185,NroCT!$A$18:$A1405,0),0,1,1),Periodovigente)                                                                                                                     ,A185) ,'Cuadro tarifario'!A$2:A1405,0) -1 , 0 , 1 , 1) )   , 0  ,   OFFSET(   'Cuadro tarifario'!D$2  , MATCH(CONCATENATE( IF(F185&gt;Mes,OFFSET(NroCT!B$17, MATCH($F185,NroCT!$A$18:$A1405,0),0,1,1),Periodovigente) ,A185) ,'Cuadro tarifario'!A$2:A1405,0) -1 , 0 , 1 , 1))</f>
        <v>9000</v>
      </c>
      <c r="I185" s="25">
        <f>INT(IF(F185,DAYS360(          DATE(YEAR(E185),MONTH(E185),1),         DATE(YEAR(F185)     ,      MONTH(F185),1 )    )            /30,0 ))</f>
        <v>2</v>
      </c>
      <c r="J185" s="24">
        <f t="shared" si="79"/>
        <v>18000</v>
      </c>
      <c r="K185" s="26">
        <f>IF(  AND(N185&gt;0,I185=0)          ,N185 ,                         IF(  IF( F185 ,  DAYS360(DATE(YEAR(F185),MONTH(F185),1),Mes)/30  ,  DAYS360(DATE(YEAR(E185),MONTH(E185),1),Mes)/30  )  &gt;  0 , IF(F185,   DAYS360(DATE(YEAR(F185),MONTH(F185),1),Mes)/30  ,  DAYS360(DATE(YEAR(E185),MONTH(E185),1),Mes)/30) , 0)       )</f>
        <v>0</v>
      </c>
      <c r="L185" s="27">
        <f>IF(ISERROR(K:K*H:H)   ,  0   ,   K:K*H:H)</f>
        <v>0</v>
      </c>
      <c r="M185" s="28"/>
      <c r="N185" s="29">
        <f>IF( ISERROR(OFFSET(SECUESTRADOS!D$1,MATCH(B185,SECUESTRADOS!A$2:A1405,0),0)) ,0 ,  OFFSET(SECUESTRADOS!D$1,MATCH(B185,SECUESTRADOS!A$2:A1405,0),0)  )</f>
        <v>0</v>
      </c>
      <c r="O185" s="30"/>
      <c r="P185" s="17" t="str">
        <f t="shared" si="3"/>
        <v>Bono canon</v>
      </c>
      <c r="Q185" s="17" t="str">
        <f t="shared" ref="Q185:Q190" si="125">IF(AND(A185=A184,B185=B184,C185=C184),"Repetido","")</f>
        <v/>
      </c>
      <c r="R185" s="31"/>
      <c r="S185" s="31"/>
      <c r="T185" s="31"/>
    </row>
    <row r="186" ht="15.0" customHeight="1">
      <c r="A186" s="54" t="s">
        <v>71</v>
      </c>
      <c r="B186" s="54">
        <v>1452.0</v>
      </c>
      <c r="C186" s="19">
        <v>1452.0</v>
      </c>
      <c r="D186" s="34" t="str">
        <f>if(   iserror(offset(PADRON!B$2,match(C:C,PADRON!A$2:A1405,0)-1,0,1,1) )  ,  ,    offset(PADRON!B$2,match(C:C,PADRON!A$2:A1405,0)-1,0,1,1))</f>
        <v>REZALA, MARCELO</v>
      </c>
      <c r="E186" s="22">
        <v>45839.0</v>
      </c>
      <c r="F186" s="22">
        <v>45870.0</v>
      </c>
      <c r="G186" s="23" t="s">
        <v>39</v>
      </c>
      <c r="H186" s="35">
        <f>IF( ISERROR( OFFSET(   'Cuadro tarifario'!D$2  , MATCH(CONCATENATE(                 IF(F186&gt;Mes,OFFSET(NroCT!B$17, MATCH($F186,NroCT!$A$18:$A1405,0),0,1,1),Periodovigente)                                                                                                                     ,A186) ,'Cuadro tarifario'!A$2:A1405,0) -1 , 0 , 1 , 1) )   , 0  ,   OFFSET(   'Cuadro tarifario'!D$2  , MATCH(CONCATENATE( IF(F186&gt;Mes,OFFSET(NroCT!B$17, MATCH($F186,NroCT!$A$18:$A1405,0),0,1,1),Periodovigente) ,A186) ,'Cuadro tarifario'!A$2:A1405,0) -1 , 0 , 1 , 1))</f>
        <v>11000</v>
      </c>
      <c r="I186" s="36">
        <f>Int(If(F186,DAYS360(          date(Year(E186),Month(E186),1),         date(Year(F186)     ,      Month(F186),1 )    )            /30,0 ))</f>
        <v>1</v>
      </c>
      <c r="J186" s="37">
        <f t="shared" si="79"/>
        <v>11000</v>
      </c>
      <c r="K186" s="38">
        <f>if(  and(N186&gt;0,I186=0)          ,N186 ,                         If(  If( F186 ,  DAYS360(date(year(F186),month(F186),1),Mes)/30  ,  DAYS360(date(year(E186),month(E186),1),Mes)/30  )  &gt;  0 , If(F186,   DAYS360(date(year(F186),month(F186),1),Mes)/30  ,  DAYS360(date(year(E186),month(E186),1),Mes)/30) , 0)       )</f>
        <v>0</v>
      </c>
      <c r="L186" s="39">
        <f>If(Iserror(K:K*H:H)   ,  0   ,   K:K*H:H)</f>
        <v>0</v>
      </c>
      <c r="M186" s="40"/>
      <c r="N186" s="29">
        <f>IF( ISERROR(OFFSET(SECUESTRADOS!D$1,MATCH(B186,SECUESTRADOS!A$2:A1405,0),0)) ,0 ,  OFFSET(SECUESTRADOS!D$1,MATCH(B186,SECUESTRADOS!A$2:A1405,0),0)  )</f>
        <v>0</v>
      </c>
      <c r="O186" s="30"/>
      <c r="P186" s="17" t="str">
        <f t="shared" si="3"/>
        <v>.socio</v>
      </c>
      <c r="Q186" s="17" t="str">
        <f t="shared" si="125"/>
        <v/>
      </c>
      <c r="R186" s="31"/>
      <c r="S186" s="31"/>
      <c r="T186" s="31"/>
    </row>
    <row r="187" ht="15.0" customHeight="1">
      <c r="A187" s="18" t="s">
        <v>38</v>
      </c>
      <c r="B187" s="17">
        <v>1452.0</v>
      </c>
      <c r="C187" s="19">
        <v>1452.0</v>
      </c>
      <c r="D187" s="20" t="str">
        <f>IF(   ISERROR(OFFSET(PADRON!B$2,MATCH(C:C,PADRON!A$2:A1405,0)-1,0,1,1) )  ,  ,    OFFSET(PADRON!B$2,MATCH(C:C,PADRON!A$2:A1405,0)-1,0,1,1))</f>
        <v>REZALA, MARCELO</v>
      </c>
      <c r="E187" s="21">
        <v>45839.0</v>
      </c>
      <c r="F187" s="21">
        <v>45870.0</v>
      </c>
      <c r="G187" s="23" t="s">
        <v>39</v>
      </c>
      <c r="H187" s="24">
        <f>IF( ISERROR( OFFSET(   'Cuadro tarifario'!D$2  , MATCH(CONCATENATE(                 IF(F187&gt;Mes,OFFSET(NroCT!B$17, MATCH($F187,NroCT!$A$18:$A1405,0),0,1,1),Periodovigente)                                                                                                                     ,A187) ,'Cuadro tarifario'!A$2:A1405,0) -1 , 0 , 1 , 1) )   , 0  ,   OFFSET(   'Cuadro tarifario'!D$2  , MATCH(CONCATENATE( IF(F187&gt;Mes,OFFSET(NroCT!B$17, MATCH($F187,NroCT!$A$18:$A1405,0),0,1,1),Periodovigente) ,A187) ,'Cuadro tarifario'!A$2:A1405,0) -1 , 0 , 1 , 1))</f>
        <v>9000</v>
      </c>
      <c r="I187" s="25">
        <f>INT(IF(F187,DAYS360(          DATE(YEAR(E187),MONTH(E187),1),         DATE(YEAR(F187)     ,      MONTH(F187),1 )    )            /30,0 ))</f>
        <v>1</v>
      </c>
      <c r="J187" s="24">
        <f t="shared" si="79"/>
        <v>9000</v>
      </c>
      <c r="K187" s="26">
        <f>IF(  AND(N187&gt;0,I187=0)          ,N187 ,                         IF(  IF( F187 ,  DAYS360(DATE(YEAR(F187),MONTH(F187),1),Mes)/30  ,  DAYS360(DATE(YEAR(E187),MONTH(E187),1),Mes)/30  )  &gt;  0 , IF(F187,   DAYS360(DATE(YEAR(F187),MONTH(F187),1),Mes)/30  ,  DAYS360(DATE(YEAR(E187),MONTH(E187),1),Mes)/30) , 0)       )</f>
        <v>0</v>
      </c>
      <c r="L187" s="27">
        <f>IF(ISERROR(K:K*H:H)   ,  0   ,   K:K*H:H)</f>
        <v>0</v>
      </c>
      <c r="M187" s="28"/>
      <c r="N187" s="29">
        <f>IF( ISERROR(OFFSET(SECUESTRADOS!D$1,MATCH(B187,SECUESTRADOS!A$2:A1405,0),0)) ,0 ,  OFFSET(SECUESTRADOS!D$1,MATCH(B187,SECUESTRADOS!A$2:A1405,0),0)  )</f>
        <v>0</v>
      </c>
      <c r="O187" s="30"/>
      <c r="P187" s="17" t="str">
        <f t="shared" si="3"/>
        <v>Bono canon</v>
      </c>
      <c r="Q187" s="17" t="str">
        <f t="shared" si="125"/>
        <v/>
      </c>
      <c r="R187" s="31"/>
      <c r="S187" s="31"/>
      <c r="T187" s="31"/>
    </row>
    <row r="188" ht="15.0" customHeight="1">
      <c r="A188" s="54" t="s">
        <v>40</v>
      </c>
      <c r="B188" s="54" t="s">
        <v>135</v>
      </c>
      <c r="C188" s="19">
        <v>1452.0</v>
      </c>
      <c r="D188" s="34" t="str">
        <f>if(   iserror(offset(PADRON!B$2,match(C:C,PADRON!A$2:A1405,0)-1,0,1,1) )  ,  ,    offset(PADRON!B$2,match(C:C,PADRON!A$2:A1405,0)-1,0,1,1))</f>
        <v>REZALA, MARCELO</v>
      </c>
      <c r="E188" s="22">
        <v>45839.0</v>
      </c>
      <c r="F188" s="22">
        <v>45870.0</v>
      </c>
      <c r="G188" s="23" t="s">
        <v>39</v>
      </c>
      <c r="H188" s="35">
        <f>IF( ISERROR( OFFSET(   'Cuadro tarifario'!D$2  , MATCH(CONCATENATE(                 IF(F188&gt;Mes,OFFSET(NroCT!B$17, MATCH($F188,NroCT!$A$18:$A1405,0),0,1,1),Periodovigente)                                                                                                                     ,A188) ,'Cuadro tarifario'!A$2:A1405,0) -1 , 0 , 1 , 1) )   , 0  ,   OFFSET(   'Cuadro tarifario'!D$2  , MATCH(CONCATENATE( IF(F188&gt;Mes,OFFSET(NroCT!B$17, MATCH($F188,NroCT!$A$18:$A1405,0),0,1,1),Periodovigente) ,A188) ,'Cuadro tarifario'!A$2:A1405,0) -1 , 0 , 1 , 1))</f>
        <v>12000</v>
      </c>
      <c r="I188" s="36">
        <f t="shared" ref="I188:I191" si="126">Int(If(F188,DAYS360(          date(Year(E188),Month(E188),1),         date(Year(F188)     ,      Month(F188),1 )    )            /30,0 ))</f>
        <v>1</v>
      </c>
      <c r="J188" s="37">
        <f t="shared" si="79"/>
        <v>12000</v>
      </c>
      <c r="K188" s="38">
        <f>if(  and(N188&gt;0,I188=0)          ,N188 ,                         If(  If( F188 ,  DAYS360(date(year(F188),month(F188),1),Mes)/30  ,  DAYS360(date(year(E188),month(E188),1),Mes)/30  )  &gt;  0 , If(F188,   DAYS360(date(year(F188),month(F188),1),Mes)/30  ,  DAYS360(date(year(E188),month(E188),1),Mes)/30) , 0)       )</f>
        <v>0</v>
      </c>
      <c r="L188" s="39">
        <f t="shared" ref="L188:L191" si="127">If(Iserror(K:K*H:H)   ,  0   ,   K:K*H:H)</f>
        <v>0</v>
      </c>
      <c r="M188" s="40"/>
      <c r="N188" s="29">
        <f>IF( ISERROR(OFFSET(SECUESTRADOS!D$1,MATCH(B188,SECUESTRADOS!A$2:A1405,0),0)) ,0 ,  OFFSET(SECUESTRADOS!D$1,MATCH(B188,SECUESTRADOS!A$2:A1405,0),0)  )</f>
        <v>0</v>
      </c>
      <c r="O188" s="30"/>
      <c r="P188" s="17" t="str">
        <f t="shared" si="3"/>
        <v>cuna windsurf</v>
      </c>
      <c r="Q188" s="17" t="str">
        <f t="shared" si="125"/>
        <v/>
      </c>
      <c r="R188" s="31"/>
      <c r="S188" s="31"/>
      <c r="T188" s="31"/>
    </row>
    <row r="189" ht="15.0" customHeight="1">
      <c r="A189" s="54" t="s">
        <v>42</v>
      </c>
      <c r="B189" s="54" t="s">
        <v>136</v>
      </c>
      <c r="C189" s="19">
        <v>1452.0</v>
      </c>
      <c r="D189" s="34" t="str">
        <f>if(   iserror(offset(PADRON!B$2,match(C:C,PADRON!A$2:A1405,0)-1,0,1,1) )  ,  ,    offset(PADRON!B$2,match(C:C,PADRON!A$2:A1405,0)-1,0,1,1))</f>
        <v>REZALA, MARCELO</v>
      </c>
      <c r="E189" s="22">
        <v>45992.0</v>
      </c>
      <c r="F189" s="22"/>
      <c r="G189" s="23" t="s">
        <v>39</v>
      </c>
      <c r="H189" s="35">
        <f>IF( ISERROR( OFFSET(   'Cuadro tarifario'!D$2  , MATCH(CONCATENATE(                 IF(F189&gt;Mes,OFFSET(NroCT!B$17, MATCH($F189,NroCT!$A$18:$A1405,0),0,1,1),Periodovigente)                                                                                                                     ,A189) ,'Cuadro tarifario'!A$2:A1405,0) -1 , 0 , 1 , 1) )   , 0  ,   OFFSET(   'Cuadro tarifario'!D$2  , MATCH(CONCATENATE( IF(F189&gt;Mes,OFFSET(NroCT!B$17, MATCH($F189,NroCT!$A$18:$A1405,0),0,1,1),Periodovigente) ,A189) ,'Cuadro tarifario'!A$2:A1405,0) -1 , 0 , 1 , 1))</f>
        <v>4000</v>
      </c>
      <c r="I189" s="36">
        <f t="shared" si="126"/>
        <v>0</v>
      </c>
      <c r="J189" s="37">
        <f t="shared" si="79"/>
        <v>0</v>
      </c>
      <c r="K189" s="38">
        <f>if(  and(N189&gt;0,I189=0)          ,N189 ,                         If(  If( F189 ,  DAYS360(date(year(F189),month(F189),1),Mes)/30  ,  DAYS360(date(year(E189),month(E189),1),Mes)/30  )  &gt;  0 , If(F189,   DAYS360(date(year(F189),month(F189),1),Mes)/30  ,  DAYS360(date(year(E189),month(E189),1),Mes)/30) , 0)       )</f>
        <v>0</v>
      </c>
      <c r="L189" s="39">
        <f t="shared" si="127"/>
        <v>0</v>
      </c>
      <c r="M189" s="40"/>
      <c r="N189" s="29">
        <f>IF( ISERROR(OFFSET(SECUESTRADOS!D$1,MATCH(B189,SECUESTRADOS!A$2:A1405,0),0)) ,0 ,  OFFSET(SECUESTRADOS!D$1,MATCH(B189,SECUESTRADOS!A$2:A1405,0),0)  )</f>
        <v>0</v>
      </c>
      <c r="O189" s="30"/>
      <c r="P189" s="17" t="b">
        <f t="shared" si="3"/>
        <v>0</v>
      </c>
      <c r="Q189" s="17" t="str">
        <f t="shared" si="125"/>
        <v/>
      </c>
      <c r="R189" s="31"/>
      <c r="S189" s="31"/>
      <c r="T189" s="31"/>
    </row>
    <row r="190" ht="15.0" customHeight="1">
      <c r="A190" s="54" t="s">
        <v>42</v>
      </c>
      <c r="B190" s="54" t="s">
        <v>137</v>
      </c>
      <c r="C190" s="19">
        <v>1452.0</v>
      </c>
      <c r="D190" s="34" t="str">
        <f>if(   iserror(offset(PADRON!B$2,match(C:C,PADRON!A$2:A1405,0)-1,0,1,1) )  ,  ,    offset(PADRON!B$2,match(C:C,PADRON!A$2:A1405,0)-1,0,1,1))</f>
        <v>REZALA, MARCELO</v>
      </c>
      <c r="E190" s="22">
        <v>45992.0</v>
      </c>
      <c r="F190" s="22"/>
      <c r="G190" s="23" t="s">
        <v>39</v>
      </c>
      <c r="H190" s="35">
        <f>IF( ISERROR( OFFSET(   'Cuadro tarifario'!D$2  , MATCH(CONCATENATE(                 IF(F190&gt;Mes,OFFSET(NroCT!B$17, MATCH($F190,NroCT!$A$18:$A1405,0),0,1,1),Periodovigente)                                                                                                                     ,A190) ,'Cuadro tarifario'!A$2:A1405,0) -1 , 0 , 1 , 1) )   , 0  ,   OFFSET(   'Cuadro tarifario'!D$2  , MATCH(CONCATENATE( IF(F190&gt;Mes,OFFSET(NroCT!B$17, MATCH($F190,NroCT!$A$18:$A1405,0),0,1,1),Periodovigente) ,A190) ,'Cuadro tarifario'!A$2:A1405,0) -1 , 0 , 1 , 1))</f>
        <v>4000</v>
      </c>
      <c r="I190" s="36">
        <f t="shared" si="126"/>
        <v>0</v>
      </c>
      <c r="J190" s="37">
        <f t="shared" si="79"/>
        <v>0</v>
      </c>
      <c r="K190" s="38">
        <f>if(  and(N190&gt;0,I190=0)          ,N190 ,                         If(  If( F190 ,  DAYS360(date(year(F190),month(F190),1),Mes)/30  ,  DAYS360(date(year(E190),month(E190),1),Mes)/30  )  &gt;  0 , If(F190,   DAYS360(date(year(F190),month(F190),1),Mes)/30  ,  DAYS360(date(year(E190),month(E190),1),Mes)/30) , 0)       )</f>
        <v>0</v>
      </c>
      <c r="L190" s="39">
        <f t="shared" si="127"/>
        <v>0</v>
      </c>
      <c r="M190" s="40"/>
      <c r="N190" s="29">
        <f>IF( ISERROR(OFFSET(SECUESTRADOS!D$1,MATCH(B190,SECUESTRADOS!A$2:A1405,0),0)) ,0 ,  OFFSET(SECUESTRADOS!D$1,MATCH(B190,SECUESTRADOS!A$2:A1405,0),0)  )</f>
        <v>0</v>
      </c>
      <c r="O190" s="30"/>
      <c r="P190" s="17" t="b">
        <f t="shared" si="3"/>
        <v>0</v>
      </c>
      <c r="Q190" s="17" t="str">
        <f t="shared" si="125"/>
        <v/>
      </c>
      <c r="R190" s="31"/>
      <c r="S190" s="31"/>
      <c r="T190" s="31"/>
    </row>
    <row r="191" ht="15.0" customHeight="1">
      <c r="A191" s="54" t="s">
        <v>71</v>
      </c>
      <c r="B191" s="54">
        <v>1456.0</v>
      </c>
      <c r="C191" s="19">
        <v>1456.0</v>
      </c>
      <c r="D191" s="34" t="str">
        <f>if(   iserror(offset(PADRON!B$2,match(C:C,PADRON!A$2:A1405,0)-1,0,1,1) )  ,  ,    offset(PADRON!B$2,match(C:C,PADRON!A$2:A1405,0)-1,0,1,1))</f>
        <v>SEMPLICI, CESAR</v>
      </c>
      <c r="E191" s="22">
        <v>45839.0</v>
      </c>
      <c r="F191" s="22">
        <v>45870.0</v>
      </c>
      <c r="G191" s="23" t="s">
        <v>39</v>
      </c>
      <c r="H191" s="35">
        <f>IF( ISERROR( OFFSET(   'Cuadro tarifario'!D$2  , MATCH(CONCATENATE(                 IF(F191&gt;Mes,OFFSET(NroCT!B$17, MATCH($F191,NroCT!$A$18:$A1405,0),0,1,1),Periodovigente)                                                                                                                     ,A191) ,'Cuadro tarifario'!A$2:A1405,0) -1 , 0 , 1 , 1) )   , 0  ,   OFFSET(   'Cuadro tarifario'!D$2  , MATCH(CONCATENATE( IF(F191&gt;Mes,OFFSET(NroCT!B$17, MATCH($F191,NroCT!$A$18:$A1405,0),0,1,1),Periodovigente) ,A191) ,'Cuadro tarifario'!A$2:A1405,0) -1 , 0 , 1 , 1))</f>
        <v>11000</v>
      </c>
      <c r="I191" s="36">
        <f t="shared" si="126"/>
        <v>1</v>
      </c>
      <c r="J191" s="37">
        <f t="shared" si="79"/>
        <v>11000</v>
      </c>
      <c r="K191" s="38">
        <f>if(  and(N191&gt;0,I191=0)          ,N191 ,                         If(  If( F191 ,  DAYS360(date(year(F191),month(F191),1),Mes)/30  ,  DAYS360(date(year(E191),month(E191),1),Mes)/30  )  &gt;  0 , If(F191,   DAYS360(date(year(F191),month(F191),1),Mes)/30  ,  DAYS360(date(year(E191),month(E191),1),Mes)/30) , 0)       )</f>
        <v>0</v>
      </c>
      <c r="L191" s="39">
        <f t="shared" si="127"/>
        <v>0</v>
      </c>
      <c r="M191" s="40"/>
      <c r="N191" s="29">
        <f>IF( ISERROR(OFFSET(SECUESTRADOS!D$1,MATCH(B191,SECUESTRADOS!A$2:A1405,0),0)) ,0 ,  OFFSET(SECUESTRADOS!D$1,MATCH(B191,SECUESTRADOS!A$2:A1405,0),0)  )</f>
        <v>0</v>
      </c>
      <c r="O191" s="30"/>
      <c r="P191" s="17" t="str">
        <f t="shared" si="3"/>
        <v>.socio</v>
      </c>
      <c r="Q191" s="17" t="str">
        <f>IF(AND(A191=#REF!,B191=#REF!,C191=#REF!),"Repetido","")</f>
        <v>#REF!</v>
      </c>
      <c r="R191" s="31"/>
      <c r="S191" s="31"/>
      <c r="T191" s="31"/>
    </row>
    <row r="192" ht="15.0" customHeight="1">
      <c r="A192" s="18" t="s">
        <v>38</v>
      </c>
      <c r="B192" s="17">
        <v>1456.0</v>
      </c>
      <c r="C192" s="19">
        <v>1456.0</v>
      </c>
      <c r="D192" s="20" t="str">
        <f>IF(   ISERROR(OFFSET(PADRON!B$2,MATCH(C:C,PADRON!A$2:A1405,0)-1,0,1,1) )  ,  ,    OFFSET(PADRON!B$2,MATCH(C:C,PADRON!A$2:A1405,0)-1,0,1,1))</f>
        <v>SEMPLICI, CESAR</v>
      </c>
      <c r="E192" s="21">
        <v>45839.0</v>
      </c>
      <c r="F192" s="21">
        <v>45870.0</v>
      </c>
      <c r="G192" s="23" t="s">
        <v>39</v>
      </c>
      <c r="H192" s="24">
        <f>IF( ISERROR( OFFSET(   'Cuadro tarifario'!D$2  , MATCH(CONCATENATE(                 IF(F192&gt;Mes,OFFSET(NroCT!B$17, MATCH($F192,NroCT!$A$18:$A1405,0),0,1,1),Periodovigente)                                                                                                                     ,A192) ,'Cuadro tarifario'!A$2:A1405,0) -1 , 0 , 1 , 1) )   , 0  ,   OFFSET(   'Cuadro tarifario'!D$2  , MATCH(CONCATENATE( IF(F192&gt;Mes,OFFSET(NroCT!B$17, MATCH($F192,NroCT!$A$18:$A1405,0),0,1,1),Periodovigente) ,A192) ,'Cuadro tarifario'!A$2:A1405,0) -1 , 0 , 1 , 1))</f>
        <v>9000</v>
      </c>
      <c r="I192" s="25">
        <f>INT(IF(F192,DAYS360(          DATE(YEAR(E192),MONTH(E192),1),         DATE(YEAR(F192)     ,      MONTH(F192),1 )    )            /30,0 ))</f>
        <v>1</v>
      </c>
      <c r="J192" s="24">
        <f t="shared" si="79"/>
        <v>9000</v>
      </c>
      <c r="K192" s="26">
        <f>IF(  AND(N192&gt;0,I192=0)          ,N192 ,                         IF(  IF( F192 ,  DAYS360(DATE(YEAR(F192),MONTH(F192),1),Mes)/30  ,  DAYS360(DATE(YEAR(E192),MONTH(E192),1),Mes)/30  )  &gt;  0 , IF(F192,   DAYS360(DATE(YEAR(F192),MONTH(F192),1),Mes)/30  ,  DAYS360(DATE(YEAR(E192),MONTH(E192),1),Mes)/30) , 0)       )</f>
        <v>0</v>
      </c>
      <c r="L192" s="27">
        <f>IF(ISERROR(K:K*H:H)   ,  0   ,   K:K*H:H)</f>
        <v>0</v>
      </c>
      <c r="M192" s="28"/>
      <c r="N192" s="29">
        <f>IF( ISERROR(OFFSET(SECUESTRADOS!D$1,MATCH(B192,SECUESTRADOS!A$2:A1405,0),0)) ,0 ,  OFFSET(SECUESTRADOS!D$1,MATCH(B192,SECUESTRADOS!A$2:A1405,0),0)  )</f>
        <v>0</v>
      </c>
      <c r="O192" s="30"/>
      <c r="P192" s="17" t="str">
        <f t="shared" si="3"/>
        <v>Bono canon</v>
      </c>
      <c r="Q192" s="17" t="str">
        <f t="shared" ref="Q192:Q193" si="128">IF(AND(A192=A191,B192=B191,C192=C191),"Repetido","")</f>
        <v/>
      </c>
      <c r="R192" s="31"/>
      <c r="S192" s="31"/>
      <c r="T192" s="31"/>
    </row>
    <row r="193" ht="15.0" customHeight="1">
      <c r="A193" s="54" t="s">
        <v>42</v>
      </c>
      <c r="B193" s="54" t="s">
        <v>138</v>
      </c>
      <c r="C193" s="19">
        <v>1456.0</v>
      </c>
      <c r="D193" s="34" t="str">
        <f>if(   iserror(offset(PADRON!B$2,match(C:C,PADRON!A$2:A1405,0)-1,0,1,1) )  ,  ,    offset(PADRON!B$2,match(C:C,PADRON!A$2:A1405,0)-1,0,1,1))</f>
        <v>SEMPLICI, CESAR</v>
      </c>
      <c r="E193" s="22">
        <v>45992.0</v>
      </c>
      <c r="F193" s="22"/>
      <c r="G193" s="23" t="s">
        <v>39</v>
      </c>
      <c r="H193" s="35">
        <f>IF( ISERROR( OFFSET(   'Cuadro tarifario'!D$2  , MATCH(CONCATENATE(                 IF(F193&gt;Mes,OFFSET(NroCT!B$17, MATCH($F193,NroCT!$A$18:$A1405,0),0,1,1),Periodovigente)                                                                                                                     ,A193) ,'Cuadro tarifario'!A$2:A1405,0) -1 , 0 , 1 , 1) )   , 0  ,   OFFSET(   'Cuadro tarifario'!D$2  , MATCH(CONCATENATE( IF(F193&gt;Mes,OFFSET(NroCT!B$17, MATCH($F193,NroCT!$A$18:$A1405,0),0,1,1),Periodovigente) ,A193) ,'Cuadro tarifario'!A$2:A1405,0) -1 , 0 , 1 , 1))</f>
        <v>4000</v>
      </c>
      <c r="I193" s="36">
        <f t="shared" ref="I193:I194" si="129">Int(If(F193,DAYS360(          date(Year(E193),Month(E193),1),         date(Year(F193)     ,      Month(F193),1 )    )            /30,0 ))</f>
        <v>0</v>
      </c>
      <c r="J193" s="37">
        <f t="shared" si="79"/>
        <v>0</v>
      </c>
      <c r="K193" s="38">
        <f>if(  and(N193&gt;0,I193=0)          ,N193 ,                         If(  If( F193 ,  DAYS360(date(year(F193),month(F193),1),Mes)/30  ,  DAYS360(date(year(E193),month(E193),1),Mes)/30  )  &gt;  0 , If(F193,   DAYS360(date(year(F193),month(F193),1),Mes)/30  ,  DAYS360(date(year(E193),month(E193),1),Mes)/30) , 0)       )</f>
        <v>0</v>
      </c>
      <c r="L193" s="39">
        <f t="shared" ref="L193:L194" si="130">If(Iserror(K:K*H:H)   ,  0   ,   K:K*H:H)</f>
        <v>0</v>
      </c>
      <c r="M193" s="40"/>
      <c r="N193" s="29">
        <f>IF( ISERROR(OFFSET(SECUESTRADOS!D$1,MATCH(B193,SECUESTRADOS!A$2:A1405,0),0)) ,0 ,  OFFSET(SECUESTRADOS!D$1,MATCH(B193,SECUESTRADOS!A$2:A1405,0),0)  )</f>
        <v>0</v>
      </c>
      <c r="O193" s="30"/>
      <c r="P193" s="17" t="b">
        <f t="shared" si="3"/>
        <v>0</v>
      </c>
      <c r="Q193" s="17" t="str">
        <f t="shared" si="128"/>
        <v/>
      </c>
      <c r="R193" s="31"/>
      <c r="S193" s="31"/>
      <c r="T193" s="31"/>
    </row>
    <row r="194" ht="15.0" customHeight="1">
      <c r="A194" s="54" t="s">
        <v>71</v>
      </c>
      <c r="B194" s="54">
        <v>1460.0</v>
      </c>
      <c r="C194" s="19">
        <v>1460.0</v>
      </c>
      <c r="D194" s="34" t="str">
        <f>if(   iserror(offset(PADRON!B$2,match(C:C,PADRON!A$2:A1405,0)-1,0,1,1) )  ,  ,    offset(PADRON!B$2,match(C:C,PADRON!A$2:A1405,0)-1,0,1,1))</f>
        <v>BILOS, CLAUDIO</v>
      </c>
      <c r="E194" s="22">
        <v>45839.0</v>
      </c>
      <c r="F194" s="22">
        <v>45870.0</v>
      </c>
      <c r="G194" s="23" t="s">
        <v>39</v>
      </c>
      <c r="H194" s="35">
        <f>IF( ISERROR( OFFSET(   'Cuadro tarifario'!D$2  , MATCH(CONCATENATE(                 IF(F194&gt;Mes,OFFSET(NroCT!B$17, MATCH($F194,NroCT!$A$18:$A1405,0),0,1,1),Periodovigente)                                                                                                                     ,A194) ,'Cuadro tarifario'!A$2:A1405,0) -1 , 0 , 1 , 1) )   , 0  ,   OFFSET(   'Cuadro tarifario'!D$2  , MATCH(CONCATENATE( IF(F194&gt;Mes,OFFSET(NroCT!B$17, MATCH($F194,NroCT!$A$18:$A1405,0),0,1,1),Periodovigente) ,A194) ,'Cuadro tarifario'!A$2:A1405,0) -1 , 0 , 1 , 1))</f>
        <v>11000</v>
      </c>
      <c r="I194" s="36">
        <f t="shared" si="129"/>
        <v>1</v>
      </c>
      <c r="J194" s="37">
        <f t="shared" si="79"/>
        <v>11000</v>
      </c>
      <c r="K194" s="38">
        <f>if(  and(N194&gt;0,I194=0)          ,N194 ,                         If(  If( F194 ,  DAYS360(date(year(F194),month(F194),1),Mes)/30  ,  DAYS360(date(year(E194),month(E194),1),Mes)/30  )  &gt;  0 , If(F194,   DAYS360(date(year(F194),month(F194),1),Mes)/30  ,  DAYS360(date(year(E194),month(E194),1),Mes)/30) , 0)       )</f>
        <v>0</v>
      </c>
      <c r="L194" s="39">
        <f t="shared" si="130"/>
        <v>0</v>
      </c>
      <c r="M194" s="40"/>
      <c r="N194" s="29">
        <f>IF( ISERROR(OFFSET(SECUESTRADOS!D$1,MATCH(B194,SECUESTRADOS!A$2:A1405,0),0)) ,0 ,  OFFSET(SECUESTRADOS!D$1,MATCH(B194,SECUESTRADOS!A$2:A1405,0),0)  )</f>
        <v>0</v>
      </c>
      <c r="O194" s="30"/>
      <c r="P194" s="17" t="str">
        <f t="shared" si="3"/>
        <v>.socio</v>
      </c>
      <c r="Q194" s="17" t="str">
        <f>IF(AND(A194=#REF!,B194=#REF!,C194=#REF!),"Repetido","")</f>
        <v>#REF!</v>
      </c>
      <c r="R194" s="31"/>
      <c r="S194" s="31"/>
      <c r="T194" s="31"/>
    </row>
    <row r="195" ht="15.0" customHeight="1">
      <c r="A195" s="18" t="s">
        <v>38</v>
      </c>
      <c r="B195" s="17">
        <v>1460.0</v>
      </c>
      <c r="C195" s="19">
        <v>1460.0</v>
      </c>
      <c r="D195" s="20" t="str">
        <f>IF(   ISERROR(OFFSET(PADRON!B$2,MATCH(C:C,PADRON!A$2:A1405,0)-1,0,1,1) )  ,  ,    OFFSET(PADRON!B$2,MATCH(C:C,PADRON!A$2:A1405,0)-1,0,1,1))</f>
        <v>BILOS, CLAUDIO</v>
      </c>
      <c r="E195" s="21">
        <v>45839.0</v>
      </c>
      <c r="F195" s="21">
        <v>45870.0</v>
      </c>
      <c r="G195" s="23" t="s">
        <v>39</v>
      </c>
      <c r="H195" s="24">
        <f>IF( ISERROR( OFFSET(   'Cuadro tarifario'!D$2  , MATCH(CONCATENATE(                 IF(F195&gt;Mes,OFFSET(NroCT!B$17, MATCH($F195,NroCT!$A$18:$A1405,0),0,1,1),Periodovigente)                                                                                                                     ,A195) ,'Cuadro tarifario'!A$2:A1405,0) -1 , 0 , 1 , 1) )   , 0  ,   OFFSET(   'Cuadro tarifario'!D$2  , MATCH(CONCATENATE( IF(F195&gt;Mes,OFFSET(NroCT!B$17, MATCH($F195,NroCT!$A$18:$A1405,0),0,1,1),Periodovigente) ,A195) ,'Cuadro tarifario'!A$2:A1405,0) -1 , 0 , 1 , 1))</f>
        <v>9000</v>
      </c>
      <c r="I195" s="25">
        <f>INT(IF(F195,DAYS360(          DATE(YEAR(E195),MONTH(E195),1),         DATE(YEAR(F195)     ,      MONTH(F195),1 )    )            /30,0 ))</f>
        <v>1</v>
      </c>
      <c r="J195" s="24">
        <f t="shared" si="79"/>
        <v>9000</v>
      </c>
      <c r="K195" s="26">
        <f>IF(  AND(N195&gt;0,I195=0)          ,N195 ,                         IF(  IF( F195 ,  DAYS360(DATE(YEAR(F195),MONTH(F195),1),Mes)/30  ,  DAYS360(DATE(YEAR(E195),MONTH(E195),1),Mes)/30  )  &gt;  0 , IF(F195,   DAYS360(DATE(YEAR(F195),MONTH(F195),1),Mes)/30  ,  DAYS360(DATE(YEAR(E195),MONTH(E195),1),Mes)/30) , 0)       )</f>
        <v>0</v>
      </c>
      <c r="L195" s="27">
        <f>IF(ISERROR(K:K*H:H)   ,  0   ,   K:K*H:H)</f>
        <v>0</v>
      </c>
      <c r="M195" s="28"/>
      <c r="N195" s="29">
        <f>IF( ISERROR(OFFSET(SECUESTRADOS!D$1,MATCH(B195,SECUESTRADOS!A$2:A1405,0),0)) ,0 ,  OFFSET(SECUESTRADOS!D$1,MATCH(B195,SECUESTRADOS!A$2:A1405,0),0)  )</f>
        <v>0</v>
      </c>
      <c r="O195" s="30"/>
      <c r="P195" s="17" t="str">
        <f t="shared" si="3"/>
        <v>Bono canon</v>
      </c>
      <c r="Q195" s="17" t="str">
        <f t="shared" ref="Q195:Q196" si="131">IF(AND(A195=A194,B195=B194,C195=C194),"Repetido","")</f>
        <v/>
      </c>
      <c r="R195" s="31"/>
      <c r="S195" s="31"/>
      <c r="T195" s="31"/>
    </row>
    <row r="196" ht="15.0" customHeight="1">
      <c r="A196" s="79" t="s">
        <v>82</v>
      </c>
      <c r="B196" s="79" t="s">
        <v>139</v>
      </c>
      <c r="C196" s="19">
        <v>1460.0</v>
      </c>
      <c r="D196" s="34" t="str">
        <f>if(   iserror(offset(PADRON!B$2,match(C:C,PADRON!A$2:A1405,0)-1,0,1,1) )  ,  ,    offset(PADRON!B$2,match(C:C,PADRON!A$2:A1405,0)-1,0,1,1))</f>
        <v>BILOS, CLAUDIO</v>
      </c>
      <c r="E196" s="22">
        <v>45839.0</v>
      </c>
      <c r="F196" s="22">
        <v>45870.0</v>
      </c>
      <c r="G196" s="23" t="s">
        <v>39</v>
      </c>
      <c r="H196" s="80">
        <f>IF( ISERROR( OFFSET(   'Cuadro tarifario'!D$2  , MATCH(CONCATENATE(                 IF(F196&gt;Mes,OFFSET(NroCT!B$17, MATCH($F196,NroCT!$A$18:$A1405,0),0,1,1),Periodovigente)                                                                                                                     ,A196) ,'Cuadro tarifario'!A$2:A1405,0) -1 , 0 , 1 , 1) )   , 0  ,   OFFSET(   'Cuadro tarifario'!D$2  , MATCH(CONCATENATE( IF(F196&gt;Mes,OFFSET(NroCT!B$17, MATCH($F196,NroCT!$A$18:$A1405,0),0,1,1),Periodovigente) ,A196) ,'Cuadro tarifario'!A$2:A1405,0) -1 , 0 , 1 , 1))</f>
        <v>12000</v>
      </c>
      <c r="I196" s="36">
        <f t="shared" ref="I196:I198" si="132">Int(If(F196,DAYS360(          date(Year(E196),Month(E196),1),         date(Year(F196)     ,      Month(F196),1 )    )            /30,0 ))</f>
        <v>1</v>
      </c>
      <c r="J196" s="36">
        <f t="shared" si="79"/>
        <v>12000</v>
      </c>
      <c r="K196" s="38">
        <f>if(  and(N196&gt;0,I196=0)          ,N196 ,                         If(  If( F196 ,  DAYS360(date(year(F196),month(F196),1),Mes)/30  ,  DAYS360(date(year(E196),month(E196),1),Mes)/30  )  &gt;  0 , If(F196,   DAYS360(date(year(F196),month(F196),1),Mes)/30  ,  DAYS360(date(year(E196),month(E196),1),Mes)/30) , 0)       )</f>
        <v>0</v>
      </c>
      <c r="L196" s="38">
        <f t="shared" ref="L196:L198" si="133">If(Iserror(K:K*H:H)   ,  0   ,   K:K*H:H)</f>
        <v>0</v>
      </c>
      <c r="M196" s="40"/>
      <c r="N196" s="29">
        <f>IF( ISERROR(OFFSET(SECUESTRADOS!D$1,MATCH(B196,SECUESTRADOS!A$2:A1405,0),0)) ,0 ,  OFFSET(SECUESTRADOS!D$1,MATCH(B196,SECUESTRADOS!A$2:A1405,0),0)  )</f>
        <v>0</v>
      </c>
      <c r="O196" s="30"/>
      <c r="P196" s="17" t="str">
        <f t="shared" si="3"/>
        <v>cuna kayak</v>
      </c>
      <c r="Q196" s="17" t="str">
        <f t="shared" si="131"/>
        <v/>
      </c>
      <c r="R196" s="31"/>
      <c r="S196" s="31"/>
      <c r="T196" s="31"/>
    </row>
    <row r="197" ht="15.0" customHeight="1">
      <c r="A197" s="79" t="s">
        <v>71</v>
      </c>
      <c r="B197" s="79">
        <v>1461.0</v>
      </c>
      <c r="C197" s="19">
        <v>1461.0</v>
      </c>
      <c r="D197" s="34" t="str">
        <f>if(   iserror(offset(PADRON!B$2,match(C:C,PADRON!A$2:A1405,0)-1,0,1,1) )  ,  ,    offset(PADRON!B$2,match(C:C,PADRON!A$2:A1405,0)-1,0,1,1))</f>
        <v>CUELLO, JULIO CESAR</v>
      </c>
      <c r="E197" s="22">
        <v>45839.0</v>
      </c>
      <c r="F197" s="22">
        <v>45901.0</v>
      </c>
      <c r="G197" s="23" t="s">
        <v>39</v>
      </c>
      <c r="H197" s="35">
        <f>IF( ISERROR( OFFSET(   'Cuadro tarifario'!D$2  , MATCH(CONCATENATE(                 IF(F197&gt;Mes,OFFSET(NroCT!B$17, MATCH($F197,NroCT!$A$18:$A1405,0),0,1,1),Periodovigente)                                                                                                                     ,A197) ,'Cuadro tarifario'!A$2:A1405,0) -1 , 0 , 1 , 1) )   , 0  ,   OFFSET(   'Cuadro tarifario'!D$2  , MATCH(CONCATENATE( IF(F197&gt;Mes,OFFSET(NroCT!B$17, MATCH($F197,NroCT!$A$18:$A1405,0),0,1,1),Periodovigente) ,A197) ,'Cuadro tarifario'!A$2:A1405,0) -1 , 0 , 1 , 1))</f>
        <v>11000</v>
      </c>
      <c r="I197" s="36">
        <f t="shared" si="132"/>
        <v>2</v>
      </c>
      <c r="J197" s="37">
        <f t="shared" si="79"/>
        <v>22000</v>
      </c>
      <c r="K197" s="38">
        <f>if(  and(N197&gt;0,I197=0)          ,N197 ,                         If(  If( F197 ,  DAYS360(date(year(F197),month(F197),1),Mes)/30  ,  DAYS360(date(year(E197),month(E197),1),Mes)/30  )  &gt;  0 , If(F197,   DAYS360(date(year(F197),month(F197),1),Mes)/30  ,  DAYS360(date(year(E197),month(E197),1),Mes)/30) , 0)       )</f>
        <v>0</v>
      </c>
      <c r="L197" s="39">
        <f t="shared" si="133"/>
        <v>0</v>
      </c>
      <c r="M197" s="40"/>
      <c r="N197" s="29">
        <f>IF( ISERROR(OFFSET(SECUESTRADOS!D$1,MATCH(B197,SECUESTRADOS!A$2:A1405,0),0)) ,0 ,  OFFSET(SECUESTRADOS!D$1,MATCH(B197,SECUESTRADOS!A$2:A1405,0),0)  )</f>
        <v>0</v>
      </c>
      <c r="O197" s="30"/>
      <c r="P197" s="17" t="str">
        <f t="shared" si="3"/>
        <v>.socio</v>
      </c>
      <c r="Q197" s="17" t="str">
        <f>IF(AND(A197=A195,B197=B195,C197=C195),"Repetido","")</f>
        <v/>
      </c>
      <c r="R197" s="31"/>
      <c r="S197" s="31"/>
      <c r="T197" s="31"/>
    </row>
    <row r="198" ht="15.0" customHeight="1">
      <c r="A198" s="54" t="s">
        <v>38</v>
      </c>
      <c r="B198" s="54">
        <v>1461.0</v>
      </c>
      <c r="C198" s="19">
        <v>1461.0</v>
      </c>
      <c r="D198" s="34" t="str">
        <f>if(   iserror(offset(PADRON!B$2,match(C:C,PADRON!A$2:A1405,0)-1,0,1,1) )  ,  ,    offset(PADRON!B$2,match(C:C,PADRON!A$2:A1405,0)-1,0,1,1))</f>
        <v>CUELLO, JULIO CESAR</v>
      </c>
      <c r="E198" s="22">
        <v>45839.0</v>
      </c>
      <c r="F198" s="22">
        <v>45901.0</v>
      </c>
      <c r="G198" s="23" t="s">
        <v>39</v>
      </c>
      <c r="H198" s="35">
        <f>IF( ISERROR( OFFSET(   'Cuadro tarifario'!D$2  , MATCH(CONCATENATE(                 IF(F198&gt;Mes,OFFSET(NroCT!B$17, MATCH($F198,NroCT!$A$18:$A1405,0),0,1,1),Periodovigente)                                                                                                                     ,A198) ,'Cuadro tarifario'!A$2:A1405,0) -1 , 0 , 1 , 1) )   , 0  ,   OFFSET(   'Cuadro tarifario'!D$2  , MATCH(CONCATENATE( IF(F198&gt;Mes,OFFSET(NroCT!B$17, MATCH($F198,NroCT!$A$18:$A1405,0),0,1,1),Periodovigente) ,A198) ,'Cuadro tarifario'!A$2:A1405,0) -1 , 0 , 1 , 1))</f>
        <v>9000</v>
      </c>
      <c r="I198" s="36">
        <f t="shared" si="132"/>
        <v>2</v>
      </c>
      <c r="J198" s="37">
        <f t="shared" si="79"/>
        <v>18000</v>
      </c>
      <c r="K198" s="38">
        <f>if(  and(N198&gt;0,I198=0)          ,N198 ,                         If(  If( F198 ,  DAYS360(date(year(F198),month(F198),1),Mes)/30  ,  DAYS360(date(year(E198),month(E198),1),Mes)/30  )  &gt;  0 , If(F198,   DAYS360(date(year(F198),month(F198),1),Mes)/30  ,  DAYS360(date(year(E198),month(E198),1),Mes)/30) , 0)       )</f>
        <v>0</v>
      </c>
      <c r="L198" s="39">
        <f t="shared" si="133"/>
        <v>0</v>
      </c>
      <c r="M198" s="40"/>
      <c r="N198" s="29">
        <f>IF( ISERROR(OFFSET(SECUESTRADOS!D$1,MATCH(B198,SECUESTRADOS!A$2:A1405,0),0)) ,0 ,  OFFSET(SECUESTRADOS!D$1,MATCH(B198,SECUESTRADOS!A$2:A1405,0),0)  )</f>
        <v>0</v>
      </c>
      <c r="O198" s="30"/>
      <c r="P198" s="17" t="str">
        <f t="shared" si="3"/>
        <v>Bono canon</v>
      </c>
      <c r="Q198" s="17" t="str">
        <f t="shared" ref="Q198:Q199" si="134">IF(AND(A198=A197,B198=B197,C198=C197),"Repetido","")</f>
        <v/>
      </c>
      <c r="R198" s="31"/>
      <c r="S198" s="31"/>
      <c r="T198" s="31"/>
    </row>
    <row r="199" ht="15.0" customHeight="1">
      <c r="A199" s="18" t="s">
        <v>48</v>
      </c>
      <c r="B199" s="18" t="s">
        <v>140</v>
      </c>
      <c r="C199" s="19">
        <v>1461.0</v>
      </c>
      <c r="D199" s="20" t="str">
        <f>IF(   ISERROR(OFFSET(PADRON!B$2,MATCH(C:C,PADRON!A$2:A1405,0)-1,0,1,1) )  ,  ,    OFFSET(PADRON!B$2,MATCH(C:C,PADRON!A$2:A1405,0)-1,0,1,1))</f>
        <v>CUELLO, JULIO CESAR</v>
      </c>
      <c r="E199" s="21">
        <v>45839.0</v>
      </c>
      <c r="F199" s="21">
        <v>45901.0</v>
      </c>
      <c r="G199" s="23" t="s">
        <v>39</v>
      </c>
      <c r="H199" s="24">
        <f>IF( ISERROR( OFFSET(   'Cuadro tarifario'!D$2  , MATCH(CONCATENATE(                 IF(F199&gt;Mes,OFFSET(NroCT!B$17, MATCH($F199,NroCT!$A$18:$A1405,0),0,1,1),Periodovigente)                                                                                                                     ,A199) ,'Cuadro tarifario'!A$2:A1405,0) -1 , 0 , 1 , 1) )   , 0  ,   OFFSET(   'Cuadro tarifario'!D$2  , MATCH(CONCATENATE( IF(F199&gt;Mes,OFFSET(NroCT!B$17, MATCH($F199,NroCT!$A$18:$A1405,0),0,1,1),Periodovigente) ,A199) ,'Cuadro tarifario'!A$2:A1405,0) -1 , 0 , 1 , 1))</f>
        <v>12000</v>
      </c>
      <c r="I199" s="25">
        <f t="shared" ref="I199:I204" si="135">INT(IF(F199,DAYS360(          DATE(YEAR(E199),MONTH(E199),1),         DATE(YEAR(F199)     ,      MONTH(F199),1 )    )            /30,0 ))</f>
        <v>2</v>
      </c>
      <c r="J199" s="24">
        <f t="shared" si="79"/>
        <v>24000</v>
      </c>
      <c r="K199" s="26">
        <f>IF(  AND(N199&gt;0,I199=0)          ,N199 ,                         IF(  IF( F199 ,  DAYS360(DATE(YEAR(F199),MONTH(F199),1),Mes)/30  ,  DAYS360(DATE(YEAR(E199),MONTH(E199),1),Mes)/30  )  &gt;  0 , IF(F199,   DAYS360(DATE(YEAR(F199),MONTH(F199),1),Mes)/30  ,  DAYS360(DATE(YEAR(E199),MONTH(E199),1),Mes)/30) , 0)       )</f>
        <v>0</v>
      </c>
      <c r="L199" s="27">
        <f t="shared" ref="L199:L204" si="136">IF(ISERROR(K:K*H:H)   ,  0   ,   K:K*H:H)</f>
        <v>0</v>
      </c>
      <c r="M199" s="28"/>
      <c r="N199" s="29">
        <f>IF( ISERROR(OFFSET(SECUESTRADOS!D$1,MATCH(B199,SECUESTRADOS!A$2:A1405,0),0)) ,0 ,  OFFSET(SECUESTRADOS!D$1,MATCH(B199,SECUESTRADOS!A$2:A1405,0),0)  )</f>
        <v>0</v>
      </c>
      <c r="O199" s="30"/>
      <c r="P199" s="17" t="str">
        <f t="shared" si="3"/>
        <v>velero</v>
      </c>
      <c r="Q199" s="17" t="str">
        <f t="shared" si="134"/>
        <v/>
      </c>
      <c r="R199" s="31"/>
      <c r="S199" s="31"/>
      <c r="T199" s="31"/>
    </row>
    <row r="200" ht="15.0" customHeight="1">
      <c r="A200" s="73" t="s">
        <v>71</v>
      </c>
      <c r="B200" s="73">
        <v>1476.0</v>
      </c>
      <c r="C200" s="19">
        <v>1476.0</v>
      </c>
      <c r="D200" s="44" t="str">
        <f>IF(   ISERROR(OFFSET(PADRON!B$2,MATCH(C:C,PADRON!A$2:A1405,0)-1,0,1,1) )  ,  ,    OFFSET(PADRON!B$2,MATCH(C:C,PADRON!A$2:A1405,0)-1,0,1,1))</f>
        <v>CASTILLO, DARDO</v>
      </c>
      <c r="E200" s="45">
        <v>45931.0</v>
      </c>
      <c r="F200" s="45"/>
      <c r="G200" s="23" t="s">
        <v>39</v>
      </c>
      <c r="H200" s="24">
        <f>IF( ISERROR( OFFSET(   'Cuadro tarifario'!D$2  , MATCH(CONCATENATE(                 IF(F200&gt;Mes,OFFSET(NroCT!B$17, MATCH($F200,NroCT!$A$18:$A1405,0),0,1,1),Periodovigente)                                                                                                                     ,A200) ,'Cuadro tarifario'!A$2:A1405,0) -1 , 0 , 1 , 1) )   , 0  ,   OFFSET(   'Cuadro tarifario'!D$2  , MATCH(CONCATENATE( IF(F200&gt;Mes,OFFSET(NroCT!B$17, MATCH($F200,NroCT!$A$18:$A1405,0),0,1,1),Periodovigente) ,A200) ,'Cuadro tarifario'!A$2:A1405,0) -1 , 0 , 1 , 1))</f>
        <v>11000</v>
      </c>
      <c r="I200" s="46">
        <f t="shared" si="135"/>
        <v>0</v>
      </c>
      <c r="J200" s="47">
        <f t="shared" si="79"/>
        <v>0</v>
      </c>
      <c r="K200" s="48">
        <f>IF(  AND(N200&gt;0,I200=0)          ,N200 ,                         IF(  IF( F200 ,  DAYS360(DATE(YEAR(F200),MONTH(F200),1),Mes)/30  ,  DAYS360(DATE(YEAR(E200),MONTH(E200),1),Mes)/30  )  &gt;  0 , IF(F200,   DAYS360(DATE(YEAR(F200),MONTH(F200),1),Mes)/30  ,  DAYS360(DATE(YEAR(E200),MONTH(E200),1),Mes)/30) , 0)       )</f>
        <v>0</v>
      </c>
      <c r="L200" s="49">
        <f t="shared" si="136"/>
        <v>0</v>
      </c>
      <c r="M200" s="50"/>
      <c r="N200" s="29">
        <f>IF( ISERROR(OFFSET(SECUESTRADOS!D$1,MATCH(B200,SECUESTRADOS!A$2:A1405,0),0)) ,0 ,  OFFSET(SECUESTRADOS!D$1,MATCH(B200,SECUESTRADOS!A$2:A1405,0),0)  )</f>
        <v>0</v>
      </c>
      <c r="O200" s="30"/>
      <c r="P200" s="17" t="b">
        <f t="shared" si="3"/>
        <v>0</v>
      </c>
      <c r="Q200" s="17" t="str">
        <f>IF(AND(A200=#REF!,B200=#REF!,C200=#REF!),"Repetido","")</f>
        <v>#REF!</v>
      </c>
      <c r="R200" s="31"/>
      <c r="S200" s="31"/>
      <c r="T200" s="31"/>
    </row>
    <row r="201" ht="15.0" customHeight="1">
      <c r="A201" s="18" t="s">
        <v>38</v>
      </c>
      <c r="B201" s="17">
        <v>1476.0</v>
      </c>
      <c r="C201" s="19">
        <v>1476.0</v>
      </c>
      <c r="D201" s="20" t="str">
        <f>IF(   ISERROR(OFFSET(PADRON!B$2,MATCH(C:C,PADRON!A$2:A1405,0)-1,0,1,1) )  ,  ,    OFFSET(PADRON!B$2,MATCH(C:C,PADRON!A$2:A1405,0)-1,0,1,1))</f>
        <v>CASTILLO, DARDO</v>
      </c>
      <c r="E201" s="21">
        <v>45931.0</v>
      </c>
      <c r="F201" s="21"/>
      <c r="G201" s="23" t="s">
        <v>39</v>
      </c>
      <c r="H201" s="24">
        <f>IF( ISERROR( OFFSET(   'Cuadro tarifario'!D$2  , MATCH(CONCATENATE(                 IF(F201&gt;Mes,OFFSET(NroCT!B$17, MATCH($F201,NroCT!$A$18:$A1405,0),0,1,1),Periodovigente)                                                                                                                     ,A201) ,'Cuadro tarifario'!A$2:A1405,0) -1 , 0 , 1 , 1) )   , 0  ,   OFFSET(   'Cuadro tarifario'!D$2  , MATCH(CONCATENATE( IF(F201&gt;Mes,OFFSET(NroCT!B$17, MATCH($F201,NroCT!$A$18:$A1405,0),0,1,1),Periodovigente) ,A201) ,'Cuadro tarifario'!A$2:A1405,0) -1 , 0 , 1 , 1))</f>
        <v>9000</v>
      </c>
      <c r="I201" s="25">
        <f t="shared" si="135"/>
        <v>0</v>
      </c>
      <c r="J201" s="24">
        <f t="shared" si="79"/>
        <v>0</v>
      </c>
      <c r="K201" s="26">
        <f>IF(  AND(N201&gt;0,I201=0)          ,N201 ,                         IF(  IF( F201 ,  DAYS360(DATE(YEAR(F201),MONTH(F201),1),Mes)/30  ,  DAYS360(DATE(YEAR(E201),MONTH(E201),1),Mes)/30  )  &gt;  0 , IF(F201,   DAYS360(DATE(YEAR(F201),MONTH(F201),1),Mes)/30  ,  DAYS360(DATE(YEAR(E201),MONTH(E201),1),Mes)/30) , 0)       )</f>
        <v>0</v>
      </c>
      <c r="L201" s="27">
        <f t="shared" si="136"/>
        <v>0</v>
      </c>
      <c r="M201" s="28"/>
      <c r="N201" s="29">
        <f>IF( ISERROR(OFFSET(SECUESTRADOS!D$1,MATCH(B201,SECUESTRADOS!A$2:A1405,0),0)) ,0 ,  OFFSET(SECUESTRADOS!D$1,MATCH(B201,SECUESTRADOS!A$2:A1405,0),0)  )</f>
        <v>0</v>
      </c>
      <c r="O201" s="30"/>
      <c r="P201" s="17" t="b">
        <f t="shared" si="3"/>
        <v>0</v>
      </c>
      <c r="Q201" s="17" t="str">
        <f>IF(AND(A201=A200,B201=B200,C201=C200),"Repetido","")</f>
        <v/>
      </c>
      <c r="R201" s="31"/>
      <c r="S201" s="31"/>
      <c r="T201" s="31"/>
    </row>
    <row r="202" ht="15.0" customHeight="1">
      <c r="A202" s="100" t="s">
        <v>40</v>
      </c>
      <c r="B202" s="100" t="s">
        <v>141</v>
      </c>
      <c r="C202" s="19">
        <v>1476.0</v>
      </c>
      <c r="D202" s="44" t="str">
        <f>IF(   ISERROR(OFFSET(PADRON!B$2,MATCH(C:C,PADRON!A$2:A1405,0)-1,0,1,1) )  ,  ,    OFFSET(PADRON!B$2,MATCH(C:C,PADRON!A$2:A1405,0)-1,0,1,1))</f>
        <v>CASTILLO, DARDO</v>
      </c>
      <c r="E202" s="45">
        <v>45931.0</v>
      </c>
      <c r="F202" s="45"/>
      <c r="G202" s="23" t="s">
        <v>39</v>
      </c>
      <c r="H202" s="24">
        <f>IF( ISERROR( OFFSET(   'Cuadro tarifario'!D$2  , MATCH(CONCATENATE(                 IF(F202&gt;Mes,OFFSET(NroCT!B$17, MATCH($F202,NroCT!$A$18:$A1405,0),0,1,1),Periodovigente)                                                                                                                     ,A202) ,'Cuadro tarifario'!A$2:A1405,0) -1 , 0 , 1 , 1) )   , 0  ,   OFFSET(   'Cuadro tarifario'!D$2  , MATCH(CONCATENATE( IF(F202&gt;Mes,OFFSET(NroCT!B$17, MATCH($F202,NroCT!$A$18:$A1405,0),0,1,1),Periodovigente) ,A202) ,'Cuadro tarifario'!A$2:A1405,0) -1 , 0 , 1 , 1))</f>
        <v>12000</v>
      </c>
      <c r="I202" s="46">
        <f t="shared" si="135"/>
        <v>0</v>
      </c>
      <c r="J202" s="47">
        <f t="shared" si="79"/>
        <v>0</v>
      </c>
      <c r="K202" s="48">
        <f>IF(  AND(N202&gt;0,I202=0)          ,N202 ,                         IF(  IF( F202 ,  DAYS360(DATE(YEAR(F202),MONTH(F202),1),Mes)/30  ,  DAYS360(DATE(YEAR(E202),MONTH(E202),1),Mes)/30  )  &gt;  0 , IF(F202,   DAYS360(DATE(YEAR(F202),MONTH(F202),1),Mes)/30  ,  DAYS360(DATE(YEAR(E202),MONTH(E202),1),Mes)/30) , 0)       )</f>
        <v>0</v>
      </c>
      <c r="L202" s="49">
        <f t="shared" si="136"/>
        <v>0</v>
      </c>
      <c r="M202" s="50"/>
      <c r="N202" s="29">
        <f>IF( ISERROR(OFFSET(SECUESTRADOS!D$1,MATCH(B202,SECUESTRADOS!A$2:A1405,0),0)) ,0 ,  OFFSET(SECUESTRADOS!D$1,MATCH(B202,SECUESTRADOS!A$2:A1405,0),0)  )</f>
        <v>0</v>
      </c>
      <c r="O202" s="30"/>
      <c r="P202" s="17" t="b">
        <f t="shared" si="3"/>
        <v>0</v>
      </c>
      <c r="Q202" s="17" t="str">
        <f t="shared" ref="Q202:Q205" si="137">IF(AND(A202=#REF!,B202=#REF!,C202=#REF!),"Repetido","")</f>
        <v>#REF!</v>
      </c>
      <c r="R202" s="31"/>
      <c r="S202" s="31"/>
      <c r="T202" s="31"/>
    </row>
    <row r="203" ht="15.0" customHeight="1">
      <c r="A203" s="100" t="s">
        <v>40</v>
      </c>
      <c r="B203" s="100" t="s">
        <v>142</v>
      </c>
      <c r="C203" s="19">
        <v>1476.0</v>
      </c>
      <c r="D203" s="44" t="str">
        <f>IF(   ISERROR(OFFSET(PADRON!B$2,MATCH(C:C,PADRON!A$2:A1405,0)-1,0,1,1) )  ,  ,    OFFSET(PADRON!B$2,MATCH(C:C,PADRON!A$2:A1405,0)-1,0,1,1))</f>
        <v>CASTILLO, DARDO</v>
      </c>
      <c r="E203" s="45">
        <v>45931.0</v>
      </c>
      <c r="F203" s="45"/>
      <c r="G203" s="23" t="s">
        <v>39</v>
      </c>
      <c r="H203" s="24">
        <f>IF( ISERROR( OFFSET(   'Cuadro tarifario'!D$2  , MATCH(CONCATENATE(                 IF(F203&gt;Mes,OFFSET(NroCT!B$17, MATCH($F203,NroCT!$A$18:$A1405,0),0,1,1),Periodovigente)                                                                                                                     ,A203) ,'Cuadro tarifario'!A$2:A1405,0) -1 , 0 , 1 , 1) )   , 0  ,   OFFSET(   'Cuadro tarifario'!D$2  , MATCH(CONCATENATE( IF(F203&gt;Mes,OFFSET(NroCT!B$17, MATCH($F203,NroCT!$A$18:$A1405,0),0,1,1),Periodovigente) ,A203) ,'Cuadro tarifario'!A$2:A1405,0) -1 , 0 , 1 , 1))</f>
        <v>12000</v>
      </c>
      <c r="I203" s="46">
        <f t="shared" si="135"/>
        <v>0</v>
      </c>
      <c r="J203" s="47">
        <f t="shared" si="79"/>
        <v>0</v>
      </c>
      <c r="K203" s="48">
        <f>IF(  AND(N203&gt;0,I203=0)          ,N203 ,                         IF(  IF( F203 ,  DAYS360(DATE(YEAR(F203),MONTH(F203),1),Mes)/30  ,  DAYS360(DATE(YEAR(E203),MONTH(E203),1),Mes)/30  )  &gt;  0 , IF(F203,   DAYS360(DATE(YEAR(F203),MONTH(F203),1),Mes)/30  ,  DAYS360(DATE(YEAR(E203),MONTH(E203),1),Mes)/30) , 0)       )</f>
        <v>0</v>
      </c>
      <c r="L203" s="49">
        <f t="shared" si="136"/>
        <v>0</v>
      </c>
      <c r="M203" s="50"/>
      <c r="N203" s="29">
        <f>IF( ISERROR(OFFSET(SECUESTRADOS!D$1,MATCH(B203,SECUESTRADOS!A$2:A1405,0),0)) ,0 ,  OFFSET(SECUESTRADOS!D$1,MATCH(B203,SECUESTRADOS!A$2:A1405,0),0)  )</f>
        <v>0</v>
      </c>
      <c r="O203" s="30"/>
      <c r="P203" s="17" t="b">
        <f t="shared" si="3"/>
        <v>0</v>
      </c>
      <c r="Q203" s="17" t="str">
        <f t="shared" si="137"/>
        <v>#REF!</v>
      </c>
      <c r="R203" s="31"/>
      <c r="S203" s="31"/>
      <c r="T203" s="31"/>
    </row>
    <row r="204" ht="15.0" customHeight="1">
      <c r="A204" s="100" t="s">
        <v>52</v>
      </c>
      <c r="B204" s="100" t="s">
        <v>143</v>
      </c>
      <c r="C204" s="19">
        <v>1476.0</v>
      </c>
      <c r="D204" s="44" t="str">
        <f>IF(   ISERROR(OFFSET(PADRON!B$2,MATCH(C:C,PADRON!A$2:A1405,0)-1,0,1,1) )  ,  ,    OFFSET(PADRON!B$2,MATCH(C:C,PADRON!A$2:A1405,0)-1,0,1,1))</f>
        <v>CASTILLO, DARDO</v>
      </c>
      <c r="E204" s="45">
        <v>45992.0</v>
      </c>
      <c r="F204" s="45"/>
      <c r="G204" s="23" t="s">
        <v>39</v>
      </c>
      <c r="H204" s="24">
        <f>IF( ISERROR( OFFSET(   'Cuadro tarifario'!D$2  , MATCH(CONCATENATE(                 IF(F204&gt;Mes,OFFSET(NroCT!B$17, MATCH($F204,NroCT!$A$18:$A1405,0),0,1,1),Periodovigente)                                                                                                                     ,A204) ,'Cuadro tarifario'!A$2:A1405,0) -1 , 0 , 1 , 1) )   , 0  ,   OFFSET(   'Cuadro tarifario'!D$2  , MATCH(CONCATENATE( IF(F204&gt;Mes,OFFSET(NroCT!B$17, MATCH($F204,NroCT!$A$18:$A1405,0),0,1,1),Periodovigente) ,A204) ,'Cuadro tarifario'!A$2:A1405,0) -1 , 0 , 1 , 1))</f>
        <v>4000</v>
      </c>
      <c r="I204" s="46">
        <f t="shared" si="135"/>
        <v>0</v>
      </c>
      <c r="J204" s="47">
        <f t="shared" si="79"/>
        <v>0</v>
      </c>
      <c r="K204" s="48">
        <f>IF(  AND(N204&gt;0,I204=0)          ,N204 ,                         IF(  IF( F204 ,  DAYS360(DATE(YEAR(F204),MONTH(F204),1),Mes)/30  ,  DAYS360(DATE(YEAR(E204),MONTH(E204),1),Mes)/30  )  &gt;  0 , IF(F204,   DAYS360(DATE(YEAR(F204),MONTH(F204),1),Mes)/30  ,  DAYS360(DATE(YEAR(E204),MONTH(E204),1),Mes)/30) , 0)       )</f>
        <v>0</v>
      </c>
      <c r="L204" s="49">
        <f t="shared" si="136"/>
        <v>0</v>
      </c>
      <c r="M204" s="50"/>
      <c r="N204" s="29">
        <f>IF( ISERROR(OFFSET(SECUESTRADOS!D$1,MATCH(B204,SECUESTRADOS!A$2:A1405,0),0)) ,0 ,  OFFSET(SECUESTRADOS!D$1,MATCH(B204,SECUESTRADOS!A$2:A1405,0),0)  )</f>
        <v>0</v>
      </c>
      <c r="O204" s="30"/>
      <c r="P204" s="17" t="b">
        <f t="shared" si="3"/>
        <v>0</v>
      </c>
      <c r="Q204" s="17" t="str">
        <f t="shared" si="137"/>
        <v>#REF!</v>
      </c>
      <c r="R204" s="31"/>
      <c r="S204" s="31"/>
      <c r="T204" s="31"/>
    </row>
    <row r="205" ht="15.0" customHeight="1">
      <c r="A205" s="66" t="s">
        <v>71</v>
      </c>
      <c r="B205" s="66">
        <v>1479.0</v>
      </c>
      <c r="C205" s="19">
        <v>1479.0</v>
      </c>
      <c r="D205" s="67" t="str">
        <f>if(   iserror(offset(PADRON!B$2,match(C:C,PADRON!A$2:A1405,0)-1,0,1,1) )  ,  ,    offset(PADRON!B$2,match(C:C,PADRON!A$2:A1405,0)-1,0,1,1))</f>
        <v>BLANCO, GUILLERMO</v>
      </c>
      <c r="E205" s="22">
        <v>45870.0</v>
      </c>
      <c r="F205" s="22">
        <v>45901.0</v>
      </c>
      <c r="G205" s="23" t="s">
        <v>39</v>
      </c>
      <c r="H205" s="35">
        <f>IF( ISERROR( OFFSET(   'Cuadro tarifario'!D$2  , MATCH(CONCATENATE(                 IF(F205&gt;Mes,OFFSET(NroCT!B$17, MATCH($F205,NroCT!$A$18:$A1405,0),0,1,1),Periodovigente)                                                                                                                     ,A205) ,'Cuadro tarifario'!A$2:A1405,0) -1 , 0 , 1 , 1) )   , 0  ,   OFFSET(   'Cuadro tarifario'!D$2  , MATCH(CONCATENATE( IF(F205&gt;Mes,OFFSET(NroCT!B$17, MATCH($F205,NroCT!$A$18:$A1405,0),0,1,1),Periodovigente) ,A205) ,'Cuadro tarifario'!A$2:A1405,0) -1 , 0 , 1 , 1))</f>
        <v>11000</v>
      </c>
      <c r="I205" s="68">
        <f>Int(If(F205,DAYS360(          date(Year(E205),Month(E205),1),         date(Year(F205)     ,      Month(F205),1 )    )            /30,0 ))</f>
        <v>1</v>
      </c>
      <c r="J205" s="69">
        <f t="shared" si="79"/>
        <v>11000</v>
      </c>
      <c r="K205" s="70">
        <f>if(  and(N205&gt;0,I205=0)          ,N205 ,                         If(  If( F205 ,  DAYS360(date(year(F205),month(F205),1),Mes)/30  ,  DAYS360(date(year(E205),month(E205),1),Mes)/30  )  &gt;  0 , If(F205,   DAYS360(date(year(F205),month(F205),1),Mes)/30  ,  DAYS360(date(year(E205),month(E205),1),Mes)/30) , 0)       )</f>
        <v>0</v>
      </c>
      <c r="L205" s="71">
        <f>If(Iserror(K:K*H:H)   ,  0   ,   K:K*H:H)</f>
        <v>0</v>
      </c>
      <c r="M205" s="72"/>
      <c r="N205" s="29">
        <f>IF( ISERROR(OFFSET(SECUESTRADOS!D$1,MATCH(B205,SECUESTRADOS!A$2:A1405,0),0)) ,0 ,  OFFSET(SECUESTRADOS!D$1,MATCH(B205,SECUESTRADOS!A$2:A1405,0),0)  )</f>
        <v>0</v>
      </c>
      <c r="O205" s="30"/>
      <c r="P205" s="17" t="str">
        <f t="shared" si="3"/>
        <v>.socio</v>
      </c>
      <c r="Q205" s="17" t="str">
        <f t="shared" si="137"/>
        <v>#REF!</v>
      </c>
      <c r="R205" s="31"/>
      <c r="S205" s="31"/>
      <c r="T205" s="31"/>
    </row>
    <row r="206" ht="15.0" customHeight="1">
      <c r="A206" s="18" t="s">
        <v>38</v>
      </c>
      <c r="B206" s="17">
        <v>1479.0</v>
      </c>
      <c r="C206" s="19">
        <v>1479.0</v>
      </c>
      <c r="D206" s="20" t="str">
        <f>IF(   ISERROR(OFFSET(PADRON!B$2,MATCH(C:C,PADRON!A$2:A1405,0)-1,0,1,1) )  ,  ,    OFFSET(PADRON!B$2,MATCH(C:C,PADRON!A$2:A1405,0)-1,0,1,1))</f>
        <v>BLANCO, GUILLERMO</v>
      </c>
      <c r="E206" s="21">
        <v>45870.0</v>
      </c>
      <c r="F206" s="21">
        <v>45901.0</v>
      </c>
      <c r="G206" s="23" t="s">
        <v>39</v>
      </c>
      <c r="H206" s="24">
        <f>IF( ISERROR( OFFSET(   'Cuadro tarifario'!D$2  , MATCH(CONCATENATE(                 IF(F206&gt;Mes,OFFSET(NroCT!B$17, MATCH($F206,NroCT!$A$18:$A1405,0),0,1,1),Periodovigente)                                                                                                                     ,A206) ,'Cuadro tarifario'!A$2:A1405,0) -1 , 0 , 1 , 1) )   , 0  ,   OFFSET(   'Cuadro tarifario'!D$2  , MATCH(CONCATENATE( IF(F206&gt;Mes,OFFSET(NroCT!B$17, MATCH($F206,NroCT!$A$18:$A1405,0),0,1,1),Periodovigente) ,A206) ,'Cuadro tarifario'!A$2:A1405,0) -1 , 0 , 1 , 1))</f>
        <v>9000</v>
      </c>
      <c r="I206" s="25">
        <f>INT(IF(F206,DAYS360(          DATE(YEAR(E206),MONTH(E206),1),         DATE(YEAR(F206)     ,      MONTH(F206),1 )    )            /30,0 ))</f>
        <v>1</v>
      </c>
      <c r="J206" s="24">
        <f t="shared" si="79"/>
        <v>9000</v>
      </c>
      <c r="K206" s="26">
        <f>IF(  AND(N206&gt;0,I206=0)          ,N206 ,                         IF(  IF( F206 ,  DAYS360(DATE(YEAR(F206),MONTH(F206),1),Mes)/30  ,  DAYS360(DATE(YEAR(E206),MONTH(E206),1),Mes)/30  )  &gt;  0 , IF(F206,   DAYS360(DATE(YEAR(F206),MONTH(F206),1),Mes)/30  ,  DAYS360(DATE(YEAR(E206),MONTH(E206),1),Mes)/30) , 0)       )</f>
        <v>0</v>
      </c>
      <c r="L206" s="27">
        <f>IF(ISERROR(K:K*H:H)   ,  0   ,   K:K*H:H)</f>
        <v>0</v>
      </c>
      <c r="M206" s="28"/>
      <c r="N206" s="29">
        <f>IF( ISERROR(OFFSET(SECUESTRADOS!D$1,MATCH(B206,SECUESTRADOS!A$2:A1405,0),0)) ,0 ,  OFFSET(SECUESTRADOS!D$1,MATCH(B206,SECUESTRADOS!A$2:A1405,0),0)  )</f>
        <v>0</v>
      </c>
      <c r="O206" s="30"/>
      <c r="P206" s="17" t="str">
        <f t="shared" si="3"/>
        <v>Bono canon</v>
      </c>
      <c r="Q206" s="17" t="str">
        <f t="shared" ref="Q206:Q215" si="138">IF(AND(A206=A205,B206=B205,C206=C205),"Repetido","")</f>
        <v/>
      </c>
      <c r="R206" s="31"/>
      <c r="S206" s="31"/>
      <c r="T206" s="31"/>
    </row>
    <row r="207" ht="15.0" customHeight="1">
      <c r="A207" s="41" t="s">
        <v>40</v>
      </c>
      <c r="B207" s="41" t="s">
        <v>144</v>
      </c>
      <c r="C207" s="19">
        <v>1479.0</v>
      </c>
      <c r="D207" s="34" t="str">
        <f>if(   iserror(offset(PADRON!B$2,match(C:C,PADRON!A$2:A1405,0)-1,0,1,1) )  ,  ,    offset(PADRON!B$2,match(C:C,PADRON!A$2:A1405,0)-1,0,1,1))</f>
        <v>BLANCO, GUILLERMO</v>
      </c>
      <c r="E207" s="22">
        <v>45870.0</v>
      </c>
      <c r="F207" s="22">
        <v>45901.0</v>
      </c>
      <c r="G207" s="23" t="s">
        <v>39</v>
      </c>
      <c r="H207" s="35">
        <f>IF( ISERROR( OFFSET(   'Cuadro tarifario'!D$2  , MATCH(CONCATENATE(                 IF(F207&gt;Mes,OFFSET(NroCT!B$17, MATCH($F207,NroCT!$A$18:$A1405,0),0,1,1),Periodovigente)                                                                                                                     ,A207) ,'Cuadro tarifario'!A$2:A1405,0) -1 , 0 , 1 , 1) )   , 0  ,   OFFSET(   'Cuadro tarifario'!D$2  , MATCH(CONCATENATE( IF(F207&gt;Mes,OFFSET(NroCT!B$17, MATCH($F207,NroCT!$A$18:$A1405,0),0,1,1),Periodovigente) ,A207) ,'Cuadro tarifario'!A$2:A1405,0) -1 , 0 , 1 , 1))</f>
        <v>12000</v>
      </c>
      <c r="I207" s="36">
        <f t="shared" ref="I207:I209" si="139">Int(If(F207,DAYS360(          date(Year(E207),Month(E207),1),         date(Year(F207)     ,      Month(F207),1 )    )            /30,0 ))</f>
        <v>1</v>
      </c>
      <c r="J207" s="37">
        <f t="shared" si="79"/>
        <v>12000</v>
      </c>
      <c r="K207" s="38">
        <f>if(  and(N207&gt;0,I207=0)          ,N207 ,                         If(  If( F207 ,  DAYS360(date(year(F207),month(F207),1),Mes)/30  ,  DAYS360(date(year(E207),month(E207),1),Mes)/30  )  &gt;  0 , If(F207,   DAYS360(date(year(F207),month(F207),1),Mes)/30  ,  DAYS360(date(year(E207),month(E207),1),Mes)/30) , 0)       )</f>
        <v>0</v>
      </c>
      <c r="L207" s="39">
        <f t="shared" ref="L207:L209" si="140">If(Iserror(K:K*H:H)   ,  0   ,   K:K*H:H)</f>
        <v>0</v>
      </c>
      <c r="M207" s="40"/>
      <c r="N207" s="29">
        <f>IF( ISERROR(OFFSET(SECUESTRADOS!D$1,MATCH(B207,SECUESTRADOS!A$2:A1405,0),0)) ,0 ,  OFFSET(SECUESTRADOS!D$1,MATCH(B207,SECUESTRADOS!A$2:A1405,0),0)  )</f>
        <v>0</v>
      </c>
      <c r="O207" s="30"/>
      <c r="P207" s="17" t="str">
        <f t="shared" si="3"/>
        <v>cuna windsurf</v>
      </c>
      <c r="Q207" s="17" t="str">
        <f t="shared" si="138"/>
        <v/>
      </c>
      <c r="R207" s="31"/>
      <c r="S207" s="31"/>
      <c r="T207" s="31"/>
    </row>
    <row r="208" ht="15.0" customHeight="1">
      <c r="A208" s="41" t="s">
        <v>42</v>
      </c>
      <c r="B208" s="41" t="s">
        <v>145</v>
      </c>
      <c r="C208" s="19">
        <v>1479.0</v>
      </c>
      <c r="D208" s="34" t="str">
        <f>if(   iserror(offset(PADRON!B$2,match(C:C,PADRON!A$2:A1405,0)-1,0,1,1) )  ,  ,    offset(PADRON!B$2,match(C:C,PADRON!A$2:A1405,0)-1,0,1,1))</f>
        <v>BLANCO, GUILLERMO</v>
      </c>
      <c r="E208" s="22">
        <v>45992.0</v>
      </c>
      <c r="F208" s="22"/>
      <c r="G208" s="23" t="s">
        <v>39</v>
      </c>
      <c r="H208" s="35">
        <f>IF( ISERROR( OFFSET(   'Cuadro tarifario'!D$2  , MATCH(CONCATENATE(                 IF(F208&gt;Mes,OFFSET(NroCT!B$17, MATCH($F208,NroCT!$A$18:$A1405,0),0,1,1),Periodovigente)                                                                                                                     ,A208) ,'Cuadro tarifario'!A$2:A1405,0) -1 , 0 , 1 , 1) )   , 0  ,   OFFSET(   'Cuadro tarifario'!D$2  , MATCH(CONCATENATE( IF(F208&gt;Mes,OFFSET(NroCT!B$17, MATCH($F208,NroCT!$A$18:$A1405,0),0,1,1),Periodovigente) ,A208) ,'Cuadro tarifario'!A$2:A1405,0) -1 , 0 , 1 , 1))</f>
        <v>4000</v>
      </c>
      <c r="I208" s="36">
        <f t="shared" si="139"/>
        <v>0</v>
      </c>
      <c r="J208" s="37">
        <f t="shared" si="79"/>
        <v>0</v>
      </c>
      <c r="K208" s="38">
        <f>if(  and(N208&gt;0,I208=0)          ,N208 ,                         If(  If( F208 ,  DAYS360(date(year(F208),month(F208),1),Mes)/30  ,  DAYS360(date(year(E208),month(E208),1),Mes)/30  )  &gt;  0 , If(F208,   DAYS360(date(year(F208),month(F208),1),Mes)/30  ,  DAYS360(date(year(E208),month(E208),1),Mes)/30) , 0)       )</f>
        <v>0</v>
      </c>
      <c r="L208" s="39">
        <f t="shared" si="140"/>
        <v>0</v>
      </c>
      <c r="M208" s="40"/>
      <c r="N208" s="29">
        <f>IF( ISERROR(OFFSET(SECUESTRADOS!D$1,MATCH(B208,SECUESTRADOS!A$2:A1405,0),0)) ,0 ,  OFFSET(SECUESTRADOS!D$1,MATCH(B208,SECUESTRADOS!A$2:A1405,0),0)  )</f>
        <v>0</v>
      </c>
      <c r="O208" s="30"/>
      <c r="P208" s="17" t="b">
        <f t="shared" si="3"/>
        <v>0</v>
      </c>
      <c r="Q208" s="17" t="str">
        <f t="shared" si="138"/>
        <v/>
      </c>
      <c r="R208" s="31"/>
      <c r="S208" s="31"/>
      <c r="T208" s="31"/>
    </row>
    <row r="209" ht="15.0" customHeight="1">
      <c r="A209" s="54" t="s">
        <v>71</v>
      </c>
      <c r="B209" s="54">
        <v>1494.0</v>
      </c>
      <c r="C209" s="19">
        <v>1494.0</v>
      </c>
      <c r="D209" s="34" t="str">
        <f>if(   iserror(offset(PADRON!B$2,match(C:C,PADRON!A$2:A1405,0)-1,0,1,1) )  ,  ,    offset(PADRON!B$2,match(C:C,PADRON!A$2:A1405,0)-1,0,1,1))</f>
        <v>GAMALERI, SERGIO</v>
      </c>
      <c r="E209" s="22">
        <v>45839.0</v>
      </c>
      <c r="F209" s="22">
        <v>45870.0</v>
      </c>
      <c r="G209" s="23" t="s">
        <v>39</v>
      </c>
      <c r="H209" s="35">
        <f>IF( ISERROR( OFFSET(   'Cuadro tarifario'!D$2  , MATCH(CONCATENATE(                 IF(F209&gt;Mes,OFFSET(NroCT!B$17, MATCH($F209,NroCT!$A$18:$A1405,0),0,1,1),Periodovigente)                                                                                                                     ,A209) ,'Cuadro tarifario'!A$2:A1405,0) -1 , 0 , 1 , 1) )   , 0  ,   OFFSET(   'Cuadro tarifario'!D$2  , MATCH(CONCATENATE( IF(F209&gt;Mes,OFFSET(NroCT!B$17, MATCH($F209,NroCT!$A$18:$A1405,0),0,1,1),Periodovigente) ,A209) ,'Cuadro tarifario'!A$2:A1405,0) -1 , 0 , 1 , 1))</f>
        <v>11000</v>
      </c>
      <c r="I209" s="36">
        <f t="shared" si="139"/>
        <v>1</v>
      </c>
      <c r="J209" s="37">
        <f t="shared" si="79"/>
        <v>11000</v>
      </c>
      <c r="K209" s="38">
        <f>if(  and(N209&gt;0,I209=0)          ,N209 ,                         If(  If( F209 ,  DAYS360(date(year(F209),month(F209),1),Mes)/30  ,  DAYS360(date(year(E209),month(E209),1),Mes)/30  )  &gt;  0 , If(F209,   DAYS360(date(year(F209),month(F209),1),Mes)/30  ,  DAYS360(date(year(E209),month(E209),1),Mes)/30) , 0)       )</f>
        <v>0</v>
      </c>
      <c r="L209" s="39">
        <f t="shared" si="140"/>
        <v>0</v>
      </c>
      <c r="M209" s="40"/>
      <c r="N209" s="29">
        <f>IF( ISERROR(OFFSET(SECUESTRADOS!D$1,MATCH(B209,SECUESTRADOS!A$2:A1405,0),0)) ,0 ,  OFFSET(SECUESTRADOS!D$1,MATCH(B209,SECUESTRADOS!A$2:A1405,0),0)  )</f>
        <v>0</v>
      </c>
      <c r="O209" s="30"/>
      <c r="P209" s="17" t="str">
        <f t="shared" si="3"/>
        <v>.socio</v>
      </c>
      <c r="Q209" s="17" t="str">
        <f t="shared" si="138"/>
        <v/>
      </c>
      <c r="R209" s="31"/>
      <c r="S209" s="31"/>
      <c r="T209" s="31"/>
    </row>
    <row r="210" ht="15.0" customHeight="1">
      <c r="A210" s="18" t="s">
        <v>38</v>
      </c>
      <c r="B210" s="17">
        <v>1494.0</v>
      </c>
      <c r="C210" s="19">
        <v>1494.0</v>
      </c>
      <c r="D210" s="20" t="str">
        <f>IF(   ISERROR(OFFSET(PADRON!B$2,MATCH(C:C,PADRON!A$2:A1405,0)-1,0,1,1) )  ,  ,    OFFSET(PADRON!B$2,MATCH(C:C,PADRON!A$2:A1405,0)-1,0,1,1))</f>
        <v>GAMALERI, SERGIO</v>
      </c>
      <c r="E210" s="21">
        <v>45839.0</v>
      </c>
      <c r="F210" s="21">
        <v>45870.0</v>
      </c>
      <c r="G210" s="23" t="s">
        <v>39</v>
      </c>
      <c r="H210" s="24">
        <f>IF( ISERROR( OFFSET(   'Cuadro tarifario'!D$2  , MATCH(CONCATENATE(                 IF(F210&gt;Mes,OFFSET(NroCT!B$17, MATCH($F210,NroCT!$A$18:$A1405,0),0,1,1),Periodovigente)                                                                                                                     ,A210) ,'Cuadro tarifario'!A$2:A1405,0) -1 , 0 , 1 , 1) )   , 0  ,   OFFSET(   'Cuadro tarifario'!D$2  , MATCH(CONCATENATE( IF(F210&gt;Mes,OFFSET(NroCT!B$17, MATCH($F210,NroCT!$A$18:$A1405,0),0,1,1),Periodovigente) ,A210) ,'Cuadro tarifario'!A$2:A1405,0) -1 , 0 , 1 , 1))</f>
        <v>9000</v>
      </c>
      <c r="I210" s="25">
        <f t="shared" ref="I210:I211" si="141">INT(IF(F210,DAYS360(          DATE(YEAR(E210),MONTH(E210),1),         DATE(YEAR(F210)     ,      MONTH(F210),1 )    )            /30,0 ))</f>
        <v>1</v>
      </c>
      <c r="J210" s="24">
        <f t="shared" si="79"/>
        <v>9000</v>
      </c>
      <c r="K210" s="26">
        <f>IF(  AND(N210&gt;0,I210=0)          ,N210 ,                         IF(  IF( F210 ,  DAYS360(DATE(YEAR(F210),MONTH(F210),1),Mes)/30  ,  DAYS360(DATE(YEAR(E210),MONTH(E210),1),Mes)/30  )  &gt;  0 , IF(F210,   DAYS360(DATE(YEAR(F210),MONTH(F210),1),Mes)/30  ,  DAYS360(DATE(YEAR(E210),MONTH(E210),1),Mes)/30) , 0)       )</f>
        <v>0</v>
      </c>
      <c r="L210" s="27">
        <f t="shared" ref="L210:L211" si="142">IF(ISERROR(K:K*H:H)   ,  0   ,   K:K*H:H)</f>
        <v>0</v>
      </c>
      <c r="M210" s="28"/>
      <c r="N210" s="29">
        <f>IF( ISERROR(OFFSET(SECUESTRADOS!D$1,MATCH(B210,SECUESTRADOS!A$2:A1405,0),0)) ,0 ,  OFFSET(SECUESTRADOS!D$1,MATCH(B210,SECUESTRADOS!A$2:A1405,0),0)  )</f>
        <v>0</v>
      </c>
      <c r="O210" s="30"/>
      <c r="P210" s="17" t="str">
        <f t="shared" si="3"/>
        <v>Bono canon</v>
      </c>
      <c r="Q210" s="17" t="str">
        <f t="shared" si="138"/>
        <v/>
      </c>
      <c r="R210" s="31"/>
      <c r="S210" s="31"/>
      <c r="T210" s="31"/>
    </row>
    <row r="211" ht="15.0" customHeight="1">
      <c r="A211" s="18" t="s">
        <v>48</v>
      </c>
      <c r="B211" s="18" t="s">
        <v>146</v>
      </c>
      <c r="C211" s="19">
        <v>1494.0</v>
      </c>
      <c r="D211" s="20" t="str">
        <f>IF(   ISERROR(OFFSET(PADRON!B$2,MATCH(C:C,PADRON!A$2:A1405,0)-1,0,1,1) )  ,  ,    OFFSET(PADRON!B$2,MATCH(C:C,PADRON!A$2:A1405,0)-1,0,1,1))</f>
        <v>GAMALERI, SERGIO</v>
      </c>
      <c r="E211" s="21">
        <v>45839.0</v>
      </c>
      <c r="F211" s="21">
        <v>45870.0</v>
      </c>
      <c r="G211" s="23" t="s">
        <v>39</v>
      </c>
      <c r="H211" s="24">
        <f>IF( ISERROR( OFFSET(   'Cuadro tarifario'!D$2  , MATCH(CONCATENATE(                 IF(F211&gt;Mes,OFFSET(NroCT!B$17, MATCH($F211,NroCT!$A$18:$A1405,0),0,1,1),Periodovigente)                                                                                                                     ,A211) ,'Cuadro tarifario'!A$2:A1405,0) -1 , 0 , 1 , 1) )   , 0  ,   OFFSET(   'Cuadro tarifario'!D$2  , MATCH(CONCATENATE( IF(F211&gt;Mes,OFFSET(NroCT!B$17, MATCH($F211,NroCT!$A$18:$A1405,0),0,1,1),Periodovigente) ,A211) ,'Cuadro tarifario'!A$2:A1405,0) -1 , 0 , 1 , 1))</f>
        <v>12000</v>
      </c>
      <c r="I211" s="25">
        <f t="shared" si="141"/>
        <v>1</v>
      </c>
      <c r="J211" s="24">
        <f t="shared" si="79"/>
        <v>12000</v>
      </c>
      <c r="K211" s="26">
        <f>IF(  AND(N211&gt;0,I211=0)          ,N211 ,                         IF(  IF( F211 ,  DAYS360(DATE(YEAR(F211),MONTH(F211),1),Mes)/30  ,  DAYS360(DATE(YEAR(E211),MONTH(E211),1),Mes)/30  )  &gt;  0 , IF(F211,   DAYS360(DATE(YEAR(F211),MONTH(F211),1),Mes)/30  ,  DAYS360(DATE(YEAR(E211),MONTH(E211),1),Mes)/30) , 0)       )</f>
        <v>0</v>
      </c>
      <c r="L211" s="27">
        <f t="shared" si="142"/>
        <v>0</v>
      </c>
      <c r="M211" s="28"/>
      <c r="N211" s="29">
        <f>IF( ISERROR(OFFSET(SECUESTRADOS!D$1,MATCH(B211,SECUESTRADOS!A$2:A1405,0),0)) ,0 ,  OFFSET(SECUESTRADOS!D$1,MATCH(B211,SECUESTRADOS!A$2:A1405,0),0)  )</f>
        <v>0</v>
      </c>
      <c r="O211" s="30"/>
      <c r="P211" s="17" t="str">
        <f t="shared" si="3"/>
        <v>velero</v>
      </c>
      <c r="Q211" s="17" t="str">
        <f t="shared" si="138"/>
        <v/>
      </c>
      <c r="R211" s="31"/>
      <c r="S211" s="31"/>
      <c r="T211" s="31"/>
    </row>
    <row r="212" ht="17.25" customHeight="1">
      <c r="A212" s="41" t="s">
        <v>71</v>
      </c>
      <c r="B212" s="41">
        <v>1501.0</v>
      </c>
      <c r="C212" s="19">
        <v>1501.0</v>
      </c>
      <c r="D212" s="34" t="str">
        <f>if(   iserror(offset(PADRON!B$2,match(C:C,PADRON!A$2:A1405,0)-1,0,1,1) )  ,  ,    offset(PADRON!B$2,match(C:C,PADRON!A$2:A1405,0)-1,0,1,1))</f>
        <v>CAMPOS, ANDRES LEONARDO</v>
      </c>
      <c r="E212" s="22">
        <v>45839.0</v>
      </c>
      <c r="F212" s="22">
        <v>45870.0</v>
      </c>
      <c r="G212" s="23" t="s">
        <v>39</v>
      </c>
      <c r="H212" s="35">
        <f>IF( ISERROR( OFFSET(   'Cuadro tarifario'!D$2  , MATCH(CONCATENATE(                 IF(F212&gt;Mes,OFFSET(NroCT!B$17, MATCH($F212,NroCT!$A$18:$A1405,0),0,1,1),Periodovigente)                                                                                                                     ,A212) ,'Cuadro tarifario'!A$2:A1405,0) -1 , 0 , 1 , 1) )   , 0  ,   OFFSET(   'Cuadro tarifario'!D$2  , MATCH(CONCATENATE( IF(F212&gt;Mes,OFFSET(NroCT!B$17, MATCH($F212,NroCT!$A$18:$A1405,0),0,1,1),Periodovigente) ,A212) ,'Cuadro tarifario'!A$2:A1405,0) -1 , 0 , 1 , 1))</f>
        <v>11000</v>
      </c>
      <c r="I212" s="36">
        <f t="shared" ref="I212:I213" si="143">Int(If(F212,DAYS360(          date(Year(E212),Month(E212),1),         date(Year(F212)     ,      Month(F212),1 )    )            /30,0 ))</f>
        <v>1</v>
      </c>
      <c r="J212" s="37">
        <f t="shared" si="79"/>
        <v>11000</v>
      </c>
      <c r="K212" s="38">
        <f>if(  and(N212&gt;0,I212=0)          ,N212 ,                         If(  If( F212 ,  DAYS360(date(year(F212),month(F212),1),Mes)/30  ,  DAYS360(date(year(E212),month(E212),1),Mes)/30  )  &gt;  0 , If(F212,   DAYS360(date(year(F212),month(F212),1),Mes)/30  ,  DAYS360(date(year(E212),month(E212),1),Mes)/30) , 0)       )</f>
        <v>0</v>
      </c>
      <c r="L212" s="39">
        <f t="shared" ref="L212:L213" si="144">If(Iserror(K:K*H:H)   ,  0   ,   K:K*H:H)</f>
        <v>0</v>
      </c>
      <c r="M212" s="40"/>
      <c r="N212" s="29">
        <f>IF( ISERROR(OFFSET(SECUESTRADOS!D$1,MATCH(B212,SECUESTRADOS!A$2:A1405,0),0)) ,0 ,  OFFSET(SECUESTRADOS!D$1,MATCH(B212,SECUESTRADOS!A$2:A1405,0),0)  )</f>
        <v>0</v>
      </c>
      <c r="O212" s="30"/>
      <c r="P212" s="17" t="str">
        <f t="shared" si="3"/>
        <v>.socio</v>
      </c>
      <c r="Q212" s="17" t="str">
        <f t="shared" si="138"/>
        <v/>
      </c>
      <c r="R212" s="31"/>
      <c r="S212" s="31"/>
      <c r="T212" s="31"/>
    </row>
    <row r="213" ht="15.0" customHeight="1">
      <c r="A213" s="54" t="s">
        <v>38</v>
      </c>
      <c r="B213" s="54">
        <v>1501.0</v>
      </c>
      <c r="C213" s="19">
        <v>1501.0</v>
      </c>
      <c r="D213" s="34" t="str">
        <f>if(   iserror(offset(PADRON!B$2,match(C:C,PADRON!A$2:A1405,0)-1,0,1,1) )  ,  ,    offset(PADRON!B$2,match(C:C,PADRON!A$2:A1405,0)-1,0,1,1))</f>
        <v>CAMPOS, ANDRES LEONARDO</v>
      </c>
      <c r="E213" s="22">
        <v>45839.0</v>
      </c>
      <c r="F213" s="22">
        <v>45870.0</v>
      </c>
      <c r="G213" s="23" t="s">
        <v>39</v>
      </c>
      <c r="H213" s="35">
        <f>IF( ISERROR( OFFSET(   'Cuadro tarifario'!D$2  , MATCH(CONCATENATE(                 IF(F213&gt;Mes,OFFSET(NroCT!B$17, MATCH($F213,NroCT!$A$18:$A1405,0),0,1,1),Periodovigente)                                                                                                                     ,A213) ,'Cuadro tarifario'!A$2:A1405,0) -1 , 0 , 1 , 1) )   , 0  ,   OFFSET(   'Cuadro tarifario'!D$2  , MATCH(CONCATENATE( IF(F213&gt;Mes,OFFSET(NroCT!B$17, MATCH($F213,NroCT!$A$18:$A1405,0),0,1,1),Periodovigente) ,A213) ,'Cuadro tarifario'!A$2:A1405,0) -1 , 0 , 1 , 1))</f>
        <v>9000</v>
      </c>
      <c r="I213" s="36">
        <f t="shared" si="143"/>
        <v>1</v>
      </c>
      <c r="J213" s="37">
        <f t="shared" si="79"/>
        <v>9000</v>
      </c>
      <c r="K213" s="38">
        <f>if(  and(N213&gt;0,I213=0)          ,N213 ,                         If(  If( F213 ,  DAYS360(date(year(F213),month(F213),1),Mes)/30  ,  DAYS360(date(year(E213),month(E213),1),Mes)/30  )  &gt;  0 , If(F213,   DAYS360(date(year(F213),month(F213),1),Mes)/30  ,  DAYS360(date(year(E213),month(E213),1),Mes)/30) , 0)       )</f>
        <v>0</v>
      </c>
      <c r="L213" s="39">
        <f t="shared" si="144"/>
        <v>0</v>
      </c>
      <c r="M213" s="40"/>
      <c r="N213" s="29">
        <f>IF( ISERROR(OFFSET(SECUESTRADOS!D$1,MATCH(B213,SECUESTRADOS!A$2:A1405,0),0)) ,0 ,  OFFSET(SECUESTRADOS!D$1,MATCH(B213,SECUESTRADOS!A$2:A1405,0),0)  )</f>
        <v>0</v>
      </c>
      <c r="O213" s="30"/>
      <c r="P213" s="17" t="str">
        <f t="shared" si="3"/>
        <v>Bono canon</v>
      </c>
      <c r="Q213" s="17" t="str">
        <f t="shared" si="138"/>
        <v/>
      </c>
      <c r="R213" s="31"/>
      <c r="S213" s="31"/>
      <c r="T213" s="31"/>
    </row>
    <row r="214" ht="15.0" customHeight="1">
      <c r="A214" s="18" t="s">
        <v>48</v>
      </c>
      <c r="B214" s="18" t="s">
        <v>147</v>
      </c>
      <c r="C214" s="19">
        <v>1501.0</v>
      </c>
      <c r="D214" s="20" t="str">
        <f>IF(   ISERROR(OFFSET(PADRON!B$2,MATCH(C:C,PADRON!A$2:A1405,0)-1,0,1,1) )  ,  ,    OFFSET(PADRON!B$2,MATCH(C:C,PADRON!A$2:A1405,0)-1,0,1,1))</f>
        <v>CAMPOS, ANDRES LEONARDO</v>
      </c>
      <c r="E214" s="21">
        <v>45839.0</v>
      </c>
      <c r="F214" s="21">
        <v>45870.0</v>
      </c>
      <c r="G214" s="23" t="s">
        <v>39</v>
      </c>
      <c r="H214" s="24">
        <f>IF( ISERROR( OFFSET(   'Cuadro tarifario'!D$2  , MATCH(CONCATENATE(                 IF(F214&gt;Mes,OFFSET(NroCT!B$17, MATCH($F214,NroCT!$A$18:$A1405,0),0,1,1),Periodovigente)                                                                                                                     ,A214) ,'Cuadro tarifario'!A$2:A1405,0) -1 , 0 , 1 , 1) )   , 0  ,   OFFSET(   'Cuadro tarifario'!D$2  , MATCH(CONCATENATE( IF(F214&gt;Mes,OFFSET(NroCT!B$17, MATCH($F214,NroCT!$A$18:$A1405,0),0,1,1),Periodovigente) ,A214) ,'Cuadro tarifario'!A$2:A1405,0) -1 , 0 , 1 , 1))</f>
        <v>12000</v>
      </c>
      <c r="I214" s="25">
        <f t="shared" ref="I214:I215" si="145">INT(IF(F214,DAYS360(          DATE(YEAR(E214),MONTH(E214),1),         DATE(YEAR(F214)     ,      MONTH(F214),1 )    )            /30,0 ))</f>
        <v>1</v>
      </c>
      <c r="J214" s="24">
        <f t="shared" si="79"/>
        <v>12000</v>
      </c>
      <c r="K214" s="26">
        <f>IF(  AND(N214&gt;0,I214=0)          ,N214 ,                         IF(  IF( F214 ,  DAYS360(DATE(YEAR(F214),MONTH(F214),1),Mes)/30  ,  DAYS360(DATE(YEAR(E214),MONTH(E214),1),Mes)/30  )  &gt;  0 , IF(F214,   DAYS360(DATE(YEAR(F214),MONTH(F214),1),Mes)/30  ,  DAYS360(DATE(YEAR(E214),MONTH(E214),1),Mes)/30) , 0)       )</f>
        <v>0</v>
      </c>
      <c r="L214" s="27">
        <f t="shared" ref="L214:L215" si="146">IF(ISERROR(K:K*H:H)   ,  0   ,   K:K*H:H)</f>
        <v>0</v>
      </c>
      <c r="M214" s="28"/>
      <c r="N214" s="29">
        <f>IF( ISERROR(OFFSET(SECUESTRADOS!D$1,MATCH(B214,SECUESTRADOS!A$2:A1405,0),0)) ,0 ,  OFFSET(SECUESTRADOS!D$1,MATCH(B214,SECUESTRADOS!A$2:A1405,0),0)  )</f>
        <v>0</v>
      </c>
      <c r="O214" s="30"/>
      <c r="P214" s="17" t="str">
        <f t="shared" si="3"/>
        <v>velero</v>
      </c>
      <c r="Q214" s="17" t="str">
        <f t="shared" si="138"/>
        <v/>
      </c>
      <c r="R214" s="31"/>
      <c r="S214" s="31"/>
      <c r="T214" s="31"/>
    </row>
    <row r="215" ht="15.0" customHeight="1">
      <c r="A215" s="18" t="s">
        <v>48</v>
      </c>
      <c r="B215" s="18" t="s">
        <v>148</v>
      </c>
      <c r="C215" s="19">
        <v>1501.0</v>
      </c>
      <c r="D215" s="20" t="str">
        <f>IF(   ISERROR(OFFSET(PADRON!B$2,MATCH(C:C,PADRON!A$2:A1405,0)-1,0,1,1) )  ,  ,    OFFSET(PADRON!B$2,MATCH(C:C,PADRON!A$2:A1405,0)-1,0,1,1))</f>
        <v>CAMPOS, ANDRES LEONARDO</v>
      </c>
      <c r="E215" s="21">
        <v>45839.0</v>
      </c>
      <c r="F215" s="21">
        <v>45931.0</v>
      </c>
      <c r="G215" s="23" t="s">
        <v>39</v>
      </c>
      <c r="H215" s="24">
        <f>IF( ISERROR( OFFSET(   'Cuadro tarifario'!D$2  , MATCH(CONCATENATE(                 IF(F215&gt;Mes,OFFSET(NroCT!B$17, MATCH($F215,NroCT!$A$18:$A1405,0),0,1,1),Periodovigente)                                                                                                                     ,A215) ,'Cuadro tarifario'!A$2:A1405,0) -1 , 0 , 1 , 1) )   , 0  ,   OFFSET(   'Cuadro tarifario'!D$2  , MATCH(CONCATENATE( IF(F215&gt;Mes,OFFSET(NroCT!B$17, MATCH($F215,NroCT!$A$18:$A1405,0),0,1,1),Periodovigente) ,A215) ,'Cuadro tarifario'!A$2:A1405,0) -1 , 0 , 1 , 1))</f>
        <v>12000</v>
      </c>
      <c r="I215" s="25">
        <f t="shared" si="145"/>
        <v>3</v>
      </c>
      <c r="J215" s="24">
        <f t="shared" si="79"/>
        <v>36000</v>
      </c>
      <c r="K215" s="26">
        <f>IF(  AND(N215&gt;0,I215=0)          ,N215 ,                         IF(  IF( F215 ,  DAYS360(DATE(YEAR(F215),MONTH(F215),1),Mes)/30  ,  DAYS360(DATE(YEAR(E215),MONTH(E215),1),Mes)/30  )  &gt;  0 , IF(F215,   DAYS360(DATE(YEAR(F215),MONTH(F215),1),Mes)/30  ,  DAYS360(DATE(YEAR(E215),MONTH(E215),1),Mes)/30) , 0)       )</f>
        <v>0</v>
      </c>
      <c r="L215" s="27">
        <f t="shared" si="146"/>
        <v>0</v>
      </c>
      <c r="M215" s="28"/>
      <c r="N215" s="29">
        <f>IF( ISERROR(OFFSET(SECUESTRADOS!D$1,MATCH(B215,SECUESTRADOS!A$2:A1405,0),0)) ,0 ,  OFFSET(SECUESTRADOS!D$1,MATCH(B215,SECUESTRADOS!A$2:A1405,0),0)  )</f>
        <v>0</v>
      </c>
      <c r="O215" s="30"/>
      <c r="P215" s="17" t="str">
        <f t="shared" si="3"/>
        <v>velero</v>
      </c>
      <c r="Q215" s="17" t="str">
        <f t="shared" si="138"/>
        <v/>
      </c>
      <c r="R215" s="31"/>
      <c r="S215" s="31"/>
      <c r="T215" s="31"/>
    </row>
    <row r="216" ht="15.0" customHeight="1">
      <c r="A216" s="54" t="s">
        <v>71</v>
      </c>
      <c r="B216" s="54">
        <v>1503.0</v>
      </c>
      <c r="C216" s="19">
        <v>1503.0</v>
      </c>
      <c r="D216" s="34" t="str">
        <f>if(   iserror(offset(PADRON!B$2,match(C:C,PADRON!A$2:A1405,0)-1,0,1,1) )  ,  ,    offset(PADRON!B$2,match(C:C,PADRON!A$2:A1405,0)-1,0,1,1))</f>
        <v>GOBBI SILVINA</v>
      </c>
      <c r="E216" s="22">
        <v>45809.0</v>
      </c>
      <c r="F216" s="22"/>
      <c r="G216" s="23" t="s">
        <v>39</v>
      </c>
      <c r="H216" s="35">
        <f>IF( ISERROR( OFFSET(   'Cuadro tarifario'!D$2  , MATCH(CONCATENATE(                 IF(F216&gt;Mes,OFFSET(NroCT!B$17, MATCH($F216,NroCT!$A$18:$A1405,0),0,1,1),Periodovigente)                                                                                                                     ,A216) ,'Cuadro tarifario'!A$2:A1405,0) -1 , 0 , 1 , 1) )   , 0  ,   OFFSET(   'Cuadro tarifario'!D$2  , MATCH(CONCATENATE( IF(F216&gt;Mes,OFFSET(NroCT!B$17, MATCH($F216,NroCT!$A$18:$A1405,0),0,1,1),Periodovigente) ,A216) ,'Cuadro tarifario'!A$2:A1405,0) -1 , 0 , 1 , 1))</f>
        <v>11000</v>
      </c>
      <c r="I216" s="36">
        <f>Int(If(F216,DAYS360(          date(Year(E216),Month(E216),1),         date(Year(F216)     ,      Month(F216),1 )    )            /30,0 ))</f>
        <v>0</v>
      </c>
      <c r="J216" s="37">
        <f t="shared" si="79"/>
        <v>0</v>
      </c>
      <c r="K216" s="38">
        <f>if(  and(N216&gt;0,I216=0)          ,N216 ,                         If(  If( F216 ,  DAYS360(date(year(F216),month(F216),1),Mes)/30  ,  DAYS360(date(year(E216),month(E216),1),Mes)/30  )  &gt;  0 , If(F216,   DAYS360(date(year(F216),month(F216),1),Mes)/30  ,  DAYS360(date(year(E216),month(E216),1),Mes)/30) , 0)       )</f>
        <v>2</v>
      </c>
      <c r="L216" s="39">
        <f>If(Iserror(K:K*H:H)   ,  0   ,   K:K*H:H)</f>
        <v>22000</v>
      </c>
      <c r="M216" s="40"/>
      <c r="N216" s="29">
        <f>IF( ISERROR(OFFSET(SECUESTRADOS!D$1,MATCH(B216,SECUESTRADOS!A$2:A1405,0),0)) ,0 ,  OFFSET(SECUESTRADOS!D$1,MATCH(B216,SECUESTRADOS!A$2:A1405,0),0)  )</f>
        <v>0</v>
      </c>
      <c r="O216" s="30"/>
      <c r="P216" s="17" t="b">
        <f t="shared" si="3"/>
        <v>0</v>
      </c>
      <c r="Q216" s="17" t="str">
        <f>IF(AND(A216=A210,B216=B210,C216=C210),"Repetido","")</f>
        <v/>
      </c>
      <c r="R216" s="31"/>
      <c r="S216" s="31"/>
      <c r="T216" s="31"/>
    </row>
    <row r="217" ht="15.0" customHeight="1">
      <c r="A217" s="18" t="s">
        <v>38</v>
      </c>
      <c r="B217" s="18">
        <v>1503.0</v>
      </c>
      <c r="C217" s="19">
        <v>1503.0</v>
      </c>
      <c r="D217" s="20" t="str">
        <f>IF(   ISERROR(OFFSET(PADRON!B$2,MATCH(C:C,PADRON!A$2:A1405,0)-1,0,1,1) )  ,  ,    OFFSET(PADRON!B$2,MATCH(C:C,PADRON!A$2:A1405,0)-1,0,1,1))</f>
        <v>GOBBI SILVINA</v>
      </c>
      <c r="E217" s="21">
        <v>45809.0</v>
      </c>
      <c r="F217" s="21"/>
      <c r="G217" s="23" t="s">
        <v>39</v>
      </c>
      <c r="H217" s="24">
        <f>IF( ISERROR( OFFSET(   'Cuadro tarifario'!D$2  , MATCH(CONCATENATE(                 IF(F217&gt;Mes,OFFSET(NroCT!B$17, MATCH($F217,NroCT!$A$18:$A1405,0),0,1,1),Periodovigente)                                                                                                                     ,A217) ,'Cuadro tarifario'!A$2:A1405,0) -1 , 0 , 1 , 1) )   , 0  ,   OFFSET(   'Cuadro tarifario'!D$2  , MATCH(CONCATENATE( IF(F217&gt;Mes,OFFSET(NroCT!B$17, MATCH($F217,NroCT!$A$18:$A1405,0),0,1,1),Periodovigente) ,A217) ,'Cuadro tarifario'!A$2:A1405,0) -1 , 0 , 1 , 1))</f>
        <v>9000</v>
      </c>
      <c r="I217" s="25">
        <f>INT(IF(F217,DAYS360(          DATE(YEAR(E217),MONTH(E217),1),         DATE(YEAR(F217)     ,      MONTH(F217),1 )    )            /30,0 ))</f>
        <v>0</v>
      </c>
      <c r="J217" s="24">
        <f t="shared" si="79"/>
        <v>0</v>
      </c>
      <c r="K217" s="26">
        <f>IF(  AND(N217&gt;0,I217=0)          ,N217 ,                         IF(  IF( F217 ,  DAYS360(DATE(YEAR(F217),MONTH(F217),1),Mes)/30  ,  DAYS360(DATE(YEAR(E217),MONTH(E217),1),Mes)/30  )  &gt;  0 , IF(F217,   DAYS360(DATE(YEAR(F217),MONTH(F217),1),Mes)/30  ,  DAYS360(DATE(YEAR(E217),MONTH(E217),1),Mes)/30) , 0)       )</f>
        <v>2</v>
      </c>
      <c r="L217" s="27">
        <f>IF(ISERROR(K:K*H:H)   ,  0   ,   K:K*H:H)</f>
        <v>18000</v>
      </c>
      <c r="M217" s="28"/>
      <c r="N217" s="29">
        <f>IF( ISERROR(OFFSET(SECUESTRADOS!D$1,MATCH(B217,SECUESTRADOS!A$2:A1405,0),0)) ,0 ,  OFFSET(SECUESTRADOS!D$1,MATCH(B217,SECUESTRADOS!A$2:A1405,0),0)  )</f>
        <v>0</v>
      </c>
      <c r="O217" s="30"/>
      <c r="P217" s="17" t="b">
        <f t="shared" si="3"/>
        <v>0</v>
      </c>
      <c r="Q217" s="17" t="str">
        <f t="shared" ref="Q217:Q219" si="147">IF(AND(A217=A216,B217=B216,C217=C216),"Repetido","")</f>
        <v/>
      </c>
      <c r="R217" s="31"/>
      <c r="S217" s="31"/>
      <c r="T217" s="31"/>
    </row>
    <row r="218" ht="15.0" customHeight="1">
      <c r="A218" s="33" t="s">
        <v>48</v>
      </c>
      <c r="B218" s="33" t="s">
        <v>149</v>
      </c>
      <c r="C218" s="19">
        <v>1503.0</v>
      </c>
      <c r="D218" s="34" t="str">
        <f>if(   iserror(offset(PADRON!B$2,match(C:C,PADRON!A$2:A1405,0)-1,0,1,1) )  ,  ,    offset(PADRON!B$2,match(C:C,PADRON!A$2:A1405,0)-1,0,1,1))</f>
        <v>GOBBI SILVINA</v>
      </c>
      <c r="E218" s="22">
        <v>45809.0</v>
      </c>
      <c r="F218" s="21"/>
      <c r="G218" s="23" t="s">
        <v>39</v>
      </c>
      <c r="H218" s="35">
        <f>IF( ISERROR( OFFSET(   'Cuadro tarifario'!D$2  , MATCH(CONCATENATE(                 IF(F218&gt;Mes,OFFSET(NroCT!B$17, MATCH($F218,NroCT!$A$18:$A1405,0),0,1,1),Periodovigente)                                                                                                                     ,A218) ,'Cuadro tarifario'!A$2:A1405,0) -1 , 0 , 1 , 1) )   , 0  ,   OFFSET(   'Cuadro tarifario'!D$2  , MATCH(CONCATENATE( IF(F218&gt;Mes,OFFSET(NroCT!B$17, MATCH($F218,NroCT!$A$18:$A1405,0),0,1,1),Periodovigente) ,A218) ,'Cuadro tarifario'!A$2:A1405,0) -1 , 0 , 1 , 1))</f>
        <v>12000</v>
      </c>
      <c r="I218" s="36">
        <f t="shared" ref="I218:I219" si="148">Int(If(F218,DAYS360(          date(Year(E218),Month(E218),1),         date(Year(F218)     ,      Month(F218),1 )    )            /30,0 ))</f>
        <v>0</v>
      </c>
      <c r="J218" s="37">
        <f t="shared" si="79"/>
        <v>0</v>
      </c>
      <c r="K218" s="38">
        <f>if(  and(N218&gt;0,I218=0)          ,N218 ,                         If(  If( F218 ,  DAYS360(date(year(F218),month(F218),1),Mes)/30  ,  DAYS360(date(year(E218),month(E218),1),Mes)/30  )  &gt;  0 , If(F218,   DAYS360(date(year(F218),month(F218),1),Mes)/30  ,  DAYS360(date(year(E218),month(E218),1),Mes)/30) , 0)       )</f>
        <v>2</v>
      </c>
      <c r="L218" s="39">
        <f t="shared" ref="L218:L219" si="149">If(Iserror(K:K*H:H)   ,  0   ,   K:K*H:H)</f>
        <v>24000</v>
      </c>
      <c r="M218" s="40"/>
      <c r="N218" s="29">
        <f>IF( ISERROR(OFFSET(SECUESTRADOS!D$1,MATCH(B218,SECUESTRADOS!A$2:A1405,0),0)) ,0 ,  OFFSET(SECUESTRADOS!D$1,MATCH(B218,SECUESTRADOS!A$2:A1405,0),0)  )</f>
        <v>0</v>
      </c>
      <c r="O218" s="30"/>
      <c r="P218" s="17" t="b">
        <f t="shared" si="3"/>
        <v>0</v>
      </c>
      <c r="Q218" s="17" t="str">
        <f t="shared" si="147"/>
        <v/>
      </c>
      <c r="R218" s="31"/>
      <c r="S218" s="31"/>
      <c r="T218" s="31"/>
    </row>
    <row r="219" ht="18.75" customHeight="1">
      <c r="A219" s="33" t="s">
        <v>52</v>
      </c>
      <c r="B219" s="33" t="s">
        <v>150</v>
      </c>
      <c r="C219" s="19">
        <v>1503.0</v>
      </c>
      <c r="D219" s="34" t="str">
        <f>if(   iserror(offset(PADRON!B$2,match(C:C,PADRON!A$2:A1405,0)-1,0,1,1) )  ,  ,    offset(PADRON!B$2,match(C:C,PADRON!A$2:A1405,0)-1,0,1,1))</f>
        <v>GOBBI SILVINA</v>
      </c>
      <c r="E219" s="22">
        <v>45992.0</v>
      </c>
      <c r="F219" s="21"/>
      <c r="G219" s="23" t="s">
        <v>39</v>
      </c>
      <c r="H219" s="35">
        <f>IF( ISERROR( OFFSET(   'Cuadro tarifario'!D$2  , MATCH(CONCATENATE(                 IF(F219&gt;Mes,OFFSET(NroCT!B$17, MATCH($F219,NroCT!$A$18:$A1405,0),0,1,1),Periodovigente)                                                                                                                     ,A219) ,'Cuadro tarifario'!A$2:A1405,0) -1 , 0 , 1 , 1) )   , 0  ,   OFFSET(   'Cuadro tarifario'!D$2  , MATCH(CONCATENATE( IF(F219&gt;Mes,OFFSET(NroCT!B$17, MATCH($F219,NroCT!$A$18:$A1405,0),0,1,1),Periodovigente) ,A219) ,'Cuadro tarifario'!A$2:A1405,0) -1 , 0 , 1 , 1))</f>
        <v>4000</v>
      </c>
      <c r="I219" s="36">
        <f t="shared" si="148"/>
        <v>0</v>
      </c>
      <c r="J219" s="37">
        <f t="shared" si="79"/>
        <v>0</v>
      </c>
      <c r="K219" s="38">
        <f>if(  and(N219&gt;0,I219=0)          ,N219 ,                         If(  If( F219 ,  DAYS360(date(year(F219),month(F219),1),Mes)/30  ,  DAYS360(date(year(E219),month(E219),1),Mes)/30  )  &gt;  0 , If(F219,   DAYS360(date(year(F219),month(F219),1),Mes)/30  ,  DAYS360(date(year(E219),month(E219),1),Mes)/30) , 0)       )</f>
        <v>0</v>
      </c>
      <c r="L219" s="39">
        <f t="shared" si="149"/>
        <v>0</v>
      </c>
      <c r="M219" s="40"/>
      <c r="N219" s="29">
        <f>IF( ISERROR(OFFSET(SECUESTRADOS!D$1,MATCH(B219,SECUESTRADOS!A$2:A1405,0),0)) ,0 ,  OFFSET(SECUESTRADOS!D$1,MATCH(B219,SECUESTRADOS!A$2:A1405,0),0)  )</f>
        <v>0</v>
      </c>
      <c r="O219" s="30"/>
      <c r="P219" s="17" t="b">
        <f t="shared" si="3"/>
        <v>0</v>
      </c>
      <c r="Q219" s="17" t="str">
        <f t="shared" si="147"/>
        <v/>
      </c>
      <c r="R219" s="31"/>
      <c r="S219" s="31"/>
      <c r="T219" s="31"/>
    </row>
    <row r="220" ht="15.0" customHeight="1">
      <c r="A220" s="17" t="s">
        <v>71</v>
      </c>
      <c r="B220" s="17">
        <v>1526.0</v>
      </c>
      <c r="C220" s="19">
        <v>1526.0</v>
      </c>
      <c r="D220" s="20" t="str">
        <f>IF(   ISERROR(OFFSET(PADRON!B$2,MATCH(C:C,PADRON!A$2:A1405,0)-1,0,1,1) )  ,  ,    OFFSET(PADRON!B$2,MATCH(C:C,PADRON!A$2:A1405,0)-1,0,1,1))</f>
        <v>GABOTTO, PAUL</v>
      </c>
      <c r="E220" s="21">
        <v>45839.0</v>
      </c>
      <c r="F220" s="21">
        <v>45870.0</v>
      </c>
      <c r="G220" s="23" t="s">
        <v>39</v>
      </c>
      <c r="H220" s="24">
        <f>IF( ISERROR( OFFSET(   'Cuadro tarifario'!D$2  , MATCH(CONCATENATE(                 IF(F220&gt;Mes,OFFSET(NroCT!B$17, MATCH($F220,NroCT!$A$18:$A1405,0),0,1,1),Periodovigente)                                                                                                                     ,A220) ,'Cuadro tarifario'!A$2:A1405,0) -1 , 0 , 1 , 1) )   , 0  ,   OFFSET(   'Cuadro tarifario'!D$2  , MATCH(CONCATENATE( IF(F220&gt;Mes,OFFSET(NroCT!B$17, MATCH($F220,NroCT!$A$18:$A1405,0),0,1,1),Periodovigente) ,A220) ,'Cuadro tarifario'!A$2:A1405,0) -1 , 0 , 1 , 1))</f>
        <v>11000</v>
      </c>
      <c r="I220" s="25">
        <f t="shared" ref="I220:I221" si="150">INT(IF(F220,DAYS360(          DATE(YEAR(E220),MONTH(E220),1),         DATE(YEAR(F220)     ,      MONTH(F220),1 )    )            /30,0 ))</f>
        <v>1</v>
      </c>
      <c r="J220" s="24">
        <f t="shared" si="79"/>
        <v>11000</v>
      </c>
      <c r="K220" s="26">
        <f>IF(  AND(N220&gt;0,I220=0)          ,N220 ,                         IF(  IF( F220 ,  DAYS360(DATE(YEAR(F220),MONTH(F220),1),Mes)/30  ,  DAYS360(DATE(YEAR(E220),MONTH(E220),1),Mes)/30  )  &gt;  0 , IF(F220,   DAYS360(DATE(YEAR(F220),MONTH(F220),1),Mes)/30  ,  DAYS360(DATE(YEAR(E220),MONTH(E220),1),Mes)/30) , 0)       )</f>
        <v>0</v>
      </c>
      <c r="L220" s="27">
        <f t="shared" ref="L220:L221" si="151">IF(ISERROR(K:K*H:H)   ,  0   ,   K:K*H:H)</f>
        <v>0</v>
      </c>
      <c r="M220" s="28"/>
      <c r="N220" s="29">
        <f>IF( ISERROR(OFFSET(SECUESTRADOS!D$1,MATCH(B220,SECUESTRADOS!A$2:A1405,0),0)) ,0 ,  OFFSET(SECUESTRADOS!D$1,MATCH(B220,SECUESTRADOS!A$2:A1405,0),0)  )</f>
        <v>0</v>
      </c>
      <c r="O220" s="30"/>
      <c r="P220" s="17" t="str">
        <f t="shared" si="3"/>
        <v>.socio</v>
      </c>
      <c r="Q220" s="17" t="str">
        <f>IF(AND(A220=#REF!,B220=#REF!,C220=#REF!),"Repetido","")</f>
        <v>#REF!</v>
      </c>
      <c r="R220" s="31"/>
      <c r="S220" s="31"/>
      <c r="T220" s="31"/>
    </row>
    <row r="221" ht="15.0" customHeight="1">
      <c r="A221" s="18" t="s">
        <v>38</v>
      </c>
      <c r="B221" s="17">
        <v>1526.0</v>
      </c>
      <c r="C221" s="19">
        <v>1526.0</v>
      </c>
      <c r="D221" s="20" t="str">
        <f>IF(   ISERROR(OFFSET(PADRON!B$2,MATCH(C:C,PADRON!A$2:A1405,0)-1,0,1,1) )  ,  ,    OFFSET(PADRON!B$2,MATCH(C:C,PADRON!A$2:A1405,0)-1,0,1,1))</f>
        <v>GABOTTO, PAUL</v>
      </c>
      <c r="E221" s="21">
        <v>45839.0</v>
      </c>
      <c r="F221" s="21">
        <v>45870.0</v>
      </c>
      <c r="G221" s="23" t="s">
        <v>39</v>
      </c>
      <c r="H221" s="24">
        <f>IF( ISERROR( OFFSET(   'Cuadro tarifario'!D$2  , MATCH(CONCATENATE(                 IF(F221&gt;Mes,OFFSET(NroCT!B$17, MATCH($F221,NroCT!$A$18:$A1405,0),0,1,1),Periodovigente)                                                                                                                     ,A221) ,'Cuadro tarifario'!A$2:A1405,0) -1 , 0 , 1 , 1) )   , 0  ,   OFFSET(   'Cuadro tarifario'!D$2  , MATCH(CONCATENATE( IF(F221&gt;Mes,OFFSET(NroCT!B$17, MATCH($F221,NroCT!$A$18:$A1405,0),0,1,1),Periodovigente) ,A221) ,'Cuadro tarifario'!A$2:A1405,0) -1 , 0 , 1 , 1))</f>
        <v>9000</v>
      </c>
      <c r="I221" s="25">
        <f t="shared" si="150"/>
        <v>1</v>
      </c>
      <c r="J221" s="24">
        <f t="shared" si="79"/>
        <v>9000</v>
      </c>
      <c r="K221" s="26">
        <f>IF(  AND(N221&gt;0,I221=0)          ,N221 ,                         IF(  IF( F221 ,  DAYS360(DATE(YEAR(F221),MONTH(F221),1),Mes)/30  ,  DAYS360(DATE(YEAR(E221),MONTH(E221),1),Mes)/30  )  &gt;  0 , IF(F221,   DAYS360(DATE(YEAR(F221),MONTH(F221),1),Mes)/30  ,  DAYS360(DATE(YEAR(E221),MONTH(E221),1),Mes)/30) , 0)       )</f>
        <v>0</v>
      </c>
      <c r="L221" s="27">
        <f t="shared" si="151"/>
        <v>0</v>
      </c>
      <c r="M221" s="28"/>
      <c r="N221" s="29">
        <f>IF( ISERROR(OFFSET(SECUESTRADOS!D$1,MATCH(B221,SECUESTRADOS!A$2:A1405,0),0)) ,0 ,  OFFSET(SECUESTRADOS!D$1,MATCH(B221,SECUESTRADOS!A$2:A1405,0),0)  )</f>
        <v>0</v>
      </c>
      <c r="O221" s="30"/>
      <c r="P221" s="17" t="str">
        <f t="shared" si="3"/>
        <v>Bono canon</v>
      </c>
      <c r="Q221" s="17" t="str">
        <f t="shared" ref="Q221:Q228" si="152">IF(AND(A221=A220,B221=B220,C221=C220),"Repetido","")</f>
        <v/>
      </c>
      <c r="R221" s="31"/>
      <c r="S221" s="31"/>
      <c r="T221" s="31"/>
    </row>
    <row r="222" ht="15.0" customHeight="1">
      <c r="A222" s="54" t="s">
        <v>82</v>
      </c>
      <c r="B222" s="54" t="s">
        <v>151</v>
      </c>
      <c r="C222" s="19">
        <v>1526.0</v>
      </c>
      <c r="D222" s="34" t="str">
        <f>if(   iserror(offset(PADRON!B$2,match(C:C,PADRON!A$2:A1405,0)-1,0,1,1) )  ,  ,    offset(PADRON!B$2,match(C:C,PADRON!A$2:A1405,0)-1,0,1,1))</f>
        <v>GABOTTO, PAUL</v>
      </c>
      <c r="E222" s="22">
        <v>45839.0</v>
      </c>
      <c r="F222" s="22">
        <v>45870.0</v>
      </c>
      <c r="G222" s="23" t="s">
        <v>39</v>
      </c>
      <c r="H222" s="80">
        <f>IF( ISERROR( OFFSET(   'Cuadro tarifario'!D$2  , MATCH(CONCATENATE(                 IF(F222&gt;Mes,OFFSET(NroCT!B$17, MATCH($F222,NroCT!$A$18:$A1405,0),0,1,1),Periodovigente)                                                                                                                     ,A222) ,'Cuadro tarifario'!A$2:A1405,0) -1 , 0 , 1 , 1) )   , 0  ,   OFFSET(   'Cuadro tarifario'!D$2  , MATCH(CONCATENATE( IF(F222&gt;Mes,OFFSET(NroCT!B$17, MATCH($F222,NroCT!$A$18:$A1405,0),0,1,1),Periodovigente) ,A222) ,'Cuadro tarifario'!A$2:A1405,0) -1 , 0 , 1 , 1))</f>
        <v>12000</v>
      </c>
      <c r="I222" s="36">
        <f t="shared" ref="I222:I223" si="153">Int(If(F222,DAYS360(          date(Year(E222),Month(E222),1),         date(Year(F222)     ,      Month(F222),1 )    )            /30,0 ))</f>
        <v>1</v>
      </c>
      <c r="J222" s="36">
        <f t="shared" si="79"/>
        <v>12000</v>
      </c>
      <c r="K222" s="38">
        <f>if(  and(N222&gt;0,I222=0)          ,N222 ,                         If(  If( F222 ,  DAYS360(date(year(F222),month(F222),1),Mes)/30  ,  DAYS360(date(year(E222),month(E222),1),Mes)/30  )  &gt;  0 , If(F222,   DAYS360(date(year(F222),month(F222),1),Mes)/30  ,  DAYS360(date(year(E222),month(E222),1),Mes)/30) , 0)       )</f>
        <v>0</v>
      </c>
      <c r="L222" s="38">
        <f t="shared" ref="L222:L223" si="154">If(Iserror(K:K*H:H)   ,  0   ,   K:K*H:H)</f>
        <v>0</v>
      </c>
      <c r="M222" s="40"/>
      <c r="N222" s="29">
        <f>IF( ISERROR(OFFSET(SECUESTRADOS!D$1,MATCH(B222,SECUESTRADOS!A$2:A1405,0),0)) ,0 ,  OFFSET(SECUESTRADOS!D$1,MATCH(B222,SECUESTRADOS!A$2:A1405,0),0)  )</f>
        <v>0</v>
      </c>
      <c r="O222" s="30"/>
      <c r="P222" s="17" t="str">
        <f t="shared" si="3"/>
        <v>cuna kayak</v>
      </c>
      <c r="Q222" s="17" t="str">
        <f t="shared" si="152"/>
        <v/>
      </c>
      <c r="R222" s="31"/>
      <c r="S222" s="31"/>
      <c r="T222" s="31"/>
    </row>
    <row r="223" ht="15.0" customHeight="1">
      <c r="A223" s="54" t="s">
        <v>71</v>
      </c>
      <c r="B223" s="54">
        <v>1527.0</v>
      </c>
      <c r="C223" s="19">
        <v>1527.0</v>
      </c>
      <c r="D223" s="34" t="str">
        <f>if(   iserror(offset(PADRON!B$2,match(C:C,PADRON!A$2:A1405,0)-1,0,1,1) )  ,  ,    offset(PADRON!B$2,match(C:C,PADRON!A$2:A1405,0)-1,0,1,1))</f>
        <v>ZANETTI DANIEL</v>
      </c>
      <c r="E223" s="22">
        <v>45778.0</v>
      </c>
      <c r="F223" s="22">
        <v>45870.0</v>
      </c>
      <c r="G223" s="23" t="s">
        <v>39</v>
      </c>
      <c r="H223" s="35">
        <f>IF( ISERROR( OFFSET(   'Cuadro tarifario'!D$2  , MATCH(CONCATENATE(                 IF(F223&gt;Mes,OFFSET(NroCT!B$17, MATCH($F223,NroCT!$A$18:$A1405,0),0,1,1),Periodovigente)                                                                                                                     ,A223) ,'Cuadro tarifario'!A$2:A1405,0) -1 , 0 , 1 , 1) )   , 0  ,   OFFSET(   'Cuadro tarifario'!D$2  , MATCH(CONCATENATE( IF(F223&gt;Mes,OFFSET(NroCT!B$17, MATCH($F223,NroCT!$A$18:$A1405,0),0,1,1),Periodovigente) ,A223) ,'Cuadro tarifario'!A$2:A1405,0) -1 , 0 , 1 , 1))</f>
        <v>11000</v>
      </c>
      <c r="I223" s="36">
        <f t="shared" si="153"/>
        <v>3</v>
      </c>
      <c r="J223" s="37">
        <f t="shared" si="79"/>
        <v>33000</v>
      </c>
      <c r="K223" s="38">
        <f>if(  and(N223&gt;0,I223=0)          ,N223 ,                         If(  If( F223 ,  DAYS360(date(year(F223),month(F223),1),Mes)/30  ,  DAYS360(date(year(E223),month(E223),1),Mes)/30  )  &gt;  0 , If(F223,   DAYS360(date(year(F223),month(F223),1),Mes)/30  ,  DAYS360(date(year(E223),month(E223),1),Mes)/30) , 0)       )</f>
        <v>0</v>
      </c>
      <c r="L223" s="39">
        <f t="shared" si="154"/>
        <v>0</v>
      </c>
      <c r="M223" s="40"/>
      <c r="N223" s="29">
        <f>IF( ISERROR(OFFSET(SECUESTRADOS!D$1,MATCH(B223,SECUESTRADOS!A$2:A1405,0),0)) ,0 ,  OFFSET(SECUESTRADOS!D$1,MATCH(B223,SECUESTRADOS!A$2:A1405,0),0)  )</f>
        <v>0</v>
      </c>
      <c r="O223" s="30"/>
      <c r="P223" s="17" t="str">
        <f t="shared" si="3"/>
        <v>.socio</v>
      </c>
      <c r="Q223" s="17" t="str">
        <f t="shared" si="152"/>
        <v/>
      </c>
      <c r="R223" s="31"/>
      <c r="S223" s="31"/>
      <c r="T223" s="31"/>
    </row>
    <row r="224" ht="15.0" customHeight="1">
      <c r="A224" s="18" t="s">
        <v>38</v>
      </c>
      <c r="B224" s="17">
        <v>1527.0</v>
      </c>
      <c r="C224" s="19">
        <v>1527.0</v>
      </c>
      <c r="D224" s="20" t="str">
        <f>IF(   ISERROR(OFFSET(PADRON!B$2,MATCH(C:C,PADRON!A$2:A1405,0)-1,0,1,1) )  ,  ,    OFFSET(PADRON!B$2,MATCH(C:C,PADRON!A$2:A1405,0)-1,0,1,1))</f>
        <v>ZANETTI DANIEL</v>
      </c>
      <c r="E224" s="21">
        <v>45778.0</v>
      </c>
      <c r="F224" s="21">
        <v>45870.0</v>
      </c>
      <c r="G224" s="23" t="s">
        <v>39</v>
      </c>
      <c r="H224" s="24">
        <f>IF( ISERROR( OFFSET(   'Cuadro tarifario'!D$2  , MATCH(CONCATENATE(                 IF(F224&gt;Mes,OFFSET(NroCT!B$17, MATCH($F224,NroCT!$A$18:$A1405,0),0,1,1),Periodovigente)                                                                                                                     ,A224) ,'Cuadro tarifario'!A$2:A1405,0) -1 , 0 , 1 , 1) )   , 0  ,   OFFSET(   'Cuadro tarifario'!D$2  , MATCH(CONCATENATE( IF(F224&gt;Mes,OFFSET(NroCT!B$17, MATCH($F224,NroCT!$A$18:$A1405,0),0,1,1),Periodovigente) ,A224) ,'Cuadro tarifario'!A$2:A1405,0) -1 , 0 , 1 , 1))</f>
        <v>9000</v>
      </c>
      <c r="I224" s="25">
        <f>INT(IF(F224,DAYS360(          DATE(YEAR(E224),MONTH(E224),1),         DATE(YEAR(F224)     ,      MONTH(F224),1 )    )            /30,0 ))</f>
        <v>3</v>
      </c>
      <c r="J224" s="24">
        <f t="shared" si="79"/>
        <v>27000</v>
      </c>
      <c r="K224" s="26">
        <f>IF(  AND(N224&gt;0,I224=0)          ,N224 ,                         IF(  IF( F224 ,  DAYS360(DATE(YEAR(F224),MONTH(F224),1),Mes)/30  ,  DAYS360(DATE(YEAR(E224),MONTH(E224),1),Mes)/30  )  &gt;  0 , IF(F224,   DAYS360(DATE(YEAR(F224),MONTH(F224),1),Mes)/30  ,  DAYS360(DATE(YEAR(E224),MONTH(E224),1),Mes)/30) , 0)       )</f>
        <v>0</v>
      </c>
      <c r="L224" s="27">
        <f>IF(ISERROR(K:K*H:H)   ,  0   ,   K:K*H:H)</f>
        <v>0</v>
      </c>
      <c r="M224" s="28"/>
      <c r="N224" s="29">
        <f>IF( ISERROR(OFFSET(SECUESTRADOS!D$1,MATCH(B224,SECUESTRADOS!A$2:A1405,0),0)) ,0 ,  OFFSET(SECUESTRADOS!D$1,MATCH(B224,SECUESTRADOS!A$2:A1405,0),0)  )</f>
        <v>0</v>
      </c>
      <c r="O224" s="30"/>
      <c r="P224" s="17" t="str">
        <f t="shared" si="3"/>
        <v>Bono canon</v>
      </c>
      <c r="Q224" s="17" t="str">
        <f t="shared" si="152"/>
        <v/>
      </c>
      <c r="R224" s="31"/>
      <c r="S224" s="31"/>
      <c r="T224" s="31"/>
    </row>
    <row r="225" ht="15.0" customHeight="1">
      <c r="A225" s="54" t="s">
        <v>82</v>
      </c>
      <c r="B225" s="54" t="s">
        <v>152</v>
      </c>
      <c r="C225" s="19">
        <v>1527.0</v>
      </c>
      <c r="D225" s="34" t="str">
        <f>if(   iserror(offset(PADRON!B$2,match(C:C,PADRON!A$2:A1405,0)-1,0,1,1) )  ,  ,    offset(PADRON!B$2,match(C:C,PADRON!A$2:A1405,0)-1,0,1,1))</f>
        <v>ZANETTI DANIEL</v>
      </c>
      <c r="E225" s="22">
        <v>45778.0</v>
      </c>
      <c r="F225" s="22">
        <v>45870.0</v>
      </c>
      <c r="G225" s="23" t="s">
        <v>39</v>
      </c>
      <c r="H225" s="80">
        <f>IF( ISERROR( OFFSET(   'Cuadro tarifario'!D$2  , MATCH(CONCATENATE(                 IF(F225&gt;Mes,OFFSET(NroCT!B$17, MATCH($F225,NroCT!$A$18:$A1405,0),0,1,1),Periodovigente)                                                                                                                     ,A225) ,'Cuadro tarifario'!A$2:A1405,0) -1 , 0 , 1 , 1) )   , 0  ,   OFFSET(   'Cuadro tarifario'!D$2  , MATCH(CONCATENATE( IF(F225&gt;Mes,OFFSET(NroCT!B$17, MATCH($F225,NroCT!$A$18:$A1405,0),0,1,1),Periodovigente) ,A225) ,'Cuadro tarifario'!A$2:A1405,0) -1 , 0 , 1 , 1))</f>
        <v>12000</v>
      </c>
      <c r="I225" s="36">
        <f t="shared" ref="I225:I226" si="155">Int(If(F225,DAYS360(          date(Year(E225),Month(E225),1),         date(Year(F225)     ,      Month(F225),1 )    )            /30,0 ))</f>
        <v>3</v>
      </c>
      <c r="J225" s="36">
        <f t="shared" si="79"/>
        <v>36000</v>
      </c>
      <c r="K225" s="38">
        <f>if(  and(N225&gt;0,I225=0)          ,N225 ,                         If(  If( F225 ,  DAYS360(date(year(F225),month(F225),1),Mes)/30  ,  DAYS360(date(year(E225),month(E225),1),Mes)/30  )  &gt;  0 , If(F225,   DAYS360(date(year(F225),month(F225),1),Mes)/30  ,  DAYS360(date(year(E225),month(E225),1),Mes)/30) , 0)       )</f>
        <v>0</v>
      </c>
      <c r="L225" s="38">
        <f t="shared" ref="L225:L226" si="156">If(Iserror(K:K*H:H)   ,  0   ,   K:K*H:H)</f>
        <v>0</v>
      </c>
      <c r="M225" s="40"/>
      <c r="N225" s="29">
        <f>IF( ISERROR(OFFSET(SECUESTRADOS!D$1,MATCH(B225,SECUESTRADOS!A$2:A1405,0),0)) ,0 ,  OFFSET(SECUESTRADOS!D$1,MATCH(B225,SECUESTRADOS!A$2:A1405,0),0)  )</f>
        <v>0</v>
      </c>
      <c r="O225" s="30"/>
      <c r="P225" s="17" t="str">
        <f t="shared" si="3"/>
        <v>cuna kayak</v>
      </c>
      <c r="Q225" s="17" t="str">
        <f t="shared" si="152"/>
        <v/>
      </c>
      <c r="R225" s="31"/>
      <c r="S225" s="31"/>
      <c r="T225" s="31"/>
    </row>
    <row r="226" ht="15.0" customHeight="1">
      <c r="A226" s="54" t="s">
        <v>71</v>
      </c>
      <c r="B226" s="54">
        <v>1536.0</v>
      </c>
      <c r="C226" s="19">
        <v>1536.0</v>
      </c>
      <c r="D226" s="34" t="str">
        <f>if(   iserror(offset(PADRON!B$2,match(C:C,PADRON!A$2:A1405,0)-1,0,1,1) )  ,  ,    offset(PADRON!B$2,match(C:C,PADRON!A$2:A1405,0)-1,0,1,1))</f>
        <v>TARANTINO SEBASTIAN</v>
      </c>
      <c r="E226" s="22">
        <v>45870.0</v>
      </c>
      <c r="F226" s="22"/>
      <c r="G226" s="23" t="s">
        <v>39</v>
      </c>
      <c r="H226" s="35">
        <f>IF( ISERROR( OFFSET(   'Cuadro tarifario'!D$2  , MATCH(CONCATENATE(                 IF(F226&gt;Mes,OFFSET(NroCT!B$17, MATCH($F226,NroCT!$A$18:$A1405,0),0,1,1),Periodovigente)                                                                                                                     ,A226) ,'Cuadro tarifario'!A$2:A1405,0) -1 , 0 , 1 , 1) )   , 0  ,   OFFSET(   'Cuadro tarifario'!D$2  , MATCH(CONCATENATE( IF(F226&gt;Mes,OFFSET(NroCT!B$17, MATCH($F226,NroCT!$A$18:$A1405,0),0,1,1),Periodovigente) ,A226) ,'Cuadro tarifario'!A$2:A1405,0) -1 , 0 , 1 , 1))</f>
        <v>11000</v>
      </c>
      <c r="I226" s="36">
        <f t="shared" si="155"/>
        <v>0</v>
      </c>
      <c r="J226" s="37">
        <f t="shared" si="79"/>
        <v>0</v>
      </c>
      <c r="K226" s="38">
        <f>if(  and(N226&gt;0,I226=0)          ,N226 ,                         If(  If( F226 ,  DAYS360(date(year(F226),month(F226),1),Mes)/30  ,  DAYS360(date(year(E226),month(E226),1),Mes)/30  )  &gt;  0 , If(F226,   DAYS360(date(year(F226),month(F226),1),Mes)/30  ,  DAYS360(date(year(E226),month(E226),1),Mes)/30) , 0)       )</f>
        <v>0</v>
      </c>
      <c r="L226" s="39">
        <f t="shared" si="156"/>
        <v>0</v>
      </c>
      <c r="M226" s="40"/>
      <c r="N226" s="29">
        <f>IF( ISERROR(OFFSET(SECUESTRADOS!D$1,MATCH(B226,SECUESTRADOS!A$2:A1405,0),0)) ,0 ,  OFFSET(SECUESTRADOS!D$1,MATCH(B226,SECUESTRADOS!A$2:A1405,0),0)  )</f>
        <v>0</v>
      </c>
      <c r="O226" s="30"/>
      <c r="P226" s="17" t="b">
        <f t="shared" si="3"/>
        <v>0</v>
      </c>
      <c r="Q226" s="17" t="str">
        <f t="shared" si="152"/>
        <v/>
      </c>
      <c r="R226" s="31"/>
      <c r="S226" s="31"/>
      <c r="T226" s="31"/>
    </row>
    <row r="227" ht="15.0" customHeight="1">
      <c r="A227" s="18" t="s">
        <v>38</v>
      </c>
      <c r="B227" s="17">
        <v>1536.0</v>
      </c>
      <c r="C227" s="19">
        <v>1536.0</v>
      </c>
      <c r="D227" s="20" t="str">
        <f>IF(   ISERROR(OFFSET(PADRON!B$2,MATCH(C:C,PADRON!A$2:A1405,0)-1,0,1,1) )  ,  ,    OFFSET(PADRON!B$2,MATCH(C:C,PADRON!A$2:A1405,0)-1,0,1,1))</f>
        <v>TARANTINO SEBASTIAN</v>
      </c>
      <c r="E227" s="21">
        <v>45870.0</v>
      </c>
      <c r="F227" s="21"/>
      <c r="G227" s="23" t="s">
        <v>39</v>
      </c>
      <c r="H227" s="24">
        <f>IF( ISERROR( OFFSET(   'Cuadro tarifario'!D$2  , MATCH(CONCATENATE(                 IF(F227&gt;Mes,OFFSET(NroCT!B$17, MATCH($F227,NroCT!$A$18:$A1405,0),0,1,1),Periodovigente)                                                                                                                     ,A227) ,'Cuadro tarifario'!A$2:A1405,0) -1 , 0 , 1 , 1) )   , 0  ,   OFFSET(   'Cuadro tarifario'!D$2  , MATCH(CONCATENATE( IF(F227&gt;Mes,OFFSET(NroCT!B$17, MATCH($F227,NroCT!$A$18:$A1405,0),0,1,1),Periodovigente) ,A227) ,'Cuadro tarifario'!A$2:A1405,0) -1 , 0 , 1 , 1))</f>
        <v>9000</v>
      </c>
      <c r="I227" s="25">
        <f t="shared" ref="I227:I228" si="157">INT(IF(F227,DAYS360(          DATE(YEAR(E227),MONTH(E227),1),         DATE(YEAR(F227)     ,      MONTH(F227),1 )    )            /30,0 ))</f>
        <v>0</v>
      </c>
      <c r="J227" s="24">
        <f t="shared" si="79"/>
        <v>0</v>
      </c>
      <c r="K227" s="26">
        <f>IF(  AND(N227&gt;0,I227=0)          ,N227 ,                         IF(  IF( F227 ,  DAYS360(DATE(YEAR(F227),MONTH(F227),1),Mes)/30  ,  DAYS360(DATE(YEAR(E227),MONTH(E227),1),Mes)/30  )  &gt;  0 , IF(F227,   DAYS360(DATE(YEAR(F227),MONTH(F227),1),Mes)/30  ,  DAYS360(DATE(YEAR(E227),MONTH(E227),1),Mes)/30) , 0)       )</f>
        <v>0</v>
      </c>
      <c r="L227" s="27">
        <f t="shared" ref="L227:L228" si="158">IF(ISERROR(K:K*H:H)   ,  0   ,   K:K*H:H)</f>
        <v>0</v>
      </c>
      <c r="M227" s="28"/>
      <c r="N227" s="29">
        <f>IF( ISERROR(OFFSET(SECUESTRADOS!D$1,MATCH(B227,SECUESTRADOS!A$2:A1405,0),0)) ,0 ,  OFFSET(SECUESTRADOS!D$1,MATCH(B227,SECUESTRADOS!A$2:A1405,0),0)  )</f>
        <v>0</v>
      </c>
      <c r="O227" s="30"/>
      <c r="P227" s="17" t="b">
        <f t="shared" si="3"/>
        <v>0</v>
      </c>
      <c r="Q227" s="17" t="str">
        <f t="shared" si="152"/>
        <v/>
      </c>
      <c r="R227" s="31"/>
      <c r="S227" s="31"/>
      <c r="T227" s="31"/>
    </row>
    <row r="228" ht="15.0" customHeight="1">
      <c r="A228" s="18" t="s">
        <v>40</v>
      </c>
      <c r="B228" s="18" t="s">
        <v>153</v>
      </c>
      <c r="C228" s="19">
        <v>1536.0</v>
      </c>
      <c r="D228" s="20" t="str">
        <f>IF(   ISERROR(OFFSET(PADRON!B$2,MATCH(C:C,PADRON!A$2:A1405,0)-1,0,1,1) )  ,  ,    OFFSET(PADRON!B$2,MATCH(C:C,PADRON!A$2:A1405,0)-1,0,1,1))</f>
        <v>TARANTINO SEBASTIAN</v>
      </c>
      <c r="E228" s="21">
        <v>45870.0</v>
      </c>
      <c r="F228" s="21"/>
      <c r="G228" s="23" t="s">
        <v>39</v>
      </c>
      <c r="H228" s="24">
        <f>IF( ISERROR( OFFSET(   'Cuadro tarifario'!D$2  , MATCH(CONCATENATE(                 IF(F228&gt;Mes,OFFSET(NroCT!B$17, MATCH($F228,NroCT!$A$18:$A1405,0),0,1,1),Periodovigente)                                                                                                                     ,A228) ,'Cuadro tarifario'!A$2:A1405,0) -1 , 0 , 1 , 1) )   , 0  ,   OFFSET(   'Cuadro tarifario'!D$2  , MATCH(CONCATENATE( IF(F228&gt;Mes,OFFSET(NroCT!B$17, MATCH($F228,NroCT!$A$18:$A1405,0),0,1,1),Periodovigente) ,A228) ,'Cuadro tarifario'!A$2:A1405,0) -1 , 0 , 1 , 1))</f>
        <v>12000</v>
      </c>
      <c r="I228" s="25">
        <f t="shared" si="157"/>
        <v>0</v>
      </c>
      <c r="J228" s="24">
        <f t="shared" si="79"/>
        <v>0</v>
      </c>
      <c r="K228" s="26">
        <f>IF(  AND(N228&gt;0,I228=0)          ,N228 ,                         IF(  IF( F228 ,  DAYS360(DATE(YEAR(F228),MONTH(F228),1),Mes)/30  ,  DAYS360(DATE(YEAR(E228),MONTH(E228),1),Mes)/30  )  &gt;  0 , IF(F228,   DAYS360(DATE(YEAR(F228),MONTH(F228),1),Mes)/30  ,  DAYS360(DATE(YEAR(E228),MONTH(E228),1),Mes)/30) , 0)       )</f>
        <v>0</v>
      </c>
      <c r="L228" s="27">
        <f t="shared" si="158"/>
        <v>0</v>
      </c>
      <c r="M228" s="28"/>
      <c r="N228" s="29">
        <f>IF( ISERROR(OFFSET(SECUESTRADOS!D$1,MATCH(B228,SECUESTRADOS!A$2:A1405,0),0)) ,0 ,  OFFSET(SECUESTRADOS!D$1,MATCH(B228,SECUESTRADOS!A$2:A1405,0),0)  )</f>
        <v>0</v>
      </c>
      <c r="O228" s="30"/>
      <c r="P228" s="17" t="b">
        <f t="shared" si="3"/>
        <v>0</v>
      </c>
      <c r="Q228" s="17" t="str">
        <f t="shared" si="152"/>
        <v/>
      </c>
      <c r="R228" s="31"/>
      <c r="S228" s="31"/>
      <c r="T228" s="31"/>
    </row>
    <row r="229" ht="15.0" customHeight="1">
      <c r="A229" s="54" t="s">
        <v>71</v>
      </c>
      <c r="B229" s="54">
        <v>1546.0</v>
      </c>
      <c r="C229" s="19">
        <v>1546.0</v>
      </c>
      <c r="D229" s="34" t="str">
        <f>if(   iserror(offset(PADRON!B$2,match(C:C,PADRON!A$2:A1405,0)-1,0,1,1) )  ,  ,    offset(PADRON!B$2,match(C:C,PADRON!A$2:A1405,0)-1,0,1,1))</f>
        <v>ARMAN, ALEJANDRO</v>
      </c>
      <c r="E229" s="22">
        <v>45839.0</v>
      </c>
      <c r="F229" s="22">
        <v>45870.0</v>
      </c>
      <c r="G229" s="23" t="s">
        <v>39</v>
      </c>
      <c r="H229" s="35">
        <f>IF( ISERROR( OFFSET(   'Cuadro tarifario'!D$2  , MATCH(CONCATENATE(                 IF(F229&gt;Mes,OFFSET(NroCT!B$17, MATCH($F229,NroCT!$A$18:$A1405,0),0,1,1),Periodovigente)                                                                                                                     ,A229) ,'Cuadro tarifario'!A$2:A1405,0) -1 , 0 , 1 , 1) )   , 0  ,   OFFSET(   'Cuadro tarifario'!D$2  , MATCH(CONCATENATE( IF(F229&gt;Mes,OFFSET(NroCT!B$17, MATCH($F229,NroCT!$A$18:$A1405,0),0,1,1),Periodovigente) ,A229) ,'Cuadro tarifario'!A$2:A1405,0) -1 , 0 , 1 , 1))</f>
        <v>11000</v>
      </c>
      <c r="I229" s="36">
        <f>Int(If(F229,DAYS360(          date(Year(E229),Month(E229),1),         date(Year(F229)     ,      Month(F229),1 )    )            /30,0 ))</f>
        <v>1</v>
      </c>
      <c r="J229" s="37">
        <f t="shared" si="79"/>
        <v>11000</v>
      </c>
      <c r="K229" s="38">
        <f>if(  and(N229&gt;0,I229=0)          ,N229 ,                         If(  If( F229 ,  DAYS360(date(year(F229),month(F229),1),Mes)/30  ,  DAYS360(date(year(E229),month(E229),1),Mes)/30  )  &gt;  0 , If(F229,   DAYS360(date(year(F229),month(F229),1),Mes)/30  ,  DAYS360(date(year(E229),month(E229),1),Mes)/30) , 0)       )</f>
        <v>0</v>
      </c>
      <c r="L229" s="39">
        <f>If(Iserror(K:K*H:H)   ,  0   ,   K:K*H:H)</f>
        <v>0</v>
      </c>
      <c r="M229" s="40" t="s">
        <v>154</v>
      </c>
      <c r="N229" s="29">
        <f>IF( ISERROR(OFFSET(SECUESTRADOS!D$1,MATCH(B229,SECUESTRADOS!A$2:A1405,0),0)) ,0 ,  OFFSET(SECUESTRADOS!D$1,MATCH(B229,SECUESTRADOS!A$2:A1405,0),0)  )</f>
        <v>0</v>
      </c>
      <c r="O229" s="30"/>
      <c r="P229" s="17" t="str">
        <f t="shared" si="3"/>
        <v>.socio</v>
      </c>
      <c r="Q229" s="17" t="str">
        <f>IF(AND(A229=#REF!,B229=#REF!,C229=#REF!),"Repetido","")</f>
        <v>#REF!</v>
      </c>
      <c r="R229" s="31"/>
      <c r="S229" s="31"/>
      <c r="T229" s="31"/>
    </row>
    <row r="230" ht="15.0" customHeight="1">
      <c r="A230" s="18" t="s">
        <v>38</v>
      </c>
      <c r="B230" s="17">
        <v>1546.0</v>
      </c>
      <c r="C230" s="19">
        <v>1546.0</v>
      </c>
      <c r="D230" s="20" t="str">
        <f>IF(   ISERROR(OFFSET(PADRON!B$2,MATCH(C:C,PADRON!A$2:A1405,0)-1,0,1,1) )  ,  ,    OFFSET(PADRON!B$2,MATCH(C:C,PADRON!A$2:A1405,0)-1,0,1,1))</f>
        <v>ARMAN, ALEJANDRO</v>
      </c>
      <c r="E230" s="21">
        <v>45839.0</v>
      </c>
      <c r="F230" s="21">
        <v>45870.0</v>
      </c>
      <c r="G230" s="32" t="s">
        <v>39</v>
      </c>
      <c r="H230" s="24">
        <f>IF( ISERROR( OFFSET(   'Cuadro tarifario'!D$2  , MATCH(CONCATENATE(                 IF(F230&gt;Mes,OFFSET(NroCT!B$17, MATCH($F230,NroCT!$A$18:$A1405,0),0,1,1),Periodovigente)                                                                                                                     ,A230) ,'Cuadro tarifario'!A$2:A1405,0) -1 , 0 , 1 , 1) )   , 0  ,   OFFSET(   'Cuadro tarifario'!D$2  , MATCH(CONCATENATE( IF(F230&gt;Mes,OFFSET(NroCT!B$17, MATCH($F230,NroCT!$A$18:$A1405,0),0,1,1),Periodovigente) ,A230) ,'Cuadro tarifario'!A$2:A1405,0) -1 , 0 , 1 , 1))</f>
        <v>9000</v>
      </c>
      <c r="I230" s="25">
        <f>INT(IF(F230,DAYS360(          DATE(YEAR(E230),MONTH(E230),1),         DATE(YEAR(F230)     ,      MONTH(F230),1 )    )            /30,0 ))</f>
        <v>1</v>
      </c>
      <c r="J230" s="24">
        <f t="shared" si="79"/>
        <v>9000</v>
      </c>
      <c r="K230" s="26">
        <f>IF(  AND(N230&gt;0,I230=0)          ,N230 ,                         IF(  IF( F230 ,  DAYS360(DATE(YEAR(F230),MONTH(F230),1),Mes)/30  ,  DAYS360(DATE(YEAR(E230),MONTH(E230),1),Mes)/30  )  &gt;  0 , IF(F230,   DAYS360(DATE(YEAR(F230),MONTH(F230),1),Mes)/30  ,  DAYS360(DATE(YEAR(E230),MONTH(E230),1),Mes)/30) , 0)       )</f>
        <v>0</v>
      </c>
      <c r="L230" s="27">
        <f>IF(ISERROR(K:K*H:H)   ,  0   ,   K:K*H:H)</f>
        <v>0</v>
      </c>
      <c r="M230" s="28"/>
      <c r="N230" s="29">
        <f>IF( ISERROR(OFFSET(SECUESTRADOS!D$1,MATCH(B230,SECUESTRADOS!A$2:A1405,0),0)) ,0 ,  OFFSET(SECUESTRADOS!D$1,MATCH(B230,SECUESTRADOS!A$2:A1405,0),0)  )</f>
        <v>0</v>
      </c>
      <c r="O230" s="30"/>
      <c r="P230" s="17" t="str">
        <f t="shared" si="3"/>
        <v>Bono canon</v>
      </c>
      <c r="Q230" s="17" t="str">
        <f t="shared" ref="Q230:Q231" si="159">IF(AND(A230=A229,B230=B229,C230=C229),"Repetido","")</f>
        <v/>
      </c>
      <c r="R230" s="31"/>
      <c r="S230" s="31"/>
      <c r="T230" s="31"/>
    </row>
    <row r="231" ht="15.0" customHeight="1">
      <c r="A231" s="54" t="s">
        <v>52</v>
      </c>
      <c r="B231" s="54" t="s">
        <v>155</v>
      </c>
      <c r="C231" s="19">
        <v>1546.0</v>
      </c>
      <c r="D231" s="34" t="str">
        <f>if(   iserror(offset(PADRON!B$2,match(C:C,PADRON!A$2:A1405,0)-1,0,1,1) )  ,  ,    offset(PADRON!B$2,match(C:C,PADRON!A$2:A1405,0)-1,0,1,1))</f>
        <v>ARMAN, ALEJANDRO</v>
      </c>
      <c r="E231" s="22">
        <v>45992.0</v>
      </c>
      <c r="F231" s="22"/>
      <c r="G231" s="23" t="s">
        <v>39</v>
      </c>
      <c r="H231" s="35">
        <f>IF( ISERROR( OFFSET(   'Cuadro tarifario'!D$2  , MATCH(CONCATENATE(                 IF(F231&gt;Mes,OFFSET(NroCT!B$17, MATCH($F231,NroCT!$A$18:$A1405,0),0,1,1),Periodovigente)                                                                                                                     ,A231) ,'Cuadro tarifario'!A$2:A1405,0) -1 , 0 , 1 , 1) )   , 0  ,   OFFSET(   'Cuadro tarifario'!D$2  , MATCH(CONCATENATE( IF(F231&gt;Mes,OFFSET(NroCT!B$17, MATCH($F231,NroCT!$A$18:$A1405,0),0,1,1),Periodovigente) ,A231) ,'Cuadro tarifario'!A$2:A1405,0) -1 , 0 , 1 , 1))</f>
        <v>4000</v>
      </c>
      <c r="I231" s="36">
        <f t="shared" ref="I231:I232" si="160">Int(If(F231,DAYS360(          date(Year(E231),Month(E231),1),         date(Year(F231)     ,      Month(F231),1 )    )            /30,0 ))</f>
        <v>0</v>
      </c>
      <c r="J231" s="37">
        <f t="shared" si="79"/>
        <v>0</v>
      </c>
      <c r="K231" s="38">
        <f>if(  and(N231&gt;0,I231=0)          ,N231 ,                         If(  If( F231 ,  DAYS360(date(year(F231),month(F231),1),Mes)/30  ,  DAYS360(date(year(E231),month(E231),1),Mes)/30  )  &gt;  0 , If(F231,   DAYS360(date(year(F231),month(F231),1),Mes)/30  ,  DAYS360(date(year(E231),month(E231),1),Mes)/30) , 0)       )</f>
        <v>0</v>
      </c>
      <c r="L231" s="39">
        <f t="shared" ref="L231:L232" si="161">If(Iserror(K:K*H:H)   ,  0   ,   K:K*H:H)</f>
        <v>0</v>
      </c>
      <c r="M231" s="40"/>
      <c r="N231" s="29">
        <f>IF( ISERROR(OFFSET(SECUESTRADOS!D$1,MATCH(B231,SECUESTRADOS!A$2:A1405,0),0)) ,0 ,  OFFSET(SECUESTRADOS!D$1,MATCH(B231,SECUESTRADOS!A$2:A1405,0),0)  )</f>
        <v>0</v>
      </c>
      <c r="O231" s="30"/>
      <c r="P231" s="17" t="b">
        <f t="shared" si="3"/>
        <v>0</v>
      </c>
      <c r="Q231" s="17" t="str">
        <f t="shared" si="159"/>
        <v/>
      </c>
      <c r="R231" s="31"/>
      <c r="S231" s="31"/>
      <c r="T231" s="31"/>
    </row>
    <row r="232" ht="15.0" customHeight="1">
      <c r="A232" s="54" t="s">
        <v>71</v>
      </c>
      <c r="B232" s="54">
        <v>1547.0</v>
      </c>
      <c r="C232" s="19">
        <v>1547.0</v>
      </c>
      <c r="D232" s="34" t="str">
        <f>if(   iserror(offset(PADRON!B$2,match(C:C,PADRON!A$2:A1405,0)-1,0,1,1) )  ,  ,    offset(PADRON!B$2,match(C:C,PADRON!A$2:A1405,0)-1,0,1,1))</f>
        <v>DILLON, MARGARITA</v>
      </c>
      <c r="E232" s="22">
        <v>45839.0</v>
      </c>
      <c r="F232" s="22">
        <v>45870.0</v>
      </c>
      <c r="G232" s="23" t="s">
        <v>39</v>
      </c>
      <c r="H232" s="35">
        <f>IF( ISERROR( OFFSET(   'Cuadro tarifario'!D$2  , MATCH(CONCATENATE(                 IF(F232&gt;Mes,OFFSET(NroCT!B$17, MATCH($F232,NroCT!$A$18:$A1405,0),0,1,1),Periodovigente)                                                                                                                     ,A232) ,'Cuadro tarifario'!A$2:A1405,0) -1 , 0 , 1 , 1) )   , 0  ,   OFFSET(   'Cuadro tarifario'!D$2  , MATCH(CONCATENATE( IF(F232&gt;Mes,OFFSET(NroCT!B$17, MATCH($F232,NroCT!$A$18:$A1405,0),0,1,1),Periodovigente) ,A232) ,'Cuadro tarifario'!A$2:A1405,0) -1 , 0 , 1 , 1))</f>
        <v>11000</v>
      </c>
      <c r="I232" s="36">
        <f t="shared" si="160"/>
        <v>1</v>
      </c>
      <c r="J232" s="37">
        <f t="shared" si="79"/>
        <v>11000</v>
      </c>
      <c r="K232" s="38">
        <f>if(  and(N232&gt;0,I232=0)          ,N232 ,                         If(  If( F232 ,  DAYS360(date(year(F232),month(F232),1),Mes)/30  ,  DAYS360(date(year(E232),month(E232),1),Mes)/30  )  &gt;  0 , If(F232,   DAYS360(date(year(F232),month(F232),1),Mes)/30  ,  DAYS360(date(year(E232),month(E232),1),Mes)/30) , 0)       )</f>
        <v>0</v>
      </c>
      <c r="L232" s="39">
        <f t="shared" si="161"/>
        <v>0</v>
      </c>
      <c r="M232" s="40"/>
      <c r="N232" s="29">
        <f>IF( ISERROR(OFFSET(SECUESTRADOS!D$1,MATCH(B232,SECUESTRADOS!A$2:A1405,0),0)) ,0 ,  OFFSET(SECUESTRADOS!D$1,MATCH(B232,SECUESTRADOS!A$2:A1405,0),0)  )</f>
        <v>0</v>
      </c>
      <c r="O232" s="30"/>
      <c r="P232" s="17" t="str">
        <f t="shared" si="3"/>
        <v>.socio</v>
      </c>
      <c r="Q232" s="17" t="str">
        <f>IF(AND(A232=#REF!,B232=#REF!,C232=#REF!),"Repetido","")</f>
        <v>#REF!</v>
      </c>
      <c r="R232" s="31"/>
      <c r="S232" s="31"/>
      <c r="T232" s="31"/>
    </row>
    <row r="233" ht="15.0" customHeight="1">
      <c r="A233" s="18" t="s">
        <v>38</v>
      </c>
      <c r="B233" s="17">
        <v>1547.0</v>
      </c>
      <c r="C233" s="19">
        <v>1547.0</v>
      </c>
      <c r="D233" s="20" t="str">
        <f>IF(   ISERROR(OFFSET(PADRON!B$2,MATCH(C:C,PADRON!A$2:A1405,0)-1,0,1,1) )  ,  ,    OFFSET(PADRON!B$2,MATCH(C:C,PADRON!A$2:A1405,0)-1,0,1,1))</f>
        <v>DILLON, MARGARITA</v>
      </c>
      <c r="E233" s="21">
        <v>45839.0</v>
      </c>
      <c r="F233" s="21">
        <v>45870.0</v>
      </c>
      <c r="G233" s="23" t="s">
        <v>39</v>
      </c>
      <c r="H233" s="24">
        <f>IF( ISERROR( OFFSET(   'Cuadro tarifario'!D$2  , MATCH(CONCATENATE(                 IF(F233&gt;Mes,OFFSET(NroCT!B$17, MATCH($F233,NroCT!$A$18:$A1405,0),0,1,1),Periodovigente)                                                                                                                     ,A233) ,'Cuadro tarifario'!A$2:A1405,0) -1 , 0 , 1 , 1) )   , 0  ,   OFFSET(   'Cuadro tarifario'!D$2  , MATCH(CONCATENATE( IF(F233&gt;Mes,OFFSET(NroCT!B$17, MATCH($F233,NroCT!$A$18:$A1405,0),0,1,1),Periodovigente) ,A233) ,'Cuadro tarifario'!A$2:A1405,0) -1 , 0 , 1 , 1))</f>
        <v>9000</v>
      </c>
      <c r="I233" s="25">
        <f>INT(IF(F233,DAYS360(          DATE(YEAR(E233),MONTH(E233),1),         DATE(YEAR(F233)     ,      MONTH(F233),1 )    )            /30,0 ))</f>
        <v>1</v>
      </c>
      <c r="J233" s="24">
        <f t="shared" si="79"/>
        <v>9000</v>
      </c>
      <c r="K233" s="26">
        <f>IF(  AND(N233&gt;0,I233=0)          ,N233 ,                         IF(  IF( F233 ,  DAYS360(DATE(YEAR(F233),MONTH(F233),1),Mes)/30  ,  DAYS360(DATE(YEAR(E233),MONTH(E233),1),Mes)/30  )  &gt;  0 , IF(F233,   DAYS360(DATE(YEAR(F233),MONTH(F233),1),Mes)/30  ,  DAYS360(DATE(YEAR(E233),MONTH(E233),1),Mes)/30) , 0)       )</f>
        <v>0</v>
      </c>
      <c r="L233" s="27">
        <f>IF(ISERROR(K:K*H:H)   ,  0   ,   K:K*H:H)</f>
        <v>0</v>
      </c>
      <c r="M233" s="28"/>
      <c r="N233" s="29">
        <f>IF( ISERROR(OFFSET(SECUESTRADOS!D$1,MATCH(B233,SECUESTRADOS!A$2:A1405,0),0)) ,0 ,  OFFSET(SECUESTRADOS!D$1,MATCH(B233,SECUESTRADOS!A$2:A1405,0),0)  )</f>
        <v>0</v>
      </c>
      <c r="O233" s="30"/>
      <c r="P233" s="17" t="str">
        <f t="shared" si="3"/>
        <v>Bono canon</v>
      </c>
      <c r="Q233" s="17" t="str">
        <f t="shared" ref="Q233:Q243" si="162">IF(AND(A233=A232,B233=B232,C233=C232),"Repetido","")</f>
        <v/>
      </c>
      <c r="R233" s="31"/>
      <c r="S233" s="31"/>
      <c r="T233" s="31"/>
    </row>
    <row r="234" ht="15.0" customHeight="1">
      <c r="A234" s="54" t="s">
        <v>71</v>
      </c>
      <c r="B234" s="54">
        <v>1551.0</v>
      </c>
      <c r="C234" s="19">
        <v>1551.0</v>
      </c>
      <c r="D234" s="34" t="str">
        <f>if(   iserror(offset(PADRON!B$2,match(C:C,PADRON!A$2:A1405,0)-1,0,1,1) )  ,  ,    offset(PADRON!B$2,match(C:C,PADRON!A$2:A1405,0)-1,0,1,1))</f>
        <v>ALESI, ITATI</v>
      </c>
      <c r="E234" s="22">
        <v>45870.0</v>
      </c>
      <c r="F234" s="22"/>
      <c r="G234" s="23" t="s">
        <v>39</v>
      </c>
      <c r="H234" s="35">
        <f>IF( ISERROR( OFFSET(   'Cuadro tarifario'!D$2  , MATCH(CONCATENATE(                 IF(F234&gt;Mes,OFFSET(NroCT!B$17, MATCH($F234,NroCT!$A$18:$A1405,0),0,1,1),Periodovigente)                                                                                                                     ,A234) ,'Cuadro tarifario'!A$2:A1405,0) -1 , 0 , 1 , 1) )   , 0  ,   OFFSET(   'Cuadro tarifario'!D$2  , MATCH(CONCATENATE( IF(F234&gt;Mes,OFFSET(NroCT!B$17, MATCH($F234,NroCT!$A$18:$A1405,0),0,1,1),Periodovigente) ,A234) ,'Cuadro tarifario'!A$2:A1405,0) -1 , 0 , 1 , 1))</f>
        <v>11000</v>
      </c>
      <c r="I234" s="36">
        <f>Int(If(F234,DAYS360(          date(Year(E234),Month(E234),1),         date(Year(F234)     ,      Month(F234),1 )    )            /30,0 ))</f>
        <v>0</v>
      </c>
      <c r="J234" s="37">
        <f t="shared" si="79"/>
        <v>0</v>
      </c>
      <c r="K234" s="38">
        <f>if(  and(N234&gt;0,I234=0)          ,N234 ,                         If(  If( F234 ,  DAYS360(date(year(F234),month(F234),1),Mes)/30  ,  DAYS360(date(year(E234),month(E234),1),Mes)/30  )  &gt;  0 , If(F234,   DAYS360(date(year(F234),month(F234),1),Mes)/30  ,  DAYS360(date(year(E234),month(E234),1),Mes)/30) , 0)       )</f>
        <v>0</v>
      </c>
      <c r="L234" s="39">
        <f>If(Iserror(K:K*H:H)   ,  0   ,   K:K*H:H)</f>
        <v>0</v>
      </c>
      <c r="M234" s="40"/>
      <c r="N234" s="29">
        <f>IF( ISERROR(OFFSET(SECUESTRADOS!D$1,MATCH(B234,SECUESTRADOS!A$2:A1405,0),0)) ,0 ,  OFFSET(SECUESTRADOS!D$1,MATCH(B234,SECUESTRADOS!A$2:A1405,0),0)  )</f>
        <v>0</v>
      </c>
      <c r="O234" s="30"/>
      <c r="P234" s="17" t="b">
        <f t="shared" si="3"/>
        <v>0</v>
      </c>
      <c r="Q234" s="17" t="str">
        <f t="shared" si="162"/>
        <v/>
      </c>
      <c r="R234" s="31"/>
      <c r="S234" s="31"/>
      <c r="T234" s="31"/>
    </row>
    <row r="235" ht="15.0" customHeight="1">
      <c r="A235" s="18" t="s">
        <v>38</v>
      </c>
      <c r="B235" s="17">
        <v>1551.0</v>
      </c>
      <c r="C235" s="19">
        <v>1551.0</v>
      </c>
      <c r="D235" s="20" t="str">
        <f>IF(   ISERROR(OFFSET(PADRON!B$2,MATCH(C:C,PADRON!A$2:A1405,0)-1,0,1,1) )  ,  ,    OFFSET(PADRON!B$2,MATCH(C:C,PADRON!A$2:A1405,0)-1,0,1,1))</f>
        <v>ALESI, ITATI</v>
      </c>
      <c r="E235" s="21">
        <v>45870.0</v>
      </c>
      <c r="F235" s="21"/>
      <c r="G235" s="23" t="s">
        <v>39</v>
      </c>
      <c r="H235" s="24">
        <f>IF( ISERROR( OFFSET(   'Cuadro tarifario'!D$2  , MATCH(CONCATENATE(                 IF(F235&gt;Mes,OFFSET(NroCT!B$17, MATCH($F235,NroCT!$A$18:$A1405,0),0,1,1),Periodovigente)                                                                                                                     ,A235) ,'Cuadro tarifario'!A$2:A1405,0) -1 , 0 , 1 , 1) )   , 0  ,   OFFSET(   'Cuadro tarifario'!D$2  , MATCH(CONCATENATE( IF(F235&gt;Mes,OFFSET(NroCT!B$17, MATCH($F235,NroCT!$A$18:$A1405,0),0,1,1),Periodovigente) ,A235) ,'Cuadro tarifario'!A$2:A1405,0) -1 , 0 , 1 , 1))</f>
        <v>9000</v>
      </c>
      <c r="I235" s="25">
        <f>INT(IF(F235,DAYS360(          DATE(YEAR(E235),MONTH(E235),1),         DATE(YEAR(F235)     ,      MONTH(F235),1 )    )            /30,0 ))</f>
        <v>0</v>
      </c>
      <c r="J235" s="24">
        <f t="shared" si="79"/>
        <v>0</v>
      </c>
      <c r="K235" s="26">
        <f>IF(  AND(N235&gt;0,I235=0)          ,N235 ,                         IF(  IF( F235 ,  DAYS360(DATE(YEAR(F235),MONTH(F235),1),Mes)/30  ,  DAYS360(DATE(YEAR(E235),MONTH(E235),1),Mes)/30  )  &gt;  0 , IF(F235,   DAYS360(DATE(YEAR(F235),MONTH(F235),1),Mes)/30  ,  DAYS360(DATE(YEAR(E235),MONTH(E235),1),Mes)/30) , 0)       )</f>
        <v>0</v>
      </c>
      <c r="L235" s="27">
        <f>IF(ISERROR(K:K*H:H)   ,  0   ,   K:K*H:H)</f>
        <v>0</v>
      </c>
      <c r="M235" s="28"/>
      <c r="N235" s="29">
        <f>IF( ISERROR(OFFSET(SECUESTRADOS!D$1,MATCH(B235,SECUESTRADOS!A$2:A1405,0),0)) ,0 ,  OFFSET(SECUESTRADOS!D$1,MATCH(B235,SECUESTRADOS!A$2:A1405,0),0)  )</f>
        <v>0</v>
      </c>
      <c r="O235" s="30"/>
      <c r="P235" s="17" t="b">
        <f t="shared" si="3"/>
        <v>0</v>
      </c>
      <c r="Q235" s="17" t="str">
        <f t="shared" si="162"/>
        <v/>
      </c>
      <c r="R235" s="31"/>
      <c r="S235" s="31"/>
      <c r="T235" s="31"/>
    </row>
    <row r="236" ht="15.0" customHeight="1">
      <c r="A236" s="54" t="s">
        <v>82</v>
      </c>
      <c r="B236" s="54" t="s">
        <v>156</v>
      </c>
      <c r="C236" s="19">
        <v>1551.0</v>
      </c>
      <c r="D236" s="34" t="str">
        <f>if(   iserror(offset(PADRON!B$2,match(C:C,PADRON!A$2:A1405,0)-1,0,1,1) )  ,  ,    offset(PADRON!B$2,match(C:C,PADRON!A$2:A1405,0)-1,0,1,1))</f>
        <v>ALESI, ITATI</v>
      </c>
      <c r="E236" s="22">
        <v>45870.0</v>
      </c>
      <c r="F236" s="22"/>
      <c r="G236" s="23" t="s">
        <v>39</v>
      </c>
      <c r="H236" s="80">
        <f>IF( ISERROR( OFFSET(   'Cuadro tarifario'!D$2  , MATCH(CONCATENATE(                 IF(F236&gt;Mes,OFFSET(NroCT!B$17, MATCH($F236,NroCT!$A$18:$A1405,0),0,1,1),Periodovigente)                                                                                                                     ,A236) ,'Cuadro tarifario'!A$2:A1405,0) -1 , 0 , 1 , 1) )   , 0  ,   OFFSET(   'Cuadro tarifario'!D$2  , MATCH(CONCATENATE( IF(F236&gt;Mes,OFFSET(NroCT!B$17, MATCH($F236,NroCT!$A$18:$A1405,0),0,1,1),Periodovigente) ,A236) ,'Cuadro tarifario'!A$2:A1405,0) -1 , 0 , 1 , 1))</f>
        <v>12000</v>
      </c>
      <c r="I236" s="36">
        <f t="shared" ref="I236:I237" si="163">Int(If(F236,DAYS360(          date(Year(E236),Month(E236),1),         date(Year(F236)     ,      Month(F236),1 )    )            /30,0 ))</f>
        <v>0</v>
      </c>
      <c r="J236" s="36">
        <f t="shared" si="79"/>
        <v>0</v>
      </c>
      <c r="K236" s="38">
        <f>if(  and(N236&gt;0,I236=0)          ,N236 ,                         If(  If( F236 ,  DAYS360(date(year(F236),month(F236),1),Mes)/30  ,  DAYS360(date(year(E236),month(E236),1),Mes)/30  )  &gt;  0 , If(F236,   DAYS360(date(year(F236),month(F236),1),Mes)/30  ,  DAYS360(date(year(E236),month(E236),1),Mes)/30) , 0)       )</f>
        <v>0</v>
      </c>
      <c r="L236" s="38">
        <f t="shared" ref="L236:L237" si="164">If(Iserror(K:K*H:H)   ,  0   ,   K:K*H:H)</f>
        <v>0</v>
      </c>
      <c r="M236" s="40"/>
      <c r="N236" s="29">
        <f>IF( ISERROR(OFFSET(SECUESTRADOS!D$1,MATCH(B236,SECUESTRADOS!A$2:A1405,0),0)) ,0 ,  OFFSET(SECUESTRADOS!D$1,MATCH(B236,SECUESTRADOS!A$2:A1405,0),0)  )</f>
        <v>0</v>
      </c>
      <c r="O236" s="30"/>
      <c r="P236" s="17" t="b">
        <f t="shared" si="3"/>
        <v>0</v>
      </c>
      <c r="Q236" s="17" t="str">
        <f t="shared" si="162"/>
        <v/>
      </c>
      <c r="R236" s="31"/>
      <c r="S236" s="31"/>
      <c r="T236" s="31"/>
    </row>
    <row r="237" ht="15.0" customHeight="1">
      <c r="A237" s="54" t="s">
        <v>71</v>
      </c>
      <c r="B237" s="54">
        <v>1552.0</v>
      </c>
      <c r="C237" s="19">
        <v>1552.0</v>
      </c>
      <c r="D237" s="34" t="str">
        <f>if(   iserror(offset(PADRON!B$2,match(C:C,PADRON!A$2:A1405,0)-1,0,1,1) )  ,  ,    offset(PADRON!B$2,match(C:C,PADRON!A$2:A1405,0)-1,0,1,1))</f>
        <v>MARKARIAN, DANIEL</v>
      </c>
      <c r="E237" s="22">
        <v>45870.0</v>
      </c>
      <c r="F237" s="22"/>
      <c r="G237" s="23" t="s">
        <v>56</v>
      </c>
      <c r="H237" s="35">
        <f>IF( ISERROR( OFFSET(   'Cuadro tarifario'!D$2  , MATCH(CONCATENATE(                 IF(F237&gt;Mes,OFFSET(NroCT!B$17, MATCH($F237,NroCT!$A$18:$A1405,0),0,1,1),Periodovigente)                                                                                                                     ,A237) ,'Cuadro tarifario'!A$2:A1405,0) -1 , 0 , 1 , 1) )   , 0  ,   OFFSET(   'Cuadro tarifario'!D$2  , MATCH(CONCATENATE( IF(F237&gt;Mes,OFFSET(NroCT!B$17, MATCH($F237,NroCT!$A$18:$A1405,0),0,1,1),Periodovigente) ,A237) ,'Cuadro tarifario'!A$2:A1405,0) -1 , 0 , 1 , 1))</f>
        <v>11000</v>
      </c>
      <c r="I237" s="36">
        <f t="shared" si="163"/>
        <v>0</v>
      </c>
      <c r="J237" s="37">
        <f t="shared" si="79"/>
        <v>0</v>
      </c>
      <c r="K237" s="38">
        <f>if(  and(N237&gt;0,I237=0)          ,N237 ,                         If(  If( F237 ,  DAYS360(date(year(F237),month(F237),1),Mes)/30  ,  DAYS360(date(year(E237),month(E237),1),Mes)/30  )  &gt;  0 , If(F237,   DAYS360(date(year(F237),month(F237),1),Mes)/30  ,  DAYS360(date(year(E237),month(E237),1),Mes)/30) , 0)       )</f>
        <v>0</v>
      </c>
      <c r="L237" s="39">
        <f t="shared" si="164"/>
        <v>0</v>
      </c>
      <c r="M237" s="40"/>
      <c r="N237" s="29">
        <f>IF( ISERROR(OFFSET(SECUESTRADOS!D$1,MATCH(B237,SECUESTRADOS!A$2:A1405,0),0)) ,0 ,  OFFSET(SECUESTRADOS!D$1,MATCH(B237,SECUESTRADOS!A$2:A1405,0),0)  )</f>
        <v>0</v>
      </c>
      <c r="O237" s="30"/>
      <c r="P237" s="17" t="b">
        <f t="shared" si="3"/>
        <v>0</v>
      </c>
      <c r="Q237" s="17" t="str">
        <f t="shared" si="162"/>
        <v/>
      </c>
      <c r="R237" s="31"/>
      <c r="S237" s="31"/>
      <c r="T237" s="31"/>
    </row>
    <row r="238" ht="15.0" customHeight="1">
      <c r="A238" s="18" t="s">
        <v>38</v>
      </c>
      <c r="B238" s="17">
        <v>1552.0</v>
      </c>
      <c r="C238" s="19">
        <v>1552.0</v>
      </c>
      <c r="D238" s="20" t="str">
        <f>IF(   ISERROR(OFFSET(PADRON!B$2,MATCH(C:C,PADRON!A$2:A1405,0)-1,0,1,1) )  ,  ,    OFFSET(PADRON!B$2,MATCH(C:C,PADRON!A$2:A1405,0)-1,0,1,1))</f>
        <v>MARKARIAN, DANIEL</v>
      </c>
      <c r="E238" s="21">
        <v>45870.0</v>
      </c>
      <c r="F238" s="22"/>
      <c r="G238" s="23" t="s">
        <v>56</v>
      </c>
      <c r="H238" s="24">
        <f>IF( ISERROR( OFFSET(   'Cuadro tarifario'!D$2  , MATCH(CONCATENATE(                 IF(F238&gt;Mes,OFFSET(NroCT!B$17, MATCH($F238,NroCT!$A$18:$A1405,0),0,1,1),Periodovigente)                                                                                                                     ,A238) ,'Cuadro tarifario'!A$2:A1405,0) -1 , 0 , 1 , 1) )   , 0  ,   OFFSET(   'Cuadro tarifario'!D$2  , MATCH(CONCATENATE( IF(F238&gt;Mes,OFFSET(NroCT!B$17, MATCH($F238,NroCT!$A$18:$A1405,0),0,1,1),Periodovigente) ,A238) ,'Cuadro tarifario'!A$2:A1405,0) -1 , 0 , 1 , 1))</f>
        <v>9000</v>
      </c>
      <c r="I238" s="25">
        <f>INT(IF(F238,DAYS360(          DATE(YEAR(E238),MONTH(E238),1),         DATE(YEAR(F238)     ,      MONTH(F238),1 )    )            /30,0 ))</f>
        <v>0</v>
      </c>
      <c r="J238" s="24">
        <f t="shared" si="79"/>
        <v>0</v>
      </c>
      <c r="K238" s="26">
        <f>IF(  AND(N238&gt;0,I238=0)          ,N238 ,                         IF(  IF( F238 ,  DAYS360(DATE(YEAR(F238),MONTH(F238),1),Mes)/30  ,  DAYS360(DATE(YEAR(E238),MONTH(E238),1),Mes)/30  )  &gt;  0 , IF(F238,   DAYS360(DATE(YEAR(F238),MONTH(F238),1),Mes)/30  ,  DAYS360(DATE(YEAR(E238),MONTH(E238),1),Mes)/30) , 0)       )</f>
        <v>0</v>
      </c>
      <c r="L238" s="27">
        <f>IF(ISERROR(K:K*H:H)   ,  0   ,   K:K*H:H)</f>
        <v>0</v>
      </c>
      <c r="M238" s="28"/>
      <c r="N238" s="29">
        <f>IF( ISERROR(OFFSET(SECUESTRADOS!D$1,MATCH(B238,SECUESTRADOS!A$2:A1405,0),0)) ,0 ,  OFFSET(SECUESTRADOS!D$1,MATCH(B238,SECUESTRADOS!A$2:A1405,0),0)  )</f>
        <v>0</v>
      </c>
      <c r="O238" s="30"/>
      <c r="P238" s="17" t="b">
        <f t="shared" si="3"/>
        <v>0</v>
      </c>
      <c r="Q238" s="17" t="str">
        <f t="shared" si="162"/>
        <v/>
      </c>
      <c r="R238" s="31"/>
      <c r="S238" s="31"/>
      <c r="T238" s="31"/>
    </row>
    <row r="239" ht="15.0" customHeight="1">
      <c r="A239" s="54" t="s">
        <v>82</v>
      </c>
      <c r="B239" s="54" t="s">
        <v>157</v>
      </c>
      <c r="C239" s="19">
        <v>1552.0</v>
      </c>
      <c r="D239" s="34" t="str">
        <f>if(   iserror(offset(PADRON!B$2,match(C:C,PADRON!A$2:A1405,0)-1,0,1,1) )  ,  ,    offset(PADRON!B$2,match(C:C,PADRON!A$2:A1405,0)-1,0,1,1))</f>
        <v>MARKARIAN, DANIEL</v>
      </c>
      <c r="E239" s="22">
        <v>45870.0</v>
      </c>
      <c r="F239" s="22"/>
      <c r="G239" s="23" t="s">
        <v>56</v>
      </c>
      <c r="H239" s="80">
        <f>IF( ISERROR( OFFSET(   'Cuadro tarifario'!D$2  , MATCH(CONCATENATE(                 IF(F239&gt;Mes,OFFSET(NroCT!B$17, MATCH($F239,NroCT!$A$18:$A1405,0),0,1,1),Periodovigente)                                                                                                                     ,A239) ,'Cuadro tarifario'!A$2:A1405,0) -1 , 0 , 1 , 1) )   , 0  ,   OFFSET(   'Cuadro tarifario'!D$2  , MATCH(CONCATENATE( IF(F239&gt;Mes,OFFSET(NroCT!B$17, MATCH($F239,NroCT!$A$18:$A1405,0),0,1,1),Periodovigente) ,A239) ,'Cuadro tarifario'!A$2:A1405,0) -1 , 0 , 1 , 1))</f>
        <v>12000</v>
      </c>
      <c r="I239" s="36">
        <f t="shared" ref="I239:I244" si="165">Int(If(F239,DAYS360(          date(Year(E239),Month(E239),1),         date(Year(F239)     ,      Month(F239),1 )    )            /30,0 ))</f>
        <v>0</v>
      </c>
      <c r="J239" s="36">
        <f t="shared" si="79"/>
        <v>0</v>
      </c>
      <c r="K239" s="38">
        <f>if(  and(N239&gt;0,I239=0)          ,N239 ,                         If(  If( F239 ,  DAYS360(date(year(F239),month(F239),1),Mes)/30  ,  DAYS360(date(year(E239),month(E239),1),Mes)/30  )  &gt;  0 , If(F239,   DAYS360(date(year(F239),month(F239),1),Mes)/30  ,  DAYS360(date(year(E239),month(E239),1),Mes)/30) , 0)       )</f>
        <v>0</v>
      </c>
      <c r="L239" s="38">
        <f t="shared" ref="L239:L244" si="166">If(Iserror(K:K*H:H)   ,  0   ,   K:K*H:H)</f>
        <v>0</v>
      </c>
      <c r="M239" s="40"/>
      <c r="N239" s="29">
        <f>IF( ISERROR(OFFSET(SECUESTRADOS!D$1,MATCH(B239,SECUESTRADOS!A$2:A1405,0),0)) ,0 ,  OFFSET(SECUESTRADOS!D$1,MATCH(B239,SECUESTRADOS!A$2:A1405,0),0)  )</f>
        <v>0</v>
      </c>
      <c r="O239" s="30"/>
      <c r="P239" s="17" t="b">
        <f t="shared" si="3"/>
        <v>0</v>
      </c>
      <c r="Q239" s="17" t="str">
        <f t="shared" si="162"/>
        <v/>
      </c>
      <c r="R239" s="31"/>
      <c r="S239" s="31"/>
      <c r="T239" s="31"/>
    </row>
    <row r="240" ht="15.0" customHeight="1">
      <c r="A240" s="54" t="s">
        <v>40</v>
      </c>
      <c r="B240" s="54" t="s">
        <v>158</v>
      </c>
      <c r="C240" s="19">
        <v>1552.0</v>
      </c>
      <c r="D240" s="34" t="str">
        <f>if(   iserror(offset(PADRON!B$2,match(C:C,PADRON!A$2:A1405,0)-1,0,1,1) )  ,  ,    offset(PADRON!B$2,match(C:C,PADRON!A$2:A1405,0)-1,0,1,1))</f>
        <v>MARKARIAN, DANIEL</v>
      </c>
      <c r="E240" s="22">
        <v>45870.0</v>
      </c>
      <c r="F240" s="22"/>
      <c r="G240" s="23" t="s">
        <v>56</v>
      </c>
      <c r="H240" s="35">
        <f>IF( ISERROR( OFFSET(   'Cuadro tarifario'!D$2  , MATCH(CONCATENATE(                 IF(F240&gt;Mes,OFFSET(NroCT!B$17, MATCH($F240,NroCT!$A$18:$A1405,0),0,1,1),Periodovigente)                                                                                                                     ,A240) ,'Cuadro tarifario'!A$2:A1405,0) -1 , 0 , 1 , 1) )   , 0  ,   OFFSET(   'Cuadro tarifario'!D$2  , MATCH(CONCATENATE( IF(F240&gt;Mes,OFFSET(NroCT!B$17, MATCH($F240,NroCT!$A$18:$A1405,0),0,1,1),Periodovigente) ,A240) ,'Cuadro tarifario'!A$2:A1405,0) -1 , 0 , 1 , 1))</f>
        <v>12000</v>
      </c>
      <c r="I240" s="36">
        <f t="shared" si="165"/>
        <v>0</v>
      </c>
      <c r="J240" s="37">
        <f t="shared" si="79"/>
        <v>0</v>
      </c>
      <c r="K240" s="38">
        <f>if(  and(N240&gt;0,I240=0)          ,N240 ,                         If(  If( F240 ,  DAYS360(date(year(F240),month(F240),1),Mes)/30  ,  DAYS360(date(year(E240),month(E240),1),Mes)/30  )  &gt;  0 , If(F240,   DAYS360(date(year(F240),month(F240),1),Mes)/30  ,  DAYS360(date(year(E240),month(E240),1),Mes)/30) , 0)       )</f>
        <v>0</v>
      </c>
      <c r="L240" s="39">
        <f t="shared" si="166"/>
        <v>0</v>
      </c>
      <c r="M240" s="40"/>
      <c r="N240" s="29">
        <f>IF( ISERROR(OFFSET(SECUESTRADOS!D$1,MATCH(B240,SECUESTRADOS!A$2:A1405,0),0)) ,0 ,  OFFSET(SECUESTRADOS!D$1,MATCH(B240,SECUESTRADOS!A$2:A1405,0),0)  )</f>
        <v>0</v>
      </c>
      <c r="O240" s="30"/>
      <c r="P240" s="17" t="b">
        <f t="shared" si="3"/>
        <v>0</v>
      </c>
      <c r="Q240" s="17" t="str">
        <f t="shared" si="162"/>
        <v/>
      </c>
      <c r="R240" s="31"/>
      <c r="S240" s="31"/>
      <c r="T240" s="31"/>
    </row>
    <row r="241" ht="12.75" customHeight="1">
      <c r="A241" s="54" t="s">
        <v>50</v>
      </c>
      <c r="B241" s="54" t="s">
        <v>159</v>
      </c>
      <c r="C241" s="19">
        <v>1552.0</v>
      </c>
      <c r="D241" s="34" t="str">
        <f>if(   iserror(offset(PADRON!B$2,match(C:C,PADRON!A$2:A1405,0)-1,0,1,1) )  ,  ,    offset(PADRON!B$2,match(C:C,PADRON!A$2:A1405,0)-1,0,1,1))</f>
        <v>MARKARIAN, DANIEL</v>
      </c>
      <c r="E241" s="22">
        <v>45992.0</v>
      </c>
      <c r="F241" s="22"/>
      <c r="G241" s="23" t="s">
        <v>56</v>
      </c>
      <c r="H241" s="35">
        <f>IF( ISERROR( OFFSET(   'Cuadro tarifario'!D$2  , MATCH(CONCATENATE(                 IF(F241&gt;Mes,OFFSET(NroCT!B$17, MATCH($F241,NroCT!$A$18:$A1405,0),0,1,1),Periodovigente)                                                                                                                     ,A241) ,'Cuadro tarifario'!A$2:A1405,0) -1 , 0 , 1 , 1) )   , 0  ,   OFFSET(   'Cuadro tarifario'!D$2  , MATCH(CONCATENATE( IF(F241&gt;Mes,OFFSET(NroCT!B$17, MATCH($F241,NroCT!$A$18:$A1405,0),0,1,1),Periodovigente) ,A241) ,'Cuadro tarifario'!A$2:A1405,0) -1 , 0 , 1 , 1))</f>
        <v>3600</v>
      </c>
      <c r="I241" s="36">
        <f t="shared" si="165"/>
        <v>0</v>
      </c>
      <c r="J241" s="37">
        <f t="shared" si="79"/>
        <v>0</v>
      </c>
      <c r="K241" s="38">
        <f>if(  and(N241&gt;0,I241=0)          ,N241 ,                         If(  If( F241 ,  DAYS360(date(year(F241),month(F241),1),Mes)/30  ,  DAYS360(date(year(E241),month(E241),1),Mes)/30  )  &gt;  0 , If(F241,   DAYS360(date(year(F241),month(F241),1),Mes)/30  ,  DAYS360(date(year(E241),month(E241),1),Mes)/30) , 0)       )</f>
        <v>0</v>
      </c>
      <c r="L241" s="39">
        <f t="shared" si="166"/>
        <v>0</v>
      </c>
      <c r="M241" s="40"/>
      <c r="N241" s="29">
        <f>IF( ISERROR(OFFSET(SECUESTRADOS!D$1,MATCH(B241,SECUESTRADOS!A$2:A1405,0),0)) ,0 ,  OFFSET(SECUESTRADOS!D$1,MATCH(B241,SECUESTRADOS!A$2:A1405,0),0)  )</f>
        <v>0</v>
      </c>
      <c r="O241" s="30"/>
      <c r="P241" s="17" t="b">
        <f t="shared" si="3"/>
        <v>0</v>
      </c>
      <c r="Q241" s="17" t="str">
        <f t="shared" si="162"/>
        <v/>
      </c>
      <c r="R241" s="31"/>
      <c r="S241" s="31"/>
      <c r="T241" s="31"/>
    </row>
    <row r="242" ht="15.0" customHeight="1">
      <c r="A242" s="54" t="s">
        <v>42</v>
      </c>
      <c r="B242" s="54" t="s">
        <v>160</v>
      </c>
      <c r="C242" s="19">
        <v>1552.0</v>
      </c>
      <c r="D242" s="34" t="str">
        <f>if(   iserror(offset(PADRON!B$2,match(C:C,PADRON!A$2:A1405,0)-1,0,1,1) )  ,  ,    offset(PADRON!B$2,match(C:C,PADRON!A$2:A1405,0)-1,0,1,1))</f>
        <v>MARKARIAN, DANIEL</v>
      </c>
      <c r="E242" s="22">
        <v>45992.0</v>
      </c>
      <c r="F242" s="22"/>
      <c r="G242" s="23" t="s">
        <v>56</v>
      </c>
      <c r="H242" s="35">
        <f>IF( ISERROR( OFFSET(   'Cuadro tarifario'!D$2  , MATCH(CONCATENATE(                 IF(F242&gt;Mes,OFFSET(NroCT!B$17, MATCH($F242,NroCT!$A$18:$A1405,0),0,1,1),Periodovigente)                                                                                                                     ,A242) ,'Cuadro tarifario'!A$2:A1405,0) -1 , 0 , 1 , 1) )   , 0  ,   OFFSET(   'Cuadro tarifario'!D$2  , MATCH(CONCATENATE( IF(F242&gt;Mes,OFFSET(NroCT!B$17, MATCH($F242,NroCT!$A$18:$A1405,0),0,1,1),Periodovigente) ,A242) ,'Cuadro tarifario'!A$2:A1405,0) -1 , 0 , 1 , 1))</f>
        <v>4000</v>
      </c>
      <c r="I242" s="36">
        <f t="shared" si="165"/>
        <v>0</v>
      </c>
      <c r="J242" s="37">
        <f t="shared" si="79"/>
        <v>0</v>
      </c>
      <c r="K242" s="38">
        <f>if(  and(N242&gt;0,I242=0)          ,N242 ,                         If(  If( F242 ,  DAYS360(date(year(F242),month(F242),1),Mes)/30  ,  DAYS360(date(year(E242),month(E242),1),Mes)/30  )  &gt;  0 , If(F242,   DAYS360(date(year(F242),month(F242),1),Mes)/30  ,  DAYS360(date(year(E242),month(E242),1),Mes)/30) , 0)       )</f>
        <v>0</v>
      </c>
      <c r="L242" s="39">
        <f t="shared" si="166"/>
        <v>0</v>
      </c>
      <c r="M242" s="40"/>
      <c r="N242" s="29">
        <f>IF( ISERROR(OFFSET(SECUESTRADOS!D$1,MATCH(B242,SECUESTRADOS!A$2:A1405,0),0)) ,0 ,  OFFSET(SECUESTRADOS!D$1,MATCH(B242,SECUESTRADOS!A$2:A1405,0),0)  )</f>
        <v>0</v>
      </c>
      <c r="O242" s="30"/>
      <c r="P242" s="17" t="b">
        <f t="shared" si="3"/>
        <v>0</v>
      </c>
      <c r="Q242" s="17" t="str">
        <f t="shared" si="162"/>
        <v/>
      </c>
      <c r="R242" s="31"/>
      <c r="S242" s="31"/>
      <c r="T242" s="31"/>
    </row>
    <row r="243" ht="15.0" customHeight="1">
      <c r="A243" s="54" t="s">
        <v>42</v>
      </c>
      <c r="B243" s="54" t="s">
        <v>161</v>
      </c>
      <c r="C243" s="19">
        <v>1552.0</v>
      </c>
      <c r="D243" s="34" t="str">
        <f>if(   iserror(offset(PADRON!B$2,match(C:C,PADRON!A$2:A1405,0)-1,0,1,1) )  ,  ,    offset(PADRON!B$2,match(C:C,PADRON!A$2:A1405,0)-1,0,1,1))</f>
        <v>MARKARIAN, DANIEL</v>
      </c>
      <c r="E243" s="22">
        <v>45992.0</v>
      </c>
      <c r="F243" s="22"/>
      <c r="G243" s="23" t="s">
        <v>56</v>
      </c>
      <c r="H243" s="35">
        <f>IF( ISERROR( OFFSET(   'Cuadro tarifario'!D$2  , MATCH(CONCATENATE(                 IF(F243&gt;Mes,OFFSET(NroCT!B$17, MATCH($F243,NroCT!$A$18:$A1405,0),0,1,1),Periodovigente)                                                                                                                     ,A243) ,'Cuadro tarifario'!A$2:A1405,0) -1 , 0 , 1 , 1) )   , 0  ,   OFFSET(   'Cuadro tarifario'!D$2  , MATCH(CONCATENATE( IF(F243&gt;Mes,OFFSET(NroCT!B$17, MATCH($F243,NroCT!$A$18:$A1405,0),0,1,1),Periodovigente) ,A243) ,'Cuadro tarifario'!A$2:A1405,0) -1 , 0 , 1 , 1))</f>
        <v>4000</v>
      </c>
      <c r="I243" s="36">
        <f t="shared" si="165"/>
        <v>0</v>
      </c>
      <c r="J243" s="37">
        <f t="shared" si="79"/>
        <v>0</v>
      </c>
      <c r="K243" s="38">
        <f>if(  and(N243&gt;0,I243=0)          ,N243 ,                         If(  If( F243 ,  DAYS360(date(year(F243),month(F243),1),Mes)/30  ,  DAYS360(date(year(E243),month(E243),1),Mes)/30  )  &gt;  0 , If(F243,   DAYS360(date(year(F243),month(F243),1),Mes)/30  ,  DAYS360(date(year(E243),month(E243),1),Mes)/30) , 0)       )</f>
        <v>0</v>
      </c>
      <c r="L243" s="39">
        <f t="shared" si="166"/>
        <v>0</v>
      </c>
      <c r="M243" s="40"/>
      <c r="N243" s="29">
        <f>IF( ISERROR(OFFSET(SECUESTRADOS!D$1,MATCH(B243,SECUESTRADOS!A$2:A1405,0),0)) ,0 ,  OFFSET(SECUESTRADOS!D$1,MATCH(B243,SECUESTRADOS!A$2:A1405,0),0)  )</f>
        <v>0</v>
      </c>
      <c r="O243" s="30"/>
      <c r="P243" s="17" t="b">
        <f t="shared" si="3"/>
        <v>0</v>
      </c>
      <c r="Q243" s="17" t="str">
        <f t="shared" si="162"/>
        <v/>
      </c>
      <c r="R243" s="31"/>
      <c r="S243" s="31"/>
      <c r="T243" s="31"/>
    </row>
    <row r="244" ht="15.0" customHeight="1">
      <c r="A244" s="54" t="s">
        <v>71</v>
      </c>
      <c r="B244" s="54">
        <v>1557.0</v>
      </c>
      <c r="C244" s="19">
        <v>1557.0</v>
      </c>
      <c r="D244" s="34" t="str">
        <f>if(   iserror(offset(PADRON!B$2,match(C:C,PADRON!A$2:A1405,0)-1,0,1,1) )  ,  ,    offset(PADRON!B$2,match(C:C,PADRON!A$2:A1405,0)-1,0,1,1))</f>
        <v>MEDEL SANTIAGO HERNAN</v>
      </c>
      <c r="E244" s="22">
        <v>45839.0</v>
      </c>
      <c r="F244" s="22">
        <v>45870.0</v>
      </c>
      <c r="G244" s="23" t="s">
        <v>39</v>
      </c>
      <c r="H244" s="35">
        <f>IF( ISERROR( OFFSET(   'Cuadro tarifario'!D$2  , MATCH(CONCATENATE(                 IF(F244&gt;Mes,OFFSET(NroCT!B$17, MATCH($F244,NroCT!$A$18:$A1405,0),0,1,1),Periodovigente)                                                                                                                     ,A244) ,'Cuadro tarifario'!A$2:A1405,0) -1 , 0 , 1 , 1) )   , 0  ,   OFFSET(   'Cuadro tarifario'!D$2  , MATCH(CONCATENATE( IF(F244&gt;Mes,OFFSET(NroCT!B$17, MATCH($F244,NroCT!$A$18:$A1405,0),0,1,1),Periodovigente) ,A244) ,'Cuadro tarifario'!A$2:A1405,0) -1 , 0 , 1 , 1))</f>
        <v>11000</v>
      </c>
      <c r="I244" s="36">
        <f t="shared" si="165"/>
        <v>1</v>
      </c>
      <c r="J244" s="37">
        <f t="shared" si="79"/>
        <v>11000</v>
      </c>
      <c r="K244" s="38">
        <f>if(  and(N244&gt;0,I244=0)          ,N244 ,                         If(  If( F244 ,  DAYS360(date(year(F244),month(F244),1),Mes)/30  ,  DAYS360(date(year(E244),month(E244),1),Mes)/30  )  &gt;  0 , If(F244,   DAYS360(date(year(F244),month(F244),1),Mes)/30  ,  DAYS360(date(year(E244),month(E244),1),Mes)/30) , 0)       )</f>
        <v>0</v>
      </c>
      <c r="L244" s="39">
        <f t="shared" si="166"/>
        <v>0</v>
      </c>
      <c r="M244" s="40"/>
      <c r="N244" s="29">
        <f>IF( ISERROR(OFFSET(SECUESTRADOS!D$1,MATCH(B244,SECUESTRADOS!A$2:A1405,0),0)) ,0 ,  OFFSET(SECUESTRADOS!D$1,MATCH(B244,SECUESTRADOS!A$2:A1405,0),0)  )</f>
        <v>0</v>
      </c>
      <c r="O244" s="30"/>
      <c r="P244" s="17" t="str">
        <f t="shared" si="3"/>
        <v>.socio</v>
      </c>
      <c r="Q244" s="17" t="str">
        <f>IF(AND(A244=#REF!,B244=#REF!,C244=#REF!),"Repetido","")</f>
        <v>#REF!</v>
      </c>
      <c r="R244" s="31"/>
      <c r="S244" s="31"/>
      <c r="T244" s="31"/>
    </row>
    <row r="245" ht="15.0" customHeight="1">
      <c r="A245" s="18" t="s">
        <v>38</v>
      </c>
      <c r="B245" s="17">
        <v>1557.0</v>
      </c>
      <c r="C245" s="19">
        <v>1557.0</v>
      </c>
      <c r="D245" s="20" t="str">
        <f>IF(   ISERROR(OFFSET(PADRON!B$2,MATCH(C:C,PADRON!A$2:A1405,0)-1,0,1,1) )  ,  ,    OFFSET(PADRON!B$2,MATCH(C:C,PADRON!A$2:A1405,0)-1,0,1,1))</f>
        <v>MEDEL SANTIAGO HERNAN</v>
      </c>
      <c r="E245" s="21">
        <v>45839.0</v>
      </c>
      <c r="F245" s="21">
        <v>45870.0</v>
      </c>
      <c r="G245" s="23" t="s">
        <v>39</v>
      </c>
      <c r="H245" s="24">
        <f>IF( ISERROR( OFFSET(   'Cuadro tarifario'!D$2  , MATCH(CONCATENATE(                 IF(F245&gt;Mes,OFFSET(NroCT!B$17, MATCH($F245,NroCT!$A$18:$A1405,0),0,1,1),Periodovigente)                                                                                                                     ,A245) ,'Cuadro tarifario'!A$2:A1405,0) -1 , 0 , 1 , 1) )   , 0  ,   OFFSET(   'Cuadro tarifario'!D$2  , MATCH(CONCATENATE( IF(F245&gt;Mes,OFFSET(NroCT!B$17, MATCH($F245,NroCT!$A$18:$A1405,0),0,1,1),Periodovigente) ,A245) ,'Cuadro tarifario'!A$2:A1405,0) -1 , 0 , 1 , 1))</f>
        <v>9000</v>
      </c>
      <c r="I245" s="25">
        <f>INT(IF(F245,DAYS360(          DATE(YEAR(E245),MONTH(E245),1),         DATE(YEAR(F245)     ,      MONTH(F245),1 )    )            /30,0 ))</f>
        <v>1</v>
      </c>
      <c r="J245" s="24">
        <f t="shared" si="79"/>
        <v>9000</v>
      </c>
      <c r="K245" s="26">
        <f>IF(  AND(N245&gt;0,I245=0)          ,N245 ,                         IF(  IF( F245 ,  DAYS360(DATE(YEAR(F245),MONTH(F245),1),Mes)/30  ,  DAYS360(DATE(YEAR(E245),MONTH(E245),1),Mes)/30  )  &gt;  0 , IF(F245,   DAYS360(DATE(YEAR(F245),MONTH(F245),1),Mes)/30  ,  DAYS360(DATE(YEAR(E245),MONTH(E245),1),Mes)/30) , 0)       )</f>
        <v>0</v>
      </c>
      <c r="L245" s="27">
        <f>IF(ISERROR(K:K*H:H)   ,  0   ,   K:K*H:H)</f>
        <v>0</v>
      </c>
      <c r="M245" s="28"/>
      <c r="N245" s="29">
        <f>IF( ISERROR(OFFSET(SECUESTRADOS!D$1,MATCH(B245,SECUESTRADOS!A$2:A1405,0),0)) ,0 ,  OFFSET(SECUESTRADOS!D$1,MATCH(B245,SECUESTRADOS!A$2:A1405,0),0)  )</f>
        <v>0</v>
      </c>
      <c r="O245" s="30"/>
      <c r="P245" s="17" t="str">
        <f t="shared" si="3"/>
        <v>Bono canon</v>
      </c>
      <c r="Q245" s="17" t="str">
        <f t="shared" ref="Q245:Q252" si="167">IF(AND(A245=A244,B245=B244,C245=C244),"Repetido","")</f>
        <v/>
      </c>
      <c r="R245" s="31"/>
      <c r="S245" s="31"/>
      <c r="T245" s="31"/>
    </row>
    <row r="246" ht="15.0" customHeight="1">
      <c r="A246" s="54" t="s">
        <v>82</v>
      </c>
      <c r="B246" s="54" t="s">
        <v>162</v>
      </c>
      <c r="C246" s="19">
        <v>1557.0</v>
      </c>
      <c r="D246" s="34" t="str">
        <f>if(   iserror(offset(PADRON!B$2,match(C:C,PADRON!A$2:A1405,0)-1,0,1,1) )  ,  ,    offset(PADRON!B$2,match(C:C,PADRON!A$2:A1405,0)-1,0,1,1))</f>
        <v>MEDEL SANTIAGO HERNAN</v>
      </c>
      <c r="E246" s="22">
        <v>45839.0</v>
      </c>
      <c r="F246" s="22">
        <v>45870.0</v>
      </c>
      <c r="G246" s="23" t="s">
        <v>39</v>
      </c>
      <c r="H246" s="80">
        <f>IF( ISERROR( OFFSET(   'Cuadro tarifario'!D$2  , MATCH(CONCATENATE(                 IF(F246&gt;Mes,OFFSET(NroCT!B$17, MATCH($F246,NroCT!$A$18:$A1405,0),0,1,1),Periodovigente)                                                                                                                     ,A246) ,'Cuadro tarifario'!A$2:A1405,0) -1 , 0 , 1 , 1) )   , 0  ,   OFFSET(   'Cuadro tarifario'!D$2  , MATCH(CONCATENATE( IF(F246&gt;Mes,OFFSET(NroCT!B$17, MATCH($F246,NroCT!$A$18:$A1405,0),0,1,1),Periodovigente) ,A246) ,'Cuadro tarifario'!A$2:A1405,0) -1 , 0 , 1 , 1))</f>
        <v>12000</v>
      </c>
      <c r="I246" s="36">
        <f t="shared" ref="I246:I247" si="168">Int(If(F246,DAYS360(          date(Year(E246),Month(E246),1),         date(Year(F246)     ,      Month(F246),1 )    )            /30,0 ))</f>
        <v>1</v>
      </c>
      <c r="J246" s="36">
        <f t="shared" si="79"/>
        <v>12000</v>
      </c>
      <c r="K246" s="38">
        <f>if(  and(N246&gt;0,I246=0)          ,N246 ,                         If(  If( F246 ,  DAYS360(date(year(F246),month(F246),1),Mes)/30  ,  DAYS360(date(year(E246),month(E246),1),Mes)/30  )  &gt;  0 , If(F246,   DAYS360(date(year(F246),month(F246),1),Mes)/30  ,  DAYS360(date(year(E246),month(E246),1),Mes)/30) , 0)       )</f>
        <v>0</v>
      </c>
      <c r="L246" s="38">
        <f t="shared" ref="L246:L247" si="169">If(Iserror(K:K*H:H)   ,  0   ,   K:K*H:H)</f>
        <v>0</v>
      </c>
      <c r="M246" s="40"/>
      <c r="N246" s="29">
        <f>IF( ISERROR(OFFSET(SECUESTRADOS!D$1,MATCH(B246,SECUESTRADOS!A$2:A1405,0),0)) ,0 ,  OFFSET(SECUESTRADOS!D$1,MATCH(B246,SECUESTRADOS!A$2:A1405,0),0)  )</f>
        <v>0</v>
      </c>
      <c r="O246" s="30"/>
      <c r="P246" s="17" t="str">
        <f t="shared" si="3"/>
        <v>cuna kayak</v>
      </c>
      <c r="Q246" s="17" t="str">
        <f t="shared" si="167"/>
        <v/>
      </c>
      <c r="R246" s="31"/>
      <c r="S246" s="31"/>
      <c r="T246" s="31"/>
    </row>
    <row r="247" ht="15.0" customHeight="1">
      <c r="A247" s="54" t="s">
        <v>71</v>
      </c>
      <c r="B247" s="54">
        <v>1559.0</v>
      </c>
      <c r="C247" s="19">
        <v>1559.0</v>
      </c>
      <c r="D247" s="34" t="str">
        <f>if(   iserror(offset(PADRON!B$2,match(C:C,PADRON!A$2:A1405,0)-1,0,1,1) )  ,  ,    offset(PADRON!B$2,match(C:C,PADRON!A$2:A1405,0)-1,0,1,1))</f>
        <v>STEFANOFF, ESTEBAN</v>
      </c>
      <c r="E247" s="22">
        <v>45839.0</v>
      </c>
      <c r="F247" s="22">
        <v>45870.0</v>
      </c>
      <c r="G247" s="23" t="s">
        <v>39</v>
      </c>
      <c r="H247" s="35">
        <f>IF( ISERROR( OFFSET(   'Cuadro tarifario'!D$2  , MATCH(CONCATENATE(                 IF(F247&gt;Mes,OFFSET(NroCT!B$17, MATCH($F247,NroCT!$A$18:$A1405,0),0,1,1),Periodovigente)                                                                                                                     ,A247) ,'Cuadro tarifario'!A$2:A1405,0) -1 , 0 , 1 , 1) )   , 0  ,   OFFSET(   'Cuadro tarifario'!D$2  , MATCH(CONCATENATE( IF(F247&gt;Mes,OFFSET(NroCT!B$17, MATCH($F247,NroCT!$A$18:$A1405,0),0,1,1),Periodovigente) ,A247) ,'Cuadro tarifario'!A$2:A1405,0) -1 , 0 , 1 , 1))</f>
        <v>11000</v>
      </c>
      <c r="I247" s="36">
        <f t="shared" si="168"/>
        <v>1</v>
      </c>
      <c r="J247" s="37">
        <f t="shared" si="79"/>
        <v>11000</v>
      </c>
      <c r="K247" s="38">
        <f>if(  and(N247&gt;0,I247=0)          ,N247 ,                         If(  If( F247 ,  DAYS360(date(year(F247),month(F247),1),Mes)/30  ,  DAYS360(date(year(E247),month(E247),1),Mes)/30  )  &gt;  0 , If(F247,   DAYS360(date(year(F247),month(F247),1),Mes)/30  ,  DAYS360(date(year(E247),month(E247),1),Mes)/30) , 0)       )</f>
        <v>0</v>
      </c>
      <c r="L247" s="39">
        <f t="shared" si="169"/>
        <v>0</v>
      </c>
      <c r="M247" s="40"/>
      <c r="N247" s="29">
        <f>IF( ISERROR(OFFSET(SECUESTRADOS!D$1,MATCH(B247,SECUESTRADOS!A$2:A1405,0),0)) ,0 ,  OFFSET(SECUESTRADOS!D$1,MATCH(B247,SECUESTRADOS!A$2:A1405,0),0)  )</f>
        <v>0</v>
      </c>
      <c r="O247" s="30"/>
      <c r="P247" s="17" t="str">
        <f t="shared" si="3"/>
        <v>.socio</v>
      </c>
      <c r="Q247" s="17" t="str">
        <f t="shared" si="167"/>
        <v/>
      </c>
      <c r="R247" s="31"/>
      <c r="S247" s="31"/>
      <c r="T247" s="31"/>
    </row>
    <row r="248" ht="15.0" customHeight="1">
      <c r="A248" s="18" t="s">
        <v>38</v>
      </c>
      <c r="B248" s="17">
        <v>1559.0</v>
      </c>
      <c r="C248" s="19">
        <v>1559.0</v>
      </c>
      <c r="D248" s="20" t="str">
        <f>IF(   ISERROR(OFFSET(PADRON!B$2,MATCH(C:C,PADRON!A$2:A1405,0)-1,0,1,1) )  ,  ,    OFFSET(PADRON!B$2,MATCH(C:C,PADRON!A$2:A1405,0)-1,0,1,1))</f>
        <v>STEFANOFF, ESTEBAN</v>
      </c>
      <c r="E248" s="21">
        <v>45839.0</v>
      </c>
      <c r="F248" s="21">
        <v>45870.0</v>
      </c>
      <c r="G248" s="23" t="s">
        <v>39</v>
      </c>
      <c r="H248" s="24">
        <f>IF( ISERROR( OFFSET(   'Cuadro tarifario'!D$2  , MATCH(CONCATENATE(                 IF(F248&gt;Mes,OFFSET(NroCT!B$17, MATCH($F248,NroCT!$A$18:$A1405,0),0,1,1),Periodovigente)                                                                                                                     ,A248) ,'Cuadro tarifario'!A$2:A1405,0) -1 , 0 , 1 , 1) )   , 0  ,   OFFSET(   'Cuadro tarifario'!D$2  , MATCH(CONCATENATE( IF(F248&gt;Mes,OFFSET(NroCT!B$17, MATCH($F248,NroCT!$A$18:$A1405,0),0,1,1),Periodovigente) ,A248) ,'Cuadro tarifario'!A$2:A1405,0) -1 , 0 , 1 , 1))</f>
        <v>9000</v>
      </c>
      <c r="I248" s="25">
        <f>INT(IF(F248,DAYS360(          DATE(YEAR(E248),MONTH(E248),1),         DATE(YEAR(F248)     ,      MONTH(F248),1 )    )            /30,0 ))</f>
        <v>1</v>
      </c>
      <c r="J248" s="24">
        <f t="shared" si="79"/>
        <v>9000</v>
      </c>
      <c r="K248" s="26">
        <f>IF(  AND(N248&gt;0,I248=0)          ,N248 ,                         IF(  IF( F248 ,  DAYS360(DATE(YEAR(F248),MONTH(F248),1),Mes)/30  ,  DAYS360(DATE(YEAR(E248),MONTH(E248),1),Mes)/30  )  &gt;  0 , IF(F248,   DAYS360(DATE(YEAR(F248),MONTH(F248),1),Mes)/30  ,  DAYS360(DATE(YEAR(E248),MONTH(E248),1),Mes)/30) , 0)       )</f>
        <v>0</v>
      </c>
      <c r="L248" s="27">
        <f>IF(ISERROR(K:K*H:H)   ,  0   ,   K:K*H:H)</f>
        <v>0</v>
      </c>
      <c r="M248" s="28"/>
      <c r="N248" s="29">
        <f>IF( ISERROR(OFFSET(SECUESTRADOS!D$1,MATCH(B248,SECUESTRADOS!A$2:A1405,0),0)) ,0 ,  OFFSET(SECUESTRADOS!D$1,MATCH(B248,SECUESTRADOS!A$2:A1405,0),0)  )</f>
        <v>0</v>
      </c>
      <c r="O248" s="30"/>
      <c r="P248" s="17" t="str">
        <f t="shared" si="3"/>
        <v>Bono canon</v>
      </c>
      <c r="Q248" s="17" t="str">
        <f t="shared" si="167"/>
        <v/>
      </c>
      <c r="R248" s="31"/>
      <c r="S248" s="31"/>
      <c r="T248" s="31"/>
    </row>
    <row r="249" ht="15.0" customHeight="1">
      <c r="A249" s="54" t="s">
        <v>52</v>
      </c>
      <c r="B249" s="54" t="s">
        <v>163</v>
      </c>
      <c r="C249" s="19">
        <v>1559.0</v>
      </c>
      <c r="D249" s="34" t="str">
        <f>if(   iserror(offset(PADRON!B$2,match(C:C,PADRON!A$2:A1405,0)-1,0,1,1) )  ,  ,    offset(PADRON!B$2,match(C:C,PADRON!A$2:A1405,0)-1,0,1,1))</f>
        <v>STEFANOFF, ESTEBAN</v>
      </c>
      <c r="E249" s="22">
        <v>45992.0</v>
      </c>
      <c r="F249" s="22"/>
      <c r="G249" s="23" t="s">
        <v>39</v>
      </c>
      <c r="H249" s="35">
        <f>IF( ISERROR( OFFSET(   'Cuadro tarifario'!D$2  , MATCH(CONCATENATE(                 IF(F249&gt;Mes,OFFSET(NroCT!B$17, MATCH($F249,NroCT!$A$18:$A1405,0),0,1,1),Periodovigente)                                                                                                                     ,A249) ,'Cuadro tarifario'!A$2:A1405,0) -1 , 0 , 1 , 1) )   , 0  ,   OFFSET(   'Cuadro tarifario'!D$2  , MATCH(CONCATENATE( IF(F249&gt;Mes,OFFSET(NroCT!B$17, MATCH($F249,NroCT!$A$18:$A1405,0),0,1,1),Periodovigente) ,A249) ,'Cuadro tarifario'!A$2:A1405,0) -1 , 0 , 1 , 1))</f>
        <v>4000</v>
      </c>
      <c r="I249" s="36">
        <f t="shared" ref="I249:I250" si="170">Int(If(F249,DAYS360(          date(Year(E249),Month(E249),1),         date(Year(F249)     ,      Month(F249),1 )    )            /30,0 ))</f>
        <v>0</v>
      </c>
      <c r="J249" s="37">
        <f t="shared" si="79"/>
        <v>0</v>
      </c>
      <c r="K249" s="38">
        <f>if(  and(N249&gt;0,I249=0)          ,N249 ,                         If(  If( F249 ,  DAYS360(date(year(F249),month(F249),1),Mes)/30  ,  DAYS360(date(year(E249),month(E249),1),Mes)/30  )  &gt;  0 , If(F249,   DAYS360(date(year(F249),month(F249),1),Mes)/30  ,  DAYS360(date(year(E249),month(E249),1),Mes)/30) , 0)       )</f>
        <v>0</v>
      </c>
      <c r="L249" s="39">
        <f t="shared" ref="L249:L250" si="171">If(Iserror(K:K*H:H)   ,  0   ,   K:K*H:H)</f>
        <v>0</v>
      </c>
      <c r="M249" s="40"/>
      <c r="N249" s="29">
        <f>IF( ISERROR(OFFSET(SECUESTRADOS!D$1,MATCH(B249,SECUESTRADOS!A$2:A1405,0),0)) ,0 ,  OFFSET(SECUESTRADOS!D$1,MATCH(B249,SECUESTRADOS!A$2:A1405,0),0)  )</f>
        <v>0</v>
      </c>
      <c r="O249" s="30"/>
      <c r="P249" s="17" t="b">
        <f t="shared" si="3"/>
        <v>0</v>
      </c>
      <c r="Q249" s="17" t="str">
        <f t="shared" si="167"/>
        <v/>
      </c>
      <c r="R249" s="31"/>
      <c r="S249" s="31"/>
      <c r="T249" s="31"/>
    </row>
    <row r="250" ht="15.0" customHeight="1">
      <c r="A250" s="54" t="s">
        <v>71</v>
      </c>
      <c r="B250" s="54">
        <v>1565.0</v>
      </c>
      <c r="C250" s="19">
        <v>1565.0</v>
      </c>
      <c r="D250" s="34" t="str">
        <f>if(   iserror(offset(PADRON!B$2,match(C:C,PADRON!A$2:A1405,0)-1,0,1,1) )  ,  ,    offset(PADRON!B$2,match(C:C,PADRON!A$2:A1405,0)-1,0,1,1))</f>
        <v>BIASOTTI, JULIO</v>
      </c>
      <c r="E250" s="22">
        <v>45839.0</v>
      </c>
      <c r="F250" s="22">
        <v>45870.0</v>
      </c>
      <c r="G250" s="23" t="s">
        <v>39</v>
      </c>
      <c r="H250" s="35">
        <f>IF( ISERROR( OFFSET(   'Cuadro tarifario'!D$2  , MATCH(CONCATENATE(                 IF(F250&gt;Mes,OFFSET(NroCT!B$17, MATCH($F250,NroCT!$A$18:$A1405,0),0,1,1),Periodovigente)                                                                                                                     ,A250) ,'Cuadro tarifario'!A$2:A1405,0) -1 , 0 , 1 , 1) )   , 0  ,   OFFSET(   'Cuadro tarifario'!D$2  , MATCH(CONCATENATE( IF(F250&gt;Mes,OFFSET(NroCT!B$17, MATCH($F250,NroCT!$A$18:$A1405,0),0,1,1),Periodovigente) ,A250) ,'Cuadro tarifario'!A$2:A1405,0) -1 , 0 , 1 , 1))</f>
        <v>11000</v>
      </c>
      <c r="I250" s="36">
        <f t="shared" si="170"/>
        <v>1</v>
      </c>
      <c r="J250" s="37">
        <f t="shared" si="79"/>
        <v>11000</v>
      </c>
      <c r="K250" s="38">
        <f>if(  and(N250&gt;0,I250=0)          ,N250 ,                         If(  If( F250 ,  DAYS360(date(year(F250),month(F250),1),Mes)/30  ,  DAYS360(date(year(E250),month(E250),1),Mes)/30  )  &gt;  0 , If(F250,   DAYS360(date(year(F250),month(F250),1),Mes)/30  ,  DAYS360(date(year(E250),month(E250),1),Mes)/30) , 0)       )</f>
        <v>0</v>
      </c>
      <c r="L250" s="39">
        <f t="shared" si="171"/>
        <v>0</v>
      </c>
      <c r="M250" s="40"/>
      <c r="N250" s="29">
        <f>IF( ISERROR(OFFSET(SECUESTRADOS!D$1,MATCH(B250,SECUESTRADOS!A$2:A1405,0),0)) ,0 ,  OFFSET(SECUESTRADOS!D$1,MATCH(B250,SECUESTRADOS!A$2:A1405,0),0)  )</f>
        <v>0</v>
      </c>
      <c r="O250" s="30"/>
      <c r="P250" s="17" t="str">
        <f t="shared" si="3"/>
        <v>.socio</v>
      </c>
      <c r="Q250" s="17" t="str">
        <f t="shared" si="167"/>
        <v/>
      </c>
      <c r="R250" s="31"/>
      <c r="S250" s="31"/>
      <c r="T250" s="31"/>
    </row>
    <row r="251" ht="15.0" customHeight="1">
      <c r="A251" s="18" t="s">
        <v>38</v>
      </c>
      <c r="B251" s="17">
        <v>1565.0</v>
      </c>
      <c r="C251" s="19">
        <v>1565.0</v>
      </c>
      <c r="D251" s="20" t="str">
        <f>IF(   ISERROR(OFFSET(PADRON!B$2,MATCH(C:C,PADRON!A$2:A1405,0)-1,0,1,1) )  ,  ,    OFFSET(PADRON!B$2,MATCH(C:C,PADRON!A$2:A1405,0)-1,0,1,1))</f>
        <v>BIASOTTI, JULIO</v>
      </c>
      <c r="E251" s="21">
        <v>45839.0</v>
      </c>
      <c r="F251" s="21">
        <v>45870.0</v>
      </c>
      <c r="G251" s="23" t="s">
        <v>39</v>
      </c>
      <c r="H251" s="24">
        <f>IF( ISERROR( OFFSET(   'Cuadro tarifario'!D$2  , MATCH(CONCATENATE(                 IF(F251&gt;Mes,OFFSET(NroCT!B$17, MATCH($F251,NroCT!$A$18:$A1405,0),0,1,1),Periodovigente)                                                                                                                     ,A251) ,'Cuadro tarifario'!A$2:A1405,0) -1 , 0 , 1 , 1) )   , 0  ,   OFFSET(   'Cuadro tarifario'!D$2  , MATCH(CONCATENATE( IF(F251&gt;Mes,OFFSET(NroCT!B$17, MATCH($F251,NroCT!$A$18:$A1405,0),0,1,1),Periodovigente) ,A251) ,'Cuadro tarifario'!A$2:A1405,0) -1 , 0 , 1 , 1))</f>
        <v>9000</v>
      </c>
      <c r="I251" s="25">
        <f>INT(IF(F251,DAYS360(          DATE(YEAR(E251),MONTH(E251),1),         DATE(YEAR(F251)     ,      MONTH(F251),1 )    )            /30,0 ))</f>
        <v>1</v>
      </c>
      <c r="J251" s="24">
        <f t="shared" si="79"/>
        <v>9000</v>
      </c>
      <c r="K251" s="26">
        <f>IF(  AND(N251&gt;0,I251=0)          ,N251 ,                         IF(  IF( F251 ,  DAYS360(DATE(YEAR(F251),MONTH(F251),1),Mes)/30  ,  DAYS360(DATE(YEAR(E251),MONTH(E251),1),Mes)/30  )  &gt;  0 , IF(F251,   DAYS360(DATE(YEAR(F251),MONTH(F251),1),Mes)/30  ,  DAYS360(DATE(YEAR(E251),MONTH(E251),1),Mes)/30) , 0)       )</f>
        <v>0</v>
      </c>
      <c r="L251" s="27">
        <f>IF(ISERROR(K:K*H:H)   ,  0   ,   K:K*H:H)</f>
        <v>0</v>
      </c>
      <c r="M251" s="28"/>
      <c r="N251" s="29">
        <f>IF( ISERROR(OFFSET(SECUESTRADOS!D$1,MATCH(B251,SECUESTRADOS!A$2:A1405,0),0)) ,0 ,  OFFSET(SECUESTRADOS!D$1,MATCH(B251,SECUESTRADOS!A$2:A1405,0),0)  )</f>
        <v>0</v>
      </c>
      <c r="O251" s="30"/>
      <c r="P251" s="17" t="str">
        <f t="shared" si="3"/>
        <v>Bono canon</v>
      </c>
      <c r="Q251" s="17" t="str">
        <f t="shared" si="167"/>
        <v/>
      </c>
      <c r="R251" s="31"/>
      <c r="S251" s="31"/>
      <c r="T251" s="31"/>
    </row>
    <row r="252" ht="15.0" customHeight="1">
      <c r="A252" s="54" t="s">
        <v>48</v>
      </c>
      <c r="B252" s="54" t="s">
        <v>164</v>
      </c>
      <c r="C252" s="19">
        <v>1565.0</v>
      </c>
      <c r="D252" s="34" t="str">
        <f>if(   iserror(offset(PADRON!B$2,match(C:C,PADRON!A$2:A1405,0)-1,0,1,1) )  ,  ,    offset(PADRON!B$2,match(C:C,PADRON!A$2:A1405,0)-1,0,1,1))</f>
        <v>BIASOTTI, JULIO</v>
      </c>
      <c r="E252" s="22">
        <v>45839.0</v>
      </c>
      <c r="F252" s="22">
        <v>45870.0</v>
      </c>
      <c r="G252" s="23" t="s">
        <v>39</v>
      </c>
      <c r="H252" s="35">
        <f>IF( ISERROR( OFFSET(   'Cuadro tarifario'!D$2  , MATCH(CONCATENATE(                 IF(F252&gt;Mes,OFFSET(NroCT!B$17, MATCH($F252,NroCT!$A$18:$A1405,0),0,1,1),Periodovigente)                                                                                                                     ,A252) ,'Cuadro tarifario'!A$2:A1405,0) -1 , 0 , 1 , 1) )   , 0  ,   OFFSET(   'Cuadro tarifario'!D$2  , MATCH(CONCATENATE( IF(F252&gt;Mes,OFFSET(NroCT!B$17, MATCH($F252,NroCT!$A$18:$A1405,0),0,1,1),Periodovigente) ,A252) ,'Cuadro tarifario'!A$2:A1405,0) -1 , 0 , 1 , 1))</f>
        <v>12000</v>
      </c>
      <c r="I252" s="36">
        <f t="shared" ref="I252:I253" si="172">Int(If(F252,DAYS360(          date(Year(E252),Month(E252),1),         date(Year(F252)     ,      Month(F252),1 )    )            /30,0 ))</f>
        <v>1</v>
      </c>
      <c r="J252" s="37">
        <f t="shared" si="79"/>
        <v>12000</v>
      </c>
      <c r="K252" s="38">
        <f>if(  and(N252&gt;0,I252=0)          ,N252 ,                         If(  If( F252 ,  DAYS360(date(year(F252),month(F252),1),Mes)/30  ,  DAYS360(date(year(E252),month(E252),1),Mes)/30  )  &gt;  0 , If(F252,   DAYS360(date(year(F252),month(F252),1),Mes)/30  ,  DAYS360(date(year(E252),month(E252),1),Mes)/30) , 0)       )</f>
        <v>0</v>
      </c>
      <c r="L252" s="39">
        <f t="shared" ref="L252:L253" si="173">If(Iserror(K:K*H:H)   ,  0   ,   K:K*H:H)</f>
        <v>0</v>
      </c>
      <c r="M252" s="40"/>
      <c r="N252" s="29">
        <f>IF( ISERROR(OFFSET(SECUESTRADOS!D$1,MATCH(B252,SECUESTRADOS!A$2:A1405,0),0)) ,0 ,  OFFSET(SECUESTRADOS!D$1,MATCH(B252,SECUESTRADOS!A$2:A1405,0),0)  )</f>
        <v>0</v>
      </c>
      <c r="O252" s="30"/>
      <c r="P252" s="17" t="str">
        <f t="shared" si="3"/>
        <v>velero</v>
      </c>
      <c r="Q252" s="17" t="str">
        <f t="shared" si="167"/>
        <v/>
      </c>
      <c r="R252" s="31"/>
      <c r="S252" s="31"/>
      <c r="T252" s="31"/>
    </row>
    <row r="253" ht="15.0" customHeight="1">
      <c r="A253" s="74" t="s">
        <v>71</v>
      </c>
      <c r="B253" s="74">
        <v>1590.0</v>
      </c>
      <c r="C253" s="19">
        <v>1590.0</v>
      </c>
      <c r="D253" s="44" t="str">
        <f>if(   iserror(offset(PADRON!B$2,match(C:C,PADRON!A$2:A1405,0)-1,0,1,1) )  ,  ,    offset(PADRON!B$2,match(C:C,PADRON!A$2:A1405,0)-1,0,1,1))</f>
        <v>VUCASSOVICH, SERGIO</v>
      </c>
      <c r="E253" s="45">
        <v>45839.0</v>
      </c>
      <c r="F253" s="45">
        <v>45870.0</v>
      </c>
      <c r="G253" s="23" t="s">
        <v>39</v>
      </c>
      <c r="H253" s="35">
        <f>IF( ISERROR( OFFSET(   'Cuadro tarifario'!D$2  , MATCH(CONCATENATE(                 IF(F253&gt;Mes,OFFSET(NroCT!B$17, MATCH($F253,NroCT!$A$18:$A1405,0),0,1,1),Periodovigente)                                                                                                                     ,A253) ,'Cuadro tarifario'!A$2:A1405,0) -1 , 0 , 1 , 1) )   , 0  ,   OFFSET(   'Cuadro tarifario'!D$2  , MATCH(CONCATENATE( IF(F253&gt;Mes,OFFSET(NroCT!B$17, MATCH($F253,NroCT!$A$18:$A1405,0),0,1,1),Periodovigente) ,A253) ,'Cuadro tarifario'!A$2:A1405,0) -1 , 0 , 1 , 1))</f>
        <v>11000</v>
      </c>
      <c r="I253" s="46">
        <f t="shared" si="172"/>
        <v>1</v>
      </c>
      <c r="J253" s="76">
        <f t="shared" si="79"/>
        <v>11000</v>
      </c>
      <c r="K253" s="48">
        <f>if(  and(N253&gt;0,I253=0)          ,N253 ,                         If(  If( F253 ,  DAYS360(date(year(F253),month(F253),1),Mes)/30  ,  DAYS360(date(year(E253),month(E253),1),Mes)/30  )  &gt;  0 , If(F253,   DAYS360(date(year(F253),month(F253),1),Mes)/30  ,  DAYS360(date(year(E253),month(E253),1),Mes)/30) , 0)       )</f>
        <v>0</v>
      </c>
      <c r="L253" s="77">
        <f t="shared" si="173"/>
        <v>0</v>
      </c>
      <c r="M253" s="78"/>
      <c r="N253" s="29">
        <f>IF( ISERROR(OFFSET(SECUESTRADOS!D$1,MATCH(B253,SECUESTRADOS!A$2:A1405,0),0)) ,0 ,  OFFSET(SECUESTRADOS!D$1,MATCH(B253,SECUESTRADOS!A$2:A1405,0),0)  )</f>
        <v>0</v>
      </c>
      <c r="O253" s="30"/>
      <c r="P253" s="17" t="str">
        <f t="shared" si="3"/>
        <v>.socio</v>
      </c>
      <c r="Q253" s="17" t="str">
        <f>IF(AND(A253=#REF!,B253=#REF!,C253=#REF!),"Repetido","")</f>
        <v>#REF!</v>
      </c>
      <c r="R253" s="31"/>
      <c r="S253" s="31"/>
      <c r="T253" s="31"/>
    </row>
    <row r="254" ht="15.0" customHeight="1">
      <c r="A254" s="18" t="s">
        <v>38</v>
      </c>
      <c r="B254" s="17">
        <v>1590.0</v>
      </c>
      <c r="C254" s="19">
        <v>1590.0</v>
      </c>
      <c r="D254" s="20" t="str">
        <f>IF(   ISERROR(OFFSET(PADRON!B$2,MATCH(C:C,PADRON!A$2:A1405,0)-1,0,1,1) )  ,  ,    OFFSET(PADRON!B$2,MATCH(C:C,PADRON!A$2:A1405,0)-1,0,1,1))</f>
        <v>VUCASSOVICH, SERGIO</v>
      </c>
      <c r="E254" s="21">
        <v>45839.0</v>
      </c>
      <c r="F254" s="21">
        <v>45870.0</v>
      </c>
      <c r="G254" s="23" t="s">
        <v>39</v>
      </c>
      <c r="H254" s="24">
        <f>IF( ISERROR( OFFSET(   'Cuadro tarifario'!D$2  , MATCH(CONCATENATE(                 IF(F254&gt;Mes,OFFSET(NroCT!B$17, MATCH($F254,NroCT!$A$18:$A1405,0),0,1,1),Periodovigente)                                                                                                                     ,A254) ,'Cuadro tarifario'!A$2:A1405,0) -1 , 0 , 1 , 1) )   , 0  ,   OFFSET(   'Cuadro tarifario'!D$2  , MATCH(CONCATENATE( IF(F254&gt;Mes,OFFSET(NroCT!B$17, MATCH($F254,NroCT!$A$18:$A1405,0),0,1,1),Periodovigente) ,A254) ,'Cuadro tarifario'!A$2:A1405,0) -1 , 0 , 1 , 1))</f>
        <v>9000</v>
      </c>
      <c r="I254" s="25">
        <f>INT(IF(F254,DAYS360(          DATE(YEAR(E254),MONTH(E254),1),         DATE(YEAR(F254)     ,      MONTH(F254),1 )    )            /30,0 ))</f>
        <v>1</v>
      </c>
      <c r="J254" s="24">
        <f t="shared" si="79"/>
        <v>9000</v>
      </c>
      <c r="K254" s="26">
        <f>IF(  AND(N254&gt;0,I254=0)          ,N254 ,                         IF(  IF( F254 ,  DAYS360(DATE(YEAR(F254),MONTH(F254),1),Mes)/30  ,  DAYS360(DATE(YEAR(E254),MONTH(E254),1),Mes)/30  )  &gt;  0 , IF(F254,   DAYS360(DATE(YEAR(F254),MONTH(F254),1),Mes)/30  ,  DAYS360(DATE(YEAR(E254),MONTH(E254),1),Mes)/30) , 0)       )</f>
        <v>0</v>
      </c>
      <c r="L254" s="27">
        <f>IF(ISERROR(K:K*H:H)   ,  0   ,   K:K*H:H)</f>
        <v>0</v>
      </c>
      <c r="M254" s="28"/>
      <c r="N254" s="29">
        <f>IF( ISERROR(OFFSET(SECUESTRADOS!D$1,MATCH(B254,SECUESTRADOS!A$2:A1405,0),0)) ,0 ,  OFFSET(SECUESTRADOS!D$1,MATCH(B254,SECUESTRADOS!A$2:A1405,0),0)  )</f>
        <v>0</v>
      </c>
      <c r="O254" s="30"/>
      <c r="P254" s="17" t="str">
        <f t="shared" si="3"/>
        <v>Bono canon</v>
      </c>
      <c r="Q254" s="17" t="str">
        <f t="shared" ref="Q254:Q257" si="174">IF(AND(A254=A253,B254=B253,C254=C253),"Repetido","")</f>
        <v/>
      </c>
      <c r="R254" s="31"/>
      <c r="S254" s="31"/>
      <c r="T254" s="31"/>
    </row>
    <row r="255" ht="15.0" customHeight="1">
      <c r="A255" s="74" t="s">
        <v>40</v>
      </c>
      <c r="B255" s="74" t="s">
        <v>165</v>
      </c>
      <c r="C255" s="19">
        <v>1590.0</v>
      </c>
      <c r="D255" s="44" t="str">
        <f>if(   iserror(offset(PADRON!B$2,match(C:C,PADRON!A$2:A1405,0)-1,0,1,1) )  ,  ,    offset(PADRON!B$2,match(C:C,PADRON!A$2:A1405,0)-1,0,1,1))</f>
        <v>VUCASSOVICH, SERGIO</v>
      </c>
      <c r="E255" s="45">
        <v>45839.0</v>
      </c>
      <c r="F255" s="45">
        <v>45870.0</v>
      </c>
      <c r="G255" s="23" t="s">
        <v>39</v>
      </c>
      <c r="H255" s="35">
        <f>IF( ISERROR( OFFSET(   'Cuadro tarifario'!D$2  , MATCH(CONCATENATE(                 IF(F255&gt;Mes,OFFSET(NroCT!B$17, MATCH($F255,NroCT!$A$18:$A1405,0),0,1,1),Periodovigente)                                                                                                                     ,A255) ,'Cuadro tarifario'!A$2:A1405,0) -1 , 0 , 1 , 1) )   , 0  ,   OFFSET(   'Cuadro tarifario'!D$2  , MATCH(CONCATENATE( IF(F255&gt;Mes,OFFSET(NroCT!B$17, MATCH($F255,NroCT!$A$18:$A1405,0),0,1,1),Periodovigente) ,A255) ,'Cuadro tarifario'!A$2:A1405,0) -1 , 0 , 1 , 1))</f>
        <v>12000</v>
      </c>
      <c r="I255" s="46">
        <f>Int(If(F255,DAYS360(          date(Year(E255),Month(E255),1),         date(Year(F255)     ,      Month(F255),1 )    )            /30,0 ))</f>
        <v>1</v>
      </c>
      <c r="J255" s="76">
        <f t="shared" si="79"/>
        <v>12000</v>
      </c>
      <c r="K255" s="48">
        <f>if(  and(N255&gt;0,I255=0)          ,N255 ,                         If(  If( F255 ,  DAYS360(date(year(F255),month(F255),1),Mes)/30  ,  DAYS360(date(year(E255),month(E255),1),Mes)/30  )  &gt;  0 , If(F255,   DAYS360(date(year(F255),month(F255),1),Mes)/30  ,  DAYS360(date(year(E255),month(E255),1),Mes)/30) , 0)       )</f>
        <v>0</v>
      </c>
      <c r="L255" s="77">
        <f>If(Iserror(K:K*H:H)   ,  0   ,   K:K*H:H)</f>
        <v>0</v>
      </c>
      <c r="M255" s="78"/>
      <c r="N255" s="29">
        <f>IF( ISERROR(OFFSET(SECUESTRADOS!D$1,MATCH(B255,SECUESTRADOS!A$2:A1405,0),0)) ,0 ,  OFFSET(SECUESTRADOS!D$1,MATCH(B255,SECUESTRADOS!A$2:A1405,0),0)  )</f>
        <v>0</v>
      </c>
      <c r="O255" s="30"/>
      <c r="P255" s="17" t="str">
        <f t="shared" si="3"/>
        <v>cuna windsurf</v>
      </c>
      <c r="Q255" s="17" t="str">
        <f t="shared" si="174"/>
        <v/>
      </c>
      <c r="R255" s="31"/>
      <c r="S255" s="31"/>
      <c r="T255" s="31"/>
    </row>
    <row r="256" ht="15.0" customHeight="1">
      <c r="A256" s="90" t="s">
        <v>42</v>
      </c>
      <c r="B256" s="90" t="s">
        <v>166</v>
      </c>
      <c r="C256" s="19">
        <v>1590.0</v>
      </c>
      <c r="D256" s="82" t="str">
        <f>IF(   ISERROR(OFFSET(PADRON!B$2,MATCH(C:C,PADRON!A$2:A1405,0)-1,0,1,1) )  ,  ,    OFFSET(PADRON!B$2,MATCH(C:C,PADRON!A$2:A1405,0)-1,0,1,1))</f>
        <v>VUCASSOVICH, SERGIO</v>
      </c>
      <c r="E256" s="83">
        <v>45992.0</v>
      </c>
      <c r="F256" s="21"/>
      <c r="G256" s="23" t="s">
        <v>39</v>
      </c>
      <c r="H256" s="24">
        <f>IF( ISERROR( OFFSET(   'Cuadro tarifario'!D$2  , MATCH(CONCATENATE(                 IF(F256&gt;Mes,OFFSET(NroCT!B$17, MATCH($F256,NroCT!$A$18:$A1405,0),0,1,1),Periodovigente)                                                                                                                     ,A256) ,'Cuadro tarifario'!A$2:A1405,0) -1 , 0 , 1 , 1) )   , 0  ,   OFFSET(   'Cuadro tarifario'!D$2  , MATCH(CONCATENATE( IF(F256&gt;Mes,OFFSET(NroCT!B$17, MATCH($F256,NroCT!$A$18:$A1405,0),0,1,1),Periodovigente) ,A256) ,'Cuadro tarifario'!A$2:A1405,0) -1 , 0 , 1 , 1))</f>
        <v>4000</v>
      </c>
      <c r="I256" s="85">
        <f t="shared" ref="I256:I257" si="175">INT(IF(F256,DAYS360(          DATE(YEAR(E256),MONTH(E256),1),         DATE(YEAR(F256)     ,      MONTH(F256),1 )    )            /30,0 ))</f>
        <v>0</v>
      </c>
      <c r="J256" s="101">
        <f t="shared" si="79"/>
        <v>0</v>
      </c>
      <c r="K256" s="87">
        <f>IF(  AND(N256&gt;0,I256=0)          ,N256 ,                         IF(  IF( F256 ,  DAYS360(DATE(YEAR(F256),MONTH(F256),1),Mes)/30  ,  DAYS360(DATE(YEAR(E256),MONTH(E256),1),Mes)/30  )  &gt;  0 , IF(F256,   DAYS360(DATE(YEAR(F256),MONTH(F256),1),Mes)/30  ,  DAYS360(DATE(YEAR(E256),MONTH(E256),1),Mes)/30) , 0)       )</f>
        <v>0</v>
      </c>
      <c r="L256" s="102">
        <f t="shared" ref="L256:L257" si="176">IF(ISERROR(K:K*H:H)   ,  0   ,   K:K*H:H)</f>
        <v>0</v>
      </c>
      <c r="M256" s="103"/>
      <c r="N256" s="29">
        <f>IF( ISERROR(OFFSET(SECUESTRADOS!D$1,MATCH(B256,SECUESTRADOS!A$2:A1405,0),0)) ,0 ,  OFFSET(SECUESTRADOS!D$1,MATCH(B256,SECUESTRADOS!A$2:A1405,0),0)  )</f>
        <v>0</v>
      </c>
      <c r="O256" s="30"/>
      <c r="P256" s="17" t="b">
        <f t="shared" si="3"/>
        <v>0</v>
      </c>
      <c r="Q256" s="17" t="str">
        <f t="shared" si="174"/>
        <v/>
      </c>
      <c r="R256" s="31"/>
      <c r="S256" s="31"/>
      <c r="T256" s="31"/>
    </row>
    <row r="257" ht="16.5" customHeight="1">
      <c r="A257" s="90" t="s">
        <v>42</v>
      </c>
      <c r="B257" s="90" t="s">
        <v>167</v>
      </c>
      <c r="C257" s="19">
        <v>1590.0</v>
      </c>
      <c r="D257" s="82" t="str">
        <f>IF(   ISERROR(OFFSET(PADRON!B$2,MATCH(C:C,PADRON!A$2:A1405,0)-1,0,1,1) )  ,  ,    OFFSET(PADRON!B$2,MATCH(C:C,PADRON!A$2:A1405,0)-1,0,1,1))</f>
        <v>VUCASSOVICH, SERGIO</v>
      </c>
      <c r="E257" s="83">
        <v>45992.0</v>
      </c>
      <c r="F257" s="21"/>
      <c r="G257" s="23" t="s">
        <v>39</v>
      </c>
      <c r="H257" s="24">
        <f>IF( ISERROR( OFFSET(   'Cuadro tarifario'!D$2  , MATCH(CONCATENATE(                 IF(F257&gt;Mes,OFFSET(NroCT!B$17, MATCH($F257,NroCT!$A$18:$A1405,0),0,1,1),Periodovigente)                                                                                                                     ,A257) ,'Cuadro tarifario'!A$2:A1405,0) -1 , 0 , 1 , 1) )   , 0  ,   OFFSET(   'Cuadro tarifario'!D$2  , MATCH(CONCATENATE( IF(F257&gt;Mes,OFFSET(NroCT!B$17, MATCH($F257,NroCT!$A$18:$A1405,0),0,1,1),Periodovigente) ,A257) ,'Cuadro tarifario'!A$2:A1405,0) -1 , 0 , 1 , 1))</f>
        <v>4000</v>
      </c>
      <c r="I257" s="85">
        <f t="shared" si="175"/>
        <v>0</v>
      </c>
      <c r="J257" s="101">
        <f t="shared" si="79"/>
        <v>0</v>
      </c>
      <c r="K257" s="87">
        <f>IF(  AND(N257&gt;0,I257=0)          ,N257 ,                         IF(  IF( F257 ,  DAYS360(DATE(YEAR(F257),MONTH(F257),1),Mes)/30  ,  DAYS360(DATE(YEAR(E257),MONTH(E257),1),Mes)/30  )  &gt;  0 , IF(F257,   DAYS360(DATE(YEAR(F257),MONTH(F257),1),Mes)/30  ,  DAYS360(DATE(YEAR(E257),MONTH(E257),1),Mes)/30) , 0)       )</f>
        <v>0</v>
      </c>
      <c r="L257" s="102">
        <f t="shared" si="176"/>
        <v>0</v>
      </c>
      <c r="M257" s="103"/>
      <c r="N257" s="29">
        <f>IF( ISERROR(OFFSET(SECUESTRADOS!D$1,MATCH(B257,SECUESTRADOS!A$2:A1405,0),0)) ,0 ,  OFFSET(SECUESTRADOS!D$1,MATCH(B257,SECUESTRADOS!A$2:A1405,0),0)  )</f>
        <v>0</v>
      </c>
      <c r="O257" s="30"/>
      <c r="P257" s="17" t="b">
        <f t="shared" si="3"/>
        <v>0</v>
      </c>
      <c r="Q257" s="17" t="str">
        <f t="shared" si="174"/>
        <v/>
      </c>
      <c r="R257" s="31"/>
      <c r="S257" s="31"/>
      <c r="T257" s="31"/>
    </row>
    <row r="258" ht="15.0" customHeight="1">
      <c r="A258" s="74" t="s">
        <v>71</v>
      </c>
      <c r="B258" s="74">
        <v>1594.0</v>
      </c>
      <c r="C258" s="19">
        <v>1594.0</v>
      </c>
      <c r="D258" s="44" t="str">
        <f>if(   iserror(offset(PADRON!B$2,match(C:C,PADRON!A$2:A1405,0)-1,0,1,1) )  ,  ,    offset(PADRON!B$2,match(C:C,PADRON!A$2:A1405,0)-1,0,1,1))</f>
        <v>MONTES DE OCA, ERNESTO</v>
      </c>
      <c r="E258" s="45">
        <v>45839.0</v>
      </c>
      <c r="F258" s="45">
        <v>45870.0</v>
      </c>
      <c r="G258" s="23" t="s">
        <v>56</v>
      </c>
      <c r="H258" s="35">
        <f>IF( ISERROR( OFFSET(   'Cuadro tarifario'!D$2  , MATCH(CONCATENATE(                 IF(F258&gt;Mes,OFFSET(NroCT!B$17, MATCH($F258,NroCT!$A$18:$A1405,0),0,1,1),Periodovigente)                                                                                                                     ,A258) ,'Cuadro tarifario'!A$2:A1405,0) -1 , 0 , 1 , 1) )   , 0  ,   OFFSET(   'Cuadro tarifario'!D$2  , MATCH(CONCATENATE( IF(F258&gt;Mes,OFFSET(NroCT!B$17, MATCH($F258,NroCT!$A$18:$A1405,0),0,1,1),Periodovigente) ,A258) ,'Cuadro tarifario'!A$2:A1405,0) -1 , 0 , 1 , 1))</f>
        <v>11000</v>
      </c>
      <c r="I258" s="46">
        <f>Int(If(F258,DAYS360(          date(Year(E258),Month(E258),1),         date(Year(F258)     ,      Month(F258),1 )    )            /30,0 ))</f>
        <v>1</v>
      </c>
      <c r="J258" s="76">
        <f t="shared" si="79"/>
        <v>11000</v>
      </c>
      <c r="K258" s="48">
        <f>if(  and(N258&gt;0,I258=0)          ,N258 ,                         If(  If( F258 ,  DAYS360(date(year(F258),month(F258),1),Mes)/30  ,  DAYS360(date(year(E258),month(E258),1),Mes)/30  )  &gt;  0 , If(F258,   DAYS360(date(year(F258),month(F258),1),Mes)/30  ,  DAYS360(date(year(E258),month(E258),1),Mes)/30) , 0)       )</f>
        <v>0</v>
      </c>
      <c r="L258" s="77">
        <f>If(Iserror(K:K*H:H)   ,  0   ,   K:K*H:H)</f>
        <v>0</v>
      </c>
      <c r="M258" s="78"/>
      <c r="N258" s="29">
        <f>IF( ISERROR(OFFSET(SECUESTRADOS!D$1,MATCH(B258,SECUESTRADOS!A$2:A1405,0),0)) ,0 ,  OFFSET(SECUESTRADOS!D$1,MATCH(B258,SECUESTRADOS!A$2:A1405,0),0)  )</f>
        <v>0</v>
      </c>
      <c r="O258" s="30"/>
      <c r="P258" s="17" t="str">
        <f t="shared" si="3"/>
        <v>.socio</v>
      </c>
      <c r="Q258" s="17" t="str">
        <f>IF(AND(A258=#REF!,B258=#REF!,C258=#REF!),"Repetido","")</f>
        <v>#REF!</v>
      </c>
      <c r="R258" s="31"/>
      <c r="S258" s="31"/>
      <c r="T258" s="31"/>
    </row>
    <row r="259" ht="15.0" customHeight="1">
      <c r="A259" s="18" t="s">
        <v>38</v>
      </c>
      <c r="B259" s="17">
        <v>1594.0</v>
      </c>
      <c r="C259" s="19">
        <v>1594.0</v>
      </c>
      <c r="D259" s="20" t="str">
        <f>IF(   ISERROR(OFFSET(PADRON!B$2,MATCH(C:C,PADRON!A$2:A1405,0)-1,0,1,1) )  ,  ,    OFFSET(PADRON!B$2,MATCH(C:C,PADRON!A$2:A1405,0)-1,0,1,1))</f>
        <v>MONTES DE OCA, ERNESTO</v>
      </c>
      <c r="E259" s="21">
        <v>45839.0</v>
      </c>
      <c r="F259" s="21">
        <v>45870.0</v>
      </c>
      <c r="G259" s="23" t="s">
        <v>56</v>
      </c>
      <c r="H259" s="24">
        <f>IF( ISERROR( OFFSET(   'Cuadro tarifario'!D$2  , MATCH(CONCATENATE(                 IF(F259&gt;Mes,OFFSET(NroCT!B$17, MATCH($F259,NroCT!$A$18:$A1405,0),0,1,1),Periodovigente)                                                                                                                     ,A259) ,'Cuadro tarifario'!A$2:A1405,0) -1 , 0 , 1 , 1) )   , 0  ,   OFFSET(   'Cuadro tarifario'!D$2  , MATCH(CONCATENATE( IF(F259&gt;Mes,OFFSET(NroCT!B$17, MATCH($F259,NroCT!$A$18:$A1405,0),0,1,1),Periodovigente) ,A259) ,'Cuadro tarifario'!A$2:A1405,0) -1 , 0 , 1 , 1))</f>
        <v>9000</v>
      </c>
      <c r="I259" s="25">
        <f t="shared" ref="I259:I260" si="177">INT(IF(F259,DAYS360(          DATE(YEAR(E259),MONTH(E259),1),         DATE(YEAR(F259)     ,      MONTH(F259),1 )    )            /30,0 ))</f>
        <v>1</v>
      </c>
      <c r="J259" s="24">
        <f t="shared" si="79"/>
        <v>9000</v>
      </c>
      <c r="K259" s="26">
        <f>IF(  AND(N259&gt;0,I259=0)          ,N259 ,                         IF(  IF( F259 ,  DAYS360(DATE(YEAR(F259),MONTH(F259),1),Mes)/30  ,  DAYS360(DATE(YEAR(E259),MONTH(E259),1),Mes)/30  )  &gt;  0 , IF(F259,   DAYS360(DATE(YEAR(F259),MONTH(F259),1),Mes)/30  ,  DAYS360(DATE(YEAR(E259),MONTH(E259),1),Mes)/30) , 0)       )</f>
        <v>0</v>
      </c>
      <c r="L259" s="27">
        <f t="shared" ref="L259:L260" si="178">IF(ISERROR(K:K*H:H)   ,  0   ,   K:K*H:H)</f>
        <v>0</v>
      </c>
      <c r="M259" s="28"/>
      <c r="N259" s="29">
        <f>IF( ISERROR(OFFSET(SECUESTRADOS!D$1,MATCH(B259,SECUESTRADOS!A$2:A1405,0),0)) ,0 ,  OFFSET(SECUESTRADOS!D$1,MATCH(B259,SECUESTRADOS!A$2:A1405,0),0)  )</f>
        <v>0</v>
      </c>
      <c r="O259" s="30"/>
      <c r="P259" s="17" t="str">
        <f t="shared" si="3"/>
        <v>Bono canon</v>
      </c>
      <c r="Q259" s="17" t="str">
        <f t="shared" ref="Q259:Q260" si="179">IF(AND(A259=A258,B259=B258,C259=C258),"Repetido","")</f>
        <v/>
      </c>
      <c r="R259" s="31"/>
      <c r="S259" s="31"/>
      <c r="T259" s="31"/>
    </row>
    <row r="260" ht="15.0" customHeight="1">
      <c r="A260" s="18" t="s">
        <v>40</v>
      </c>
      <c r="B260" s="18" t="s">
        <v>168</v>
      </c>
      <c r="C260" s="19">
        <v>1594.0</v>
      </c>
      <c r="D260" s="20" t="str">
        <f>IF(   ISERROR(OFFSET(PADRON!B$2,MATCH(C:C,PADRON!A$2:A1405,0)-1,0,1,1) )  ,  ,    OFFSET(PADRON!B$2,MATCH(C:C,PADRON!A$2:A1405,0)-1,0,1,1))</f>
        <v>MONTES DE OCA, ERNESTO</v>
      </c>
      <c r="E260" s="21">
        <v>45839.0</v>
      </c>
      <c r="F260" s="21">
        <v>45870.0</v>
      </c>
      <c r="G260" s="23" t="s">
        <v>56</v>
      </c>
      <c r="H260" s="24">
        <f>IF( ISERROR( OFFSET(   'Cuadro tarifario'!D$2  , MATCH(CONCATENATE(                 IF(F260&gt;Mes,OFFSET(NroCT!B$17, MATCH($F260,NroCT!$A$18:$A1405,0),0,1,1),Periodovigente)                                                                                                                     ,A260) ,'Cuadro tarifario'!A$2:A1405,0) -1 , 0 , 1 , 1) )   , 0  ,   OFFSET(   'Cuadro tarifario'!D$2  , MATCH(CONCATENATE( IF(F260&gt;Mes,OFFSET(NroCT!B$17, MATCH($F260,NroCT!$A$18:$A1405,0),0,1,1),Periodovigente) ,A260) ,'Cuadro tarifario'!A$2:A1405,0) -1 , 0 , 1 , 1))</f>
        <v>12000</v>
      </c>
      <c r="I260" s="25">
        <f t="shared" si="177"/>
        <v>1</v>
      </c>
      <c r="J260" s="24">
        <f t="shared" si="79"/>
        <v>12000</v>
      </c>
      <c r="K260" s="26">
        <f>IF(  AND(N260&gt;0,I260=0)          ,N260 ,                         IF(  IF( F260 ,  DAYS360(DATE(YEAR(F260),MONTH(F260),1),Mes)/30  ,  DAYS360(DATE(YEAR(E260),MONTH(E260),1),Mes)/30  )  &gt;  0 , IF(F260,   DAYS360(DATE(YEAR(F260),MONTH(F260),1),Mes)/30  ,  DAYS360(DATE(YEAR(E260),MONTH(E260),1),Mes)/30) , 0)       )</f>
        <v>0</v>
      </c>
      <c r="L260" s="27">
        <f t="shared" si="178"/>
        <v>0</v>
      </c>
      <c r="M260" s="28"/>
      <c r="N260" s="29">
        <f>IF( ISERROR(OFFSET(SECUESTRADOS!D$1,MATCH(B260,SECUESTRADOS!A$2:A1405,0),0)) ,0 ,  OFFSET(SECUESTRADOS!D$1,MATCH(B260,SECUESTRADOS!A$2:A1405,0),0)  )</f>
        <v>0</v>
      </c>
      <c r="O260" s="30"/>
      <c r="P260" s="17" t="str">
        <f t="shared" si="3"/>
        <v>cuna windsurf</v>
      </c>
      <c r="Q260" s="17" t="str">
        <f t="shared" si="179"/>
        <v/>
      </c>
      <c r="R260" s="31"/>
      <c r="S260" s="31"/>
      <c r="T260" s="31"/>
    </row>
    <row r="261" ht="15.0" customHeight="1">
      <c r="A261" s="74" t="s">
        <v>71</v>
      </c>
      <c r="B261" s="74">
        <v>1595.0</v>
      </c>
      <c r="C261" s="19">
        <v>1595.0</v>
      </c>
      <c r="D261" s="44" t="str">
        <f>if(   iserror(offset(PADRON!B$2,match(C:C,PADRON!A$2:A1405,0)-1,0,1,1) )  ,  ,    offset(PADRON!B$2,match(C:C,PADRON!A$2:A1405,0)-1,0,1,1))</f>
        <v>VILLAMAYOR, MARCELO</v>
      </c>
      <c r="E261" s="45">
        <v>45839.0</v>
      </c>
      <c r="F261" s="45">
        <v>45870.0</v>
      </c>
      <c r="G261" s="23" t="s">
        <v>39</v>
      </c>
      <c r="H261" s="35">
        <f>IF( ISERROR( OFFSET(   'Cuadro tarifario'!D$2  , MATCH(CONCATENATE(                 IF(F261&gt;Mes,OFFSET(NroCT!B$17, MATCH($F261,NroCT!$A$18:$A1405,0),0,1,1),Periodovigente)                                                                                                                     ,A261) ,'Cuadro tarifario'!A$2:A1405,0) -1 , 0 , 1 , 1) )   , 0  ,   OFFSET(   'Cuadro tarifario'!D$2  , MATCH(CONCATENATE( IF(F261&gt;Mes,OFFSET(NroCT!B$17, MATCH($F261,NroCT!$A$18:$A1405,0),0,1,1),Periodovigente) ,A261) ,'Cuadro tarifario'!A$2:A1405,0) -1 , 0 , 1 , 1))</f>
        <v>11000</v>
      </c>
      <c r="I261" s="46">
        <f>Int(If(F261,DAYS360(          date(Year(E261),Month(E261),1),         date(Year(F261)     ,      Month(F261),1 )    )            /30,0 ))</f>
        <v>1</v>
      </c>
      <c r="J261" s="76">
        <f t="shared" si="79"/>
        <v>11000</v>
      </c>
      <c r="K261" s="48">
        <f>if(  and(N261&gt;0,I261=0)          ,N261 ,                         If(  If( F261 ,  DAYS360(date(year(F261),month(F261),1),Mes)/30  ,  DAYS360(date(year(E261),month(E261),1),Mes)/30  )  &gt;  0 , If(F261,   DAYS360(date(year(F261),month(F261),1),Mes)/30  ,  DAYS360(date(year(E261),month(E261),1),Mes)/30) , 0)       )</f>
        <v>0</v>
      </c>
      <c r="L261" s="77">
        <f>If(Iserror(K:K*H:H)   ,  0   ,   K:K*H:H)</f>
        <v>0</v>
      </c>
      <c r="M261" s="78"/>
      <c r="N261" s="29">
        <f>IF( ISERROR(OFFSET(SECUESTRADOS!D$1,MATCH(B261,SECUESTRADOS!A$2:A1405,0),0)) ,0 ,  OFFSET(SECUESTRADOS!D$1,MATCH(B261,SECUESTRADOS!A$2:A1405,0),0)  )</f>
        <v>0</v>
      </c>
      <c r="O261" s="30"/>
      <c r="P261" s="17" t="str">
        <f t="shared" si="3"/>
        <v>.socio</v>
      </c>
      <c r="Q261" s="17" t="str">
        <f>IF(AND(A261=#REF!,B261=#REF!,C261=#REF!),"Repetido","")</f>
        <v>#REF!</v>
      </c>
      <c r="R261" s="31"/>
      <c r="S261" s="31"/>
      <c r="T261" s="31"/>
    </row>
    <row r="262" ht="15.0" customHeight="1">
      <c r="A262" s="18" t="s">
        <v>38</v>
      </c>
      <c r="B262" s="17">
        <v>1595.0</v>
      </c>
      <c r="C262" s="19">
        <v>1595.0</v>
      </c>
      <c r="D262" s="20" t="str">
        <f>IF(   ISERROR(OFFSET(PADRON!B$2,MATCH(C:C,PADRON!A$2:A1405,0)-1,0,1,1) )  ,  ,    OFFSET(PADRON!B$2,MATCH(C:C,PADRON!A$2:A1405,0)-1,0,1,1))</f>
        <v>VILLAMAYOR, MARCELO</v>
      </c>
      <c r="E262" s="21">
        <v>45839.0</v>
      </c>
      <c r="F262" s="21">
        <v>45870.0</v>
      </c>
      <c r="G262" s="23" t="s">
        <v>39</v>
      </c>
      <c r="H262" s="24">
        <f>IF( ISERROR( OFFSET(   'Cuadro tarifario'!D$2  , MATCH(CONCATENATE(                 IF(F262&gt;Mes,OFFSET(NroCT!B$17, MATCH($F262,NroCT!$A$18:$A1405,0),0,1,1),Periodovigente)                                                                                                                     ,A262) ,'Cuadro tarifario'!A$2:A1405,0) -1 , 0 , 1 , 1) )   , 0  ,   OFFSET(   'Cuadro tarifario'!D$2  , MATCH(CONCATENATE( IF(F262&gt;Mes,OFFSET(NroCT!B$17, MATCH($F262,NroCT!$A$18:$A1405,0),0,1,1),Periodovigente) ,A262) ,'Cuadro tarifario'!A$2:A1405,0) -1 , 0 , 1 , 1))</f>
        <v>9000</v>
      </c>
      <c r="I262" s="25">
        <f>INT(IF(F262,DAYS360(          DATE(YEAR(E262),MONTH(E262),1),         DATE(YEAR(F262)     ,      MONTH(F262),1 )    )            /30,0 ))</f>
        <v>1</v>
      </c>
      <c r="J262" s="24">
        <f t="shared" si="79"/>
        <v>9000</v>
      </c>
      <c r="K262" s="26">
        <f>IF(  AND(N262&gt;0,I262=0)          ,N262 ,                         IF(  IF( F262 ,  DAYS360(DATE(YEAR(F262),MONTH(F262),1),Mes)/30  ,  DAYS360(DATE(YEAR(E262),MONTH(E262),1),Mes)/30  )  &gt;  0 , IF(F262,   DAYS360(DATE(YEAR(F262),MONTH(F262),1),Mes)/30  ,  DAYS360(DATE(YEAR(E262),MONTH(E262),1),Mes)/30) , 0)       )</f>
        <v>0</v>
      </c>
      <c r="L262" s="27">
        <f>IF(ISERROR(K:K*H:H)   ,  0   ,   K:K*H:H)</f>
        <v>0</v>
      </c>
      <c r="M262" s="28"/>
      <c r="N262" s="29">
        <f>IF( ISERROR(OFFSET(SECUESTRADOS!D$1,MATCH(B262,SECUESTRADOS!A$2:A1405,0),0)) ,0 ,  OFFSET(SECUESTRADOS!D$1,MATCH(B262,SECUESTRADOS!A$2:A1405,0),0)  )</f>
        <v>0</v>
      </c>
      <c r="O262" s="30"/>
      <c r="P262" s="17" t="str">
        <f t="shared" si="3"/>
        <v>Bono canon</v>
      </c>
      <c r="Q262" s="17" t="str">
        <f>IF(AND(A262=A261,B262=B261,C262=C261),"Repetido","")</f>
        <v/>
      </c>
      <c r="R262" s="31"/>
      <c r="S262" s="31"/>
      <c r="T262" s="31"/>
    </row>
    <row r="263" ht="15.0" customHeight="1">
      <c r="A263" s="90" t="s">
        <v>48</v>
      </c>
      <c r="B263" s="90" t="s">
        <v>169</v>
      </c>
      <c r="C263" s="19">
        <v>1595.0</v>
      </c>
      <c r="D263" s="82" t="str">
        <f>if(   iserror(offset(PADRON!B$2,match(C:C,PADRON!A$2:A1405,0)-1,0,1,1) )  ,  ,    offset(PADRON!B$2,match(C:C,PADRON!A$2:A1405,0)-1,0,1,1))</f>
        <v>VILLAMAYOR, MARCELO</v>
      </c>
      <c r="E263" s="83">
        <v>45839.0</v>
      </c>
      <c r="F263" s="83">
        <v>45870.0</v>
      </c>
      <c r="G263" s="23" t="s">
        <v>39</v>
      </c>
      <c r="H263" s="24">
        <f>IF( ISERROR( OFFSET(   'Cuadro tarifario'!D$2  , MATCH(CONCATENATE(                 IF(F263&gt;Mes,OFFSET(NroCT!B$17, MATCH($F263,NroCT!$A$18:$A1405,0),0,1,1),Periodovigente)                                                                                                                     ,A263) ,'Cuadro tarifario'!A$2:A1405,0) -1 , 0 , 1 , 1) )   , 0  ,   OFFSET(   'Cuadro tarifario'!D$2  , MATCH(CONCATENATE( IF(F263&gt;Mes,OFFSET(NroCT!B$17, MATCH($F263,NroCT!$A$18:$A1405,0),0,1,1),Periodovigente) ,A263) ,'Cuadro tarifario'!A$2:A1405,0) -1 , 0 , 1 , 1))</f>
        <v>12000</v>
      </c>
      <c r="I263" s="85">
        <f>Int(If(F263,DAYS360(          date(Year(E263),Month(E263),1),         date(Year(F263)     ,      Month(F263),1 )    )            /30,0 ))</f>
        <v>1</v>
      </c>
      <c r="J263" s="101">
        <f t="shared" si="79"/>
        <v>12000</v>
      </c>
      <c r="K263" s="87">
        <f>if(  and(N263&gt;0,I263=0)          ,N263 ,                         If(  If( F263 ,  DAYS360(date(year(F263),month(F263),1),Mes)/30  ,  DAYS360(date(year(E263),month(E263),1),Mes)/30  )  &gt;  0 , If(F263,   DAYS360(date(year(F263),month(F263),1),Mes)/30  ,  DAYS360(date(year(E263),month(E263),1),Mes)/30) , 0)       )</f>
        <v>0</v>
      </c>
      <c r="L263" s="102">
        <f>If(Iserror(K:K*H:H)   ,  0   ,   K:K*H:H)</f>
        <v>0</v>
      </c>
      <c r="M263" s="103"/>
      <c r="N263" s="29">
        <f>IF( ISERROR(OFFSET(SECUESTRADOS!D$1,MATCH(B263,SECUESTRADOS!A$2:A1405,0),0)) ,0 ,  OFFSET(SECUESTRADOS!D$1,MATCH(B263,SECUESTRADOS!A$2:A1405,0),0)  )</f>
        <v>0</v>
      </c>
      <c r="O263" s="30"/>
      <c r="P263" s="17" t="str">
        <f t="shared" si="3"/>
        <v>velero</v>
      </c>
      <c r="Q263" s="17" t="str">
        <f t="shared" ref="Q263:Q264" si="180">IF(AND(A263=#REF!,B263=#REF!,C263=#REF!),"Repetido","")</f>
        <v>#REF!</v>
      </c>
      <c r="R263" s="31"/>
      <c r="S263" s="31"/>
      <c r="T263" s="31"/>
    </row>
    <row r="264" ht="15.0" customHeight="1">
      <c r="A264" s="17" t="s">
        <v>71</v>
      </c>
      <c r="B264" s="18">
        <v>1596.0</v>
      </c>
      <c r="C264" s="19">
        <v>1596.0</v>
      </c>
      <c r="D264" s="20" t="str">
        <f>IF(   ISERROR(OFFSET(PADRON!B$2,MATCH(C:C,PADRON!A$2:A1405,0)-1,0,1,1) )  ,  ,    OFFSET(PADRON!B$2,MATCH(C:C,PADRON!A$2:A1405,0)-1,0,1,1))</f>
        <v>VILLAMAYOR, LAURA</v>
      </c>
      <c r="E264" s="21">
        <v>45839.0</v>
      </c>
      <c r="F264" s="21">
        <v>45870.0</v>
      </c>
      <c r="G264" s="23" t="s">
        <v>39</v>
      </c>
      <c r="H264" s="24">
        <f>IF( ISERROR( OFFSET(   'Cuadro tarifario'!D$2  , MATCH(CONCATENATE(                 IF(F264&gt;Mes,OFFSET(NroCT!B$17, MATCH($F264,NroCT!$A$18:$A1405,0),0,1,1),Periodovigente)                                                                                                                     ,A264) ,'Cuadro tarifario'!A$2:A1405,0) -1 , 0 , 1 , 1) )   , 0  ,   OFFSET(   'Cuadro tarifario'!D$2  , MATCH(CONCATENATE( IF(F264&gt;Mes,OFFSET(NroCT!B$17, MATCH($F264,NroCT!$A$18:$A1405,0),0,1,1),Periodovigente) ,A264) ,'Cuadro tarifario'!A$2:A1405,0) -1 , 0 , 1 , 1))</f>
        <v>11000</v>
      </c>
      <c r="I264" s="25">
        <f t="shared" ref="I264:I265" si="181">INT(IF(F264,DAYS360(          DATE(YEAR(E264),MONTH(E264),1),         DATE(YEAR(F264)     ,      MONTH(F264),1 )    )            /30,0 ))</f>
        <v>1</v>
      </c>
      <c r="J264" s="24">
        <f t="shared" si="79"/>
        <v>11000</v>
      </c>
      <c r="K264" s="26">
        <f>IF(  AND(N264&gt;0,I264=0)          ,N264 ,                         IF(  IF( F264 ,  DAYS360(DATE(YEAR(F264),MONTH(F264),1),Mes)/30  ,  DAYS360(DATE(YEAR(E264),MONTH(E264),1),Mes)/30  )  &gt;  0 , IF(F264,   DAYS360(DATE(YEAR(F264),MONTH(F264),1),Mes)/30  ,  DAYS360(DATE(YEAR(E264),MONTH(E264),1),Mes)/30) , 0)       )</f>
        <v>0</v>
      </c>
      <c r="L264" s="27">
        <f t="shared" ref="L264:L265" si="182">IF(ISERROR(K:K*H:H)   ,  0   ,   K:K*H:H)</f>
        <v>0</v>
      </c>
      <c r="M264" s="28"/>
      <c r="N264" s="29">
        <f>IF( ISERROR(OFFSET(SECUESTRADOS!D$1,MATCH(B264,SECUESTRADOS!A$2:A1405,0),0)) ,0 ,  OFFSET(SECUESTRADOS!D$1,MATCH(B264,SECUESTRADOS!A$2:A1405,0),0)  )</f>
        <v>0</v>
      </c>
      <c r="O264" s="30"/>
      <c r="P264" s="17" t="str">
        <f t="shared" si="3"/>
        <v>.socio</v>
      </c>
      <c r="Q264" s="17" t="str">
        <f t="shared" si="180"/>
        <v>#REF!</v>
      </c>
      <c r="R264" s="31"/>
      <c r="S264" s="31"/>
      <c r="T264" s="31"/>
    </row>
    <row r="265" ht="18.75" customHeight="1">
      <c r="A265" s="18" t="s">
        <v>38</v>
      </c>
      <c r="B265" s="17">
        <v>1596.0</v>
      </c>
      <c r="C265" s="19">
        <v>1596.0</v>
      </c>
      <c r="D265" s="20" t="str">
        <f>IF(   ISERROR(OFFSET(PADRON!B$2,MATCH(C:C,PADRON!A$2:A1405,0)-1,0,1,1) )  ,  ,    OFFSET(PADRON!B$2,MATCH(C:C,PADRON!A$2:A1405,0)-1,0,1,1))</f>
        <v>VILLAMAYOR, LAURA</v>
      </c>
      <c r="E265" s="21">
        <v>45839.0</v>
      </c>
      <c r="F265" s="21">
        <v>45870.0</v>
      </c>
      <c r="G265" s="23" t="s">
        <v>39</v>
      </c>
      <c r="H265" s="24">
        <f>IF( ISERROR( OFFSET(   'Cuadro tarifario'!D$2  , MATCH(CONCATENATE(                 IF(F265&gt;Mes,OFFSET(NroCT!B$17, MATCH($F265,NroCT!$A$18:$A1405,0),0,1,1),Periodovigente)                                                                                                                     ,A265) ,'Cuadro tarifario'!A$2:A1405,0) -1 , 0 , 1 , 1) )   , 0  ,   OFFSET(   'Cuadro tarifario'!D$2  , MATCH(CONCATENATE( IF(F265&gt;Mes,OFFSET(NroCT!B$17, MATCH($F265,NroCT!$A$18:$A1405,0),0,1,1),Periodovigente) ,A265) ,'Cuadro tarifario'!A$2:A1405,0) -1 , 0 , 1 , 1))</f>
        <v>9000</v>
      </c>
      <c r="I265" s="25">
        <f t="shared" si="181"/>
        <v>1</v>
      </c>
      <c r="J265" s="24">
        <f t="shared" si="79"/>
        <v>9000</v>
      </c>
      <c r="K265" s="26">
        <f>IF(  AND(N265&gt;0,I265=0)          ,N265 ,                         IF(  IF( F265 ,  DAYS360(DATE(YEAR(F265),MONTH(F265),1),Mes)/30  ,  DAYS360(DATE(YEAR(E265),MONTH(E265),1),Mes)/30  )  &gt;  0 , IF(F265,   DAYS360(DATE(YEAR(F265),MONTH(F265),1),Mes)/30  ,  DAYS360(DATE(YEAR(E265),MONTH(E265),1),Mes)/30) , 0)       )</f>
        <v>0</v>
      </c>
      <c r="L265" s="27">
        <f t="shared" si="182"/>
        <v>0</v>
      </c>
      <c r="M265" s="28"/>
      <c r="N265" s="29">
        <f>IF( ISERROR(OFFSET(SECUESTRADOS!D$1,MATCH(B265,SECUESTRADOS!A$2:A1405,0),0)) ,0 ,  OFFSET(SECUESTRADOS!D$1,MATCH(B265,SECUESTRADOS!A$2:A1405,0),0)  )</f>
        <v>0</v>
      </c>
      <c r="O265" s="30"/>
      <c r="P265" s="17" t="str">
        <f t="shared" si="3"/>
        <v>Bono canon</v>
      </c>
      <c r="Q265" s="17" t="str">
        <f t="shared" ref="Q265:Q272" si="183">IF(AND(A265=A264,B265=B264,C265=C264),"Repetido","")</f>
        <v/>
      </c>
      <c r="R265" s="31"/>
      <c r="S265" s="31"/>
      <c r="T265" s="31"/>
    </row>
    <row r="266" ht="15.0" customHeight="1">
      <c r="A266" s="74" t="s">
        <v>71</v>
      </c>
      <c r="B266" s="74">
        <v>1600.0</v>
      </c>
      <c r="C266" s="19">
        <v>1600.0</v>
      </c>
      <c r="D266" s="44" t="str">
        <f>if(   iserror(offset(PADRON!B$2,match(C:C,PADRON!A$2:A1405,0)-1,0,1,1) )  ,  ,    offset(PADRON!B$2,match(C:C,PADRON!A$2:A1405,0)-1,0,1,1))</f>
        <v>VILLAREAL, RAFAEL</v>
      </c>
      <c r="E266" s="45">
        <v>45809.0</v>
      </c>
      <c r="F266" s="45">
        <v>45870.0</v>
      </c>
      <c r="G266" s="23" t="s">
        <v>39</v>
      </c>
      <c r="H266" s="35">
        <f>IF( ISERROR( OFFSET(   'Cuadro tarifario'!D$2  , MATCH(CONCATENATE(                 IF(F266&gt;Mes,OFFSET(NroCT!B$17, MATCH($F266,NroCT!$A$18:$A1405,0),0,1,1),Periodovigente)                                                                                                                     ,A266) ,'Cuadro tarifario'!A$2:A1405,0) -1 , 0 , 1 , 1) )   , 0  ,   OFFSET(   'Cuadro tarifario'!D$2  , MATCH(CONCATENATE( IF(F266&gt;Mes,OFFSET(NroCT!B$17, MATCH($F266,NroCT!$A$18:$A1405,0),0,1,1),Periodovigente) ,A266) ,'Cuadro tarifario'!A$2:A1405,0) -1 , 0 , 1 , 1))</f>
        <v>11000</v>
      </c>
      <c r="I266" s="46">
        <f>Int(If(F266,DAYS360(          date(Year(E266),Month(E266),1),         date(Year(F266)     ,      Month(F266),1 )    )            /30,0 ))</f>
        <v>2</v>
      </c>
      <c r="J266" s="76">
        <f t="shared" si="79"/>
        <v>22000</v>
      </c>
      <c r="K266" s="48">
        <f>if(  and(N266&gt;0,I266=0)          ,N266 ,                         If(  If( F266 ,  DAYS360(date(year(F266),month(F266),1),Mes)/30  ,  DAYS360(date(year(E266),month(E266),1),Mes)/30  )  &gt;  0 , If(F266,   DAYS360(date(year(F266),month(F266),1),Mes)/30  ,  DAYS360(date(year(E266),month(E266),1),Mes)/30) , 0)       )</f>
        <v>0</v>
      </c>
      <c r="L266" s="77">
        <f>If(Iserror(K:K*H:H)   ,  0   ,   K:K*H:H)</f>
        <v>0</v>
      </c>
      <c r="M266" s="78"/>
      <c r="N266" s="29">
        <f>IF( ISERROR(OFFSET(SECUESTRADOS!D$1,MATCH(B266,SECUESTRADOS!A$2:A1405,0),0)) ,0 ,  OFFSET(SECUESTRADOS!D$1,MATCH(B266,SECUESTRADOS!A$2:A1405,0),0)  )</f>
        <v>0</v>
      </c>
      <c r="O266" s="30"/>
      <c r="P266" s="17" t="str">
        <f t="shared" si="3"/>
        <v>.socio</v>
      </c>
      <c r="Q266" s="17" t="str">
        <f t="shared" si="183"/>
        <v/>
      </c>
      <c r="R266" s="31"/>
      <c r="S266" s="31"/>
      <c r="T266" s="31"/>
    </row>
    <row r="267" ht="15.0" customHeight="1">
      <c r="A267" s="18" t="s">
        <v>38</v>
      </c>
      <c r="B267" s="17">
        <v>1600.0</v>
      </c>
      <c r="C267" s="19">
        <v>1600.0</v>
      </c>
      <c r="D267" s="20" t="str">
        <f>IF(   ISERROR(OFFSET(PADRON!B$2,MATCH(C:C,PADRON!A$2:A1405,0)-1,0,1,1) )  ,  ,    OFFSET(PADRON!B$2,MATCH(C:C,PADRON!A$2:A1405,0)-1,0,1,1))</f>
        <v>VILLAREAL, RAFAEL</v>
      </c>
      <c r="E267" s="21">
        <v>45809.0</v>
      </c>
      <c r="F267" s="21">
        <v>45870.0</v>
      </c>
      <c r="G267" s="23" t="s">
        <v>39</v>
      </c>
      <c r="H267" s="24">
        <f>IF( ISERROR( OFFSET(   'Cuadro tarifario'!D$2  , MATCH(CONCATENATE(                 IF(F267&gt;Mes,OFFSET(NroCT!B$17, MATCH($F267,NroCT!$A$18:$A1405,0),0,1,1),Periodovigente)                                                                                                                     ,A267) ,'Cuadro tarifario'!A$2:A1405,0) -1 , 0 , 1 , 1) )   , 0  ,   OFFSET(   'Cuadro tarifario'!D$2  , MATCH(CONCATENATE( IF(F267&gt;Mes,OFFSET(NroCT!B$17, MATCH($F267,NroCT!$A$18:$A1405,0),0,1,1),Periodovigente) ,A267) ,'Cuadro tarifario'!A$2:A1405,0) -1 , 0 , 1 , 1))</f>
        <v>9000</v>
      </c>
      <c r="I267" s="25">
        <f>INT(IF(F267,DAYS360(          DATE(YEAR(E267),MONTH(E267),1),         DATE(YEAR(F267)     ,      MONTH(F267),1 )    )            /30,0 ))</f>
        <v>2</v>
      </c>
      <c r="J267" s="24">
        <f t="shared" si="79"/>
        <v>18000</v>
      </c>
      <c r="K267" s="26">
        <f>IF(  AND(N267&gt;0,I267=0)          ,N267 ,                         IF(  IF( F267 ,  DAYS360(DATE(YEAR(F267),MONTH(F267),1),Mes)/30  ,  DAYS360(DATE(YEAR(E267),MONTH(E267),1),Mes)/30  )  &gt;  0 , IF(F267,   DAYS360(DATE(YEAR(F267),MONTH(F267),1),Mes)/30  ,  DAYS360(DATE(YEAR(E267),MONTH(E267),1),Mes)/30) , 0)       )</f>
        <v>0</v>
      </c>
      <c r="L267" s="27">
        <f>IF(ISERROR(K:K*H:H)   ,  0   ,   K:K*H:H)</f>
        <v>0</v>
      </c>
      <c r="M267" s="28"/>
      <c r="N267" s="29">
        <f>IF( ISERROR(OFFSET(SECUESTRADOS!D$1,MATCH(B267,SECUESTRADOS!A$2:A1405,0),0)) ,0 ,  OFFSET(SECUESTRADOS!D$1,MATCH(B267,SECUESTRADOS!A$2:A1405,0),0)  )</f>
        <v>0</v>
      </c>
      <c r="O267" s="30"/>
      <c r="P267" s="17" t="str">
        <f t="shared" si="3"/>
        <v>Bono canon</v>
      </c>
      <c r="Q267" s="17" t="str">
        <f t="shared" si="183"/>
        <v/>
      </c>
      <c r="R267" s="31"/>
      <c r="S267" s="31"/>
      <c r="T267" s="31"/>
    </row>
    <row r="268" ht="15.0" customHeight="1">
      <c r="A268" s="74" t="s">
        <v>50</v>
      </c>
      <c r="B268" s="74" t="s">
        <v>170</v>
      </c>
      <c r="C268" s="19">
        <v>1600.0</v>
      </c>
      <c r="D268" s="44" t="str">
        <f>if(   iserror(offset(PADRON!B$2,match(C:C,PADRON!A$2:A1405,0)-1,0,1,1) )  ,  ,    offset(PADRON!B$2,match(C:C,PADRON!A$2:A1405,0)-1,0,1,1))</f>
        <v>VILLAREAL, RAFAEL</v>
      </c>
      <c r="E268" s="45">
        <v>45992.0</v>
      </c>
      <c r="F268" s="45"/>
      <c r="G268" s="23" t="s">
        <v>39</v>
      </c>
      <c r="H268" s="35">
        <f>IF( ISERROR( OFFSET(   'Cuadro tarifario'!D$2  , MATCH(CONCATENATE(                 IF(F268&gt;Mes,OFFSET(NroCT!B$17, MATCH($F268,NroCT!$A$18:$A1405,0),0,1,1),Periodovigente)                                                                                                                     ,A268) ,'Cuadro tarifario'!A$2:A1405,0) -1 , 0 , 1 , 1) )   , 0  ,   OFFSET(   'Cuadro tarifario'!D$2  , MATCH(CONCATENATE( IF(F268&gt;Mes,OFFSET(NroCT!B$17, MATCH($F268,NroCT!$A$18:$A1405,0),0,1,1),Periodovigente) ,A268) ,'Cuadro tarifario'!A$2:A1405,0) -1 , 0 , 1 , 1))</f>
        <v>3600</v>
      </c>
      <c r="I268" s="46">
        <f t="shared" ref="I268:I269" si="184">Int(If(F268,DAYS360(          date(Year(E268),Month(E268),1),         date(Year(F268)     ,      Month(F268),1 )    )            /30,0 ))</f>
        <v>0</v>
      </c>
      <c r="J268" s="76">
        <f t="shared" si="79"/>
        <v>0</v>
      </c>
      <c r="K268" s="48">
        <f>if(  and(N268&gt;0,I268=0)          ,N268 ,                         If(  If( F268 ,  DAYS360(date(year(F268),month(F268),1),Mes)/30  ,  DAYS360(date(year(E268),month(E268),1),Mes)/30  )  &gt;  0 , If(F268,   DAYS360(date(year(F268),month(F268),1),Mes)/30  ,  DAYS360(date(year(E268),month(E268),1),Mes)/30) , 0)       )</f>
        <v>0</v>
      </c>
      <c r="L268" s="77">
        <f t="shared" ref="L268:L269" si="185">If(Iserror(K:K*H:H)   ,  0   ,   K:K*H:H)</f>
        <v>0</v>
      </c>
      <c r="M268" s="78"/>
      <c r="N268" s="29">
        <f>IF( ISERROR(OFFSET(SECUESTRADOS!D$1,MATCH(B268,SECUESTRADOS!A$2:A1405,0),0)) ,0 ,  OFFSET(SECUESTRADOS!D$1,MATCH(B268,SECUESTRADOS!A$2:A1405,0),0)  )</f>
        <v>0</v>
      </c>
      <c r="O268" s="30"/>
      <c r="P268" s="17" t="b">
        <f t="shared" si="3"/>
        <v>0</v>
      </c>
      <c r="Q268" s="17" t="str">
        <f t="shared" si="183"/>
        <v/>
      </c>
      <c r="R268" s="31"/>
      <c r="S268" s="31"/>
      <c r="T268" s="31"/>
    </row>
    <row r="269" ht="18.75" customHeight="1">
      <c r="A269" s="74" t="s">
        <v>48</v>
      </c>
      <c r="B269" s="74" t="s">
        <v>171</v>
      </c>
      <c r="C269" s="19">
        <v>1600.0</v>
      </c>
      <c r="D269" s="44" t="str">
        <f>if(   iserror(offset(PADRON!B$2,match(C:C,PADRON!A$2:A1405,0)-1,0,1,1) )  ,  ,    offset(PADRON!B$2,match(C:C,PADRON!A$2:A1405,0)-1,0,1,1))</f>
        <v>VILLAREAL, RAFAEL</v>
      </c>
      <c r="E269" s="45">
        <v>45809.0</v>
      </c>
      <c r="F269" s="45">
        <v>45870.0</v>
      </c>
      <c r="G269" s="23" t="s">
        <v>39</v>
      </c>
      <c r="H269" s="35">
        <f>IF( ISERROR( OFFSET(   'Cuadro tarifario'!D$2  , MATCH(CONCATENATE(                 IF(F269&gt;Mes,OFFSET(NroCT!B$17, MATCH($F269,NroCT!$A$18:$A1405,0),0,1,1),Periodovigente)                                                                                                                     ,A269) ,'Cuadro tarifario'!A$2:A1405,0) -1 , 0 , 1 , 1) )   , 0  ,   OFFSET(   'Cuadro tarifario'!D$2  , MATCH(CONCATENATE( IF(F269&gt;Mes,OFFSET(NroCT!B$17, MATCH($F269,NroCT!$A$18:$A1405,0),0,1,1),Periodovigente) ,A269) ,'Cuadro tarifario'!A$2:A1405,0) -1 , 0 , 1 , 1))</f>
        <v>12000</v>
      </c>
      <c r="I269" s="46">
        <f t="shared" si="184"/>
        <v>2</v>
      </c>
      <c r="J269" s="76">
        <f t="shared" si="79"/>
        <v>24000</v>
      </c>
      <c r="K269" s="48">
        <f>if(  and(N269&gt;0,I269=0)          ,N269 ,                         If(  If( F269 ,  DAYS360(date(year(F269),month(F269),1),Mes)/30  ,  DAYS360(date(year(E269),month(E269),1),Mes)/30  )  &gt;  0 , If(F269,   DAYS360(date(year(F269),month(F269),1),Mes)/30  ,  DAYS360(date(year(E269),month(E269),1),Mes)/30) , 0)       )</f>
        <v>0</v>
      </c>
      <c r="L269" s="77">
        <f t="shared" si="185"/>
        <v>0</v>
      </c>
      <c r="M269" s="78"/>
      <c r="N269" s="29">
        <f>IF( ISERROR(OFFSET(SECUESTRADOS!D$1,MATCH(B269,SECUESTRADOS!A$2:A1405,0),0)) ,0 ,  OFFSET(SECUESTRADOS!D$1,MATCH(B269,SECUESTRADOS!A$2:A1405,0),0)  )</f>
        <v>0</v>
      </c>
      <c r="O269" s="30"/>
      <c r="P269" s="17" t="str">
        <f t="shared" si="3"/>
        <v>velero</v>
      </c>
      <c r="Q269" s="17" t="str">
        <f t="shared" si="183"/>
        <v/>
      </c>
      <c r="R269" s="31"/>
      <c r="S269" s="31"/>
      <c r="T269" s="31"/>
    </row>
    <row r="270" ht="15.0" customHeight="1">
      <c r="A270" s="104" t="s">
        <v>48</v>
      </c>
      <c r="B270" s="93" t="s">
        <v>172</v>
      </c>
      <c r="C270" s="19">
        <v>1600.0</v>
      </c>
      <c r="D270" s="57" t="str">
        <f>IF(   ISERROR(OFFSET(PADRON!B$2,MATCH(C:C,PADRON!A$2:A1405,0)-1,0,1,1) )  ,  ,    OFFSET(PADRON!B$2,MATCH(C:C,PADRON!A$2:A1405,0)-1,0,1,1))</f>
        <v>VILLAREAL, RAFAEL</v>
      </c>
      <c r="E270" s="58">
        <v>45809.0</v>
      </c>
      <c r="F270" s="58">
        <v>45870.0</v>
      </c>
      <c r="G270" s="59" t="s">
        <v>39</v>
      </c>
      <c r="H270" s="60">
        <f>IF( ISERROR( OFFSET(   'Cuadro tarifario'!D$2  , MATCH(CONCATENATE(                 IF(F270&gt;Mes,OFFSET(NroCT!B$17, MATCH($F270,NroCT!$A$18:$A1405,0),0,1,1),Periodovigente)                                                                                                                     ,A270) ,'Cuadro tarifario'!A$2:A1405,0) -1 , 0 , 1 , 1) )   , 0  ,   OFFSET(   'Cuadro tarifario'!D$2  , MATCH(CONCATENATE( IF(F270&gt;Mes,OFFSET(NroCT!B$17, MATCH($F270,NroCT!$A$18:$A1405,0),0,1,1),Periodovigente) ,A270) ,'Cuadro tarifario'!A$2:A1405,0) -1 , 0 , 1 , 1))</f>
        <v>12000</v>
      </c>
      <c r="I270" s="61">
        <f>INT(IF(F270,DAYS360(          DATE(YEAR(E270),MONTH(E270),1),         DATE(YEAR(F270)     ,      MONTH(F270),1 )    )            /30,0 ))</f>
        <v>2</v>
      </c>
      <c r="J270" s="60">
        <f t="shared" si="79"/>
        <v>24000</v>
      </c>
      <c r="K270" s="62">
        <f>IF(  AND(N270&gt;0,I270=0)          ,N270 ,                         IF(  IF( F270 ,  DAYS360(DATE(YEAR(F270),MONTH(F270),1),Mes)/30  ,  DAYS360(DATE(YEAR(E270),MONTH(E270),1),Mes)/30  )  &gt;  0 , IF(F270,   DAYS360(DATE(YEAR(F270),MONTH(F270),1),Mes)/30  ,  DAYS360(DATE(YEAR(E270),MONTH(E270),1),Mes)/30) , 0)       )</f>
        <v>0</v>
      </c>
      <c r="L270" s="63">
        <f>IF(ISERROR(K:K*H:H)   ,  0   ,   K:K*H:H)</f>
        <v>0</v>
      </c>
      <c r="M270" s="64"/>
      <c r="N270" s="29">
        <f>IF( ISERROR(OFFSET(SECUESTRADOS!D$1,MATCH(B270,SECUESTRADOS!A$2:A1405,0),0)) ,0 ,  OFFSET(SECUESTRADOS!D$1,MATCH(B270,SECUESTRADOS!A$2:A1405,0),0)  )</f>
        <v>0</v>
      </c>
      <c r="O270" s="30"/>
      <c r="P270" s="17" t="str">
        <f t="shared" si="3"/>
        <v>velero</v>
      </c>
      <c r="Q270" s="17" t="str">
        <f t="shared" si="183"/>
        <v/>
      </c>
      <c r="R270" s="31"/>
      <c r="S270" s="31"/>
      <c r="T270" s="31"/>
    </row>
    <row r="271" ht="15.0" customHeight="1">
      <c r="A271" s="74" t="s">
        <v>71</v>
      </c>
      <c r="B271" s="74">
        <v>1602.0</v>
      </c>
      <c r="C271" s="19">
        <v>1602.0</v>
      </c>
      <c r="D271" s="44" t="str">
        <f>if(   iserror(offset(PADRON!B$2,match(C:C,PADRON!A$2:A1405,0)-1,0,1,1) )  ,  ,    offset(PADRON!B$2,match(C:C,PADRON!A$2:A1405,0)-1,0,1,1))</f>
        <v>PELUSO, MIGUEL ANDRES</v>
      </c>
      <c r="E271" s="45">
        <v>45839.0</v>
      </c>
      <c r="F271" s="45">
        <v>45870.0</v>
      </c>
      <c r="G271" s="23" t="s">
        <v>39</v>
      </c>
      <c r="H271" s="35">
        <f>IF( ISERROR( OFFSET(   'Cuadro tarifario'!D$2  , MATCH(CONCATENATE(                 IF(F271&gt;Mes,OFFSET(NroCT!B$17, MATCH($F271,NroCT!$A$18:$A1405,0),0,1,1),Periodovigente)                                                                                                                     ,A271) ,'Cuadro tarifario'!A$2:A1405,0) -1 , 0 , 1 , 1) )   , 0  ,   OFFSET(   'Cuadro tarifario'!D$2  , MATCH(CONCATENATE( IF(F271&gt;Mes,OFFSET(NroCT!B$17, MATCH($F271,NroCT!$A$18:$A1405,0),0,1,1),Periodovigente) ,A271) ,'Cuadro tarifario'!A$2:A1405,0) -1 , 0 , 1 , 1))</f>
        <v>11000</v>
      </c>
      <c r="I271" s="46">
        <f>Int(If(F271,DAYS360(          date(Year(E271),Month(E271),1),         date(Year(F271)     ,      Month(F271),1 )    )            /30,0 ))</f>
        <v>1</v>
      </c>
      <c r="J271" s="76">
        <f t="shared" si="79"/>
        <v>11000</v>
      </c>
      <c r="K271" s="48">
        <f>if(  and(N271&gt;0,I271=0)          ,N271 ,                         If(  If( F271 ,  DAYS360(date(year(F271),month(F271),1),Mes)/30  ,  DAYS360(date(year(E271),month(E271),1),Mes)/30  )  &gt;  0 , If(F271,   DAYS360(date(year(F271),month(F271),1),Mes)/30  ,  DAYS360(date(year(E271),month(E271),1),Mes)/30) , 0)       )</f>
        <v>0</v>
      </c>
      <c r="L271" s="77">
        <f>If(Iserror(K:K*H:H)   ,  0   ,   K:K*H:H)</f>
        <v>0</v>
      </c>
      <c r="M271" s="78"/>
      <c r="N271" s="29">
        <f>IF( ISERROR(OFFSET(SECUESTRADOS!D$1,MATCH(B271,SECUESTRADOS!A$2:A1405,0),0)) ,0 ,  OFFSET(SECUESTRADOS!D$1,MATCH(B271,SECUESTRADOS!A$2:A1405,0),0)  )</f>
        <v>0</v>
      </c>
      <c r="O271" s="30"/>
      <c r="P271" s="17" t="str">
        <f t="shared" si="3"/>
        <v>.socio</v>
      </c>
      <c r="Q271" s="17" t="str">
        <f t="shared" si="183"/>
        <v/>
      </c>
      <c r="R271" s="31"/>
      <c r="S271" s="31"/>
      <c r="T271" s="31"/>
    </row>
    <row r="272" ht="15.0" customHeight="1">
      <c r="A272" s="18" t="s">
        <v>38</v>
      </c>
      <c r="B272" s="17">
        <v>1602.0</v>
      </c>
      <c r="C272" s="19">
        <v>1602.0</v>
      </c>
      <c r="D272" s="20" t="str">
        <f>IF(   ISERROR(OFFSET(PADRON!B$2,MATCH(C:C,PADRON!A$2:A1405,0)-1,0,1,1) )  ,  ,    OFFSET(PADRON!B$2,MATCH(C:C,PADRON!A$2:A1405,0)-1,0,1,1))</f>
        <v>PELUSO, MIGUEL ANDRES</v>
      </c>
      <c r="E272" s="21">
        <v>45839.0</v>
      </c>
      <c r="F272" s="45">
        <v>45870.0</v>
      </c>
      <c r="G272" s="23" t="s">
        <v>39</v>
      </c>
      <c r="H272" s="24">
        <f>IF( ISERROR( OFFSET(   'Cuadro tarifario'!D$2  , MATCH(CONCATENATE(                 IF(F272&gt;Mes,OFFSET(NroCT!B$17, MATCH($F272,NroCT!$A$18:$A1405,0),0,1,1),Periodovigente)                                                                                                                     ,A272) ,'Cuadro tarifario'!A$2:A1405,0) -1 , 0 , 1 , 1) )   , 0  ,   OFFSET(   'Cuadro tarifario'!D$2  , MATCH(CONCATENATE( IF(F272&gt;Mes,OFFSET(NroCT!B$17, MATCH($F272,NroCT!$A$18:$A1405,0),0,1,1),Periodovigente) ,A272) ,'Cuadro tarifario'!A$2:A1405,0) -1 , 0 , 1 , 1))</f>
        <v>9000</v>
      </c>
      <c r="I272" s="25">
        <f t="shared" ref="I272:I274" si="186">INT(IF(F272,DAYS360(          DATE(YEAR(E272),MONTH(E272),1),         DATE(YEAR(F272)     ,      MONTH(F272),1 )    )            /30,0 ))</f>
        <v>1</v>
      </c>
      <c r="J272" s="24">
        <f t="shared" si="79"/>
        <v>9000</v>
      </c>
      <c r="K272" s="26">
        <f>IF(  AND(N272&gt;0,I272=0)          ,N272 ,                         IF(  IF( F272 ,  DAYS360(DATE(YEAR(F272),MONTH(F272),1),Mes)/30  ,  DAYS360(DATE(YEAR(E272),MONTH(E272),1),Mes)/30  )  &gt;  0 , IF(F272,   DAYS360(DATE(YEAR(F272),MONTH(F272),1),Mes)/30  ,  DAYS360(DATE(YEAR(E272),MONTH(E272),1),Mes)/30) , 0)       )</f>
        <v>0</v>
      </c>
      <c r="L272" s="27">
        <f t="shared" ref="L272:L274" si="187">IF(ISERROR(K:K*H:H)   ,  0   ,   K:K*H:H)</f>
        <v>0</v>
      </c>
      <c r="M272" s="28"/>
      <c r="N272" s="29">
        <f>IF( ISERROR(OFFSET(SECUESTRADOS!D$1,MATCH(B272,SECUESTRADOS!A$2:A1405,0),0)) ,0 ,  OFFSET(SECUESTRADOS!D$1,MATCH(B272,SECUESTRADOS!A$2:A1405,0),0)  )</f>
        <v>0</v>
      </c>
      <c r="O272" s="30"/>
      <c r="P272" s="17" t="str">
        <f t="shared" si="3"/>
        <v>Bono canon</v>
      </c>
      <c r="Q272" s="17" t="str">
        <f t="shared" si="183"/>
        <v/>
      </c>
      <c r="R272" s="31"/>
      <c r="S272" s="31"/>
      <c r="T272" s="31"/>
    </row>
    <row r="273" ht="15.0" customHeight="1">
      <c r="A273" s="18" t="s">
        <v>40</v>
      </c>
      <c r="B273" s="18" t="s">
        <v>173</v>
      </c>
      <c r="C273" s="19">
        <v>1602.0</v>
      </c>
      <c r="D273" s="20" t="str">
        <f>IF(   ISERROR(OFFSET(PADRON!B$2,MATCH(C:C,PADRON!A$2:A1405,0)-1,0,1,1) )  ,  ,    OFFSET(PADRON!B$2,MATCH(C:C,PADRON!A$2:A1405,0)-1,0,1,1))</f>
        <v>PELUSO, MIGUEL ANDRES</v>
      </c>
      <c r="E273" s="21">
        <v>45839.0</v>
      </c>
      <c r="F273" s="45">
        <v>45870.0</v>
      </c>
      <c r="G273" s="23" t="s">
        <v>39</v>
      </c>
      <c r="H273" s="24">
        <f>IF( ISERROR( OFFSET(   'Cuadro tarifario'!D$2  , MATCH(CONCATENATE(                 IF(F273&gt;Mes,OFFSET(NroCT!B$17, MATCH($F273,NroCT!$A$18:$A1405,0),0,1,1),Periodovigente)                                                                                                                     ,A273) ,'Cuadro tarifario'!A$2:A1405,0) -1 , 0 , 1 , 1) )   , 0  ,   OFFSET(   'Cuadro tarifario'!D$2  , MATCH(CONCATENATE( IF(F273&gt;Mes,OFFSET(NroCT!B$17, MATCH($F273,NroCT!$A$18:$A1405,0),0,1,1),Periodovigente) ,A273) ,'Cuadro tarifario'!A$2:A1405,0) -1 , 0 , 1 , 1))</f>
        <v>12000</v>
      </c>
      <c r="I273" s="25">
        <f t="shared" si="186"/>
        <v>1</v>
      </c>
      <c r="J273" s="24">
        <f t="shared" si="79"/>
        <v>12000</v>
      </c>
      <c r="K273" s="26">
        <f>IF(  AND(N273&gt;0,I273=0)          ,N273 ,                         IF(  IF( F273 ,  DAYS360(DATE(YEAR(F273),MONTH(F273),1),Mes)/30  ,  DAYS360(DATE(YEAR(E273),MONTH(E273),1),Mes)/30  )  &gt;  0 , IF(F273,   DAYS360(DATE(YEAR(F273),MONTH(F273),1),Mes)/30  ,  DAYS360(DATE(YEAR(E273),MONTH(E273),1),Mes)/30) , 0)       )</f>
        <v>0</v>
      </c>
      <c r="L273" s="27">
        <f t="shared" si="187"/>
        <v>0</v>
      </c>
      <c r="M273" s="28"/>
      <c r="N273" s="29">
        <f>IF( ISERROR(OFFSET(SECUESTRADOS!D$1,MATCH(B273,SECUESTRADOS!A$2:A1405,0),0)) ,0 ,  OFFSET(SECUESTRADOS!D$1,MATCH(B273,SECUESTRADOS!A$2:A1405,0),0)  )</f>
        <v>0</v>
      </c>
      <c r="O273" s="30"/>
      <c r="P273" s="17" t="str">
        <f t="shared" si="3"/>
        <v>cuna windsurf</v>
      </c>
      <c r="Q273" s="17" t="str">
        <f t="shared" ref="Q273:Q275" si="188">IF(AND(A273=#REF!,B273=#REF!,C273=#REF!),"Repetido","")</f>
        <v>#REF!</v>
      </c>
      <c r="R273" s="31"/>
      <c r="S273" s="31"/>
      <c r="T273" s="31"/>
    </row>
    <row r="274" ht="15.0" customHeight="1">
      <c r="A274" s="18" t="s">
        <v>52</v>
      </c>
      <c r="B274" s="18" t="s">
        <v>174</v>
      </c>
      <c r="C274" s="19">
        <v>1602.0</v>
      </c>
      <c r="D274" s="20" t="str">
        <f>IF(   ISERROR(OFFSET(PADRON!B$2,MATCH(C:C,PADRON!A$2:A1405,0)-1,0,1,1) )  ,  ,    OFFSET(PADRON!B$2,MATCH(C:C,PADRON!A$2:A1405,0)-1,0,1,1))</f>
        <v>PELUSO, MIGUEL ANDRES</v>
      </c>
      <c r="E274" s="21">
        <v>45992.0</v>
      </c>
      <c r="F274" s="45"/>
      <c r="G274" s="23" t="s">
        <v>39</v>
      </c>
      <c r="H274" s="24">
        <f>IF( ISERROR( OFFSET(   'Cuadro tarifario'!D$2  , MATCH(CONCATENATE(                 IF(F274&gt;Mes,OFFSET(NroCT!B$17, MATCH($F274,NroCT!$A$18:$A1405,0),0,1,1),Periodovigente)                                                                                                                     ,A274) ,'Cuadro tarifario'!A$2:A1405,0) -1 , 0 , 1 , 1) )   , 0  ,   OFFSET(   'Cuadro tarifario'!D$2  , MATCH(CONCATENATE( IF(F274&gt;Mes,OFFSET(NroCT!B$17, MATCH($F274,NroCT!$A$18:$A1405,0),0,1,1),Periodovigente) ,A274) ,'Cuadro tarifario'!A$2:A1405,0) -1 , 0 , 1 , 1))</f>
        <v>4000</v>
      </c>
      <c r="I274" s="25">
        <f t="shared" si="186"/>
        <v>0</v>
      </c>
      <c r="J274" s="24">
        <f t="shared" si="79"/>
        <v>0</v>
      </c>
      <c r="K274" s="26">
        <f>IF(  AND(N274&gt;0,I274=0)          ,N274 ,                         IF(  IF( F274 ,  DAYS360(DATE(YEAR(F274),MONTH(F274),1),Mes)/30  ,  DAYS360(DATE(YEAR(E274),MONTH(E274),1),Mes)/30  )  &gt;  0 , IF(F274,   DAYS360(DATE(YEAR(F274),MONTH(F274),1),Mes)/30  ,  DAYS360(DATE(YEAR(E274),MONTH(E274),1),Mes)/30) , 0)       )</f>
        <v>0</v>
      </c>
      <c r="L274" s="27">
        <f t="shared" si="187"/>
        <v>0</v>
      </c>
      <c r="M274" s="28"/>
      <c r="N274" s="29">
        <f>IF( ISERROR(OFFSET(SECUESTRADOS!D$1,MATCH(B274,SECUESTRADOS!A$2:A1405,0),0)) ,0 ,  OFFSET(SECUESTRADOS!D$1,MATCH(B274,SECUESTRADOS!A$2:A1405,0),0)  )</f>
        <v>0</v>
      </c>
      <c r="O274" s="30"/>
      <c r="P274" s="17" t="b">
        <f t="shared" si="3"/>
        <v>0</v>
      </c>
      <c r="Q274" s="17" t="str">
        <f t="shared" si="188"/>
        <v>#REF!</v>
      </c>
      <c r="R274" s="31"/>
      <c r="S274" s="31"/>
      <c r="T274" s="31"/>
    </row>
    <row r="275" ht="15.0" customHeight="1">
      <c r="A275" s="74" t="s">
        <v>71</v>
      </c>
      <c r="B275" s="74">
        <v>1611.0</v>
      </c>
      <c r="C275" s="19">
        <v>1611.0</v>
      </c>
      <c r="D275" s="44" t="str">
        <f>if(   iserror(offset(PADRON!B$2,match(C:C,PADRON!A$2:A1405,0)-1,0,1,1) )  ,  ,    offset(PADRON!B$2,match(C:C,PADRON!A$2:A1405,0)-1,0,1,1))</f>
        <v>MASSI, MARIA EUGENIA</v>
      </c>
      <c r="E275" s="45">
        <v>45839.0</v>
      </c>
      <c r="F275" s="45">
        <v>45870.0</v>
      </c>
      <c r="G275" s="23" t="s">
        <v>39</v>
      </c>
      <c r="H275" s="35">
        <f>IF( ISERROR( OFFSET(   'Cuadro tarifario'!D$2  , MATCH(CONCATENATE(                 IF(F275&gt;Mes,OFFSET(NroCT!B$17, MATCH($F275,NroCT!$A$18:$A1405,0),0,1,1),Periodovigente)                                                                                                                     ,A275) ,'Cuadro tarifario'!A$2:A1405,0) -1 , 0 , 1 , 1) )   , 0  ,   OFFSET(   'Cuadro tarifario'!D$2  , MATCH(CONCATENATE( IF(F275&gt;Mes,OFFSET(NroCT!B$17, MATCH($F275,NroCT!$A$18:$A1405,0),0,1,1),Periodovigente) ,A275) ,'Cuadro tarifario'!A$2:A1405,0) -1 , 0 , 1 , 1))</f>
        <v>11000</v>
      </c>
      <c r="I275" s="46">
        <f>Int(If(F275,DAYS360(          date(Year(E275),Month(E275),1),         date(Year(F275)     ,      Month(F275),1 )    )            /30,0 ))</f>
        <v>1</v>
      </c>
      <c r="J275" s="76">
        <f t="shared" si="79"/>
        <v>11000</v>
      </c>
      <c r="K275" s="48">
        <f>if(  and(N275&gt;0,I275=0)          ,N275 ,                         If(  If( F275 ,  DAYS360(date(year(F275),month(F275),1),Mes)/30  ,  DAYS360(date(year(E275),month(E275),1),Mes)/30  )  &gt;  0 , If(F275,   DAYS360(date(year(F275),month(F275),1),Mes)/30  ,  DAYS360(date(year(E275),month(E275),1),Mes)/30) , 0)       )</f>
        <v>0</v>
      </c>
      <c r="L275" s="77">
        <f>If(Iserror(K:K*H:H)   ,  0   ,   K:K*H:H)</f>
        <v>0</v>
      </c>
      <c r="M275" s="78"/>
      <c r="N275" s="29">
        <f>IF( ISERROR(OFFSET(SECUESTRADOS!D$1,MATCH(B275,SECUESTRADOS!A$2:A1405,0),0)) ,0 ,  OFFSET(SECUESTRADOS!D$1,MATCH(B275,SECUESTRADOS!A$2:A1405,0),0)  )</f>
        <v>0</v>
      </c>
      <c r="O275" s="30"/>
      <c r="P275" s="17" t="str">
        <f t="shared" si="3"/>
        <v>.socio</v>
      </c>
      <c r="Q275" s="17" t="str">
        <f t="shared" si="188"/>
        <v>#REF!</v>
      </c>
      <c r="R275" s="31"/>
      <c r="S275" s="31"/>
      <c r="T275" s="31"/>
    </row>
    <row r="276" ht="15.0" customHeight="1">
      <c r="A276" s="18" t="s">
        <v>38</v>
      </c>
      <c r="B276" s="17">
        <v>1611.0</v>
      </c>
      <c r="C276" s="19">
        <v>1611.0</v>
      </c>
      <c r="D276" s="20" t="str">
        <f>IF(   ISERROR(OFFSET(PADRON!B$2,MATCH(C:C,PADRON!A$2:A1405,0)-1,0,1,1) )  ,  ,    OFFSET(PADRON!B$2,MATCH(C:C,PADRON!A$2:A1405,0)-1,0,1,1))</f>
        <v>MASSI, MARIA EUGENIA</v>
      </c>
      <c r="E276" s="21">
        <v>45839.0</v>
      </c>
      <c r="F276" s="21">
        <v>45870.0</v>
      </c>
      <c r="G276" s="23" t="s">
        <v>39</v>
      </c>
      <c r="H276" s="24">
        <f>IF( ISERROR( OFFSET(   'Cuadro tarifario'!D$2  , MATCH(CONCATENATE(                 IF(F276&gt;Mes,OFFSET(NroCT!B$17, MATCH($F276,NroCT!$A$18:$A1405,0),0,1,1),Periodovigente)                                                                                                                     ,A276) ,'Cuadro tarifario'!A$2:A1405,0) -1 , 0 , 1 , 1) )   , 0  ,   OFFSET(   'Cuadro tarifario'!D$2  , MATCH(CONCATENATE( IF(F276&gt;Mes,OFFSET(NroCT!B$17, MATCH($F276,NroCT!$A$18:$A1405,0),0,1,1),Periodovigente) ,A276) ,'Cuadro tarifario'!A$2:A1405,0) -1 , 0 , 1 , 1))</f>
        <v>9000</v>
      </c>
      <c r="I276" s="25">
        <f t="shared" ref="I276:I278" si="189">INT(IF(F276,DAYS360(          DATE(YEAR(E276),MONTH(E276),1),         DATE(YEAR(F276)     ,      MONTH(F276),1 )    )            /30,0 ))</f>
        <v>1</v>
      </c>
      <c r="J276" s="24">
        <f t="shared" si="79"/>
        <v>9000</v>
      </c>
      <c r="K276" s="26">
        <f>IF(  AND(N276&gt;0,I276=0)          ,N276 ,                         IF(  IF( F276 ,  DAYS360(DATE(YEAR(F276),MONTH(F276),1),Mes)/30  ,  DAYS360(DATE(YEAR(E276),MONTH(E276),1),Mes)/30  )  &gt;  0 , IF(F276,   DAYS360(DATE(YEAR(F276),MONTH(F276),1),Mes)/30  ,  DAYS360(DATE(YEAR(E276),MONTH(E276),1),Mes)/30) , 0)       )</f>
        <v>0</v>
      </c>
      <c r="L276" s="27">
        <f t="shared" ref="L276:L278" si="190">IF(ISERROR(K:K*H:H)   ,  0   ,   K:K*H:H)</f>
        <v>0</v>
      </c>
      <c r="M276" s="28"/>
      <c r="N276" s="29">
        <f>IF( ISERROR(OFFSET(SECUESTRADOS!D$1,MATCH(B276,SECUESTRADOS!A$2:A1405,0),0)) ,0 ,  OFFSET(SECUESTRADOS!D$1,MATCH(B276,SECUESTRADOS!A$2:A1405,0),0)  )</f>
        <v>0</v>
      </c>
      <c r="O276" s="30"/>
      <c r="P276" s="17" t="str">
        <f t="shared" si="3"/>
        <v>Bono canon</v>
      </c>
      <c r="Q276" s="17" t="str">
        <f t="shared" ref="Q276:Q278" si="191">IF(AND(A276=A275,B276=B275,C276=C275),"Repetido","")</f>
        <v/>
      </c>
      <c r="R276" s="31"/>
      <c r="S276" s="31"/>
      <c r="T276" s="31"/>
    </row>
    <row r="277" ht="15.0" customHeight="1">
      <c r="A277" s="105" t="s">
        <v>48</v>
      </c>
      <c r="B277" s="105" t="s">
        <v>175</v>
      </c>
      <c r="C277" s="19">
        <v>1611.0</v>
      </c>
      <c r="D277" s="82" t="str">
        <f>IF(   ISERROR(OFFSET(PADRON!B$2,MATCH(C:C,PADRON!A$2:A1405,0)-1,0,1,1) )  ,  ,    OFFSET(PADRON!B$2,MATCH(C:C,PADRON!A$2:A1405,0)-1,0,1,1))</f>
        <v>MASSI, MARIA EUGENIA</v>
      </c>
      <c r="E277" s="83">
        <v>45839.0</v>
      </c>
      <c r="F277" s="83">
        <v>45870.0</v>
      </c>
      <c r="G277" s="23" t="s">
        <v>39</v>
      </c>
      <c r="H277" s="24">
        <f>IF( ISERROR( OFFSET(   'Cuadro tarifario'!D$2  , MATCH(CONCATENATE(                 IF(F277&gt;Mes,OFFSET(NroCT!B$17, MATCH($F277,NroCT!$A$18:$A1405,0),0,1,1),Periodovigente)                                                                                                                     ,A277) ,'Cuadro tarifario'!A$2:A1405,0) -1 , 0 , 1 , 1) )   , 0  ,   OFFSET(   'Cuadro tarifario'!D$2  , MATCH(CONCATENATE( IF(F277&gt;Mes,OFFSET(NroCT!B$17, MATCH($F277,NroCT!$A$18:$A1405,0),0,1,1),Periodovigente) ,A277) ,'Cuadro tarifario'!A$2:A1405,0) -1 , 0 , 1 , 1))</f>
        <v>12000</v>
      </c>
      <c r="I277" s="85">
        <f t="shared" si="189"/>
        <v>1</v>
      </c>
      <c r="J277" s="101">
        <f t="shared" si="79"/>
        <v>12000</v>
      </c>
      <c r="K277" s="87">
        <f>IF(  AND(N277&gt;0,I277=0)          ,N277 ,                         IF(  IF( F277 ,  DAYS360(DATE(YEAR(F277),MONTH(F277),1),Mes)/30  ,  DAYS360(DATE(YEAR(E277),MONTH(E277),1),Mes)/30  )  &gt;  0 , IF(F277,   DAYS360(DATE(YEAR(F277),MONTH(F277),1),Mes)/30  ,  DAYS360(DATE(YEAR(E277),MONTH(E277),1),Mes)/30) , 0)       )</f>
        <v>0</v>
      </c>
      <c r="L277" s="102">
        <f t="shared" si="190"/>
        <v>0</v>
      </c>
      <c r="M277" s="103"/>
      <c r="N277" s="29">
        <f>IF( ISERROR(OFFSET(SECUESTRADOS!D$1,MATCH(B277,SECUESTRADOS!A$2:A1405,0),0)) ,0 ,  OFFSET(SECUESTRADOS!D$1,MATCH(B277,SECUESTRADOS!A$2:A1405,0),0)  )</f>
        <v>0</v>
      </c>
      <c r="O277" s="30"/>
      <c r="P277" s="17" t="str">
        <f t="shared" si="3"/>
        <v>velero</v>
      </c>
      <c r="Q277" s="17" t="str">
        <f t="shared" si="191"/>
        <v/>
      </c>
      <c r="R277" s="31"/>
      <c r="S277" s="31"/>
      <c r="T277" s="31"/>
    </row>
    <row r="278" ht="15.0" customHeight="1">
      <c r="A278" s="105" t="s">
        <v>40</v>
      </c>
      <c r="B278" s="105" t="s">
        <v>176</v>
      </c>
      <c r="C278" s="19">
        <v>1611.0</v>
      </c>
      <c r="D278" s="82" t="str">
        <f>IF(   ISERROR(OFFSET(PADRON!B$2,MATCH(C:C,PADRON!A$2:A1405,0)-1,0,1,1) )  ,  ,    OFFSET(PADRON!B$2,MATCH(C:C,PADRON!A$2:A1405,0)-1,0,1,1))</f>
        <v>MASSI, MARIA EUGENIA</v>
      </c>
      <c r="E278" s="83">
        <v>45839.0</v>
      </c>
      <c r="F278" s="83">
        <v>45870.0</v>
      </c>
      <c r="G278" s="23" t="s">
        <v>39</v>
      </c>
      <c r="H278" s="24">
        <f>IF( ISERROR( OFFSET(   'Cuadro tarifario'!D$2  , MATCH(CONCATENATE(                 IF(F278&gt;Mes,OFFSET(NroCT!B$17, MATCH($F278,NroCT!$A$18:$A1405,0),0,1,1),Periodovigente)                                                                                                                     ,A278) ,'Cuadro tarifario'!A$2:A1405,0) -1 , 0 , 1 , 1) )   , 0  ,   OFFSET(   'Cuadro tarifario'!D$2  , MATCH(CONCATENATE( IF(F278&gt;Mes,OFFSET(NroCT!B$17, MATCH($F278,NroCT!$A$18:$A1405,0),0,1,1),Periodovigente) ,A278) ,'Cuadro tarifario'!A$2:A1405,0) -1 , 0 , 1 , 1))</f>
        <v>12000</v>
      </c>
      <c r="I278" s="85">
        <f t="shared" si="189"/>
        <v>1</v>
      </c>
      <c r="J278" s="101">
        <f t="shared" si="79"/>
        <v>12000</v>
      </c>
      <c r="K278" s="87">
        <f>IF(  AND(N278&gt;0,I278=0)          ,N278 ,                         IF(  IF( F278 ,  DAYS360(DATE(YEAR(F278),MONTH(F278),1),Mes)/30  ,  DAYS360(DATE(YEAR(E278),MONTH(E278),1),Mes)/30  )  &gt;  0 , IF(F278,   DAYS360(DATE(YEAR(F278),MONTH(F278),1),Mes)/30  ,  DAYS360(DATE(YEAR(E278),MONTH(E278),1),Mes)/30) , 0)       )</f>
        <v>0</v>
      </c>
      <c r="L278" s="102">
        <f t="shared" si="190"/>
        <v>0</v>
      </c>
      <c r="M278" s="103"/>
      <c r="N278" s="29">
        <f>IF( ISERROR(OFFSET(SECUESTRADOS!D$1,MATCH(B278,SECUESTRADOS!A$2:A1405,0),0)) ,0 ,  OFFSET(SECUESTRADOS!D$1,MATCH(B278,SECUESTRADOS!A$2:A1405,0),0)  )</f>
        <v>0</v>
      </c>
      <c r="O278" s="30"/>
      <c r="P278" s="17" t="str">
        <f t="shared" si="3"/>
        <v>cuna windsurf</v>
      </c>
      <c r="Q278" s="17" t="str">
        <f t="shared" si="191"/>
        <v/>
      </c>
      <c r="R278" s="31"/>
      <c r="S278" s="31"/>
      <c r="T278" s="31"/>
    </row>
    <row r="279" ht="15.0" customHeight="1">
      <c r="A279" s="74" t="s">
        <v>71</v>
      </c>
      <c r="B279" s="74">
        <v>1616.0</v>
      </c>
      <c r="C279" s="19">
        <v>1616.0</v>
      </c>
      <c r="D279" s="44" t="str">
        <f>if(   iserror(offset(PADRON!B$2,match(C:C,PADRON!A$2:A1405,0)-1,0,1,1) )  ,  ,    offset(PADRON!B$2,match(C:C,PADRON!A$2:A1405,0)-1,0,1,1))</f>
        <v>OLIVA, GUILLERMO</v>
      </c>
      <c r="E279" s="45">
        <v>45809.0</v>
      </c>
      <c r="F279" s="45">
        <v>45870.0</v>
      </c>
      <c r="G279" s="23" t="s">
        <v>39</v>
      </c>
      <c r="H279" s="35">
        <f>IF( ISERROR( OFFSET(   'Cuadro tarifario'!D$2  , MATCH(CONCATENATE(                 IF(F279&gt;Mes,OFFSET(NroCT!B$17, MATCH($F279,NroCT!$A$18:$A1405,0),0,1,1),Periodovigente)                                                                                                                     ,A279) ,'Cuadro tarifario'!A$2:A1405,0) -1 , 0 , 1 , 1) )   , 0  ,   OFFSET(   'Cuadro tarifario'!D$2  , MATCH(CONCATENATE( IF(F279&gt;Mes,OFFSET(NroCT!B$17, MATCH($F279,NroCT!$A$18:$A1405,0),0,1,1),Periodovigente) ,A279) ,'Cuadro tarifario'!A$2:A1405,0) -1 , 0 , 1 , 1))</f>
        <v>11000</v>
      </c>
      <c r="I279" s="46">
        <f>Int(If(F279,DAYS360(          date(Year(E279),Month(E279),1),         date(Year(F279)     ,      Month(F279),1 )    )            /30,0 ))</f>
        <v>2</v>
      </c>
      <c r="J279" s="76">
        <f t="shared" si="79"/>
        <v>22000</v>
      </c>
      <c r="K279" s="48">
        <f>if(  and(N279&gt;0,I279=0)          ,N279 ,                         If(  If( F279 ,  DAYS360(date(year(F279),month(F279),1),Mes)/30  ,  DAYS360(date(year(E279),month(E279),1),Mes)/30  )  &gt;  0 , If(F279,   DAYS360(date(year(F279),month(F279),1),Mes)/30  ,  DAYS360(date(year(E279),month(E279),1),Mes)/30) , 0)       )</f>
        <v>0</v>
      </c>
      <c r="L279" s="77">
        <f>If(Iserror(K:K*H:H)   ,  0   ,   K:K*H:H)</f>
        <v>0</v>
      </c>
      <c r="M279" s="78"/>
      <c r="N279" s="29">
        <f>IF( ISERROR(OFFSET(SECUESTRADOS!D$1,MATCH(B279,SECUESTRADOS!A$2:A1405,0),0)) ,0 ,  OFFSET(SECUESTRADOS!D$1,MATCH(B279,SECUESTRADOS!A$2:A1405,0),0)  )</f>
        <v>0</v>
      </c>
      <c r="O279" s="30"/>
      <c r="P279" s="17" t="str">
        <f t="shared" si="3"/>
        <v>.socio</v>
      </c>
      <c r="Q279" s="17" t="str">
        <f>IF(AND(A279=#REF!,B279=#REF!,C279=#REF!),"Repetido","")</f>
        <v>#REF!</v>
      </c>
      <c r="R279" s="31"/>
      <c r="S279" s="31"/>
      <c r="T279" s="31"/>
    </row>
    <row r="280" ht="15.0" customHeight="1">
      <c r="A280" s="18" t="s">
        <v>38</v>
      </c>
      <c r="B280" s="17">
        <v>1616.0</v>
      </c>
      <c r="C280" s="19">
        <v>1616.0</v>
      </c>
      <c r="D280" s="20" t="str">
        <f>IF(   ISERROR(OFFSET(PADRON!B$2,MATCH(C:C,PADRON!A$2:A1405,0)-1,0,1,1) )  ,  ,    OFFSET(PADRON!B$2,MATCH(C:C,PADRON!A$2:A1405,0)-1,0,1,1))</f>
        <v>OLIVA, GUILLERMO</v>
      </c>
      <c r="E280" s="21">
        <v>45809.0</v>
      </c>
      <c r="F280" s="21">
        <v>45870.0</v>
      </c>
      <c r="G280" s="23" t="s">
        <v>39</v>
      </c>
      <c r="H280" s="24">
        <f>IF( ISERROR( OFFSET(   'Cuadro tarifario'!D$2  , MATCH(CONCATENATE(                 IF(F280&gt;Mes,OFFSET(NroCT!B$17, MATCH($F280,NroCT!$A$18:$A1405,0),0,1,1),Periodovigente)                                                                                                                     ,A280) ,'Cuadro tarifario'!A$2:A1405,0) -1 , 0 , 1 , 1) )   , 0  ,   OFFSET(   'Cuadro tarifario'!D$2  , MATCH(CONCATENATE( IF(F280&gt;Mes,OFFSET(NroCT!B$17, MATCH($F280,NroCT!$A$18:$A1405,0),0,1,1),Periodovigente) ,A280) ,'Cuadro tarifario'!A$2:A1405,0) -1 , 0 , 1 , 1))</f>
        <v>9000</v>
      </c>
      <c r="I280" s="25">
        <f>INT(IF(F280,DAYS360(          DATE(YEAR(E280),MONTH(E280),1),         DATE(YEAR(F280)     ,      MONTH(F280),1 )    )            /30,0 ))</f>
        <v>2</v>
      </c>
      <c r="J280" s="24">
        <f t="shared" si="79"/>
        <v>18000</v>
      </c>
      <c r="K280" s="26">
        <f>IF(  AND(N280&gt;0,I280=0)          ,N280 ,                         IF(  IF( F280 ,  DAYS360(DATE(YEAR(F280),MONTH(F280),1),Mes)/30  ,  DAYS360(DATE(YEAR(E280),MONTH(E280),1),Mes)/30  )  &gt;  0 , IF(F280,   DAYS360(DATE(YEAR(F280),MONTH(F280),1),Mes)/30  ,  DAYS360(DATE(YEAR(E280),MONTH(E280),1),Mes)/30) , 0)       )</f>
        <v>0</v>
      </c>
      <c r="L280" s="27">
        <f>IF(ISERROR(K:K*H:H)   ,  0   ,   K:K*H:H)</f>
        <v>0</v>
      </c>
      <c r="M280" s="28"/>
      <c r="N280" s="29">
        <f>IF( ISERROR(OFFSET(SECUESTRADOS!D$1,MATCH(B280,SECUESTRADOS!A$2:A1405,0),0)) ,0 ,  OFFSET(SECUESTRADOS!D$1,MATCH(B280,SECUESTRADOS!A$2:A1405,0),0)  )</f>
        <v>0</v>
      </c>
      <c r="O280" s="30"/>
      <c r="P280" s="17" t="str">
        <f t="shared" si="3"/>
        <v>Bono canon</v>
      </c>
      <c r="Q280" s="17" t="str">
        <f t="shared" ref="Q280:Q287" si="192">IF(AND(A280=A279,B280=B279,C280=C279),"Repetido","")</f>
        <v/>
      </c>
      <c r="R280" s="31"/>
      <c r="S280" s="31"/>
      <c r="T280" s="31"/>
    </row>
    <row r="281" ht="15.0" customHeight="1">
      <c r="A281" s="74" t="s">
        <v>40</v>
      </c>
      <c r="B281" s="74" t="s">
        <v>177</v>
      </c>
      <c r="C281" s="19">
        <v>1616.0</v>
      </c>
      <c r="D281" s="44" t="str">
        <f>if(   iserror(offset(PADRON!B$2,match(C:C,PADRON!A$2:A1405,0)-1,0,1,1) )  ,  ,    offset(PADRON!B$2,match(C:C,PADRON!A$2:A1405,0)-1,0,1,1))</f>
        <v>OLIVA, GUILLERMO</v>
      </c>
      <c r="E281" s="45">
        <v>45809.0</v>
      </c>
      <c r="F281" s="45">
        <v>45870.0</v>
      </c>
      <c r="G281" s="23" t="s">
        <v>39</v>
      </c>
      <c r="H281" s="35">
        <f>IF( ISERROR( OFFSET(   'Cuadro tarifario'!D$2  , MATCH(CONCATENATE(                 IF(F281&gt;Mes,OFFSET(NroCT!B$17, MATCH($F281,NroCT!$A$18:$A1405,0),0,1,1),Periodovigente)                                                                                                                     ,A281) ,'Cuadro tarifario'!A$2:A1405,0) -1 , 0 , 1 , 1) )   , 0  ,   OFFSET(   'Cuadro tarifario'!D$2  , MATCH(CONCATENATE( IF(F281&gt;Mes,OFFSET(NroCT!B$17, MATCH($F281,NroCT!$A$18:$A1405,0),0,1,1),Periodovigente) ,A281) ,'Cuadro tarifario'!A$2:A1405,0) -1 , 0 , 1 , 1))</f>
        <v>12000</v>
      </c>
      <c r="I281" s="46">
        <f t="shared" ref="I281:I287" si="193">Int(If(F281,DAYS360(          date(Year(E281),Month(E281),1),         date(Year(F281)     ,      Month(F281),1 )    )            /30,0 ))</f>
        <v>2</v>
      </c>
      <c r="J281" s="76">
        <f t="shared" si="79"/>
        <v>24000</v>
      </c>
      <c r="K281" s="48">
        <f>if(  and(N281&gt;0,I281=0)          ,N281 ,                         If(  If( F281 ,  DAYS360(date(year(F281),month(F281),1),Mes)/30  ,  DAYS360(date(year(E281),month(E281),1),Mes)/30  )  &gt;  0 , If(F281,   DAYS360(date(year(F281),month(F281),1),Mes)/30  ,  DAYS360(date(year(E281),month(E281),1),Mes)/30) , 0)       )</f>
        <v>0</v>
      </c>
      <c r="L281" s="77">
        <f t="shared" ref="L281:L287" si="194">If(Iserror(K:K*H:H)   ,  0   ,   K:K*H:H)</f>
        <v>0</v>
      </c>
      <c r="M281" s="78"/>
      <c r="N281" s="29">
        <f>IF( ISERROR(OFFSET(SECUESTRADOS!D$1,MATCH(B281,SECUESTRADOS!A$2:A1405,0),0)) ,0 ,  OFFSET(SECUESTRADOS!D$1,MATCH(B281,SECUESTRADOS!A$2:A1405,0),0)  )</f>
        <v>0</v>
      </c>
      <c r="O281" s="30"/>
      <c r="P281" s="17" t="str">
        <f t="shared" si="3"/>
        <v>cuna windsurf</v>
      </c>
      <c r="Q281" s="17" t="str">
        <f t="shared" si="192"/>
        <v/>
      </c>
      <c r="R281" s="31"/>
      <c r="S281" s="31"/>
      <c r="T281" s="31"/>
    </row>
    <row r="282" ht="15.0" customHeight="1">
      <c r="A282" s="74" t="s">
        <v>42</v>
      </c>
      <c r="B282" s="74" t="s">
        <v>178</v>
      </c>
      <c r="C282" s="19">
        <v>1616.0</v>
      </c>
      <c r="D282" s="44" t="str">
        <f>if(   iserror(offset(PADRON!B$2,match(C:C,PADRON!A$2:A1405,0)-1,0,1,1) )  ,  ,    offset(PADRON!B$2,match(C:C,PADRON!A$2:A1405,0)-1,0,1,1))</f>
        <v>OLIVA, GUILLERMO</v>
      </c>
      <c r="E282" s="45">
        <v>45992.0</v>
      </c>
      <c r="F282" s="45"/>
      <c r="G282" s="23" t="s">
        <v>39</v>
      </c>
      <c r="H282" s="35">
        <f>IF( ISERROR( OFFSET(   'Cuadro tarifario'!D$2  , MATCH(CONCATENATE(                 IF(F282&gt;Mes,OFFSET(NroCT!B$17, MATCH($F282,NroCT!$A$18:$A1405,0),0,1,1),Periodovigente)                                                                                                                     ,A282) ,'Cuadro tarifario'!A$2:A1405,0) -1 , 0 , 1 , 1) )   , 0  ,   OFFSET(   'Cuadro tarifario'!D$2  , MATCH(CONCATENATE( IF(F282&gt;Mes,OFFSET(NroCT!B$17, MATCH($F282,NroCT!$A$18:$A1405,0),0,1,1),Periodovigente) ,A282) ,'Cuadro tarifario'!A$2:A1405,0) -1 , 0 , 1 , 1))</f>
        <v>4000</v>
      </c>
      <c r="I282" s="46">
        <f t="shared" si="193"/>
        <v>0</v>
      </c>
      <c r="J282" s="76">
        <f t="shared" si="79"/>
        <v>0</v>
      </c>
      <c r="K282" s="48">
        <f>if(  and(N282&gt;0,I282=0)          ,N282 ,                         If(  If( F282 ,  DAYS360(date(year(F282),month(F282),1),Mes)/30  ,  DAYS360(date(year(E282),month(E282),1),Mes)/30  )  &gt;  0 , If(F282,   DAYS360(date(year(F282),month(F282),1),Mes)/30  ,  DAYS360(date(year(E282),month(E282),1),Mes)/30) , 0)       )</f>
        <v>0</v>
      </c>
      <c r="L282" s="77">
        <f t="shared" si="194"/>
        <v>0</v>
      </c>
      <c r="M282" s="78"/>
      <c r="N282" s="29">
        <f>IF( ISERROR(OFFSET(SECUESTRADOS!D$1,MATCH(B282,SECUESTRADOS!A$2:A1405,0),0)) ,0 ,  OFFSET(SECUESTRADOS!D$1,MATCH(B282,SECUESTRADOS!A$2:A1405,0),0)  )</f>
        <v>0</v>
      </c>
      <c r="O282" s="30"/>
      <c r="P282" s="17" t="b">
        <f t="shared" si="3"/>
        <v>0</v>
      </c>
      <c r="Q282" s="17" t="str">
        <f t="shared" si="192"/>
        <v/>
      </c>
      <c r="R282" s="31"/>
      <c r="S282" s="31"/>
      <c r="T282" s="31"/>
    </row>
    <row r="283" ht="15.0" customHeight="1">
      <c r="A283" s="74" t="s">
        <v>71</v>
      </c>
      <c r="B283" s="74">
        <v>1618.0</v>
      </c>
      <c r="C283" s="19">
        <v>1618.0</v>
      </c>
      <c r="D283" s="44" t="str">
        <f>if(   iserror(offset(PADRON!B$2,match(C:C,PADRON!A$2:A1405,0)-1,0,1,1) )  ,  ,    offset(PADRON!B$2,match(C:C,PADRON!A$2:A1405,0)-1,0,1,1))</f>
        <v>VILLACORTA, GERARDO</v>
      </c>
      <c r="E283" s="45">
        <v>45717.0</v>
      </c>
      <c r="F283" s="45">
        <v>45901.0</v>
      </c>
      <c r="G283" s="23" t="s">
        <v>39</v>
      </c>
      <c r="H283" s="35">
        <f>IF( ISERROR( OFFSET(   'Cuadro tarifario'!D$2  , MATCH(CONCATENATE(                 IF(F283&gt;Mes,OFFSET(NroCT!B$17, MATCH($F283,NroCT!$A$18:$A1405,0),0,1,1),Periodovigente)                                                                                                                     ,A283) ,'Cuadro tarifario'!A$2:A1405,0) -1 , 0 , 1 , 1) )   , 0  ,   OFFSET(   'Cuadro tarifario'!D$2  , MATCH(CONCATENATE( IF(F283&gt;Mes,OFFSET(NroCT!B$17, MATCH($F283,NroCT!$A$18:$A1405,0),0,1,1),Periodovigente) ,A283) ,'Cuadro tarifario'!A$2:A1405,0) -1 , 0 , 1 , 1))</f>
        <v>11000</v>
      </c>
      <c r="I283" s="46">
        <f t="shared" si="193"/>
        <v>6</v>
      </c>
      <c r="J283" s="76">
        <f t="shared" si="79"/>
        <v>66000</v>
      </c>
      <c r="K283" s="48">
        <f>if(  and(N283&gt;0,I283=0)          ,N283 ,                         If(  If( F283 ,  DAYS360(date(year(F283),month(F283),1),Mes)/30  ,  DAYS360(date(year(E283),month(E283),1),Mes)/30  )  &gt;  0 , If(F283,   DAYS360(date(year(F283),month(F283),1),Mes)/30  ,  DAYS360(date(year(E283),month(E283),1),Mes)/30) , 0)       )</f>
        <v>0</v>
      </c>
      <c r="L283" s="77">
        <f t="shared" si="194"/>
        <v>0</v>
      </c>
      <c r="M283" s="78"/>
      <c r="N283" s="29">
        <f>IF( ISERROR(OFFSET(SECUESTRADOS!D$1,MATCH(B283,SECUESTRADOS!A$2:A1405,0),0)) ,0 ,  OFFSET(SECUESTRADOS!D$1,MATCH(B283,SECUESTRADOS!A$2:A1405,0),0)  )</f>
        <v>0</v>
      </c>
      <c r="O283" s="30"/>
      <c r="P283" s="17" t="str">
        <f t="shared" si="3"/>
        <v>.socio</v>
      </c>
      <c r="Q283" s="17" t="str">
        <f t="shared" si="192"/>
        <v/>
      </c>
      <c r="R283" s="31"/>
      <c r="S283" s="31"/>
      <c r="T283" s="31"/>
    </row>
    <row r="284" ht="15.0" customHeight="1">
      <c r="A284" s="74" t="s">
        <v>38</v>
      </c>
      <c r="B284" s="74">
        <v>1618.0</v>
      </c>
      <c r="C284" s="19">
        <v>1618.0</v>
      </c>
      <c r="D284" s="44" t="str">
        <f>if(   iserror(offset(PADRON!B$2,match(C:C,PADRON!A$2:A1405,0)-1,0,1,1) )  ,  ,    offset(PADRON!B$2,match(C:C,PADRON!A$2:A1405,0)-1,0,1,1))</f>
        <v>VILLACORTA, GERARDO</v>
      </c>
      <c r="E284" s="45">
        <v>45717.0</v>
      </c>
      <c r="F284" s="45">
        <v>45901.0</v>
      </c>
      <c r="G284" s="23" t="s">
        <v>39</v>
      </c>
      <c r="H284" s="35">
        <f>IF( ISERROR( OFFSET(   'Cuadro tarifario'!D$2  , MATCH(CONCATENATE(                 IF(F284&gt;Mes,OFFSET(NroCT!B$17, MATCH($F284,NroCT!$A$18:$A1405,0),0,1,1),Periodovigente)                                                                                                                     ,A284) ,'Cuadro tarifario'!A$2:A1405,0) -1 , 0 , 1 , 1) )   , 0  ,   OFFSET(   'Cuadro tarifario'!D$2  , MATCH(CONCATENATE( IF(F284&gt;Mes,OFFSET(NroCT!B$17, MATCH($F284,NroCT!$A$18:$A1405,0),0,1,1),Periodovigente) ,A284) ,'Cuadro tarifario'!A$2:A1405,0) -1 , 0 , 1 , 1))</f>
        <v>9000</v>
      </c>
      <c r="I284" s="46">
        <f t="shared" si="193"/>
        <v>6</v>
      </c>
      <c r="J284" s="76">
        <f t="shared" si="79"/>
        <v>54000</v>
      </c>
      <c r="K284" s="48">
        <f>if(  and(N284&gt;0,I284=0)          ,N284 ,                         If(  If( F284 ,  DAYS360(date(year(F284),month(F284),1),Mes)/30  ,  DAYS360(date(year(E284),month(E284),1),Mes)/30  )  &gt;  0 , If(F284,   DAYS360(date(year(F284),month(F284),1),Mes)/30  ,  DAYS360(date(year(E284),month(E284),1),Mes)/30) , 0)       )</f>
        <v>0</v>
      </c>
      <c r="L284" s="77">
        <f t="shared" si="194"/>
        <v>0</v>
      </c>
      <c r="M284" s="78"/>
      <c r="N284" s="29">
        <f>IF( ISERROR(OFFSET(SECUESTRADOS!D$1,MATCH(B284,SECUESTRADOS!A$2:A1405,0),0)) ,0 ,  OFFSET(SECUESTRADOS!D$1,MATCH(B284,SECUESTRADOS!A$2:A1405,0),0)  )</f>
        <v>0</v>
      </c>
      <c r="O284" s="30"/>
      <c r="P284" s="17" t="str">
        <f t="shared" si="3"/>
        <v>Bono canon</v>
      </c>
      <c r="Q284" s="17" t="str">
        <f t="shared" si="192"/>
        <v/>
      </c>
      <c r="R284" s="31"/>
      <c r="S284" s="31"/>
      <c r="T284" s="31"/>
    </row>
    <row r="285" ht="15.0" customHeight="1">
      <c r="A285" s="74" t="s">
        <v>40</v>
      </c>
      <c r="B285" s="74" t="s">
        <v>179</v>
      </c>
      <c r="C285" s="19">
        <v>1618.0</v>
      </c>
      <c r="D285" s="44" t="str">
        <f>if(   iserror(offset(PADRON!B$2,match(C:C,PADRON!A$2:A1405,0)-1,0,1,1) )  ,  ,    offset(PADRON!B$2,match(C:C,PADRON!A$2:A1405,0)-1,0,1,1))</f>
        <v>VILLACORTA, GERARDO</v>
      </c>
      <c r="E285" s="45">
        <v>45717.0</v>
      </c>
      <c r="F285" s="45">
        <v>45901.0</v>
      </c>
      <c r="G285" s="23" t="s">
        <v>39</v>
      </c>
      <c r="H285" s="35">
        <f>IF( ISERROR( OFFSET(   'Cuadro tarifario'!D$2  , MATCH(CONCATENATE(                 IF(F285&gt;Mes,OFFSET(NroCT!B$17, MATCH($F285,NroCT!$A$18:$A1405,0),0,1,1),Periodovigente)                                                                                                                     ,A285) ,'Cuadro tarifario'!A$2:A1405,0) -1 , 0 , 1 , 1) )   , 0  ,   OFFSET(   'Cuadro tarifario'!D$2  , MATCH(CONCATENATE( IF(F285&gt;Mes,OFFSET(NroCT!B$17, MATCH($F285,NroCT!$A$18:$A1405,0),0,1,1),Periodovigente) ,A285) ,'Cuadro tarifario'!A$2:A1405,0) -1 , 0 , 1 , 1))</f>
        <v>12000</v>
      </c>
      <c r="I285" s="46">
        <f t="shared" si="193"/>
        <v>6</v>
      </c>
      <c r="J285" s="76">
        <f t="shared" si="79"/>
        <v>72000</v>
      </c>
      <c r="K285" s="48">
        <f>if(  and(N285&gt;0,I285=0)          ,N285 ,                         If(  If( F285 ,  DAYS360(date(year(F285),month(F285),1),Mes)/30  ,  DAYS360(date(year(E285),month(E285),1),Mes)/30  )  &gt;  0 , If(F285,   DAYS360(date(year(F285),month(F285),1),Mes)/30  ,  DAYS360(date(year(E285),month(E285),1),Mes)/30) , 0)       )</f>
        <v>0</v>
      </c>
      <c r="L285" s="77">
        <f t="shared" si="194"/>
        <v>0</v>
      </c>
      <c r="M285" s="78"/>
      <c r="N285" s="29">
        <f>IF( ISERROR(OFFSET(SECUESTRADOS!D$1,MATCH(B285,SECUESTRADOS!A$2:A1405,0),0)) ,0 ,  OFFSET(SECUESTRADOS!D$1,MATCH(B285,SECUESTRADOS!A$2:A1405,0),0)  )</f>
        <v>0</v>
      </c>
      <c r="O285" s="30"/>
      <c r="P285" s="17" t="str">
        <f t="shared" si="3"/>
        <v>cuna windsurf</v>
      </c>
      <c r="Q285" s="17" t="str">
        <f t="shared" si="192"/>
        <v/>
      </c>
      <c r="R285" s="31"/>
      <c r="S285" s="31"/>
      <c r="T285" s="31"/>
    </row>
    <row r="286" ht="15.0" customHeight="1">
      <c r="A286" s="74" t="s">
        <v>50</v>
      </c>
      <c r="B286" s="74" t="s">
        <v>180</v>
      </c>
      <c r="C286" s="19">
        <v>1618.0</v>
      </c>
      <c r="D286" s="44" t="str">
        <f>if(   iserror(offset(PADRON!B$2,match(C:C,PADRON!A$2:A1405,0)-1,0,1,1) )  ,  ,    offset(PADRON!B$2,match(C:C,PADRON!A$2:A1405,0)-1,0,1,1))</f>
        <v>VILLACORTA, GERARDO</v>
      </c>
      <c r="E286" s="45">
        <v>45992.0</v>
      </c>
      <c r="F286" s="45"/>
      <c r="G286" s="23" t="s">
        <v>39</v>
      </c>
      <c r="H286" s="35">
        <f>IF( ISERROR( OFFSET(   'Cuadro tarifario'!D$2  , MATCH(CONCATENATE(                 IF(F286&gt;Mes,OFFSET(NroCT!B$17, MATCH($F286,NroCT!$A$18:$A1405,0),0,1,1),Periodovigente)                                                                                                                     ,A286) ,'Cuadro tarifario'!A$2:A1405,0) -1 , 0 , 1 , 1) )   , 0  ,   OFFSET(   'Cuadro tarifario'!D$2  , MATCH(CONCATENATE( IF(F286&gt;Mes,OFFSET(NroCT!B$17, MATCH($F286,NroCT!$A$18:$A1405,0),0,1,1),Periodovigente) ,A286) ,'Cuadro tarifario'!A$2:A1405,0) -1 , 0 , 1 , 1))</f>
        <v>3600</v>
      </c>
      <c r="I286" s="46">
        <f t="shared" si="193"/>
        <v>0</v>
      </c>
      <c r="J286" s="76">
        <f t="shared" si="79"/>
        <v>0</v>
      </c>
      <c r="K286" s="48">
        <f>if(  and(N286&gt;0,I286=0)          ,N286 ,                         If(  If( F286 ,  DAYS360(date(year(F286),month(F286),1),Mes)/30  ,  DAYS360(date(year(E286),month(E286),1),Mes)/30  )  &gt;  0 , If(F286,   DAYS360(date(year(F286),month(F286),1),Mes)/30  ,  DAYS360(date(year(E286),month(E286),1),Mes)/30) , 0)       )</f>
        <v>0</v>
      </c>
      <c r="L286" s="77">
        <f t="shared" si="194"/>
        <v>0</v>
      </c>
      <c r="M286" s="78"/>
      <c r="N286" s="29">
        <f>IF( ISERROR(OFFSET(SECUESTRADOS!D$1,MATCH(B286,SECUESTRADOS!A$2:A1405,0),0)) ,0 ,  OFFSET(SECUESTRADOS!D$1,MATCH(B286,SECUESTRADOS!A$2:A1405,0),0)  )</f>
        <v>0</v>
      </c>
      <c r="O286" s="30"/>
      <c r="P286" s="17" t="b">
        <f t="shared" si="3"/>
        <v>0</v>
      </c>
      <c r="Q286" s="17" t="str">
        <f t="shared" si="192"/>
        <v/>
      </c>
      <c r="R286" s="31"/>
      <c r="S286" s="31"/>
      <c r="T286" s="31"/>
    </row>
    <row r="287" ht="15.0" customHeight="1">
      <c r="A287" s="74" t="s">
        <v>42</v>
      </c>
      <c r="B287" s="74" t="s">
        <v>181</v>
      </c>
      <c r="C287" s="19">
        <v>1618.0</v>
      </c>
      <c r="D287" s="44" t="str">
        <f>if(   iserror(offset(PADRON!B$2,match(C:C,PADRON!A$2:A1405,0)-1,0,1,1) )  ,  ,    offset(PADRON!B$2,match(C:C,PADRON!A$2:A1405,0)-1,0,1,1))</f>
        <v>VILLACORTA, GERARDO</v>
      </c>
      <c r="E287" s="45">
        <v>45992.0</v>
      </c>
      <c r="F287" s="45"/>
      <c r="G287" s="23" t="s">
        <v>39</v>
      </c>
      <c r="H287" s="35">
        <f>IF( ISERROR( OFFSET(   'Cuadro tarifario'!D$2  , MATCH(CONCATENATE(                 IF(F287&gt;Mes,OFFSET(NroCT!B$17, MATCH($F287,NroCT!$A$18:$A1405,0),0,1,1),Periodovigente)                                                                                                                     ,A287) ,'Cuadro tarifario'!A$2:A1405,0) -1 , 0 , 1 , 1) )   , 0  ,   OFFSET(   'Cuadro tarifario'!D$2  , MATCH(CONCATENATE( IF(F287&gt;Mes,OFFSET(NroCT!B$17, MATCH($F287,NroCT!$A$18:$A1405,0),0,1,1),Periodovigente) ,A287) ,'Cuadro tarifario'!A$2:A1405,0) -1 , 0 , 1 , 1))</f>
        <v>4000</v>
      </c>
      <c r="I287" s="46">
        <f t="shared" si="193"/>
        <v>0</v>
      </c>
      <c r="J287" s="76">
        <f t="shared" si="79"/>
        <v>0</v>
      </c>
      <c r="K287" s="48">
        <f>if(  and(N287&gt;0,I287=0)          ,N287 ,                         If(  If( F287 ,  DAYS360(date(year(F287),month(F287),1),Mes)/30  ,  DAYS360(date(year(E287),month(E287),1),Mes)/30  )  &gt;  0 , If(F287,   DAYS360(date(year(F287),month(F287),1),Mes)/30  ,  DAYS360(date(year(E287),month(E287),1),Mes)/30) , 0)       )</f>
        <v>0</v>
      </c>
      <c r="L287" s="77">
        <f t="shared" si="194"/>
        <v>0</v>
      </c>
      <c r="M287" s="78"/>
      <c r="N287" s="29">
        <f>IF( ISERROR(OFFSET(SECUESTRADOS!D$1,MATCH(B287,SECUESTRADOS!A$2:A1405,0),0)) ,0 ,  OFFSET(SECUESTRADOS!D$1,MATCH(B287,SECUESTRADOS!A$2:A1405,0),0)  )</f>
        <v>0</v>
      </c>
      <c r="O287" s="30"/>
      <c r="P287" s="17" t="b">
        <f t="shared" si="3"/>
        <v>0</v>
      </c>
      <c r="Q287" s="17" t="str">
        <f t="shared" si="192"/>
        <v/>
      </c>
      <c r="R287" s="31"/>
      <c r="S287" s="31"/>
      <c r="T287" s="31"/>
    </row>
    <row r="288" ht="15.0" customHeight="1">
      <c r="A288" s="74" t="s">
        <v>71</v>
      </c>
      <c r="B288" s="74">
        <v>1627.0</v>
      </c>
      <c r="C288" s="19">
        <v>1627.0</v>
      </c>
      <c r="D288" s="20" t="str">
        <f>IF(   ISERROR(OFFSET(PADRON!B$2,MATCH(C:C,PADRON!A$2:A1405,0)-1,0,1,1) )  ,  ,    OFFSET(PADRON!B$2,MATCH(C:C,PADRON!A$2:A1405,0)-1,0,1,1))</f>
        <v>REINHARD, JUAN CRUZ</v>
      </c>
      <c r="E288" s="45">
        <v>45839.0</v>
      </c>
      <c r="F288" s="45">
        <v>45870.0</v>
      </c>
      <c r="G288" s="23" t="s">
        <v>39</v>
      </c>
      <c r="H288" s="24">
        <f>IF( ISERROR( OFFSET(   'Cuadro tarifario'!D$2  , MATCH(CONCATENATE(                 IF(F288&gt;Mes,OFFSET(NroCT!B$17, MATCH($F288,NroCT!$A$18:$A1405,0),0,1,1),Periodovigente)                                                                                                                     ,A288) ,'Cuadro tarifario'!A$2:A1405,0) -1 , 0 , 1 , 1) )   , 0  ,   OFFSET(   'Cuadro tarifario'!D$2  , MATCH(CONCATENATE( IF(F288&gt;Mes,OFFSET(NroCT!B$17, MATCH($F288,NroCT!$A$18:$A1405,0),0,1,1),Periodovigente) ,A288) ,'Cuadro tarifario'!A$2:A1405,0) -1 , 0 , 1 , 1))</f>
        <v>11000</v>
      </c>
      <c r="I288" s="85">
        <f t="shared" ref="I288:I692" si="195">INT(IF(F288,DAYS360(          DATE(YEAR(E288),MONTH(E288),1),         DATE(YEAR(F288)     ,      MONTH(F288),1 )    )            /30,0 ))</f>
        <v>1</v>
      </c>
      <c r="J288" s="101">
        <f t="shared" si="79"/>
        <v>11000</v>
      </c>
      <c r="K288" s="87">
        <f>IF(  AND(N288&gt;0,I288=0)          ,N288 ,                         IF(  IF( F288 ,  DAYS360(DATE(YEAR(F288),MONTH(F288),1),Mes)/30  ,  DAYS360(DATE(YEAR(E288),MONTH(E288),1),Mes)/30  )  &gt;  0 , IF(F288,   DAYS360(DATE(YEAR(F288),MONTH(F288),1),Mes)/30  ,  DAYS360(DATE(YEAR(E288),MONTH(E288),1),Mes)/30) , 0)       )</f>
        <v>0</v>
      </c>
      <c r="L288" s="102">
        <f t="shared" ref="L288:L692" si="196">IF(ISERROR(K:K*H:H)   ,  0   ,   K:K*H:H)</f>
        <v>0</v>
      </c>
      <c r="M288" s="103"/>
      <c r="N288" s="29">
        <f>IF( ISERROR(OFFSET(SECUESTRADOS!D$1,MATCH(B288,SECUESTRADOS!A$2:A1405,0),0)) ,0 ,  OFFSET(SECUESTRADOS!D$1,MATCH(B288,SECUESTRADOS!A$2:A1405,0),0)  )</f>
        <v>0</v>
      </c>
      <c r="O288" s="30"/>
      <c r="P288" s="17" t="str">
        <f t="shared" si="3"/>
        <v>.socio</v>
      </c>
      <c r="Q288" s="17" t="str">
        <f>IF(AND(A288=#REF!,B288=#REF!,C288=#REF!),"Repetido","")</f>
        <v>#REF!</v>
      </c>
      <c r="R288" s="31"/>
      <c r="S288" s="31"/>
      <c r="T288" s="31"/>
    </row>
    <row r="289" ht="15.0" customHeight="1">
      <c r="A289" s="18" t="s">
        <v>38</v>
      </c>
      <c r="B289" s="17">
        <v>1627.0</v>
      </c>
      <c r="C289" s="19">
        <v>1627.0</v>
      </c>
      <c r="D289" s="20" t="str">
        <f>IF(   ISERROR(OFFSET(PADRON!B$2,MATCH(C:C,PADRON!A$2:A1405,0)-1,0,1,1) )  ,  ,    OFFSET(PADRON!B$2,MATCH(C:C,PADRON!A$2:A1405,0)-1,0,1,1))</f>
        <v>REINHARD, JUAN CRUZ</v>
      </c>
      <c r="E289" s="21">
        <v>45839.0</v>
      </c>
      <c r="F289" s="21">
        <v>45870.0</v>
      </c>
      <c r="G289" s="23" t="s">
        <v>39</v>
      </c>
      <c r="H289" s="24">
        <f>IF( ISERROR( OFFSET(   'Cuadro tarifario'!D$2  , MATCH(CONCATENATE(                 IF(F289&gt;Mes,OFFSET(NroCT!B$17, MATCH($F289,NroCT!$A$18:$A1405,0),0,1,1),Periodovigente)                                                                                                                     ,A289) ,'Cuadro tarifario'!A$2:A1405,0) -1 , 0 , 1 , 1) )   , 0  ,   OFFSET(   'Cuadro tarifario'!D$2  , MATCH(CONCATENATE( IF(F289&gt;Mes,OFFSET(NroCT!B$17, MATCH($F289,NroCT!$A$18:$A1405,0),0,1,1),Periodovigente) ,A289) ,'Cuadro tarifario'!A$2:A1405,0) -1 , 0 , 1 , 1))</f>
        <v>9000</v>
      </c>
      <c r="I289" s="106">
        <f t="shared" si="195"/>
        <v>1</v>
      </c>
      <c r="J289" s="107">
        <f t="shared" si="79"/>
        <v>9000</v>
      </c>
      <c r="K289" s="108">
        <f>IF(  AND(N289&gt;0,I289=0)          ,N289 ,                         IF(  IF( F289 ,  DAYS360(DATE(YEAR(F289),MONTH(F289),1),Mes)/30  ,  DAYS360(DATE(YEAR(E289),MONTH(E289),1),Mes)/30  )  &gt;  0 , IF(F289,   DAYS360(DATE(YEAR(F289),MONTH(F289),1),Mes)/30  ,  DAYS360(DATE(YEAR(E289),MONTH(E289),1),Mes)/30) , 0)       )</f>
        <v>0</v>
      </c>
      <c r="L289" s="109">
        <f t="shared" si="196"/>
        <v>0</v>
      </c>
      <c r="M289" s="110"/>
      <c r="N289" s="29">
        <f>IF( ISERROR(OFFSET(SECUESTRADOS!D$1,MATCH(B289,SECUESTRADOS!A$2:A1405,0),0)) ,0 ,  OFFSET(SECUESTRADOS!D$1,MATCH(B289,SECUESTRADOS!A$2:A1405,0),0)  )</f>
        <v>0</v>
      </c>
      <c r="O289" s="30"/>
      <c r="P289" s="17" t="str">
        <f t="shared" si="3"/>
        <v>Bono canon</v>
      </c>
      <c r="Q289" s="17" t="str">
        <f t="shared" ref="Q289:Q290" si="197">IF(AND(A289=A288,B289=B288,C289=C288),"Repetido","")</f>
        <v/>
      </c>
      <c r="R289" s="31"/>
      <c r="S289" s="31"/>
      <c r="T289" s="31"/>
    </row>
    <row r="290" ht="15.0" customHeight="1">
      <c r="A290" s="18" t="s">
        <v>48</v>
      </c>
      <c r="B290" s="18" t="s">
        <v>182</v>
      </c>
      <c r="C290" s="19">
        <v>1627.0</v>
      </c>
      <c r="D290" s="20" t="str">
        <f>IF(   ISERROR(OFFSET(PADRON!B$2,MATCH(C:C,PADRON!A$2:A1405,0)-1,0,1,1) )  ,  ,    OFFSET(PADRON!B$2,MATCH(C:C,PADRON!A$2:A1405,0)-1,0,1,1))</f>
        <v>REINHARD, JUAN CRUZ</v>
      </c>
      <c r="E290" s="21">
        <v>45839.0</v>
      </c>
      <c r="F290" s="21">
        <v>45870.0</v>
      </c>
      <c r="G290" s="23" t="s">
        <v>39</v>
      </c>
      <c r="H290" s="24">
        <f>IF( ISERROR( OFFSET(   'Cuadro tarifario'!D$2  , MATCH(CONCATENATE(                 IF(F290&gt;Mes,OFFSET(NroCT!B$17, MATCH($F290,NroCT!$A$18:$A1405,0),0,1,1),Periodovigente)                                                                                                                     ,A290) ,'Cuadro tarifario'!A$2:A1405,0) -1 , 0 , 1 , 1) )   , 0  ,   OFFSET(   'Cuadro tarifario'!D$2  , MATCH(CONCATENATE( IF(F290&gt;Mes,OFFSET(NroCT!B$17, MATCH($F290,NroCT!$A$18:$A1405,0),0,1,1),Periodovigente) ,A290) ,'Cuadro tarifario'!A$2:A1405,0) -1 , 0 , 1 , 1))</f>
        <v>12000</v>
      </c>
      <c r="I290" s="106">
        <f t="shared" si="195"/>
        <v>1</v>
      </c>
      <c r="J290" s="107">
        <f t="shared" si="79"/>
        <v>12000</v>
      </c>
      <c r="K290" s="108">
        <f>IF(  AND(N290&gt;0,I290=0)          ,N290 ,                         IF(  IF( F290 ,  DAYS360(DATE(YEAR(F290),MONTH(F290),1),Mes)/30  ,  DAYS360(DATE(YEAR(E290),MONTH(E290),1),Mes)/30  )  &gt;  0 , IF(F290,   DAYS360(DATE(YEAR(F290),MONTH(F290),1),Mes)/30  ,  DAYS360(DATE(YEAR(E290),MONTH(E290),1),Mes)/30) , 0)       )</f>
        <v>0</v>
      </c>
      <c r="L290" s="109">
        <f t="shared" si="196"/>
        <v>0</v>
      </c>
      <c r="M290" s="110"/>
      <c r="N290" s="29">
        <f>IF( ISERROR(OFFSET(SECUESTRADOS!D$1,MATCH(B290,SECUESTRADOS!A$2:A1405,0),0)) ,0 ,  OFFSET(SECUESTRADOS!D$1,MATCH(B290,SECUESTRADOS!A$2:A1405,0),0)  )</f>
        <v>0</v>
      </c>
      <c r="O290" s="30"/>
      <c r="P290" s="17" t="str">
        <f t="shared" si="3"/>
        <v>velero</v>
      </c>
      <c r="Q290" s="17" t="str">
        <f t="shared" si="197"/>
        <v/>
      </c>
      <c r="R290" s="31"/>
      <c r="S290" s="31"/>
      <c r="T290" s="31"/>
    </row>
    <row r="291" ht="15.0" customHeight="1">
      <c r="A291" s="74" t="s">
        <v>71</v>
      </c>
      <c r="B291" s="74">
        <v>1631.0</v>
      </c>
      <c r="C291" s="19">
        <v>1631.0</v>
      </c>
      <c r="D291" s="20" t="str">
        <f>IF(   ISERROR(OFFSET(PADRON!B$2,MATCH(C:C,PADRON!A$2:A1405,0)-1,0,1,1) )  ,  ,    OFFSET(PADRON!B$2,MATCH(C:C,PADRON!A$2:A1405,0)-1,0,1,1))</f>
        <v>HALECKA, JUAN GABRIEL</v>
      </c>
      <c r="E291" s="45">
        <v>45809.0</v>
      </c>
      <c r="F291" s="45">
        <v>45870.0</v>
      </c>
      <c r="G291" s="23" t="s">
        <v>39</v>
      </c>
      <c r="H291" s="24">
        <f>IF( ISERROR( OFFSET(   'Cuadro tarifario'!D$2  , MATCH(CONCATENATE(                 IF(F291&gt;Mes,OFFSET(NroCT!B$17, MATCH($F291,NroCT!$A$18:$A1405,0),0,1,1),Periodovigente)                                                                                                                     ,A291) ,'Cuadro tarifario'!A$2:A1405,0) -1 , 0 , 1 , 1) )   , 0  ,   OFFSET(   'Cuadro tarifario'!D$2  , MATCH(CONCATENATE( IF(F291&gt;Mes,OFFSET(NroCT!B$17, MATCH($F291,NroCT!$A$18:$A1405,0),0,1,1),Periodovigente) ,A291) ,'Cuadro tarifario'!A$2:A1405,0) -1 , 0 , 1 , 1))</f>
        <v>11000</v>
      </c>
      <c r="I291" s="85">
        <f t="shared" si="195"/>
        <v>2</v>
      </c>
      <c r="J291" s="101">
        <f t="shared" si="79"/>
        <v>22000</v>
      </c>
      <c r="K291" s="87">
        <f>IF(  AND(N291&gt;0,I291=0)          ,N291 ,                         IF(  IF( F291 ,  DAYS360(DATE(YEAR(F291),MONTH(F291),1),Mes)/30  ,  DAYS360(DATE(YEAR(E291),MONTH(E291),1),Mes)/30  )  &gt;  0 , IF(F291,   DAYS360(DATE(YEAR(F291),MONTH(F291),1),Mes)/30  ,  DAYS360(DATE(YEAR(E291),MONTH(E291),1),Mes)/30) , 0)       )</f>
        <v>0</v>
      </c>
      <c r="L291" s="102">
        <f t="shared" si="196"/>
        <v>0</v>
      </c>
      <c r="M291" s="103"/>
      <c r="N291" s="29">
        <f>IF( ISERROR(OFFSET(SECUESTRADOS!D$1,MATCH(B291,SECUESTRADOS!A$2:A1405,0),0)) ,0 ,  OFFSET(SECUESTRADOS!D$1,MATCH(B291,SECUESTRADOS!A$2:A1405,0),0)  )</f>
        <v>0</v>
      </c>
      <c r="O291" s="30"/>
      <c r="P291" s="17" t="str">
        <f t="shared" si="3"/>
        <v>.socio</v>
      </c>
      <c r="Q291" s="17" t="str">
        <f>IF(AND(A291=A289,B291=B289,C291=C289),"Repetido","")</f>
        <v/>
      </c>
      <c r="R291" s="31"/>
      <c r="S291" s="31"/>
      <c r="T291" s="31"/>
    </row>
    <row r="292" ht="15.0" customHeight="1">
      <c r="A292" s="18" t="s">
        <v>38</v>
      </c>
      <c r="B292" s="17">
        <v>1631.0</v>
      </c>
      <c r="C292" s="19">
        <v>1631.0</v>
      </c>
      <c r="D292" s="20" t="str">
        <f>IF(   ISERROR(OFFSET(PADRON!B$2,MATCH(C:C,PADRON!A$2:A1405,0)-1,0,1,1) )  ,  ,    OFFSET(PADRON!B$2,MATCH(C:C,PADRON!A$2:A1405,0)-1,0,1,1))</f>
        <v>HALECKA, JUAN GABRIEL</v>
      </c>
      <c r="E292" s="21">
        <v>45809.0</v>
      </c>
      <c r="F292" s="21">
        <v>45870.0</v>
      </c>
      <c r="G292" s="23" t="s">
        <v>39</v>
      </c>
      <c r="H292" s="24">
        <f>IF( ISERROR( OFFSET(   'Cuadro tarifario'!D$2  , MATCH(CONCATENATE(                 IF(F292&gt;Mes,OFFSET(NroCT!B$17, MATCH($F292,NroCT!$A$18:$A1405,0),0,1,1),Periodovigente)                                                                                                                     ,A292) ,'Cuadro tarifario'!A$2:A1405,0) -1 , 0 , 1 , 1) )   , 0  ,   OFFSET(   'Cuadro tarifario'!D$2  , MATCH(CONCATENATE( IF(F292&gt;Mes,OFFSET(NroCT!B$17, MATCH($F292,NroCT!$A$18:$A1405,0),0,1,1),Periodovigente) ,A292) ,'Cuadro tarifario'!A$2:A1405,0) -1 , 0 , 1 , 1))</f>
        <v>9000</v>
      </c>
      <c r="I292" s="106">
        <f t="shared" si="195"/>
        <v>2</v>
      </c>
      <c r="J292" s="107">
        <f t="shared" si="79"/>
        <v>18000</v>
      </c>
      <c r="K292" s="108">
        <f>IF(  AND(N292&gt;0,I292=0)          ,N292 ,                         IF(  IF( F292 ,  DAYS360(DATE(YEAR(F292),MONTH(F292),1),Mes)/30  ,  DAYS360(DATE(YEAR(E292),MONTH(E292),1),Mes)/30  )  &gt;  0 , IF(F292,   DAYS360(DATE(YEAR(F292),MONTH(F292),1),Mes)/30  ,  DAYS360(DATE(YEAR(E292),MONTH(E292),1),Mes)/30) , 0)       )</f>
        <v>0</v>
      </c>
      <c r="L292" s="109">
        <f t="shared" si="196"/>
        <v>0</v>
      </c>
      <c r="M292" s="110"/>
      <c r="N292" s="29">
        <f>IF( ISERROR(OFFSET(SECUESTRADOS!D$1,MATCH(B292,SECUESTRADOS!A$2:A1405,0),0)) ,0 ,  OFFSET(SECUESTRADOS!D$1,MATCH(B292,SECUESTRADOS!A$2:A1405,0),0)  )</f>
        <v>0</v>
      </c>
      <c r="O292" s="30"/>
      <c r="P292" s="17" t="str">
        <f t="shared" si="3"/>
        <v>Bono canon</v>
      </c>
      <c r="Q292" s="17" t="str">
        <f t="shared" ref="Q292:Q300" si="198">IF(AND(A292=A291,B292=B291,C292=C291),"Repetido","")</f>
        <v/>
      </c>
      <c r="R292" s="31"/>
      <c r="S292" s="31"/>
      <c r="T292" s="31"/>
    </row>
    <row r="293" ht="15.0" customHeight="1">
      <c r="A293" s="74" t="s">
        <v>40</v>
      </c>
      <c r="B293" s="74" t="s">
        <v>183</v>
      </c>
      <c r="C293" s="19">
        <v>1631.0</v>
      </c>
      <c r="D293" s="20" t="str">
        <f>IF(   ISERROR(OFFSET(PADRON!B$2,MATCH(C:C,PADRON!A$2:A1405,0)-1,0,1,1) )  ,  ,    OFFSET(PADRON!B$2,MATCH(C:C,PADRON!A$2:A1405,0)-1,0,1,1))</f>
        <v>HALECKA, JUAN GABRIEL</v>
      </c>
      <c r="E293" s="45">
        <v>45809.0</v>
      </c>
      <c r="F293" s="45">
        <v>45870.0</v>
      </c>
      <c r="G293" s="23" t="s">
        <v>39</v>
      </c>
      <c r="H293" s="24">
        <f>IF( ISERROR( OFFSET(   'Cuadro tarifario'!D$2  , MATCH(CONCATENATE(                 IF(F293&gt;Mes,OFFSET(NroCT!B$17, MATCH($F293,NroCT!$A$18:$A1405,0),0,1,1),Periodovigente)                                                                                                                     ,A293) ,'Cuadro tarifario'!A$2:A1405,0) -1 , 0 , 1 , 1) )   , 0  ,   OFFSET(   'Cuadro tarifario'!D$2  , MATCH(CONCATENATE( IF(F293&gt;Mes,OFFSET(NroCT!B$17, MATCH($F293,NroCT!$A$18:$A1405,0),0,1,1),Periodovigente) ,A293) ,'Cuadro tarifario'!A$2:A1405,0) -1 , 0 , 1 , 1))</f>
        <v>12000</v>
      </c>
      <c r="I293" s="85">
        <f t="shared" si="195"/>
        <v>2</v>
      </c>
      <c r="J293" s="101">
        <f t="shared" si="79"/>
        <v>24000</v>
      </c>
      <c r="K293" s="87">
        <f>IF(  AND(N293&gt;0,I293=0)          ,N293 ,                         IF(  IF( F293 ,  DAYS360(DATE(YEAR(F293),MONTH(F293),1),Mes)/30  ,  DAYS360(DATE(YEAR(E293),MONTH(E293),1),Mes)/30  )  &gt;  0 , IF(F293,   DAYS360(DATE(YEAR(F293),MONTH(F293),1),Mes)/30  ,  DAYS360(DATE(YEAR(E293),MONTH(E293),1),Mes)/30) , 0)       )</f>
        <v>0</v>
      </c>
      <c r="L293" s="102">
        <f t="shared" si="196"/>
        <v>0</v>
      </c>
      <c r="M293" s="103"/>
      <c r="N293" s="29">
        <f>IF( ISERROR(OFFSET(SECUESTRADOS!D$1,MATCH(B293,SECUESTRADOS!A$2:A1405,0),0)) ,0 ,  OFFSET(SECUESTRADOS!D$1,MATCH(B293,SECUESTRADOS!A$2:A1405,0),0)  )</f>
        <v>0</v>
      </c>
      <c r="O293" s="30"/>
      <c r="P293" s="17" t="str">
        <f t="shared" si="3"/>
        <v>cuna windsurf</v>
      </c>
      <c r="Q293" s="17" t="str">
        <f t="shared" si="198"/>
        <v/>
      </c>
      <c r="R293" s="31"/>
      <c r="S293" s="31"/>
      <c r="T293" s="31"/>
    </row>
    <row r="294" ht="19.5" customHeight="1">
      <c r="A294" s="74" t="s">
        <v>50</v>
      </c>
      <c r="B294" s="74" t="s">
        <v>184</v>
      </c>
      <c r="C294" s="19">
        <v>1631.0</v>
      </c>
      <c r="D294" s="20" t="str">
        <f>IF(   ISERROR(OFFSET(PADRON!B$2,MATCH(C:C,PADRON!A$2:A1405,0)-1,0,1,1) )  ,  ,    OFFSET(PADRON!B$2,MATCH(C:C,PADRON!A$2:A1405,0)-1,0,1,1))</f>
        <v>HALECKA, JUAN GABRIEL</v>
      </c>
      <c r="E294" s="45">
        <v>45992.0</v>
      </c>
      <c r="F294" s="45"/>
      <c r="G294" s="23" t="s">
        <v>39</v>
      </c>
      <c r="H294" s="24">
        <f>IF( ISERROR( OFFSET(   'Cuadro tarifario'!D$2  , MATCH(CONCATENATE(                 IF(F294&gt;Mes,OFFSET(NroCT!B$17, MATCH($F294,NroCT!$A$18:$A1405,0),0,1,1),Periodovigente)                                                                                                                     ,A294) ,'Cuadro tarifario'!A$2:A1405,0) -1 , 0 , 1 , 1) )   , 0  ,   OFFSET(   'Cuadro tarifario'!D$2  , MATCH(CONCATENATE( IF(F294&gt;Mes,OFFSET(NroCT!B$17, MATCH($F294,NroCT!$A$18:$A1405,0),0,1,1),Periodovigente) ,A294) ,'Cuadro tarifario'!A$2:A1405,0) -1 , 0 , 1 , 1))</f>
        <v>3600</v>
      </c>
      <c r="I294" s="85">
        <f t="shared" si="195"/>
        <v>0</v>
      </c>
      <c r="J294" s="101">
        <f t="shared" si="79"/>
        <v>0</v>
      </c>
      <c r="K294" s="111" t="s">
        <v>154</v>
      </c>
      <c r="L294" s="102">
        <f t="shared" si="196"/>
        <v>0</v>
      </c>
      <c r="M294" s="103"/>
      <c r="N294" s="29">
        <f>IF( ISERROR(OFFSET(SECUESTRADOS!D$1,MATCH(B294,SECUESTRADOS!A$2:A1405,0),0)) ,0 ,  OFFSET(SECUESTRADOS!D$1,MATCH(B294,SECUESTRADOS!A$2:A1405,0),0)  )</f>
        <v>0</v>
      </c>
      <c r="O294" s="30"/>
      <c r="P294" s="17" t="b">
        <f t="shared" si="3"/>
        <v>0</v>
      </c>
      <c r="Q294" s="17" t="str">
        <f t="shared" si="198"/>
        <v/>
      </c>
      <c r="R294" s="31"/>
      <c r="S294" s="31"/>
      <c r="T294" s="31"/>
    </row>
    <row r="295" ht="15.0" customHeight="1">
      <c r="A295" s="74" t="s">
        <v>71</v>
      </c>
      <c r="B295" s="74">
        <v>1632.0</v>
      </c>
      <c r="C295" s="19">
        <v>1632.0</v>
      </c>
      <c r="D295" s="20" t="str">
        <f>IF(   ISERROR(OFFSET(PADRON!B$2,MATCH(C:C,PADRON!A$2:A1405,0)-1,0,1,1) )  ,  ,    OFFSET(PADRON!B$2,MATCH(C:C,PADRON!A$2:A1405,0)-1,0,1,1))</f>
        <v>ANGELINETTI, CARLOS</v>
      </c>
      <c r="E295" s="45">
        <v>45778.0</v>
      </c>
      <c r="F295" s="21">
        <v>45870.0</v>
      </c>
      <c r="G295" s="23" t="s">
        <v>39</v>
      </c>
      <c r="H295" s="24">
        <f>IF( ISERROR( OFFSET(   'Cuadro tarifario'!D$2  , MATCH(CONCATENATE(                 IF(F295&gt;Mes,OFFSET(NroCT!B$17, MATCH($F295,NroCT!$A$18:$A1405,0),0,1,1),Periodovigente)                                                                                                                     ,A295) ,'Cuadro tarifario'!A$2:A1405,0) -1 , 0 , 1 , 1) )   , 0  ,   OFFSET(   'Cuadro tarifario'!D$2  , MATCH(CONCATENATE( IF(F295&gt;Mes,OFFSET(NroCT!B$17, MATCH($F295,NroCT!$A$18:$A1405,0),0,1,1),Periodovigente) ,A295) ,'Cuadro tarifario'!A$2:A1405,0) -1 , 0 , 1 , 1))</f>
        <v>11000</v>
      </c>
      <c r="I295" s="85">
        <f t="shared" si="195"/>
        <v>3</v>
      </c>
      <c r="J295" s="101">
        <f t="shared" si="79"/>
        <v>33000</v>
      </c>
      <c r="K295" s="87">
        <f>IF(  AND(N295&gt;0,I295=0)          ,N295 ,                         IF(  IF( F295 ,  DAYS360(DATE(YEAR(F295),MONTH(F295),1),Mes)/30  ,  DAYS360(DATE(YEAR(E295),MONTH(E295),1),Mes)/30  )  &gt;  0 , IF(F295,   DAYS360(DATE(YEAR(F295),MONTH(F295),1),Mes)/30  ,  DAYS360(DATE(YEAR(E295),MONTH(E295),1),Mes)/30) , 0)       )</f>
        <v>0</v>
      </c>
      <c r="L295" s="102">
        <f t="shared" si="196"/>
        <v>0</v>
      </c>
      <c r="M295" s="103"/>
      <c r="N295" s="29">
        <f>IF( ISERROR(OFFSET(SECUESTRADOS!D$1,MATCH(B295,SECUESTRADOS!A$2:A1405,0),0)) ,0 ,  OFFSET(SECUESTRADOS!D$1,MATCH(B295,SECUESTRADOS!A$2:A1405,0),0)  )</f>
        <v>0</v>
      </c>
      <c r="O295" s="30"/>
      <c r="P295" s="17" t="str">
        <f t="shared" si="3"/>
        <v>.socio</v>
      </c>
      <c r="Q295" s="17" t="str">
        <f t="shared" si="198"/>
        <v/>
      </c>
      <c r="R295" s="31"/>
      <c r="S295" s="31"/>
      <c r="T295" s="31"/>
    </row>
    <row r="296" ht="15.0" customHeight="1">
      <c r="A296" s="18" t="s">
        <v>38</v>
      </c>
      <c r="B296" s="17">
        <v>1632.0</v>
      </c>
      <c r="C296" s="19">
        <v>1632.0</v>
      </c>
      <c r="D296" s="20" t="str">
        <f>IF(   ISERROR(OFFSET(PADRON!B$2,MATCH(C:C,PADRON!A$2:A1405,0)-1,0,1,1) )  ,  ,    OFFSET(PADRON!B$2,MATCH(C:C,PADRON!A$2:A1405,0)-1,0,1,1))</f>
        <v>ANGELINETTI, CARLOS</v>
      </c>
      <c r="E296" s="21">
        <v>45778.0</v>
      </c>
      <c r="F296" s="21">
        <v>45870.0</v>
      </c>
      <c r="G296" s="23" t="s">
        <v>39</v>
      </c>
      <c r="H296" s="24">
        <f>IF( ISERROR( OFFSET(   'Cuadro tarifario'!D$2  , MATCH(CONCATENATE(                 IF(F296&gt;Mes,OFFSET(NroCT!B$17, MATCH($F296,NroCT!$A$18:$A1405,0),0,1,1),Periodovigente)                                                                                                                     ,A296) ,'Cuadro tarifario'!A$2:A1405,0) -1 , 0 , 1 , 1) )   , 0  ,   OFFSET(   'Cuadro tarifario'!D$2  , MATCH(CONCATENATE( IF(F296&gt;Mes,OFFSET(NroCT!B$17, MATCH($F296,NroCT!$A$18:$A1405,0),0,1,1),Periodovigente) ,A296) ,'Cuadro tarifario'!A$2:A1405,0) -1 , 0 , 1 , 1))</f>
        <v>9000</v>
      </c>
      <c r="I296" s="106">
        <f t="shared" si="195"/>
        <v>3</v>
      </c>
      <c r="J296" s="107">
        <f t="shared" si="79"/>
        <v>27000</v>
      </c>
      <c r="K296" s="108">
        <f>IF(  AND(N296&gt;0,I296=0)          ,N296 ,                         IF(  IF( F296 ,  DAYS360(DATE(YEAR(F296),MONTH(F296),1),Mes)/30  ,  DAYS360(DATE(YEAR(E296),MONTH(E296),1),Mes)/30  )  &gt;  0 , IF(F296,   DAYS360(DATE(YEAR(F296),MONTH(F296),1),Mes)/30  ,  DAYS360(DATE(YEAR(E296),MONTH(E296),1),Mes)/30) , 0)       )</f>
        <v>0</v>
      </c>
      <c r="L296" s="109">
        <f t="shared" si="196"/>
        <v>0</v>
      </c>
      <c r="M296" s="110"/>
      <c r="N296" s="29">
        <f>IF( ISERROR(OFFSET(SECUESTRADOS!D$1,MATCH(B296,SECUESTRADOS!A$2:A1405,0),0)) ,0 ,  OFFSET(SECUESTRADOS!D$1,MATCH(B296,SECUESTRADOS!A$2:A1405,0),0)  )</f>
        <v>0</v>
      </c>
      <c r="O296" s="30"/>
      <c r="P296" s="17" t="str">
        <f t="shared" si="3"/>
        <v>Bono canon</v>
      </c>
      <c r="Q296" s="17" t="str">
        <f t="shared" si="198"/>
        <v/>
      </c>
      <c r="R296" s="31"/>
      <c r="S296" s="31"/>
      <c r="T296" s="31"/>
    </row>
    <row r="297" ht="15.0" customHeight="1">
      <c r="A297" s="74" t="s">
        <v>82</v>
      </c>
      <c r="B297" s="74" t="s">
        <v>185</v>
      </c>
      <c r="C297" s="19">
        <v>1632.0</v>
      </c>
      <c r="D297" s="20" t="str">
        <f>IF(   ISERROR(OFFSET(PADRON!B$2,MATCH(C:C,PADRON!A$2:A1405,0)-1,0,1,1) )  ,  ,    OFFSET(PADRON!B$2,MATCH(C:C,PADRON!A$2:A1405,0)-1,0,1,1))</f>
        <v>ANGELINETTI, CARLOS</v>
      </c>
      <c r="E297" s="45">
        <v>45778.0</v>
      </c>
      <c r="F297" s="21">
        <v>45870.0</v>
      </c>
      <c r="G297" s="23" t="s">
        <v>39</v>
      </c>
      <c r="H297" s="24">
        <f>IF( ISERROR( OFFSET(   'Cuadro tarifario'!D$2  , MATCH(CONCATENATE(                 IF(F297&gt;Mes,OFFSET(NroCT!B$17, MATCH($F297,NroCT!$A$18:$A1405,0),0,1,1),Periodovigente)                                                                                                                     ,A297) ,'Cuadro tarifario'!A$2:A1405,0) -1 , 0 , 1 , 1) )   , 0  ,   OFFSET(   'Cuadro tarifario'!D$2  , MATCH(CONCATENATE( IF(F297&gt;Mes,OFFSET(NroCT!B$17, MATCH($F297,NroCT!$A$18:$A1405,0),0,1,1),Periodovigente) ,A297) ,'Cuadro tarifario'!A$2:A1405,0) -1 , 0 , 1 , 1))</f>
        <v>12000</v>
      </c>
      <c r="I297" s="85">
        <f t="shared" si="195"/>
        <v>3</v>
      </c>
      <c r="J297" s="101">
        <f t="shared" si="79"/>
        <v>36000</v>
      </c>
      <c r="K297" s="87">
        <f>IF(  AND(N297&gt;0,I297=0)          ,N297 ,                         IF(  IF( F297 ,  DAYS360(DATE(YEAR(F297),MONTH(F297),1),Mes)/30  ,  DAYS360(DATE(YEAR(E297),MONTH(E297),1),Mes)/30  )  &gt;  0 , IF(F297,   DAYS360(DATE(YEAR(F297),MONTH(F297),1),Mes)/30  ,  DAYS360(DATE(YEAR(E297),MONTH(E297),1),Mes)/30) , 0)       )</f>
        <v>0</v>
      </c>
      <c r="L297" s="102">
        <f t="shared" si="196"/>
        <v>0</v>
      </c>
      <c r="M297" s="103"/>
      <c r="N297" s="29">
        <f>IF( ISERROR(OFFSET(SECUESTRADOS!D$1,MATCH(B297,SECUESTRADOS!A$2:A1405,0),0)) ,0 ,  OFFSET(SECUESTRADOS!D$1,MATCH(B297,SECUESTRADOS!A$2:A1405,0),0)  )</f>
        <v>0</v>
      </c>
      <c r="O297" s="30"/>
      <c r="P297" s="17" t="str">
        <f t="shared" si="3"/>
        <v>cuna kayak</v>
      </c>
      <c r="Q297" s="17" t="str">
        <f t="shared" si="198"/>
        <v/>
      </c>
      <c r="R297" s="31"/>
      <c r="S297" s="31"/>
      <c r="T297" s="31"/>
    </row>
    <row r="298" ht="15.0" customHeight="1">
      <c r="A298" s="112" t="s">
        <v>82</v>
      </c>
      <c r="B298" s="113" t="s">
        <v>186</v>
      </c>
      <c r="C298" s="19">
        <v>1632.0</v>
      </c>
      <c r="D298" s="20" t="str">
        <f>IF(   ISERROR(OFFSET(PADRON!B$2,MATCH(C:C,PADRON!A$2:A1405,0)-1,0,1,1) )  ,  ,    OFFSET(PADRON!B$2,MATCH(C:C,PADRON!A$2:A1405,0)-1,0,1,1))</f>
        <v>ANGELINETTI, CARLOS</v>
      </c>
      <c r="E298" s="21">
        <v>45778.0</v>
      </c>
      <c r="F298" s="21">
        <v>45870.0</v>
      </c>
      <c r="G298" s="23" t="s">
        <v>39</v>
      </c>
      <c r="H298" s="24">
        <f>IF( ISERROR( OFFSET(   'Cuadro tarifario'!D$2  , MATCH(CONCATENATE(                 IF(F298&gt;Mes,OFFSET(NroCT!B$17, MATCH($F298,NroCT!$A$18:$A1405,0),0,1,1),Periodovigente)                                                                                                                     ,A298) ,'Cuadro tarifario'!A$2:A1405,0) -1 , 0 , 1 , 1) )   , 0  ,   OFFSET(   'Cuadro tarifario'!D$2  , MATCH(CONCATENATE( IF(F298&gt;Mes,OFFSET(NroCT!B$17, MATCH($F298,NroCT!$A$18:$A1405,0),0,1,1),Periodovigente) ,A298) ,'Cuadro tarifario'!A$2:A1405,0) -1 , 0 , 1 , 1))</f>
        <v>12000</v>
      </c>
      <c r="I298" s="106">
        <f t="shared" si="195"/>
        <v>3</v>
      </c>
      <c r="J298" s="107">
        <f t="shared" si="79"/>
        <v>36000</v>
      </c>
      <c r="K298" s="108">
        <f>IF(  AND(N298&gt;0,I298=0)          ,N298 ,                         IF(  IF( F298 ,  DAYS360(DATE(YEAR(F298),MONTH(F298),1),Mes)/30  ,  DAYS360(DATE(YEAR(E298),MONTH(E298),1),Mes)/30  )  &gt;  0 , IF(F298,   DAYS360(DATE(YEAR(F298),MONTH(F298),1),Mes)/30  ,  DAYS360(DATE(YEAR(E298),MONTH(E298),1),Mes)/30) , 0)       )</f>
        <v>0</v>
      </c>
      <c r="L298" s="109">
        <f t="shared" si="196"/>
        <v>0</v>
      </c>
      <c r="M298" s="110"/>
      <c r="N298" s="29">
        <f>IF( ISERROR(OFFSET(SECUESTRADOS!D$1,MATCH(B298,SECUESTRADOS!A$2:A1405,0),0)) ,0 ,  OFFSET(SECUESTRADOS!D$1,MATCH(B298,SECUESTRADOS!A$2:A1405,0),0)  )</f>
        <v>0</v>
      </c>
      <c r="O298" s="30"/>
      <c r="P298" s="17" t="str">
        <f t="shared" si="3"/>
        <v>cuna kayak</v>
      </c>
      <c r="Q298" s="17" t="str">
        <f t="shared" si="198"/>
        <v/>
      </c>
      <c r="R298" s="31"/>
      <c r="S298" s="31"/>
      <c r="T298" s="31"/>
    </row>
    <row r="299" ht="15.0" customHeight="1">
      <c r="A299" s="74" t="s">
        <v>71</v>
      </c>
      <c r="B299" s="74">
        <v>1633.0</v>
      </c>
      <c r="C299" s="19">
        <v>1633.0</v>
      </c>
      <c r="D299" s="20" t="str">
        <f>IF(   ISERROR(OFFSET(PADRON!B$2,MATCH(C:C,PADRON!A$2:A1405,0)-1,0,1,1) )  ,  ,    OFFSET(PADRON!B$2,MATCH(C:C,PADRON!A$2:A1405,0)-1,0,1,1))</f>
        <v>RODRIGUEZ, CESAR</v>
      </c>
      <c r="E299" s="45">
        <v>45839.0</v>
      </c>
      <c r="F299" s="45"/>
      <c r="G299" s="23" t="s">
        <v>39</v>
      </c>
      <c r="H299" s="24">
        <f>IF( ISERROR( OFFSET(   'Cuadro tarifario'!D$2  , MATCH(CONCATENATE(                 IF(F299&gt;Mes,OFFSET(NroCT!B$17, MATCH($F299,NroCT!$A$18:$A1405,0),0,1,1),Periodovigente)                                                                                                                     ,A299) ,'Cuadro tarifario'!A$2:A1405,0) -1 , 0 , 1 , 1) )   , 0  ,   OFFSET(   'Cuadro tarifario'!D$2  , MATCH(CONCATENATE( IF(F299&gt;Mes,OFFSET(NroCT!B$17, MATCH($F299,NroCT!$A$18:$A1405,0),0,1,1),Periodovigente) ,A299) ,'Cuadro tarifario'!A$2:A1405,0) -1 , 0 , 1 , 1))</f>
        <v>11000</v>
      </c>
      <c r="I299" s="85">
        <f t="shared" si="195"/>
        <v>0</v>
      </c>
      <c r="J299" s="101">
        <f t="shared" si="79"/>
        <v>0</v>
      </c>
      <c r="K299" s="87">
        <f>IF(  AND(N299&gt;0,I299=0)          ,N299 ,                         IF(  IF( F299 ,  DAYS360(DATE(YEAR(F299),MONTH(F299),1),Mes)/30  ,  DAYS360(DATE(YEAR(E299),MONTH(E299),1),Mes)/30  )  &gt;  0 , IF(F299,   DAYS360(DATE(YEAR(F299),MONTH(F299),1),Mes)/30  ,  DAYS360(DATE(YEAR(E299),MONTH(E299),1),Mes)/30) , 0)       )</f>
        <v>1</v>
      </c>
      <c r="L299" s="102">
        <f t="shared" si="196"/>
        <v>11000</v>
      </c>
      <c r="M299" s="103"/>
      <c r="N299" s="29">
        <f>IF( ISERROR(OFFSET(SECUESTRADOS!D$1,MATCH(B299,SECUESTRADOS!A$2:A1405,0),0)) ,0 ,  OFFSET(SECUESTRADOS!D$1,MATCH(B299,SECUESTRADOS!A$2:A1405,0),0)  )</f>
        <v>0</v>
      </c>
      <c r="O299" s="30"/>
      <c r="P299" s="17" t="b">
        <f t="shared" si="3"/>
        <v>0</v>
      </c>
      <c r="Q299" s="17" t="str">
        <f t="shared" si="198"/>
        <v/>
      </c>
      <c r="R299" s="31"/>
      <c r="S299" s="31"/>
      <c r="T299" s="31"/>
    </row>
    <row r="300" ht="15.0" customHeight="1">
      <c r="A300" s="18" t="s">
        <v>38</v>
      </c>
      <c r="B300" s="17">
        <v>1633.0</v>
      </c>
      <c r="C300" s="19">
        <v>1633.0</v>
      </c>
      <c r="D300" s="20" t="str">
        <f>IF(   ISERROR(OFFSET(PADRON!B$2,MATCH(C:C,PADRON!A$2:A1405,0)-1,0,1,1) )  ,  ,    OFFSET(PADRON!B$2,MATCH(C:C,PADRON!A$2:A1405,0)-1,0,1,1))</f>
        <v>RODRIGUEZ, CESAR</v>
      </c>
      <c r="E300" s="21">
        <v>45839.0</v>
      </c>
      <c r="F300" s="21"/>
      <c r="G300" s="23" t="s">
        <v>39</v>
      </c>
      <c r="H300" s="24">
        <f>IF( ISERROR( OFFSET(   'Cuadro tarifario'!D$2  , MATCH(CONCATENATE(                 IF(F300&gt;Mes,OFFSET(NroCT!B$17, MATCH($F300,NroCT!$A$18:$A1405,0),0,1,1),Periodovigente)                                                                                                                     ,A300) ,'Cuadro tarifario'!A$2:A1405,0) -1 , 0 , 1 , 1) )   , 0  ,   OFFSET(   'Cuadro tarifario'!D$2  , MATCH(CONCATENATE( IF(F300&gt;Mes,OFFSET(NroCT!B$17, MATCH($F300,NroCT!$A$18:$A1405,0),0,1,1),Periodovigente) ,A300) ,'Cuadro tarifario'!A$2:A1405,0) -1 , 0 , 1 , 1))</f>
        <v>9000</v>
      </c>
      <c r="I300" s="106">
        <f t="shared" si="195"/>
        <v>0</v>
      </c>
      <c r="J300" s="107">
        <f t="shared" si="79"/>
        <v>0</v>
      </c>
      <c r="K300" s="108">
        <f>IF(  AND(N300&gt;0,I300=0)          ,N300 ,                         IF(  IF( F300 ,  DAYS360(DATE(YEAR(F300),MONTH(F300),1),Mes)/30  ,  DAYS360(DATE(YEAR(E300),MONTH(E300),1),Mes)/30  )  &gt;  0 , IF(F300,   DAYS360(DATE(YEAR(F300),MONTH(F300),1),Mes)/30  ,  DAYS360(DATE(YEAR(E300),MONTH(E300),1),Mes)/30) , 0)       )</f>
        <v>1</v>
      </c>
      <c r="L300" s="109">
        <f t="shared" si="196"/>
        <v>9000</v>
      </c>
      <c r="M300" s="110"/>
      <c r="N300" s="29">
        <f>IF( ISERROR(OFFSET(SECUESTRADOS!D$1,MATCH(B300,SECUESTRADOS!A$2:A1405,0),0)) ,0 ,  OFFSET(SECUESTRADOS!D$1,MATCH(B300,SECUESTRADOS!A$2:A1405,0),0)  )</f>
        <v>0</v>
      </c>
      <c r="O300" s="30"/>
      <c r="P300" s="17" t="b">
        <f t="shared" si="3"/>
        <v>0</v>
      </c>
      <c r="Q300" s="17" t="str">
        <f t="shared" si="198"/>
        <v/>
      </c>
      <c r="R300" s="31"/>
      <c r="S300" s="31"/>
      <c r="T300" s="31"/>
    </row>
    <row r="301" ht="15.0" customHeight="1">
      <c r="A301" s="114" t="s">
        <v>48</v>
      </c>
      <c r="B301" s="114" t="s">
        <v>187</v>
      </c>
      <c r="C301" s="19">
        <v>1633.0</v>
      </c>
      <c r="D301" s="115" t="str">
        <f>IF(   ISERROR(OFFSET(PADRON!B$2,MATCH(C:C,PADRON!A$2:A1405,0)-1,0,1,1) )  ,  ,    OFFSET(PADRON!B$2,MATCH(C:C,PADRON!A$2:A1405,0)-1,0,1,1))</f>
        <v>RODRIGUEZ, CESAR</v>
      </c>
      <c r="E301" s="83">
        <v>45839.0</v>
      </c>
      <c r="F301" s="21"/>
      <c r="G301" s="23" t="s">
        <v>39</v>
      </c>
      <c r="H301" s="107">
        <f>IF( ISERROR( OFFSET(   'Cuadro tarifario'!D$2  , MATCH(CONCATENATE(                 IF(F301&gt;Mes,OFFSET(NroCT!B$17, MATCH($F301,NroCT!$A$18:$A1405,0),0,1,1),Periodovigente)                                                                                                                     ,A301) ,'Cuadro tarifario'!A$2:A1405,0) -1 , 0 , 1 , 1) )   , 0  ,   OFFSET(   'Cuadro tarifario'!D$2  , MATCH(CONCATENATE( IF(F301&gt;Mes,OFFSET(NroCT!B$17, MATCH($F301,NroCT!$A$18:$A1405,0),0,1,1),Periodovigente) ,A301) ,'Cuadro tarifario'!A$2:A1405,0) -1 , 0 , 1 , 1))</f>
        <v>12000</v>
      </c>
      <c r="I301" s="85">
        <f t="shared" si="195"/>
        <v>0</v>
      </c>
      <c r="J301" s="101">
        <f t="shared" si="79"/>
        <v>0</v>
      </c>
      <c r="K301" s="87">
        <f>IF(  AND(N301&gt;0,I301=0)          ,N301 ,                         IF(  IF( F301 ,  DAYS360(DATE(YEAR(F301),MONTH(F301),1),Mes)/30  ,  DAYS360(DATE(YEAR(E301),MONTH(E301),1),Mes)/30  )  &gt;  0 , IF(F301,   DAYS360(DATE(YEAR(F301),MONTH(F301),1),Mes)/30  ,  DAYS360(DATE(YEAR(E301),MONTH(E301),1),Mes)/30) , 0)       )</f>
        <v>1</v>
      </c>
      <c r="L301" s="102">
        <f t="shared" si="196"/>
        <v>12000</v>
      </c>
      <c r="M301" s="103"/>
      <c r="N301" s="29">
        <f>IF( ISERROR(OFFSET(SECUESTRADOS!D$1,MATCH(B301,SECUESTRADOS!A$2:A1405,0),0)) ,0 ,  OFFSET(SECUESTRADOS!D$1,MATCH(B301,SECUESTRADOS!A$2:A1405,0),0)  )</f>
        <v>0</v>
      </c>
      <c r="O301" s="30"/>
      <c r="P301" s="17" t="b">
        <f t="shared" si="3"/>
        <v>0</v>
      </c>
      <c r="Q301" s="17" t="str">
        <f>IF(AND(A301=#REF!,B301=#REF!,C301=#REF!),"Repetido","")</f>
        <v>#REF!</v>
      </c>
      <c r="R301" s="31"/>
      <c r="S301" s="31"/>
      <c r="T301" s="31"/>
    </row>
    <row r="302" ht="15.0" customHeight="1">
      <c r="A302" s="74" t="s">
        <v>50</v>
      </c>
      <c r="B302" s="74" t="s">
        <v>188</v>
      </c>
      <c r="C302" s="19">
        <v>1633.0</v>
      </c>
      <c r="D302" s="20" t="str">
        <f>IF(   ISERROR(OFFSET(PADRON!B$2,MATCH(C:C,PADRON!A$2:A1405,0)-1,0,1,1) )  ,  ,    OFFSET(PADRON!B$2,MATCH(C:C,PADRON!A$2:A1405,0)-1,0,1,1))</f>
        <v>RODRIGUEZ, CESAR</v>
      </c>
      <c r="E302" s="45">
        <v>45992.0</v>
      </c>
      <c r="F302" s="45"/>
      <c r="G302" s="23" t="s">
        <v>39</v>
      </c>
      <c r="H302" s="24">
        <f>IF( ISERROR( OFFSET(   'Cuadro tarifario'!D$2  , MATCH(CONCATENATE(                 IF(F302&gt;Mes,OFFSET(NroCT!B$17, MATCH($F302,NroCT!$A$18:$A1405,0),0,1,1),Periodovigente)                                                                                                                     ,A302) ,'Cuadro tarifario'!A$2:A1405,0) -1 , 0 , 1 , 1) )   , 0  ,   OFFSET(   'Cuadro tarifario'!D$2  , MATCH(CONCATENATE( IF(F302&gt;Mes,OFFSET(NroCT!B$17, MATCH($F302,NroCT!$A$18:$A1405,0),0,1,1),Periodovigente) ,A302) ,'Cuadro tarifario'!A$2:A1405,0) -1 , 0 , 1 , 1))</f>
        <v>3600</v>
      </c>
      <c r="I302" s="85">
        <f t="shared" si="195"/>
        <v>0</v>
      </c>
      <c r="J302" s="101">
        <f t="shared" si="79"/>
        <v>0</v>
      </c>
      <c r="K302" s="87">
        <f>IF(  AND(N302&gt;0,I302=0)          ,N302 ,                         IF(  IF( F302 ,  DAYS360(DATE(YEAR(F302),MONTH(F302),1),Mes)/30  ,  DAYS360(DATE(YEAR(E302),MONTH(E302),1),Mes)/30  )  &gt;  0 , IF(F302,   DAYS360(DATE(YEAR(F302),MONTH(F302),1),Mes)/30  ,  DAYS360(DATE(YEAR(E302),MONTH(E302),1),Mes)/30) , 0)       )</f>
        <v>0</v>
      </c>
      <c r="L302" s="102">
        <f t="shared" si="196"/>
        <v>0</v>
      </c>
      <c r="M302" s="103"/>
      <c r="N302" s="29">
        <f>IF( ISERROR(OFFSET(SECUESTRADOS!D$1,MATCH(B302,SECUESTRADOS!A$2:A1405,0),0)) ,0 ,  OFFSET(SECUESTRADOS!D$1,MATCH(B302,SECUESTRADOS!A$2:A1405,0),0)  )</f>
        <v>0</v>
      </c>
      <c r="O302" s="30"/>
      <c r="P302" s="17" t="b">
        <f t="shared" si="3"/>
        <v>0</v>
      </c>
      <c r="Q302" s="17" t="str">
        <f>IF(AND(A302=A301,B302=B301,C302=C301),"Repetido","")</f>
        <v/>
      </c>
      <c r="R302" s="31"/>
      <c r="S302" s="31"/>
      <c r="T302" s="31"/>
    </row>
    <row r="303" ht="15.0" customHeight="1">
      <c r="A303" s="74" t="s">
        <v>71</v>
      </c>
      <c r="B303" s="74">
        <v>1635.0</v>
      </c>
      <c r="C303" s="19">
        <v>1635.0</v>
      </c>
      <c r="D303" s="20" t="str">
        <f>IF(   ISERROR(OFFSET(PADRON!B$2,MATCH(C:C,PADRON!A$2:A1405,0)-1,0,1,1) )  ,  ,    OFFSET(PADRON!B$2,MATCH(C:C,PADRON!A$2:A1405,0)-1,0,1,1))</f>
        <v>TORANZA, DANIEL</v>
      </c>
      <c r="E303" s="45">
        <v>45748.0</v>
      </c>
      <c r="F303" s="45">
        <v>45839.0</v>
      </c>
      <c r="G303" s="23" t="s">
        <v>39</v>
      </c>
      <c r="H303" s="24">
        <f>IF( ISERROR( OFFSET(   'Cuadro tarifario'!D$2  , MATCH(CONCATENATE(                 IF(F303&gt;Mes,OFFSET(NroCT!B$17, MATCH($F303,NroCT!$A$18:$A1405,0),0,1,1),Periodovigente)                                                                                                                     ,A303) ,'Cuadro tarifario'!A$2:A1405,0) -1 , 0 , 1 , 1) )   , 0  ,   OFFSET(   'Cuadro tarifario'!D$2  , MATCH(CONCATENATE( IF(F303&gt;Mes,OFFSET(NroCT!B$17, MATCH($F303,NroCT!$A$18:$A1405,0),0,1,1),Periodovigente) ,A303) ,'Cuadro tarifario'!A$2:A1405,0) -1 , 0 , 1 , 1))</f>
        <v>11000</v>
      </c>
      <c r="I303" s="85">
        <f t="shared" si="195"/>
        <v>3</v>
      </c>
      <c r="J303" s="101">
        <f t="shared" si="79"/>
        <v>33000</v>
      </c>
      <c r="K303" s="87">
        <f>IF(  AND(N303&gt;0,I303=0)          ,N303 ,                         IF(  IF( F303 ,  DAYS360(DATE(YEAR(F303),MONTH(F303),1),Mes)/30  ,  DAYS360(DATE(YEAR(E303),MONTH(E303),1),Mes)/30  )  &gt;  0 , IF(F303,   DAYS360(DATE(YEAR(F303),MONTH(F303),1),Mes)/30  ,  DAYS360(DATE(YEAR(E303),MONTH(E303),1),Mes)/30) , 0)       )</f>
        <v>1</v>
      </c>
      <c r="L303" s="102">
        <f t="shared" si="196"/>
        <v>11000</v>
      </c>
      <c r="M303" s="103"/>
      <c r="N303" s="29">
        <f>IF( ISERROR(OFFSET(SECUESTRADOS!D$1,MATCH(B303,SECUESTRADOS!A$2:A1405,0),0)) ,0 ,  OFFSET(SECUESTRADOS!D$1,MATCH(B303,SECUESTRADOS!A$2:A1405,0),0)  )</f>
        <v>0</v>
      </c>
      <c r="O303" s="30"/>
      <c r="P303" s="17" t="str">
        <f t="shared" si="3"/>
        <v>.socio</v>
      </c>
      <c r="Q303" s="17" t="str">
        <f>IF(AND(A303=A301,B303=B301,C303=C301),"Repetido","")</f>
        <v/>
      </c>
      <c r="R303" s="31"/>
      <c r="S303" s="31"/>
      <c r="T303" s="31"/>
    </row>
    <row r="304" ht="15.0" customHeight="1">
      <c r="A304" s="18" t="s">
        <v>38</v>
      </c>
      <c r="B304" s="17">
        <v>1635.0</v>
      </c>
      <c r="C304" s="19">
        <v>1635.0</v>
      </c>
      <c r="D304" s="20" t="str">
        <f>IF(   ISERROR(OFFSET(PADRON!B$2,MATCH(C:C,PADRON!A$2:A1405,0)-1,0,1,1) )  ,  ,    OFFSET(PADRON!B$2,MATCH(C:C,PADRON!A$2:A1405,0)-1,0,1,1))</f>
        <v>TORANZA, DANIEL</v>
      </c>
      <c r="E304" s="21">
        <v>45748.0</v>
      </c>
      <c r="F304" s="21">
        <v>45839.0</v>
      </c>
      <c r="G304" s="23" t="s">
        <v>39</v>
      </c>
      <c r="H304" s="24">
        <f>IF( ISERROR( OFFSET(   'Cuadro tarifario'!D$2  , MATCH(CONCATENATE(                 IF(F304&gt;Mes,OFFSET(NroCT!B$17, MATCH($F304,NroCT!$A$18:$A1405,0),0,1,1),Periodovigente)                                                                                                                     ,A304) ,'Cuadro tarifario'!A$2:A1405,0) -1 , 0 , 1 , 1) )   , 0  ,   OFFSET(   'Cuadro tarifario'!D$2  , MATCH(CONCATENATE( IF(F304&gt;Mes,OFFSET(NroCT!B$17, MATCH($F304,NroCT!$A$18:$A1405,0),0,1,1),Periodovigente) ,A304) ,'Cuadro tarifario'!A$2:A1405,0) -1 , 0 , 1 , 1))</f>
        <v>9000</v>
      </c>
      <c r="I304" s="106">
        <f t="shared" si="195"/>
        <v>3</v>
      </c>
      <c r="J304" s="107">
        <f t="shared" si="79"/>
        <v>27000</v>
      </c>
      <c r="K304" s="108">
        <f>IF(  AND(N304&gt;0,I304=0)          ,N304 ,                         IF(  IF( F304 ,  DAYS360(DATE(YEAR(F304),MONTH(F304),1),Mes)/30  ,  DAYS360(DATE(YEAR(E304),MONTH(E304),1),Mes)/30  )  &gt;  0 , IF(F304,   DAYS360(DATE(YEAR(F304),MONTH(F304),1),Mes)/30  ,  DAYS360(DATE(YEAR(E304),MONTH(E304),1),Mes)/30) , 0)       )</f>
        <v>1</v>
      </c>
      <c r="L304" s="109">
        <f t="shared" si="196"/>
        <v>9000</v>
      </c>
      <c r="M304" s="110"/>
      <c r="N304" s="29">
        <f>IF( ISERROR(OFFSET(SECUESTRADOS!D$1,MATCH(B304,SECUESTRADOS!A$2:A1405,0),0)) ,0 ,  OFFSET(SECUESTRADOS!D$1,MATCH(B304,SECUESTRADOS!A$2:A1405,0),0)  )</f>
        <v>0</v>
      </c>
      <c r="O304" s="30"/>
      <c r="P304" s="17" t="str">
        <f t="shared" si="3"/>
        <v>Bono canon</v>
      </c>
      <c r="Q304" s="17" t="str">
        <f t="shared" ref="Q304:Q307" si="199">IF(AND(A304=A303,B304=B303,C304=C303),"Repetido","")</f>
        <v/>
      </c>
      <c r="R304" s="31"/>
      <c r="S304" s="31"/>
      <c r="T304" s="31"/>
    </row>
    <row r="305" ht="15.0" customHeight="1">
      <c r="A305" s="74" t="s">
        <v>82</v>
      </c>
      <c r="B305" s="74" t="s">
        <v>189</v>
      </c>
      <c r="C305" s="19">
        <v>1635.0</v>
      </c>
      <c r="D305" s="20" t="str">
        <f>IF(   ISERROR(OFFSET(PADRON!B$2,MATCH(C:C,PADRON!A$2:A1405,0)-1,0,1,1) )  ,  ,    OFFSET(PADRON!B$2,MATCH(C:C,PADRON!A$2:A1405,0)-1,0,1,1))</f>
        <v>TORANZA, DANIEL</v>
      </c>
      <c r="E305" s="45">
        <v>45748.0</v>
      </c>
      <c r="F305" s="45">
        <v>45839.0</v>
      </c>
      <c r="G305" s="23" t="s">
        <v>39</v>
      </c>
      <c r="H305" s="24">
        <f>IF( ISERROR( OFFSET(   'Cuadro tarifario'!D$2  , MATCH(CONCATENATE(                 IF(F305&gt;Mes,OFFSET(NroCT!B$17, MATCH($F305,NroCT!$A$18:$A1405,0),0,1,1),Periodovigente)                                                                                                                     ,A305) ,'Cuadro tarifario'!A$2:A1405,0) -1 , 0 , 1 , 1) )   , 0  ,   OFFSET(   'Cuadro tarifario'!D$2  , MATCH(CONCATENATE( IF(F305&gt;Mes,OFFSET(NroCT!B$17, MATCH($F305,NroCT!$A$18:$A1405,0),0,1,1),Periodovigente) ,A305) ,'Cuadro tarifario'!A$2:A1405,0) -1 , 0 , 1 , 1))</f>
        <v>12000</v>
      </c>
      <c r="I305" s="85">
        <f t="shared" si="195"/>
        <v>3</v>
      </c>
      <c r="J305" s="101">
        <f t="shared" si="79"/>
        <v>36000</v>
      </c>
      <c r="K305" s="87">
        <f>IF(  AND(N305&gt;0,I305=0)          ,N305 ,                         IF(  IF( F305 ,  DAYS360(DATE(YEAR(F305),MONTH(F305),1),Mes)/30  ,  DAYS360(DATE(YEAR(E305),MONTH(E305),1),Mes)/30  )  &gt;  0 , IF(F305,   DAYS360(DATE(YEAR(F305),MONTH(F305),1),Mes)/30  ,  DAYS360(DATE(YEAR(E305),MONTH(E305),1),Mes)/30) , 0)       )</f>
        <v>1</v>
      </c>
      <c r="L305" s="102">
        <f t="shared" si="196"/>
        <v>12000</v>
      </c>
      <c r="M305" s="103"/>
      <c r="N305" s="29">
        <f>IF( ISERROR(OFFSET(SECUESTRADOS!D$1,MATCH(B305,SECUESTRADOS!A$2:A1405,0),0)) ,0 ,  OFFSET(SECUESTRADOS!D$1,MATCH(B305,SECUESTRADOS!A$2:A1405,0),0)  )</f>
        <v>0</v>
      </c>
      <c r="O305" s="30"/>
      <c r="P305" s="17" t="str">
        <f t="shared" si="3"/>
        <v>cuna kayak</v>
      </c>
      <c r="Q305" s="17" t="str">
        <f t="shared" si="199"/>
        <v/>
      </c>
      <c r="R305" s="31"/>
      <c r="S305" s="31"/>
      <c r="T305" s="31"/>
    </row>
    <row r="306" ht="15.0" customHeight="1">
      <c r="A306" s="74" t="s">
        <v>71</v>
      </c>
      <c r="B306" s="74">
        <v>1636.0</v>
      </c>
      <c r="C306" s="19">
        <v>1636.0</v>
      </c>
      <c r="D306" s="20" t="str">
        <f>IF(   ISERROR(OFFSET(PADRON!B$2,MATCH(C:C,PADRON!A$2:A1405,0)-1,0,1,1) )  ,  ,    OFFSET(PADRON!B$2,MATCH(C:C,PADRON!A$2:A1405,0)-1,0,1,1))</f>
        <v>MARTINCUS, ALBERTO</v>
      </c>
      <c r="E306" s="45">
        <v>45839.0</v>
      </c>
      <c r="F306" s="45">
        <v>45870.0</v>
      </c>
      <c r="G306" s="23" t="s">
        <v>39</v>
      </c>
      <c r="H306" s="24">
        <f>IF( ISERROR( OFFSET(   'Cuadro tarifario'!D$2  , MATCH(CONCATENATE(                 IF(F306&gt;Mes,OFFSET(NroCT!B$17, MATCH($F306,NroCT!$A$18:$A1405,0),0,1,1),Periodovigente)                                                                                                                     ,A306) ,'Cuadro tarifario'!A$2:A1405,0) -1 , 0 , 1 , 1) )   , 0  ,   OFFSET(   'Cuadro tarifario'!D$2  , MATCH(CONCATENATE( IF(F306&gt;Mes,OFFSET(NroCT!B$17, MATCH($F306,NroCT!$A$18:$A1405,0),0,1,1),Periodovigente) ,A306) ,'Cuadro tarifario'!A$2:A1405,0) -1 , 0 , 1 , 1))</f>
        <v>11000</v>
      </c>
      <c r="I306" s="85">
        <f t="shared" si="195"/>
        <v>1</v>
      </c>
      <c r="J306" s="101">
        <f t="shared" si="79"/>
        <v>11000</v>
      </c>
      <c r="K306" s="87">
        <f>IF(  AND(N306&gt;0,I306=0)          ,N306 ,                         IF(  IF( F306 ,  DAYS360(DATE(YEAR(F306),MONTH(F306),1),Mes)/30  ,  DAYS360(DATE(YEAR(E306),MONTH(E306),1),Mes)/30  )  &gt;  0 , IF(F306,   DAYS360(DATE(YEAR(F306),MONTH(F306),1),Mes)/30  ,  DAYS360(DATE(YEAR(E306),MONTH(E306),1),Mes)/30) , 0)       )</f>
        <v>0</v>
      </c>
      <c r="L306" s="102">
        <f t="shared" si="196"/>
        <v>0</v>
      </c>
      <c r="M306" s="103"/>
      <c r="N306" s="29">
        <f>IF( ISERROR(OFFSET(SECUESTRADOS!D$1,MATCH(B306,SECUESTRADOS!A$2:A1405,0),0)) ,0 ,  OFFSET(SECUESTRADOS!D$1,MATCH(B306,SECUESTRADOS!A$2:A1405,0),0)  )</f>
        <v>0</v>
      </c>
      <c r="O306" s="30"/>
      <c r="P306" s="17" t="str">
        <f t="shared" si="3"/>
        <v>.socio</v>
      </c>
      <c r="Q306" s="17" t="str">
        <f t="shared" si="199"/>
        <v/>
      </c>
      <c r="R306" s="31"/>
      <c r="S306" s="31"/>
      <c r="T306" s="31"/>
    </row>
    <row r="307" ht="15.0" customHeight="1">
      <c r="A307" s="74" t="s">
        <v>38</v>
      </c>
      <c r="B307" s="74">
        <v>1636.0</v>
      </c>
      <c r="C307" s="19">
        <v>1636.0</v>
      </c>
      <c r="D307" s="20" t="str">
        <f>IF(   ISERROR(OFFSET(PADRON!B$2,MATCH(C:C,PADRON!A$2:A1405,0)-1,0,1,1) )  ,  ,    OFFSET(PADRON!B$2,MATCH(C:C,PADRON!A$2:A1405,0)-1,0,1,1))</f>
        <v>MARTINCUS, ALBERTO</v>
      </c>
      <c r="E307" s="45">
        <v>45839.0</v>
      </c>
      <c r="F307" s="45">
        <v>45870.0</v>
      </c>
      <c r="G307" s="23" t="s">
        <v>39</v>
      </c>
      <c r="H307" s="24">
        <f>IF( ISERROR( OFFSET(   'Cuadro tarifario'!D$2  , MATCH(CONCATENATE(                 IF(F307&gt;Mes,OFFSET(NroCT!B$17, MATCH($F307,NroCT!$A$18:$A1405,0),0,1,1),Periodovigente)                                                                                                                     ,A307) ,'Cuadro tarifario'!A$2:A1405,0) -1 , 0 , 1 , 1) )   , 0  ,   OFFSET(   'Cuadro tarifario'!D$2  , MATCH(CONCATENATE( IF(F307&gt;Mes,OFFSET(NroCT!B$17, MATCH($F307,NroCT!$A$18:$A1405,0),0,1,1),Periodovigente) ,A307) ,'Cuadro tarifario'!A$2:A1405,0) -1 , 0 , 1 , 1))</f>
        <v>9000</v>
      </c>
      <c r="I307" s="85">
        <f t="shared" si="195"/>
        <v>1</v>
      </c>
      <c r="J307" s="101">
        <f t="shared" si="79"/>
        <v>9000</v>
      </c>
      <c r="K307" s="87">
        <f>IF(  AND(N307&gt;0,I307=0)          ,N307 ,                         IF(  IF( F307 ,  DAYS360(DATE(YEAR(F307),MONTH(F307),1),Mes)/30  ,  DAYS360(DATE(YEAR(E307),MONTH(E307),1),Mes)/30  )  &gt;  0 , IF(F307,   DAYS360(DATE(YEAR(F307),MONTH(F307),1),Mes)/30  ,  DAYS360(DATE(YEAR(E307),MONTH(E307),1),Mes)/30) , 0)       )</f>
        <v>0</v>
      </c>
      <c r="L307" s="102">
        <f t="shared" si="196"/>
        <v>0</v>
      </c>
      <c r="M307" s="103"/>
      <c r="N307" s="29">
        <f>IF( ISERROR(OFFSET(SECUESTRADOS!D$1,MATCH(B307,SECUESTRADOS!A$2:A1405,0),0)) ,0 ,  OFFSET(SECUESTRADOS!D$1,MATCH(B307,SECUESTRADOS!A$2:A1405,0),0)  )</f>
        <v>0</v>
      </c>
      <c r="O307" s="30"/>
      <c r="P307" s="17" t="str">
        <f t="shared" si="3"/>
        <v>Bono canon</v>
      </c>
      <c r="Q307" s="17" t="str">
        <f t="shared" si="199"/>
        <v/>
      </c>
      <c r="R307" s="31"/>
      <c r="S307" s="31"/>
      <c r="T307" s="31"/>
    </row>
    <row r="308" ht="15.0" customHeight="1">
      <c r="A308" s="74" t="s">
        <v>71</v>
      </c>
      <c r="B308" s="74">
        <v>1637.0</v>
      </c>
      <c r="C308" s="19">
        <v>1637.0</v>
      </c>
      <c r="D308" s="20" t="str">
        <f>IF(   ISERROR(OFFSET(PADRON!B$2,MATCH(C:C,PADRON!A$2:A1405,0)-1,0,1,1) )  ,  ,    OFFSET(PADRON!B$2,MATCH(C:C,PADRON!A$2:A1405,0)-1,0,1,1))</f>
        <v>TARTAGLIA, CARLOS</v>
      </c>
      <c r="E308" s="45">
        <v>45839.0</v>
      </c>
      <c r="F308" s="21">
        <v>45870.0</v>
      </c>
      <c r="G308" s="23" t="s">
        <v>39</v>
      </c>
      <c r="H308" s="24">
        <f>IF( ISERROR( OFFSET(   'Cuadro tarifario'!D$2  , MATCH(CONCATENATE(                 IF(F308&gt;Mes,OFFSET(NroCT!B$17, MATCH($F308,NroCT!$A$18:$A1405,0),0,1,1),Periodovigente)                                                                                                                     ,A308) ,'Cuadro tarifario'!A$2:A1405,0) -1 , 0 , 1 , 1) )   , 0  ,   OFFSET(   'Cuadro tarifario'!D$2  , MATCH(CONCATENATE( IF(F308&gt;Mes,OFFSET(NroCT!B$17, MATCH($F308,NroCT!$A$18:$A1405,0),0,1,1),Periodovigente) ,A308) ,'Cuadro tarifario'!A$2:A1405,0) -1 , 0 , 1 , 1))</f>
        <v>11000</v>
      </c>
      <c r="I308" s="85">
        <f t="shared" si="195"/>
        <v>1</v>
      </c>
      <c r="J308" s="101">
        <f t="shared" si="79"/>
        <v>11000</v>
      </c>
      <c r="K308" s="87">
        <f>IF(  AND(N308&gt;0,I308=0)          ,N308 ,                         IF(  IF( F308 ,  DAYS360(DATE(YEAR(F308),MONTH(F308),1),Mes)/30  ,  DAYS360(DATE(YEAR(E308),MONTH(E308),1),Mes)/30  )  &gt;  0 , IF(F308,   DAYS360(DATE(YEAR(F308),MONTH(F308),1),Mes)/30  ,  DAYS360(DATE(YEAR(E308),MONTH(E308),1),Mes)/30) , 0)       )</f>
        <v>0</v>
      </c>
      <c r="L308" s="102">
        <f t="shared" si="196"/>
        <v>0</v>
      </c>
      <c r="M308" s="103"/>
      <c r="N308" s="29">
        <f>IF( ISERROR(OFFSET(SECUESTRADOS!D$1,MATCH(B308,SECUESTRADOS!A$2:A1405,0),0)) ,0 ,  OFFSET(SECUESTRADOS!D$1,MATCH(B308,SECUESTRADOS!A$2:A1405,0),0)  )</f>
        <v>0</v>
      </c>
      <c r="O308" s="30"/>
      <c r="P308" s="17" t="str">
        <f t="shared" si="3"/>
        <v>.socio</v>
      </c>
      <c r="Q308" s="17" t="str">
        <f>IF(AND(A308=A305,B308=B305,C308=C305),"Repetido","")</f>
        <v/>
      </c>
      <c r="R308" s="31"/>
      <c r="S308" s="31"/>
      <c r="T308" s="31"/>
    </row>
    <row r="309" ht="15.0" customHeight="1">
      <c r="A309" s="18" t="s">
        <v>38</v>
      </c>
      <c r="B309" s="17">
        <v>1637.0</v>
      </c>
      <c r="C309" s="19">
        <v>1637.0</v>
      </c>
      <c r="D309" s="20" t="str">
        <f>IF(   ISERROR(OFFSET(PADRON!B$2,MATCH(C:C,PADRON!A$2:A1405,0)-1,0,1,1) )  ,  ,    OFFSET(PADRON!B$2,MATCH(C:C,PADRON!A$2:A1405,0)-1,0,1,1))</f>
        <v>TARTAGLIA, CARLOS</v>
      </c>
      <c r="E309" s="21">
        <v>45839.0</v>
      </c>
      <c r="F309" s="45">
        <v>45870.0</v>
      </c>
      <c r="G309" s="23" t="s">
        <v>39</v>
      </c>
      <c r="H309" s="24">
        <f>IF( ISERROR( OFFSET(   'Cuadro tarifario'!D$2  , MATCH(CONCATENATE(                 IF(F309&gt;Mes,OFFSET(NroCT!B$17, MATCH($F309,NroCT!$A$18:$A1405,0),0,1,1),Periodovigente)                                                                                                                     ,A309) ,'Cuadro tarifario'!A$2:A1405,0) -1 , 0 , 1 , 1) )   , 0  ,   OFFSET(   'Cuadro tarifario'!D$2  , MATCH(CONCATENATE( IF(F309&gt;Mes,OFFSET(NroCT!B$17, MATCH($F309,NroCT!$A$18:$A1405,0),0,1,1),Periodovigente) ,A309) ,'Cuadro tarifario'!A$2:A1405,0) -1 , 0 , 1 , 1))</f>
        <v>9000</v>
      </c>
      <c r="I309" s="106">
        <f t="shared" si="195"/>
        <v>1</v>
      </c>
      <c r="J309" s="107">
        <f t="shared" si="79"/>
        <v>9000</v>
      </c>
      <c r="K309" s="108">
        <f>IF(  AND(N309&gt;0,I309=0)          ,N309 ,                         IF(  IF( F309 ,  DAYS360(DATE(YEAR(F309),MONTH(F309),1),Mes)/30  ,  DAYS360(DATE(YEAR(E309),MONTH(E309),1),Mes)/30  )  &gt;  0 , IF(F309,   DAYS360(DATE(YEAR(F309),MONTH(F309),1),Mes)/30  ,  DAYS360(DATE(YEAR(E309),MONTH(E309),1),Mes)/30) , 0)       )</f>
        <v>0</v>
      </c>
      <c r="L309" s="109">
        <f t="shared" si="196"/>
        <v>0</v>
      </c>
      <c r="M309" s="110"/>
      <c r="N309" s="29">
        <f>IF( ISERROR(OFFSET(SECUESTRADOS!D$1,MATCH(B309,SECUESTRADOS!A$2:A1405,0),0)) ,0 ,  OFFSET(SECUESTRADOS!D$1,MATCH(B309,SECUESTRADOS!A$2:A1405,0),0)  )</f>
        <v>0</v>
      </c>
      <c r="O309" s="30"/>
      <c r="P309" s="17" t="str">
        <f t="shared" si="3"/>
        <v>Bono canon</v>
      </c>
      <c r="Q309" s="17" t="str">
        <f t="shared" ref="Q309:Q313" si="200">IF(AND(A309=A308,B309=B308,C309=C308),"Repetido","")</f>
        <v/>
      </c>
      <c r="R309" s="31"/>
      <c r="S309" s="31"/>
      <c r="T309" s="31"/>
    </row>
    <row r="310" ht="15.0" customHeight="1">
      <c r="A310" s="18" t="s">
        <v>40</v>
      </c>
      <c r="B310" s="116" t="s">
        <v>190</v>
      </c>
      <c r="C310" s="19">
        <v>1637.0</v>
      </c>
      <c r="D310" s="57" t="str">
        <f>IF(   ISERROR(OFFSET(PADRON!B$2,MATCH(C:C,PADRON!A$2:A1405,0)-1,0,1,1) )  ,  ,    OFFSET(PADRON!B$2,MATCH(C:C,PADRON!A$2:A1405,0)-1,0,1,1))</f>
        <v>TARTAGLIA, CARLOS</v>
      </c>
      <c r="E310" s="58">
        <v>45839.0</v>
      </c>
      <c r="F310" s="58">
        <v>45870.0</v>
      </c>
      <c r="G310" s="59" t="s">
        <v>39</v>
      </c>
      <c r="H310" s="60">
        <f>IF( ISERROR( OFFSET(   'Cuadro tarifario'!D$2  , MATCH(CONCATENATE(                 IF(F310&gt;Mes,OFFSET(NroCT!B$17, MATCH($F310,NroCT!$A$18:$A1405,0),0,1,1),Periodovigente)                                                                                                                     ,A310) ,'Cuadro tarifario'!A$2:A1405,0) -1 , 0 , 1 , 1) )   , 0  ,   OFFSET(   'Cuadro tarifario'!D$2  , MATCH(CONCATENATE( IF(F310&gt;Mes,OFFSET(NroCT!B$17, MATCH($F310,NroCT!$A$18:$A1405,0),0,1,1),Periodovigente) ,A310) ,'Cuadro tarifario'!A$2:A1405,0) -1 , 0 , 1 , 1))</f>
        <v>12000</v>
      </c>
      <c r="I310" s="117">
        <f t="shared" si="195"/>
        <v>1</v>
      </c>
      <c r="J310" s="118">
        <f t="shared" si="79"/>
        <v>12000</v>
      </c>
      <c r="K310" s="119">
        <f>IF(  AND(N310&gt;0,I310=0)          ,N310 ,                         IF(  IF( F310 ,  DAYS360(DATE(YEAR(F310),MONTH(F310),1),Mes)/30  ,  DAYS360(DATE(YEAR(E310),MONTH(E310),1),Mes)/30  )  &gt;  0 , IF(F310,   DAYS360(DATE(YEAR(F310),MONTH(F310),1),Mes)/30  ,  DAYS360(DATE(YEAR(E310),MONTH(E310),1),Mes)/30) , 0)       )</f>
        <v>0</v>
      </c>
      <c r="L310" s="120">
        <f t="shared" si="196"/>
        <v>0</v>
      </c>
      <c r="M310" s="121"/>
      <c r="N310" s="29">
        <f>IF( ISERROR(OFFSET(SECUESTRADOS!D$1,MATCH(B310,SECUESTRADOS!A$2:A1405,0),0)) ,0 ,  OFFSET(SECUESTRADOS!D$1,MATCH(B310,SECUESTRADOS!A$2:A1405,0),0)  )</f>
        <v>0</v>
      </c>
      <c r="O310" s="30"/>
      <c r="P310" s="17" t="str">
        <f t="shared" si="3"/>
        <v>cuna windsurf</v>
      </c>
      <c r="Q310" s="17" t="str">
        <f t="shared" si="200"/>
        <v/>
      </c>
      <c r="R310" s="31"/>
      <c r="S310" s="31"/>
      <c r="T310" s="31"/>
    </row>
    <row r="311" ht="15.0" customHeight="1">
      <c r="A311" s="74" t="s">
        <v>71</v>
      </c>
      <c r="B311" s="74">
        <v>1639.0</v>
      </c>
      <c r="C311" s="19">
        <v>1639.0</v>
      </c>
      <c r="D311" s="20" t="str">
        <f>IF(   ISERROR(OFFSET(PADRON!B$2,MATCH(C:C,PADRON!A$2:A1405,0)-1,0,1,1) )  ,  ,    OFFSET(PADRON!B$2,MATCH(C:C,PADRON!A$2:A1405,0)-1,0,1,1))</f>
        <v>IDIAZABAL JUAN</v>
      </c>
      <c r="E311" s="45">
        <v>45839.0</v>
      </c>
      <c r="F311" s="45">
        <v>45870.0</v>
      </c>
      <c r="G311" s="23" t="s">
        <v>39</v>
      </c>
      <c r="H311" s="24">
        <f>IF( ISERROR( OFFSET(   'Cuadro tarifario'!D$2  , MATCH(CONCATENATE(                 IF(F311&gt;Mes,OFFSET(NroCT!B$17, MATCH($F311,NroCT!$A$18:$A1405,0),0,1,1),Periodovigente)                                                                                                                     ,A311) ,'Cuadro tarifario'!A$2:A1405,0) -1 , 0 , 1 , 1) )   , 0  ,   OFFSET(   'Cuadro tarifario'!D$2  , MATCH(CONCATENATE( IF(F311&gt;Mes,OFFSET(NroCT!B$17, MATCH($F311,NroCT!$A$18:$A1405,0),0,1,1),Periodovigente) ,A311) ,'Cuadro tarifario'!A$2:A1405,0) -1 , 0 , 1 , 1))</f>
        <v>11000</v>
      </c>
      <c r="I311" s="85">
        <f t="shared" si="195"/>
        <v>1</v>
      </c>
      <c r="J311" s="101">
        <f t="shared" si="79"/>
        <v>11000</v>
      </c>
      <c r="K311" s="87">
        <f>IF(  AND(N311&gt;0,I311=0)          ,N311 ,                         IF(  IF( F311 ,  DAYS360(DATE(YEAR(F311),MONTH(F311),1),Mes)/30  ,  DAYS360(DATE(YEAR(E311),MONTH(E311),1),Mes)/30  )  &gt;  0 , IF(F311,   DAYS360(DATE(YEAR(F311),MONTH(F311),1),Mes)/30  ,  DAYS360(DATE(YEAR(E311),MONTH(E311),1),Mes)/30) , 0)       )</f>
        <v>0</v>
      </c>
      <c r="L311" s="102">
        <f t="shared" si="196"/>
        <v>0</v>
      </c>
      <c r="M311" s="103"/>
      <c r="N311" s="29">
        <f>IF( ISERROR(OFFSET(SECUESTRADOS!D$1,MATCH(B311,SECUESTRADOS!A$2:A1405,0),0)) ,0 ,  OFFSET(SECUESTRADOS!D$1,MATCH(B311,SECUESTRADOS!A$2:A1405,0),0)  )</f>
        <v>0</v>
      </c>
      <c r="O311" s="30"/>
      <c r="P311" s="17" t="str">
        <f t="shared" si="3"/>
        <v>.socio</v>
      </c>
      <c r="Q311" s="17" t="str">
        <f t="shared" si="200"/>
        <v/>
      </c>
      <c r="R311" s="31"/>
      <c r="S311" s="31"/>
      <c r="T311" s="31"/>
    </row>
    <row r="312" ht="15.0" customHeight="1">
      <c r="A312" s="18" t="s">
        <v>38</v>
      </c>
      <c r="B312" s="17">
        <v>1639.0</v>
      </c>
      <c r="C312" s="19">
        <v>1639.0</v>
      </c>
      <c r="D312" s="20" t="str">
        <f>IF(   ISERROR(OFFSET(PADRON!B$2,MATCH(C:C,PADRON!A$2:A1405,0)-1,0,1,1) )  ,  ,    OFFSET(PADRON!B$2,MATCH(C:C,PADRON!A$2:A1405,0)-1,0,1,1))</f>
        <v>IDIAZABAL JUAN</v>
      </c>
      <c r="E312" s="21">
        <v>45839.0</v>
      </c>
      <c r="F312" s="21">
        <v>45870.0</v>
      </c>
      <c r="G312" s="23" t="s">
        <v>39</v>
      </c>
      <c r="H312" s="24">
        <f>IF( ISERROR( OFFSET(   'Cuadro tarifario'!D$2  , MATCH(CONCATENATE(                 IF(F312&gt;Mes,OFFSET(NroCT!B$17, MATCH($F312,NroCT!$A$18:$A1405,0),0,1,1),Periodovigente)                                                                                                                     ,A312) ,'Cuadro tarifario'!A$2:A1405,0) -1 , 0 , 1 , 1) )   , 0  ,   OFFSET(   'Cuadro tarifario'!D$2  , MATCH(CONCATENATE( IF(F312&gt;Mes,OFFSET(NroCT!B$17, MATCH($F312,NroCT!$A$18:$A1405,0),0,1,1),Periodovigente) ,A312) ,'Cuadro tarifario'!A$2:A1405,0) -1 , 0 , 1 , 1))</f>
        <v>9000</v>
      </c>
      <c r="I312" s="106">
        <f t="shared" si="195"/>
        <v>1</v>
      </c>
      <c r="J312" s="107">
        <f t="shared" si="79"/>
        <v>9000</v>
      </c>
      <c r="K312" s="108">
        <f>IF(  AND(N312&gt;0,I312=0)          ,N312 ,                         IF(  IF( F312 ,  DAYS360(DATE(YEAR(F312),MONTH(F312),1),Mes)/30  ,  DAYS360(DATE(YEAR(E312),MONTH(E312),1),Mes)/30  )  &gt;  0 , IF(F312,   DAYS360(DATE(YEAR(F312),MONTH(F312),1),Mes)/30  ,  DAYS360(DATE(YEAR(E312),MONTH(E312),1),Mes)/30) , 0)       )</f>
        <v>0</v>
      </c>
      <c r="L312" s="109">
        <f t="shared" si="196"/>
        <v>0</v>
      </c>
      <c r="M312" s="110"/>
      <c r="N312" s="29">
        <f>IF( ISERROR(OFFSET(SECUESTRADOS!D$1,MATCH(B312,SECUESTRADOS!A$2:A1405,0),0)) ,0 ,  OFFSET(SECUESTRADOS!D$1,MATCH(B312,SECUESTRADOS!A$2:A1405,0),0)  )</f>
        <v>0</v>
      </c>
      <c r="O312" s="30"/>
      <c r="P312" s="17" t="str">
        <f t="shared" si="3"/>
        <v>Bono canon</v>
      </c>
      <c r="Q312" s="17" t="str">
        <f t="shared" si="200"/>
        <v/>
      </c>
      <c r="R312" s="31"/>
      <c r="S312" s="31"/>
      <c r="T312" s="31"/>
    </row>
    <row r="313" ht="15.0" customHeight="1">
      <c r="A313" s="18" t="s">
        <v>48</v>
      </c>
      <c r="B313" s="18" t="s">
        <v>191</v>
      </c>
      <c r="C313" s="19">
        <v>1639.0</v>
      </c>
      <c r="D313" s="20" t="str">
        <f>IF(   ISERROR(OFFSET(PADRON!B$2,MATCH(C:C,PADRON!A$2:A1405,0)-1,0,1,1) )  ,  ,    OFFSET(PADRON!B$2,MATCH(C:C,PADRON!A$2:A1405,0)-1,0,1,1))</f>
        <v>IDIAZABAL JUAN</v>
      </c>
      <c r="E313" s="21">
        <v>45839.0</v>
      </c>
      <c r="F313" s="21">
        <v>45870.0</v>
      </c>
      <c r="G313" s="23" t="s">
        <v>39</v>
      </c>
      <c r="H313" s="24">
        <f>IF( ISERROR( OFFSET(   'Cuadro tarifario'!D$2  , MATCH(CONCATENATE(                 IF(F313&gt;Mes,OFFSET(NroCT!B$17, MATCH($F313,NroCT!$A$18:$A1405,0),0,1,1),Periodovigente)                                                                                                                     ,A313) ,'Cuadro tarifario'!A$2:A1405,0) -1 , 0 , 1 , 1) )   , 0  ,   OFFSET(   'Cuadro tarifario'!D$2  , MATCH(CONCATENATE( IF(F313&gt;Mes,OFFSET(NroCT!B$17, MATCH($F313,NroCT!$A$18:$A1405,0),0,1,1),Periodovigente) ,A313) ,'Cuadro tarifario'!A$2:A1405,0) -1 , 0 , 1 , 1))</f>
        <v>12000</v>
      </c>
      <c r="I313" s="106">
        <f t="shared" si="195"/>
        <v>1</v>
      </c>
      <c r="J313" s="107">
        <f t="shared" si="79"/>
        <v>12000</v>
      </c>
      <c r="K313" s="108">
        <f>IF(  AND(N313&gt;0,I313=0)          ,N313 ,                         IF(  IF( F313 ,  DAYS360(DATE(YEAR(F313),MONTH(F313),1),Mes)/30  ,  DAYS360(DATE(YEAR(E313),MONTH(E313),1),Mes)/30  )  &gt;  0 , IF(F313,   DAYS360(DATE(YEAR(F313),MONTH(F313),1),Mes)/30  ,  DAYS360(DATE(YEAR(E313),MONTH(E313),1),Mes)/30) , 0)       )</f>
        <v>0</v>
      </c>
      <c r="L313" s="109">
        <f t="shared" si="196"/>
        <v>0</v>
      </c>
      <c r="M313" s="110"/>
      <c r="N313" s="29">
        <f>IF( ISERROR(OFFSET(SECUESTRADOS!D$1,MATCH(B313,SECUESTRADOS!A$2:A1405,0),0)) ,0 ,  OFFSET(SECUESTRADOS!D$1,MATCH(B313,SECUESTRADOS!A$2:A1405,0),0)  )</f>
        <v>0</v>
      </c>
      <c r="O313" s="30"/>
      <c r="P313" s="17" t="str">
        <f t="shared" si="3"/>
        <v>velero</v>
      </c>
      <c r="Q313" s="17" t="str">
        <f t="shared" si="200"/>
        <v/>
      </c>
      <c r="R313" s="31"/>
      <c r="S313" s="31"/>
      <c r="T313" s="31"/>
    </row>
    <row r="314" ht="15.0" customHeight="1">
      <c r="A314" s="122" t="s">
        <v>50</v>
      </c>
      <c r="B314" s="122" t="s">
        <v>192</v>
      </c>
      <c r="C314" s="19">
        <v>1639.0</v>
      </c>
      <c r="D314" s="20" t="str">
        <f>IF(   ISERROR(OFFSET(PADRON!B$2,MATCH(C:C,PADRON!A$2:A1405,0)-1,0,1,1) )  ,  ,    OFFSET(PADRON!B$2,MATCH(C:C,PADRON!A$2:A1405,0)-1,0,1,1))</f>
        <v>IDIAZABAL JUAN</v>
      </c>
      <c r="E314" s="21">
        <v>45992.0</v>
      </c>
      <c r="F314" s="21"/>
      <c r="G314" s="23" t="s">
        <v>39</v>
      </c>
      <c r="H314" s="24">
        <f>IF( ISERROR( OFFSET(   'Cuadro tarifario'!D$2  , MATCH(CONCATENATE(                 IF(F314&gt;Mes,OFFSET(NroCT!B$17, MATCH($F314,NroCT!$A$18:$A1405,0),0,1,1),Periodovigente)                                                                                                                     ,A314) ,'Cuadro tarifario'!A$2:A1405,0) -1 , 0 , 1 , 1) )   , 0  ,   OFFSET(   'Cuadro tarifario'!D$2  , MATCH(CONCATENATE( IF(F314&gt;Mes,OFFSET(NroCT!B$17, MATCH($F314,NroCT!$A$18:$A1405,0),0,1,1),Periodovigente) ,A314) ,'Cuadro tarifario'!A$2:A1405,0) -1 , 0 , 1 , 1))</f>
        <v>3600</v>
      </c>
      <c r="I314" s="106">
        <f t="shared" si="195"/>
        <v>0</v>
      </c>
      <c r="J314" s="107">
        <f t="shared" si="79"/>
        <v>0</v>
      </c>
      <c r="K314" s="108">
        <f>IF(  AND(N314&gt;0,I314=0)          ,N314 ,                         IF(  IF( F314 ,  DAYS360(DATE(YEAR(F314),MONTH(F314),1),Mes)/30  ,  DAYS360(DATE(YEAR(E314),MONTH(E314),1),Mes)/30  )  &gt;  0 , IF(F314,   DAYS360(DATE(YEAR(F314),MONTH(F314),1),Mes)/30  ,  DAYS360(DATE(YEAR(E314),MONTH(E314),1),Mes)/30) , 0)       )</f>
        <v>0</v>
      </c>
      <c r="L314" s="109">
        <f t="shared" si="196"/>
        <v>0</v>
      </c>
      <c r="M314" s="110"/>
      <c r="N314" s="29">
        <f>IF( ISERROR(OFFSET(SECUESTRADOS!D$1,MATCH(B314,SECUESTRADOS!A$2:A1405,0),0)) ,0 ,  OFFSET(SECUESTRADOS!D$1,MATCH(B314,SECUESTRADOS!A$2:A1405,0),0)  )</f>
        <v>0</v>
      </c>
      <c r="O314" s="30"/>
      <c r="P314" s="17" t="b">
        <f t="shared" si="3"/>
        <v>0</v>
      </c>
      <c r="Q314" s="17" t="str">
        <f>IF(AND(A314=A312,B314=B312,C314=C312),"Repetido","")</f>
        <v/>
      </c>
      <c r="R314" s="31"/>
      <c r="S314" s="31"/>
      <c r="T314" s="31"/>
    </row>
    <row r="315" ht="15.0" customHeight="1">
      <c r="A315" s="74" t="s">
        <v>71</v>
      </c>
      <c r="B315" s="74">
        <v>1640.0</v>
      </c>
      <c r="C315" s="19">
        <v>1640.0</v>
      </c>
      <c r="D315" s="20" t="str">
        <f>IF(   ISERROR(OFFSET(PADRON!B$2,MATCH(C:C,PADRON!A$2:A1405,0)-1,0,1,1) )  ,  ,    OFFSET(PADRON!B$2,MATCH(C:C,PADRON!A$2:A1405,0)-1,0,1,1))</f>
        <v>COBEÑAS, CARLOS</v>
      </c>
      <c r="E315" s="45">
        <v>45839.0</v>
      </c>
      <c r="F315" s="45"/>
      <c r="G315" s="23" t="s">
        <v>39</v>
      </c>
      <c r="H315" s="24">
        <f>IF( ISERROR( OFFSET(   'Cuadro tarifario'!D$2  , MATCH(CONCATENATE(                 IF(F315&gt;Mes,OFFSET(NroCT!B$17, MATCH($F315,NroCT!$A$18:$A1405,0),0,1,1),Periodovigente)                                                                                                                     ,A315) ,'Cuadro tarifario'!A$2:A1405,0) -1 , 0 , 1 , 1) )   , 0  ,   OFFSET(   'Cuadro tarifario'!D$2  , MATCH(CONCATENATE( IF(F315&gt;Mes,OFFSET(NroCT!B$17, MATCH($F315,NroCT!$A$18:$A1405,0),0,1,1),Periodovigente) ,A315) ,'Cuadro tarifario'!A$2:A1405,0) -1 , 0 , 1 , 1))</f>
        <v>11000</v>
      </c>
      <c r="I315" s="85">
        <f t="shared" si="195"/>
        <v>0</v>
      </c>
      <c r="J315" s="101">
        <f t="shared" si="79"/>
        <v>0</v>
      </c>
      <c r="K315" s="87">
        <f>IF(  AND(N315&gt;0,I315=0)          ,N315 ,                         IF(  IF( F315 ,  DAYS360(DATE(YEAR(F315),MONTH(F315),1),Mes)/30  ,  DAYS360(DATE(YEAR(E315),MONTH(E315),1),Mes)/30  )  &gt;  0 , IF(F315,   DAYS360(DATE(YEAR(F315),MONTH(F315),1),Mes)/30  ,  DAYS360(DATE(YEAR(E315),MONTH(E315),1),Mes)/30) , 0)       )</f>
        <v>1</v>
      </c>
      <c r="L315" s="102">
        <f t="shared" si="196"/>
        <v>11000</v>
      </c>
      <c r="M315" s="103"/>
      <c r="N315" s="29">
        <f>IF( ISERROR(OFFSET(SECUESTRADOS!D$1,MATCH(B315,SECUESTRADOS!A$2:A1405,0),0)) ,0 ,  OFFSET(SECUESTRADOS!D$1,MATCH(B315,SECUESTRADOS!A$2:A1405,0),0)  )</f>
        <v>0</v>
      </c>
      <c r="O315" s="30"/>
      <c r="P315" s="17" t="b">
        <f t="shared" si="3"/>
        <v>0</v>
      </c>
      <c r="Q315" s="17" t="str">
        <f>IF(AND(A315=#REF!,B315=#REF!,C315=#REF!),"Repetido","")</f>
        <v>#REF!</v>
      </c>
      <c r="R315" s="31"/>
      <c r="S315" s="31"/>
      <c r="T315" s="31"/>
    </row>
    <row r="316" ht="15.0" customHeight="1">
      <c r="A316" s="18" t="s">
        <v>38</v>
      </c>
      <c r="B316" s="17">
        <v>1640.0</v>
      </c>
      <c r="C316" s="19">
        <v>1640.0</v>
      </c>
      <c r="D316" s="20" t="str">
        <f>IF(   ISERROR(OFFSET(PADRON!B$2,MATCH(C:C,PADRON!A$2:A1405,0)-1,0,1,1) )  ,  ,    OFFSET(PADRON!B$2,MATCH(C:C,PADRON!A$2:A1405,0)-1,0,1,1))</f>
        <v>COBEÑAS, CARLOS</v>
      </c>
      <c r="E316" s="21">
        <v>45839.0</v>
      </c>
      <c r="F316" s="21"/>
      <c r="G316" s="23" t="s">
        <v>39</v>
      </c>
      <c r="H316" s="24">
        <f>IF( ISERROR( OFFSET(   'Cuadro tarifario'!D$2  , MATCH(CONCATENATE(                 IF(F316&gt;Mes,OFFSET(NroCT!B$17, MATCH($F316,NroCT!$A$18:$A1405,0),0,1,1),Periodovigente)                                                                                                                     ,A316) ,'Cuadro tarifario'!A$2:A1405,0) -1 , 0 , 1 , 1) )   , 0  ,   OFFSET(   'Cuadro tarifario'!D$2  , MATCH(CONCATENATE( IF(F316&gt;Mes,OFFSET(NroCT!B$17, MATCH($F316,NroCT!$A$18:$A1405,0),0,1,1),Periodovigente) ,A316) ,'Cuadro tarifario'!A$2:A1405,0) -1 , 0 , 1 , 1))</f>
        <v>9000</v>
      </c>
      <c r="I316" s="106">
        <f t="shared" si="195"/>
        <v>0</v>
      </c>
      <c r="J316" s="107">
        <f t="shared" si="79"/>
        <v>0</v>
      </c>
      <c r="K316" s="108">
        <f>IF(  AND(N316&gt;0,I316=0)          ,N316 ,                         IF(  IF( F316 ,  DAYS360(DATE(YEAR(F316),MONTH(F316),1),Mes)/30  ,  DAYS360(DATE(YEAR(E316),MONTH(E316),1),Mes)/30  )  &gt;  0 , IF(F316,   DAYS360(DATE(YEAR(F316),MONTH(F316),1),Mes)/30  ,  DAYS360(DATE(YEAR(E316),MONTH(E316),1),Mes)/30) , 0)       )</f>
        <v>1</v>
      </c>
      <c r="L316" s="109">
        <f t="shared" si="196"/>
        <v>9000</v>
      </c>
      <c r="M316" s="110"/>
      <c r="N316" s="29">
        <f>IF( ISERROR(OFFSET(SECUESTRADOS!D$1,MATCH(B316,SECUESTRADOS!A$2:A1405,0),0)) ,0 ,  OFFSET(SECUESTRADOS!D$1,MATCH(B316,SECUESTRADOS!A$2:A1405,0),0)  )</f>
        <v>0</v>
      </c>
      <c r="O316" s="30"/>
      <c r="P316" s="17" t="b">
        <f t="shared" si="3"/>
        <v>0</v>
      </c>
      <c r="Q316" s="17" t="str">
        <f t="shared" ref="Q316:Q319" si="201">IF(AND(A316=A315,B316=B315,C316=C315),"Repetido","")</f>
        <v/>
      </c>
      <c r="R316" s="31"/>
      <c r="S316" s="31"/>
      <c r="T316" s="31"/>
    </row>
    <row r="317" ht="15.0" customHeight="1">
      <c r="A317" s="74" t="s">
        <v>82</v>
      </c>
      <c r="B317" s="74" t="s">
        <v>193</v>
      </c>
      <c r="C317" s="19">
        <v>1640.0</v>
      </c>
      <c r="D317" s="20" t="str">
        <f>IF(   ISERROR(OFFSET(PADRON!B$2,MATCH(C:C,PADRON!A$2:A1405,0)-1,0,1,1) )  ,  ,    OFFSET(PADRON!B$2,MATCH(C:C,PADRON!A$2:A1405,0)-1,0,1,1))</f>
        <v>COBEÑAS, CARLOS</v>
      </c>
      <c r="E317" s="45">
        <v>45839.0</v>
      </c>
      <c r="F317" s="21"/>
      <c r="G317" s="23" t="s">
        <v>39</v>
      </c>
      <c r="H317" s="24">
        <f>IF( ISERROR( OFFSET(   'Cuadro tarifario'!D$2  , MATCH(CONCATENATE(                 IF(F317&gt;Mes,OFFSET(NroCT!B$17, MATCH($F317,NroCT!$A$18:$A1405,0),0,1,1),Periodovigente)                                                                                                                     ,A317) ,'Cuadro tarifario'!A$2:A1405,0) -1 , 0 , 1 , 1) )   , 0  ,   OFFSET(   'Cuadro tarifario'!D$2  , MATCH(CONCATENATE( IF(F317&gt;Mes,OFFSET(NroCT!B$17, MATCH($F317,NroCT!$A$18:$A1405,0),0,1,1),Periodovigente) ,A317) ,'Cuadro tarifario'!A$2:A1405,0) -1 , 0 , 1 , 1))</f>
        <v>12000</v>
      </c>
      <c r="I317" s="85">
        <f t="shared" si="195"/>
        <v>0</v>
      </c>
      <c r="J317" s="101">
        <f t="shared" si="79"/>
        <v>0</v>
      </c>
      <c r="K317" s="87">
        <f>IF(  AND(N317&gt;0,I317=0)          ,N317 ,                         IF(  IF( F317 ,  DAYS360(DATE(YEAR(F317),MONTH(F317),1),Mes)/30  ,  DAYS360(DATE(YEAR(E317),MONTH(E317),1),Mes)/30  )  &gt;  0 , IF(F317,   DAYS360(DATE(YEAR(F317),MONTH(F317),1),Mes)/30  ,  DAYS360(DATE(YEAR(E317),MONTH(E317),1),Mes)/30) , 0)       )</f>
        <v>1</v>
      </c>
      <c r="L317" s="102">
        <f t="shared" si="196"/>
        <v>12000</v>
      </c>
      <c r="M317" s="103"/>
      <c r="N317" s="29">
        <f>IF( ISERROR(OFFSET(SECUESTRADOS!D$1,MATCH(B317,SECUESTRADOS!A$2:A1405,0),0)) ,0 ,  OFFSET(SECUESTRADOS!D$1,MATCH(B317,SECUESTRADOS!A$2:A1405,0),0)  )</f>
        <v>0</v>
      </c>
      <c r="O317" s="30"/>
      <c r="P317" s="17" t="b">
        <f t="shared" si="3"/>
        <v>0</v>
      </c>
      <c r="Q317" s="17" t="str">
        <f t="shared" si="201"/>
        <v/>
      </c>
      <c r="R317" s="31"/>
      <c r="S317" s="31"/>
      <c r="T317" s="31"/>
    </row>
    <row r="318" ht="15.0" customHeight="1">
      <c r="A318" s="74" t="s">
        <v>71</v>
      </c>
      <c r="B318" s="74">
        <v>1643.0</v>
      </c>
      <c r="C318" s="19">
        <v>1643.0</v>
      </c>
      <c r="D318" s="20" t="str">
        <f>IF(   ISERROR(OFFSET(PADRON!B$2,MATCH(C:C,PADRON!A$2:A1405,0)-1,0,1,1) )  ,  ,    OFFSET(PADRON!B$2,MATCH(C:C,PADRON!A$2:A1405,0)-1,0,1,1))</f>
        <v>Archipretre, Maria</v>
      </c>
      <c r="E318" s="45">
        <v>45809.0</v>
      </c>
      <c r="F318" s="45">
        <v>45870.0</v>
      </c>
      <c r="G318" s="23" t="s">
        <v>39</v>
      </c>
      <c r="H318" s="24">
        <f>IF( ISERROR( OFFSET(   'Cuadro tarifario'!D$2  , MATCH(CONCATENATE(                 IF(F318&gt;Mes,OFFSET(NroCT!B$17, MATCH($F318,NroCT!$A$18:$A1405,0),0,1,1),Periodovigente)                                                                                                                     ,A318) ,'Cuadro tarifario'!A$2:A1405,0) -1 , 0 , 1 , 1) )   , 0  ,   OFFSET(   'Cuadro tarifario'!D$2  , MATCH(CONCATENATE( IF(F318&gt;Mes,OFFSET(NroCT!B$17, MATCH($F318,NroCT!$A$18:$A1405,0),0,1,1),Periodovigente) ,A318) ,'Cuadro tarifario'!A$2:A1405,0) -1 , 0 , 1 , 1))</f>
        <v>11000</v>
      </c>
      <c r="I318" s="85">
        <f t="shared" si="195"/>
        <v>2</v>
      </c>
      <c r="J318" s="101">
        <f t="shared" si="79"/>
        <v>22000</v>
      </c>
      <c r="K318" s="87">
        <f>IF(  AND(N318&gt;0,I318=0)          ,N318 ,                         IF(  IF( F318 ,  DAYS360(DATE(YEAR(F318),MONTH(F318),1),Mes)/30  ,  DAYS360(DATE(YEAR(E318),MONTH(E318),1),Mes)/30  )  &gt;  0 , IF(F318,   DAYS360(DATE(YEAR(F318),MONTH(F318),1),Mes)/30  ,  DAYS360(DATE(YEAR(E318),MONTH(E318),1),Mes)/30) , 0)       )</f>
        <v>0</v>
      </c>
      <c r="L318" s="102">
        <f t="shared" si="196"/>
        <v>0</v>
      </c>
      <c r="M318" s="103"/>
      <c r="N318" s="29">
        <f>IF( ISERROR(OFFSET(SECUESTRADOS!D$1,MATCH(B318,SECUESTRADOS!A$2:A1405,0),0)) ,0 ,  OFFSET(SECUESTRADOS!D$1,MATCH(B318,SECUESTRADOS!A$2:A1405,0),0)  )</f>
        <v>0</v>
      </c>
      <c r="O318" s="30"/>
      <c r="P318" s="17" t="str">
        <f t="shared" si="3"/>
        <v>.socio</v>
      </c>
      <c r="Q318" s="17" t="str">
        <f t="shared" si="201"/>
        <v/>
      </c>
      <c r="R318" s="31"/>
      <c r="S318" s="31"/>
      <c r="T318" s="31"/>
    </row>
    <row r="319" ht="15.0" customHeight="1">
      <c r="A319" s="18" t="s">
        <v>38</v>
      </c>
      <c r="B319" s="17">
        <v>1643.0</v>
      </c>
      <c r="C319" s="19">
        <v>1643.0</v>
      </c>
      <c r="D319" s="20" t="str">
        <f>IF(   ISERROR(OFFSET(PADRON!B$2,MATCH(C:C,PADRON!A$2:A1405,0)-1,0,1,1) )  ,  ,    OFFSET(PADRON!B$2,MATCH(C:C,PADRON!A$2:A1405,0)-1,0,1,1))</f>
        <v>Archipretre, Maria</v>
      </c>
      <c r="E319" s="21">
        <v>45809.0</v>
      </c>
      <c r="F319" s="21">
        <v>45870.0</v>
      </c>
      <c r="G319" s="23" t="s">
        <v>39</v>
      </c>
      <c r="H319" s="24">
        <f>IF( ISERROR( OFFSET(   'Cuadro tarifario'!D$2  , MATCH(CONCATENATE(                 IF(F319&gt;Mes,OFFSET(NroCT!B$17, MATCH($F319,NroCT!$A$18:$A1405,0),0,1,1),Periodovigente)                                                                                                                     ,A319) ,'Cuadro tarifario'!A$2:A1405,0) -1 , 0 , 1 , 1) )   , 0  ,   OFFSET(   'Cuadro tarifario'!D$2  , MATCH(CONCATENATE( IF(F319&gt;Mes,OFFSET(NroCT!B$17, MATCH($F319,NroCT!$A$18:$A1405,0),0,1,1),Periodovigente) ,A319) ,'Cuadro tarifario'!A$2:A1405,0) -1 , 0 , 1 , 1))</f>
        <v>9000</v>
      </c>
      <c r="I319" s="106">
        <f t="shared" si="195"/>
        <v>2</v>
      </c>
      <c r="J319" s="107">
        <f t="shared" si="79"/>
        <v>18000</v>
      </c>
      <c r="K319" s="108">
        <f>IF(  AND(N319&gt;0,I319=0)          ,N319 ,                         IF(  IF( F319 ,  DAYS360(DATE(YEAR(F319),MONTH(F319),1),Mes)/30  ,  DAYS360(DATE(YEAR(E319),MONTH(E319),1),Mes)/30  )  &gt;  0 , IF(F319,   DAYS360(DATE(YEAR(F319),MONTH(F319),1),Mes)/30  ,  DAYS360(DATE(YEAR(E319),MONTH(E319),1),Mes)/30) , 0)       )</f>
        <v>0</v>
      </c>
      <c r="L319" s="109">
        <f t="shared" si="196"/>
        <v>0</v>
      </c>
      <c r="M319" s="110"/>
      <c r="N319" s="29">
        <f>IF( ISERROR(OFFSET(SECUESTRADOS!D$1,MATCH(B319,SECUESTRADOS!A$2:A1405,0),0)) ,0 ,  OFFSET(SECUESTRADOS!D$1,MATCH(B319,SECUESTRADOS!A$2:A1405,0),0)  )</f>
        <v>0</v>
      </c>
      <c r="O319" s="30"/>
      <c r="P319" s="17" t="str">
        <f t="shared" si="3"/>
        <v>Bono canon</v>
      </c>
      <c r="Q319" s="17" t="str">
        <f t="shared" si="201"/>
        <v/>
      </c>
      <c r="R319" s="31"/>
      <c r="S319" s="31"/>
      <c r="T319" s="31"/>
    </row>
    <row r="320" ht="15.0" customHeight="1">
      <c r="A320" s="18" t="s">
        <v>82</v>
      </c>
      <c r="B320" s="18" t="s">
        <v>194</v>
      </c>
      <c r="C320" s="19">
        <v>1643.0</v>
      </c>
      <c r="D320" s="20" t="str">
        <f>IF(   ISERROR(OFFSET(PADRON!B$2,MATCH(C:C,PADRON!A$2:A1405,0)-1,0,1,1) )  ,  ,    OFFSET(PADRON!B$2,MATCH(C:C,PADRON!A$2:A1405,0)-1,0,1,1))</f>
        <v>Archipretre, Maria</v>
      </c>
      <c r="E320" s="21">
        <v>45809.0</v>
      </c>
      <c r="F320" s="21">
        <v>45870.0</v>
      </c>
      <c r="G320" s="23" t="s">
        <v>39</v>
      </c>
      <c r="H320" s="24">
        <f>IF( ISERROR( OFFSET(   'Cuadro tarifario'!D$2  , MATCH(CONCATENATE(                 IF(F320&gt;Mes,OFFSET(NroCT!B$17, MATCH($F320,NroCT!$A$18:$A1405,0),0,1,1),Periodovigente)                                                                                                                     ,A320) ,'Cuadro tarifario'!A$2:A1405,0) -1 , 0 , 1 , 1) )   , 0  ,   OFFSET(   'Cuadro tarifario'!D$2  , MATCH(CONCATENATE( IF(F320&gt;Mes,OFFSET(NroCT!B$17, MATCH($F320,NroCT!$A$18:$A1405,0),0,1,1),Periodovigente) ,A320) ,'Cuadro tarifario'!A$2:A1405,0) -1 , 0 , 1 , 1))</f>
        <v>12000</v>
      </c>
      <c r="I320" s="106">
        <f t="shared" si="195"/>
        <v>2</v>
      </c>
      <c r="J320" s="107">
        <f t="shared" si="79"/>
        <v>24000</v>
      </c>
      <c r="K320" s="108">
        <f>IF(  AND(N320&gt;0,I320=0)          ,N320 ,                         IF(  IF( F320 ,  DAYS360(DATE(YEAR(F320),MONTH(F320),1),Mes)/30  ,  DAYS360(DATE(YEAR(E320),MONTH(E320),1),Mes)/30  )  &gt;  0 , IF(F320,   DAYS360(DATE(YEAR(F320),MONTH(F320),1),Mes)/30  ,  DAYS360(DATE(YEAR(E320),MONTH(E320),1),Mes)/30) , 0)       )</f>
        <v>0</v>
      </c>
      <c r="L320" s="109">
        <f t="shared" si="196"/>
        <v>0</v>
      </c>
      <c r="M320" s="123"/>
      <c r="N320" s="29">
        <f>IF( ISERROR(OFFSET(SECUESTRADOS!D$1,MATCH(B320,SECUESTRADOS!A$2:A1405,0),0)) ,0 ,  OFFSET(SECUESTRADOS!D$1,MATCH(B320,SECUESTRADOS!A$2:A1405,0),0)  )</f>
        <v>0</v>
      </c>
      <c r="O320" s="30"/>
      <c r="P320" s="17" t="str">
        <f t="shared" si="3"/>
        <v>cuna kayak</v>
      </c>
      <c r="Q320" s="17" t="str">
        <f>IF(AND(A320=#REF!,B320=#REF!,C320=#REF!),"Repetido","")</f>
        <v>#REF!</v>
      </c>
      <c r="R320" s="31"/>
      <c r="S320" s="31"/>
      <c r="T320" s="31"/>
    </row>
    <row r="321" ht="15.0" customHeight="1">
      <c r="A321" s="18" t="s">
        <v>82</v>
      </c>
      <c r="B321" s="18" t="s">
        <v>195</v>
      </c>
      <c r="C321" s="19">
        <v>1643.0</v>
      </c>
      <c r="D321" s="20" t="str">
        <f>IF(   ISERROR(OFFSET(PADRON!B$2,MATCH(C:C,PADRON!A$2:A1405,0)-1,0,1,1) )  ,  ,    OFFSET(PADRON!B$2,MATCH(C:C,PADRON!A$2:A1405,0)-1,0,1,1))</f>
        <v>Archipretre, Maria</v>
      </c>
      <c r="E321" s="21">
        <v>45809.0</v>
      </c>
      <c r="F321" s="21">
        <v>45870.0</v>
      </c>
      <c r="G321" s="23" t="s">
        <v>39</v>
      </c>
      <c r="H321" s="24">
        <f>IF( ISERROR( OFFSET(   'Cuadro tarifario'!D$2  , MATCH(CONCATENATE(                 IF(F321&gt;Mes,OFFSET(NroCT!B$17, MATCH($F321,NroCT!$A$18:$A1405,0),0,1,1),Periodovigente)                                                                                                                     ,A321) ,'Cuadro tarifario'!A$2:A1405,0) -1 , 0 , 1 , 1) )   , 0  ,   OFFSET(   'Cuadro tarifario'!D$2  , MATCH(CONCATENATE( IF(F321&gt;Mes,OFFSET(NroCT!B$17, MATCH($F321,NroCT!$A$18:$A1405,0),0,1,1),Periodovigente) ,A321) ,'Cuadro tarifario'!A$2:A1405,0) -1 , 0 , 1 , 1))</f>
        <v>12000</v>
      </c>
      <c r="I321" s="106">
        <f t="shared" si="195"/>
        <v>2</v>
      </c>
      <c r="J321" s="107">
        <f t="shared" si="79"/>
        <v>24000</v>
      </c>
      <c r="K321" s="108">
        <f>IF(  AND(N321&gt;0,I321=0)          ,N321 ,                         IF(  IF( F321 ,  DAYS360(DATE(YEAR(F321),MONTH(F321),1),Mes)/30  ,  DAYS360(DATE(YEAR(E321),MONTH(E321),1),Mes)/30  )  &gt;  0 , IF(F321,   DAYS360(DATE(YEAR(F321),MONTH(F321),1),Mes)/30  ,  DAYS360(DATE(YEAR(E321),MONTH(E321),1),Mes)/30) , 0)       )</f>
        <v>0</v>
      </c>
      <c r="L321" s="109">
        <f t="shared" si="196"/>
        <v>0</v>
      </c>
      <c r="M321" s="123"/>
      <c r="N321" s="29">
        <f>IF( ISERROR(OFFSET(SECUESTRADOS!D$1,MATCH(B321,SECUESTRADOS!A$2:A1405,0),0)) ,0 ,  OFFSET(SECUESTRADOS!D$1,MATCH(B321,SECUESTRADOS!A$2:A1405,0),0)  )</f>
        <v>0</v>
      </c>
      <c r="O321" s="30"/>
      <c r="P321" s="17" t="str">
        <f t="shared" si="3"/>
        <v>cuna kayak</v>
      </c>
      <c r="Q321" s="17" t="str">
        <f>IF(AND(A321=A320,B321=B320,C321=C320),"Repetido","")</f>
        <v/>
      </c>
      <c r="R321" s="31"/>
      <c r="S321" s="31"/>
      <c r="T321" s="31"/>
    </row>
    <row r="322" ht="15.0" customHeight="1">
      <c r="A322" s="18" t="s">
        <v>82</v>
      </c>
      <c r="B322" s="18" t="s">
        <v>196</v>
      </c>
      <c r="C322" s="19">
        <v>1643.0</v>
      </c>
      <c r="D322" s="20" t="str">
        <f>IF(   ISERROR(OFFSET(PADRON!B$2,MATCH(C:C,PADRON!A$2:A1405,0)-1,0,1,1) )  ,  ,    OFFSET(PADRON!B$2,MATCH(C:C,PADRON!A$2:A1405,0)-1,0,1,1))</f>
        <v>Archipretre, Maria</v>
      </c>
      <c r="E322" s="21">
        <v>45809.0</v>
      </c>
      <c r="F322" s="21">
        <v>45870.0</v>
      </c>
      <c r="G322" s="23" t="s">
        <v>39</v>
      </c>
      <c r="H322" s="24">
        <f>IF( ISERROR( OFFSET(   'Cuadro tarifario'!D$2  , MATCH(CONCATENATE(                 IF(F322&gt;Mes,OFFSET(NroCT!B$17, MATCH($F322,NroCT!$A$18:$A1405,0),0,1,1),Periodovigente)                                                                                                                     ,A322) ,'Cuadro tarifario'!A$2:A1405,0) -1 , 0 , 1 , 1) )   , 0  ,   OFFSET(   'Cuadro tarifario'!D$2  , MATCH(CONCATENATE( IF(F322&gt;Mes,OFFSET(NroCT!B$17, MATCH($F322,NroCT!$A$18:$A1405,0),0,1,1),Periodovigente) ,A322) ,'Cuadro tarifario'!A$2:A1405,0) -1 , 0 , 1 , 1))</f>
        <v>12000</v>
      </c>
      <c r="I322" s="106">
        <f t="shared" si="195"/>
        <v>2</v>
      </c>
      <c r="J322" s="107">
        <f t="shared" si="79"/>
        <v>24000</v>
      </c>
      <c r="K322" s="108">
        <f>IF(  AND(N322&gt;0,I322=0)          ,N322 ,                         IF(  IF( F322 ,  DAYS360(DATE(YEAR(F322),MONTH(F322),1),Mes)/30  ,  DAYS360(DATE(YEAR(E322),MONTH(E322),1),Mes)/30  )  &gt;  0 , IF(F322,   DAYS360(DATE(YEAR(F322),MONTH(F322),1),Mes)/30  ,  DAYS360(DATE(YEAR(E322),MONTH(E322),1),Mes)/30) , 0)       )</f>
        <v>0</v>
      </c>
      <c r="L322" s="109">
        <f t="shared" si="196"/>
        <v>0</v>
      </c>
      <c r="M322" s="123"/>
      <c r="N322" s="29">
        <f>IF( ISERROR(OFFSET(SECUESTRADOS!D$1,MATCH(B322,SECUESTRADOS!A$2:A1405,0),0)) ,0 ,  OFFSET(SECUESTRADOS!D$1,MATCH(B322,SECUESTRADOS!A$2:A1405,0),0)  )</f>
        <v>0</v>
      </c>
      <c r="O322" s="30"/>
      <c r="P322" s="17" t="str">
        <f t="shared" si="3"/>
        <v>cuna kayak</v>
      </c>
      <c r="Q322" s="17" t="str">
        <f>IF(AND(A322=#REF!,B322=#REF!,C322=#REF!),"Repetido","")</f>
        <v>#REF!</v>
      </c>
      <c r="R322" s="31"/>
      <c r="S322" s="31"/>
      <c r="T322" s="31"/>
    </row>
    <row r="323" ht="15.0" customHeight="1">
      <c r="A323" s="18" t="s">
        <v>82</v>
      </c>
      <c r="B323" s="18" t="s">
        <v>197</v>
      </c>
      <c r="C323" s="19">
        <v>1643.0</v>
      </c>
      <c r="D323" s="20" t="str">
        <f>IF(   ISERROR(OFFSET(PADRON!B$2,MATCH(C:C,PADRON!A$2:A1405,0)-1,0,1,1) )  ,  ,    OFFSET(PADRON!B$2,MATCH(C:C,PADRON!A$2:A1405,0)-1,0,1,1))</f>
        <v>Archipretre, Maria</v>
      </c>
      <c r="E323" s="21">
        <v>45809.0</v>
      </c>
      <c r="F323" s="21">
        <v>45870.0</v>
      </c>
      <c r="G323" s="23" t="s">
        <v>39</v>
      </c>
      <c r="H323" s="24">
        <f>IF( ISERROR( OFFSET(   'Cuadro tarifario'!D$2  , MATCH(CONCATENATE(                 IF(F323&gt;Mes,OFFSET(NroCT!B$17, MATCH($F323,NroCT!$A$18:$A1405,0),0,1,1),Periodovigente)                                                                                                                     ,A323) ,'Cuadro tarifario'!A$2:A1405,0) -1 , 0 , 1 , 1) )   , 0  ,   OFFSET(   'Cuadro tarifario'!D$2  , MATCH(CONCATENATE( IF(F323&gt;Mes,OFFSET(NroCT!B$17, MATCH($F323,NroCT!$A$18:$A1405,0),0,1,1),Periodovigente) ,A323) ,'Cuadro tarifario'!A$2:A1405,0) -1 , 0 , 1 , 1))</f>
        <v>12000</v>
      </c>
      <c r="I323" s="106">
        <f t="shared" si="195"/>
        <v>2</v>
      </c>
      <c r="J323" s="107">
        <f t="shared" si="79"/>
        <v>24000</v>
      </c>
      <c r="K323" s="108">
        <f>IF(  AND(N323&gt;0,I323=0)          ,N323 ,                         IF(  IF( F323 ,  DAYS360(DATE(YEAR(F323),MONTH(F323),1),Mes)/30  ,  DAYS360(DATE(YEAR(E323),MONTH(E323),1),Mes)/30  )  &gt;  0 , IF(F323,   DAYS360(DATE(YEAR(F323),MONTH(F323),1),Mes)/30  ,  DAYS360(DATE(YEAR(E323),MONTH(E323),1),Mes)/30) , 0)       )</f>
        <v>0</v>
      </c>
      <c r="L323" s="109">
        <f t="shared" si="196"/>
        <v>0</v>
      </c>
      <c r="M323" s="123"/>
      <c r="N323" s="29">
        <f>IF( ISERROR(OFFSET(SECUESTRADOS!D$1,MATCH(B323,SECUESTRADOS!A$2:A1405,0),0)) ,0 ,  OFFSET(SECUESTRADOS!D$1,MATCH(B323,SECUESTRADOS!A$2:A1405,0),0)  )</f>
        <v>0</v>
      </c>
      <c r="O323" s="30"/>
      <c r="P323" s="17" t="str">
        <f t="shared" si="3"/>
        <v>cuna kayak</v>
      </c>
      <c r="Q323" s="17" t="str">
        <f t="shared" ref="Q323:Q324" si="202">IF(AND(A323=A322,B323=B322,C323=C322),"Repetido","")</f>
        <v/>
      </c>
      <c r="R323" s="31"/>
      <c r="S323" s="31"/>
      <c r="T323" s="31"/>
    </row>
    <row r="324" ht="15.0" customHeight="1">
      <c r="A324" s="18" t="s">
        <v>82</v>
      </c>
      <c r="B324" s="18" t="s">
        <v>198</v>
      </c>
      <c r="C324" s="19">
        <v>1643.0</v>
      </c>
      <c r="D324" s="20" t="str">
        <f>IF(   ISERROR(OFFSET(PADRON!B$2,MATCH(C:C,PADRON!A$2:A1405,0)-1,0,1,1) )  ,  ,    OFFSET(PADRON!B$2,MATCH(C:C,PADRON!A$2:A1405,0)-1,0,1,1))</f>
        <v>Archipretre, Maria</v>
      </c>
      <c r="E324" s="21">
        <v>45809.0</v>
      </c>
      <c r="F324" s="21">
        <v>45870.0</v>
      </c>
      <c r="G324" s="23" t="s">
        <v>39</v>
      </c>
      <c r="H324" s="24">
        <f>IF( ISERROR( OFFSET(   'Cuadro tarifario'!D$2  , MATCH(CONCATENATE(                 IF(F324&gt;Mes,OFFSET(NroCT!B$17, MATCH($F324,NroCT!$A$18:$A1405,0),0,1,1),Periodovigente)                                                                                                                     ,A324) ,'Cuadro tarifario'!A$2:A1405,0) -1 , 0 , 1 , 1) )   , 0  ,   OFFSET(   'Cuadro tarifario'!D$2  , MATCH(CONCATENATE( IF(F324&gt;Mes,OFFSET(NroCT!B$17, MATCH($F324,NroCT!$A$18:$A1405,0),0,1,1),Periodovigente) ,A324) ,'Cuadro tarifario'!A$2:A1405,0) -1 , 0 , 1 , 1))</f>
        <v>12000</v>
      </c>
      <c r="I324" s="106">
        <f t="shared" si="195"/>
        <v>2</v>
      </c>
      <c r="J324" s="107">
        <f t="shared" si="79"/>
        <v>24000</v>
      </c>
      <c r="K324" s="108">
        <f>IF(  AND(N324&gt;0,I324=0)          ,N324 ,                         IF(  IF( F324 ,  DAYS360(DATE(YEAR(F324),MONTH(F324),1),Mes)/30  ,  DAYS360(DATE(YEAR(E324),MONTH(E324),1),Mes)/30  )  &gt;  0 , IF(F324,   DAYS360(DATE(YEAR(F324),MONTH(F324),1),Mes)/30  ,  DAYS360(DATE(YEAR(E324),MONTH(E324),1),Mes)/30) , 0)       )</f>
        <v>0</v>
      </c>
      <c r="L324" s="109">
        <f t="shared" si="196"/>
        <v>0</v>
      </c>
      <c r="M324" s="123"/>
      <c r="N324" s="29">
        <f>IF( ISERROR(OFFSET(SECUESTRADOS!D$1,MATCH(B324,SECUESTRADOS!A$2:A1405,0),0)) ,0 ,  OFFSET(SECUESTRADOS!D$1,MATCH(B324,SECUESTRADOS!A$2:A1405,0),0)  )</f>
        <v>0</v>
      </c>
      <c r="O324" s="30"/>
      <c r="P324" s="17" t="str">
        <f t="shared" si="3"/>
        <v>cuna kayak</v>
      </c>
      <c r="Q324" s="17" t="str">
        <f t="shared" si="202"/>
        <v/>
      </c>
      <c r="R324" s="31"/>
      <c r="S324" s="31"/>
      <c r="T324" s="31"/>
    </row>
    <row r="325" ht="15.0" customHeight="1">
      <c r="A325" s="18" t="s">
        <v>50</v>
      </c>
      <c r="B325" s="18" t="s">
        <v>199</v>
      </c>
      <c r="C325" s="19">
        <v>1643.0</v>
      </c>
      <c r="D325" s="20" t="str">
        <f>IF(   ISERROR(OFFSET(PADRON!B$2,MATCH(C:C,PADRON!A$2:A1405,0)-1,0,1,1) )  ,  ,    OFFSET(PADRON!B$2,MATCH(C:C,PADRON!A$2:A1405,0)-1,0,1,1))</f>
        <v>Archipretre, Maria</v>
      </c>
      <c r="E325" s="21">
        <v>45992.0</v>
      </c>
      <c r="F325" s="21"/>
      <c r="G325" s="23" t="s">
        <v>39</v>
      </c>
      <c r="H325" s="24">
        <f>IF( ISERROR( OFFSET(   'Cuadro tarifario'!D$2  , MATCH(CONCATENATE(                 IF(F325&gt;Mes,OFFSET(NroCT!B$17, MATCH($F325,NroCT!$A$18:$A1405,0),0,1,1),Periodovigente)                                                                                                                     ,A325) ,'Cuadro tarifario'!A$2:A1405,0) -1 , 0 , 1 , 1) )   , 0  ,   OFFSET(   'Cuadro tarifario'!D$2  , MATCH(CONCATENATE( IF(F325&gt;Mes,OFFSET(NroCT!B$17, MATCH($F325,NroCT!$A$18:$A1405,0),0,1,1),Periodovigente) ,A325) ,'Cuadro tarifario'!A$2:A1405,0) -1 , 0 , 1 , 1))</f>
        <v>3600</v>
      </c>
      <c r="I325" s="106">
        <f t="shared" si="195"/>
        <v>0</v>
      </c>
      <c r="J325" s="107"/>
      <c r="K325" s="108">
        <f>IF(  AND(N325&gt;0,I325=0)          ,N325 ,                         IF(  IF( F325 ,  DAYS360(DATE(YEAR(F325),MONTH(F325),1),Mes)/30  ,  DAYS360(DATE(YEAR(E325),MONTH(E325),1),Mes)/30  )  &gt;  0 , IF(F325,   DAYS360(DATE(YEAR(F325),MONTH(F325),1),Mes)/30  ,  DAYS360(DATE(YEAR(E325),MONTH(E325),1),Mes)/30) , 0)       )</f>
        <v>0</v>
      </c>
      <c r="L325" s="109">
        <f t="shared" si="196"/>
        <v>0</v>
      </c>
      <c r="M325" s="123" t="s">
        <v>88</v>
      </c>
      <c r="N325" s="29">
        <f>IF( ISERROR(OFFSET(SECUESTRADOS!D$1,MATCH(B325,SECUESTRADOS!A$2:A1405,0),0)) ,0 ,  OFFSET(SECUESTRADOS!D$1,MATCH(B325,SECUESTRADOS!A$2:A1405,0),0)  )</f>
        <v>0</v>
      </c>
      <c r="O325" s="30"/>
      <c r="P325" s="17" t="b">
        <f t="shared" si="3"/>
        <v>0</v>
      </c>
      <c r="Q325" s="17" t="str">
        <f t="shared" ref="Q325:Q326" si="203">IF(AND(A325=#REF!,B325=#REF!,C325=#REF!),"Repetido","")</f>
        <v>#REF!</v>
      </c>
      <c r="R325" s="31"/>
      <c r="S325" s="31"/>
      <c r="T325" s="31"/>
    </row>
    <row r="326" ht="15.0" customHeight="1">
      <c r="A326" s="74" t="s">
        <v>71</v>
      </c>
      <c r="B326" s="74">
        <v>1649.0</v>
      </c>
      <c r="C326" s="19">
        <v>1649.0</v>
      </c>
      <c r="D326" s="20" t="str">
        <f>IF(   ISERROR(OFFSET(PADRON!B$2,MATCH(C:C,PADRON!A$2:A1405,0)-1,0,1,1) )  ,  ,    OFFSET(PADRON!B$2,MATCH(C:C,PADRON!A$2:A1405,0)-1,0,1,1))</f>
        <v>DEL PERO, ROBERTO</v>
      </c>
      <c r="E326" s="45">
        <v>45901.0</v>
      </c>
      <c r="F326" s="45"/>
      <c r="G326" s="23" t="s">
        <v>39</v>
      </c>
      <c r="H326" s="24">
        <f>IF( ISERROR( OFFSET(   'Cuadro tarifario'!D$2  , MATCH(CONCATENATE(                 IF(F326&gt;Mes,OFFSET(NroCT!B$17, MATCH($F326,NroCT!$A$18:$A1405,0),0,1,1),Periodovigente)                                                                                                                     ,A326) ,'Cuadro tarifario'!A$2:A1405,0) -1 , 0 , 1 , 1) )   , 0  ,   OFFSET(   'Cuadro tarifario'!D$2  , MATCH(CONCATENATE( IF(F326&gt;Mes,OFFSET(NroCT!B$17, MATCH($F326,NroCT!$A$18:$A1405,0),0,1,1),Periodovigente) ,A326) ,'Cuadro tarifario'!A$2:A1405,0) -1 , 0 , 1 , 1))</f>
        <v>11000</v>
      </c>
      <c r="I326" s="85">
        <f t="shared" si="195"/>
        <v>0</v>
      </c>
      <c r="J326" s="101">
        <f t="shared" ref="J326:J329" si="204">I326*H326</f>
        <v>0</v>
      </c>
      <c r="K326" s="87">
        <f>IF(  AND(N326&gt;0,I326=0)          ,N326 ,                         IF(  IF( F326 ,  DAYS360(DATE(YEAR(F326),MONTH(F326),1),Mes)/30  ,  DAYS360(DATE(YEAR(E326),MONTH(E326),1),Mes)/30  )  &gt;  0 , IF(F326,   DAYS360(DATE(YEAR(F326),MONTH(F326),1),Mes)/30  ,  DAYS360(DATE(YEAR(E326),MONTH(E326),1),Mes)/30) , 0)       )</f>
        <v>0</v>
      </c>
      <c r="L326" s="102">
        <f t="shared" si="196"/>
        <v>0</v>
      </c>
      <c r="M326" s="103"/>
      <c r="N326" s="29">
        <f>IF( ISERROR(OFFSET(SECUESTRADOS!D$1,MATCH(B326,SECUESTRADOS!A$2:A1405,0),0)) ,0 ,  OFFSET(SECUESTRADOS!D$1,MATCH(B326,SECUESTRADOS!A$2:A1405,0),0)  )</f>
        <v>0</v>
      </c>
      <c r="O326" s="30"/>
      <c r="P326" s="17" t="b">
        <f t="shared" si="3"/>
        <v>0</v>
      </c>
      <c r="Q326" s="17" t="str">
        <f t="shared" si="203"/>
        <v>#REF!</v>
      </c>
      <c r="R326" s="31"/>
      <c r="S326" s="31"/>
      <c r="T326" s="31"/>
    </row>
    <row r="327" ht="15.0" customHeight="1">
      <c r="A327" s="18" t="s">
        <v>38</v>
      </c>
      <c r="B327" s="17">
        <v>1649.0</v>
      </c>
      <c r="C327" s="19">
        <v>1649.0</v>
      </c>
      <c r="D327" s="20" t="str">
        <f>IF(   ISERROR(OFFSET(PADRON!B$2,MATCH(C:C,PADRON!A$2:A1405,0)-1,0,1,1) )  ,  ,    OFFSET(PADRON!B$2,MATCH(C:C,PADRON!A$2:A1405,0)-1,0,1,1))</f>
        <v>DEL PERO, ROBERTO</v>
      </c>
      <c r="E327" s="21">
        <v>45901.0</v>
      </c>
      <c r="F327" s="21"/>
      <c r="G327" s="23" t="s">
        <v>39</v>
      </c>
      <c r="H327" s="24">
        <f>IF( ISERROR( OFFSET(   'Cuadro tarifario'!D$2  , MATCH(CONCATENATE(                 IF(F327&gt;Mes,OFFSET(NroCT!B$17, MATCH($F327,NroCT!$A$18:$A1405,0),0,1,1),Periodovigente)                                                                                                                     ,A327) ,'Cuadro tarifario'!A$2:A1405,0) -1 , 0 , 1 , 1) )   , 0  ,   OFFSET(   'Cuadro tarifario'!D$2  , MATCH(CONCATENATE( IF(F327&gt;Mes,OFFSET(NroCT!B$17, MATCH($F327,NroCT!$A$18:$A1405,0),0,1,1),Periodovigente) ,A327) ,'Cuadro tarifario'!A$2:A1405,0) -1 , 0 , 1 , 1))</f>
        <v>9000</v>
      </c>
      <c r="I327" s="106">
        <f t="shared" si="195"/>
        <v>0</v>
      </c>
      <c r="J327" s="107">
        <f t="shared" si="204"/>
        <v>0</v>
      </c>
      <c r="K327" s="108">
        <f>IF(  AND(N327&gt;0,I327=0)          ,N327 ,                         IF(  IF( F327 ,  DAYS360(DATE(YEAR(F327),MONTH(F327),1),Mes)/30  ,  DAYS360(DATE(YEAR(E327),MONTH(E327),1),Mes)/30  )  &gt;  0 , IF(F327,   DAYS360(DATE(YEAR(F327),MONTH(F327),1),Mes)/30  ,  DAYS360(DATE(YEAR(E327),MONTH(E327),1),Mes)/30) , 0)       )</f>
        <v>0</v>
      </c>
      <c r="L327" s="109">
        <f t="shared" si="196"/>
        <v>0</v>
      </c>
      <c r="M327" s="110"/>
      <c r="N327" s="29">
        <f>IF( ISERROR(OFFSET(SECUESTRADOS!D$1,MATCH(B327,SECUESTRADOS!A$2:A1405,0),0)) ,0 ,  OFFSET(SECUESTRADOS!D$1,MATCH(B327,SECUESTRADOS!A$2:A1405,0),0)  )</f>
        <v>0</v>
      </c>
      <c r="O327" s="30"/>
      <c r="P327" s="17" t="b">
        <f t="shared" si="3"/>
        <v>0</v>
      </c>
      <c r="Q327" s="17" t="str">
        <f t="shared" ref="Q327:Q328" si="205">IF(AND(A327=A326,B327=B326,C327=C326),"Repetido","")</f>
        <v/>
      </c>
      <c r="R327" s="31"/>
      <c r="S327" s="31"/>
      <c r="T327" s="31"/>
    </row>
    <row r="328" ht="15.0" customHeight="1">
      <c r="A328" s="18" t="s">
        <v>82</v>
      </c>
      <c r="B328" s="18" t="s">
        <v>200</v>
      </c>
      <c r="C328" s="19">
        <v>1649.0</v>
      </c>
      <c r="D328" s="20" t="str">
        <f>IF(   ISERROR(OFFSET(PADRON!B$2,MATCH(C:C,PADRON!A$2:A1405,0)-1,0,1,1) )  ,  ,    OFFSET(PADRON!B$2,MATCH(C:C,PADRON!A$2:A1405,0)-1,0,1,1))</f>
        <v>DEL PERO, ROBERTO</v>
      </c>
      <c r="E328" s="21">
        <v>45901.0</v>
      </c>
      <c r="F328" s="21"/>
      <c r="G328" s="23" t="s">
        <v>39</v>
      </c>
      <c r="H328" s="24">
        <f>IF( ISERROR( OFFSET(   'Cuadro tarifario'!D$2  , MATCH(CONCATENATE(                 IF(F328&gt;Mes,OFFSET(NroCT!B$17, MATCH($F328,NroCT!$A$18:$A1405,0),0,1,1),Periodovigente)                                                                                                                     ,A328) ,'Cuadro tarifario'!A$2:A1405,0) -1 , 0 , 1 , 1) )   , 0  ,   OFFSET(   'Cuadro tarifario'!D$2  , MATCH(CONCATENATE( IF(F328&gt;Mes,OFFSET(NroCT!B$17, MATCH($F328,NroCT!$A$18:$A1405,0),0,1,1),Periodovigente) ,A328) ,'Cuadro tarifario'!A$2:A1405,0) -1 , 0 , 1 , 1))</f>
        <v>12000</v>
      </c>
      <c r="I328" s="106">
        <f t="shared" si="195"/>
        <v>0</v>
      </c>
      <c r="J328" s="107">
        <f t="shared" si="204"/>
        <v>0</v>
      </c>
      <c r="K328" s="108">
        <f>IF(  AND(N328&gt;0,I328=0)          ,N328 ,                         IF(  IF( F328 ,  DAYS360(DATE(YEAR(F328),MONTH(F328),1),Mes)/30  ,  DAYS360(DATE(YEAR(E328),MONTH(E328),1),Mes)/30  )  &gt;  0 , IF(F328,   DAYS360(DATE(YEAR(F328),MONTH(F328),1),Mes)/30  ,  DAYS360(DATE(YEAR(E328),MONTH(E328),1),Mes)/30) , 0)       )</f>
        <v>0</v>
      </c>
      <c r="L328" s="109">
        <f t="shared" si="196"/>
        <v>0</v>
      </c>
      <c r="M328" s="110"/>
      <c r="N328" s="29">
        <f>IF( ISERROR(OFFSET(SECUESTRADOS!D$1,MATCH(B328,SECUESTRADOS!A$2:A1405,0),0)) ,0 ,  OFFSET(SECUESTRADOS!D$1,MATCH(B328,SECUESTRADOS!A$2:A1405,0),0)  )</f>
        <v>0</v>
      </c>
      <c r="O328" s="30"/>
      <c r="P328" s="17" t="b">
        <f t="shared" si="3"/>
        <v>0</v>
      </c>
      <c r="Q328" s="17" t="str">
        <f t="shared" si="205"/>
        <v/>
      </c>
      <c r="R328" s="31"/>
      <c r="S328" s="31"/>
      <c r="T328" s="31"/>
    </row>
    <row r="329" ht="15.0" customHeight="1">
      <c r="A329" s="18" t="s">
        <v>82</v>
      </c>
      <c r="B329" s="18" t="s">
        <v>201</v>
      </c>
      <c r="C329" s="19">
        <v>1649.0</v>
      </c>
      <c r="D329" s="20" t="str">
        <f>IF(   ISERROR(OFFSET(PADRON!B$2,MATCH(C:C,PADRON!A$2:A1405,0)-1,0,1,1) )  ,  ,    OFFSET(PADRON!B$2,MATCH(C:C,PADRON!A$2:A1405,0)-1,0,1,1))</f>
        <v>DEL PERO, ROBERTO</v>
      </c>
      <c r="E329" s="21">
        <v>45901.0</v>
      </c>
      <c r="F329" s="21"/>
      <c r="G329" s="23" t="s">
        <v>39</v>
      </c>
      <c r="H329" s="24">
        <f>IF( ISERROR( OFFSET(   'Cuadro tarifario'!D$2  , MATCH(CONCATENATE(                 IF(F329&gt;Mes,OFFSET(NroCT!B$17, MATCH($F329,NroCT!$A$18:$A1405,0),0,1,1),Periodovigente)                                                                                                                     ,A329) ,'Cuadro tarifario'!A$2:A1405,0) -1 , 0 , 1 , 1) )   , 0  ,   OFFSET(   'Cuadro tarifario'!D$2  , MATCH(CONCATENATE( IF(F329&gt;Mes,OFFSET(NroCT!B$17, MATCH($F329,NroCT!$A$18:$A1405,0),0,1,1),Periodovigente) ,A329) ,'Cuadro tarifario'!A$2:A1405,0) -1 , 0 , 1 , 1))</f>
        <v>12000</v>
      </c>
      <c r="I329" s="106">
        <f t="shared" si="195"/>
        <v>0</v>
      </c>
      <c r="J329" s="107">
        <f t="shared" si="204"/>
        <v>0</v>
      </c>
      <c r="K329" s="108">
        <f>IF(  AND(N329&gt;0,I329=0)          ,N329 ,                         IF(  IF( F329 ,  DAYS360(DATE(YEAR(F329),MONTH(F329),1),Mes)/30  ,  DAYS360(DATE(YEAR(E329),MONTH(E329),1),Mes)/30  )  &gt;  0 , IF(F329,   DAYS360(DATE(YEAR(F329),MONTH(F329),1),Mes)/30  ,  DAYS360(DATE(YEAR(E329),MONTH(E329),1),Mes)/30) , 0)       )</f>
        <v>0</v>
      </c>
      <c r="L329" s="109">
        <f t="shared" si="196"/>
        <v>0</v>
      </c>
      <c r="M329" s="123"/>
      <c r="N329" s="29">
        <f>IF( ISERROR(OFFSET(SECUESTRADOS!D$1,MATCH(B329,SECUESTRADOS!A$2:A1405,0),0)) ,0 ,  OFFSET(SECUESTRADOS!D$1,MATCH(B329,SECUESTRADOS!A$2:A1405,0),0)  )</f>
        <v>0</v>
      </c>
      <c r="O329" s="30"/>
      <c r="P329" s="17" t="b">
        <f t="shared" si="3"/>
        <v>0</v>
      </c>
      <c r="Q329" s="17" t="str">
        <f t="shared" ref="Q329:Q331" si="206">IF(AND(A329=#REF!,B329=#REF!,C329=#REF!),"Repetido","")</f>
        <v>#REF!</v>
      </c>
      <c r="R329" s="31"/>
      <c r="S329" s="31"/>
      <c r="T329" s="31"/>
    </row>
    <row r="330" ht="15.0" customHeight="1">
      <c r="A330" s="18" t="s">
        <v>82</v>
      </c>
      <c r="B330" s="18" t="s">
        <v>202</v>
      </c>
      <c r="C330" s="19">
        <v>1649.0</v>
      </c>
      <c r="D330" s="20" t="str">
        <f>IF(   ISERROR(OFFSET(PADRON!B$2,MATCH(C:C,PADRON!A$2:A1405,0)-1,0,1,1) )  ,  ,    OFFSET(PADRON!B$2,MATCH(C:C,PADRON!A$2:A1405,0)-1,0,1,1))</f>
        <v>DEL PERO, ROBERTO</v>
      </c>
      <c r="E330" s="21">
        <v>45901.0</v>
      </c>
      <c r="F330" s="21"/>
      <c r="G330" s="23" t="s">
        <v>39</v>
      </c>
      <c r="H330" s="24">
        <f>IF( ISERROR( OFFSET(   'Cuadro tarifario'!D$2  , MATCH(CONCATENATE(                 IF(F330&gt;Mes,OFFSET(NroCT!B$17, MATCH($F330,NroCT!$A$18:$A1405,0),0,1,1),Periodovigente)                                                                                                                     ,A330) ,'Cuadro tarifario'!A$2:A1405,0) -1 , 0 , 1 , 1) )   , 0  ,   OFFSET(   'Cuadro tarifario'!D$2  , MATCH(CONCATENATE( IF(F330&gt;Mes,OFFSET(NroCT!B$17, MATCH($F330,NroCT!$A$18:$A1405,0),0,1,1),Periodovigente) ,A330) ,'Cuadro tarifario'!A$2:A1405,0) -1 , 0 , 1 , 1))</f>
        <v>12000</v>
      </c>
      <c r="I330" s="106">
        <f t="shared" si="195"/>
        <v>0</v>
      </c>
      <c r="J330" s="124"/>
      <c r="K330" s="108">
        <f>IF(  AND(N330&gt;0,I330=0)          ,N330 ,                         IF(  IF( F330 ,  DAYS360(DATE(YEAR(F330),MONTH(F330),1),Mes)/30  ,  DAYS360(DATE(YEAR(E330),MONTH(E330),1),Mes)/30  )  &gt;  0 , IF(F330,   DAYS360(DATE(YEAR(F330),MONTH(F330),1),Mes)/30  ,  DAYS360(DATE(YEAR(E330),MONTH(E330),1),Mes)/30) , 0)       )</f>
        <v>0</v>
      </c>
      <c r="L330" s="109">
        <f t="shared" si="196"/>
        <v>0</v>
      </c>
      <c r="M330" s="123" t="s">
        <v>88</v>
      </c>
      <c r="N330" s="29">
        <f>IF( ISERROR(OFFSET(SECUESTRADOS!D$1,MATCH(B330,SECUESTRADOS!A$2:A1405,0),0)) ,0 ,  OFFSET(SECUESTRADOS!D$1,MATCH(B330,SECUESTRADOS!A$2:A1405,0),0)  )</f>
        <v>0</v>
      </c>
      <c r="O330" s="30"/>
      <c r="P330" s="17" t="b">
        <f t="shared" si="3"/>
        <v>0</v>
      </c>
      <c r="Q330" s="17" t="str">
        <f t="shared" si="206"/>
        <v>#REF!</v>
      </c>
      <c r="R330" s="31"/>
      <c r="S330" s="31"/>
      <c r="T330" s="31"/>
    </row>
    <row r="331" ht="15.0" customHeight="1">
      <c r="A331" s="17" t="s">
        <v>71</v>
      </c>
      <c r="B331" s="18">
        <v>1659.0</v>
      </c>
      <c r="C331" s="19">
        <v>1659.0</v>
      </c>
      <c r="D331" s="20" t="str">
        <f>IF(   ISERROR(OFFSET(PADRON!B$2,MATCH(C:C,PADRON!A$2:A1405,0)-1,0,1,1) )  ,  ,    OFFSET(PADRON!B$2,MATCH(C:C,PADRON!A$2:A1405,0)-1,0,1,1))</f>
        <v>Marino, Fernando</v>
      </c>
      <c r="E331" s="21">
        <v>45839.0</v>
      </c>
      <c r="F331" s="21">
        <v>45870.0</v>
      </c>
      <c r="G331" s="23" t="s">
        <v>39</v>
      </c>
      <c r="H331" s="24">
        <f>IF( ISERROR( OFFSET(   'Cuadro tarifario'!D$2  , MATCH(CONCATENATE(                 IF(F331&gt;Mes,OFFSET(NroCT!B$17, MATCH($F331,NroCT!$A$18:$A1405,0),0,1,1),Periodovigente)                                                                                                                     ,A331) ,'Cuadro tarifario'!A$2:A1405,0) -1 , 0 , 1 , 1) )   , 0  ,   OFFSET(   'Cuadro tarifario'!D$2  , MATCH(CONCATENATE( IF(F331&gt;Mes,OFFSET(NroCT!B$17, MATCH($F331,NroCT!$A$18:$A1405,0),0,1,1),Periodovigente) ,A331) ,'Cuadro tarifario'!A$2:A1405,0) -1 , 0 , 1 , 1))</f>
        <v>11000</v>
      </c>
      <c r="I331" s="85">
        <f t="shared" si="195"/>
        <v>1</v>
      </c>
      <c r="J331" s="101">
        <f t="shared" ref="J331:J537" si="207">I331*H331</f>
        <v>11000</v>
      </c>
      <c r="K331" s="87">
        <f>IF(  AND(N331&gt;0,I331=0)          ,N331 ,                         IF(  IF( F331 ,  DAYS360(DATE(YEAR(F331),MONTH(F331),1),Mes)/30  ,  DAYS360(DATE(YEAR(E331),MONTH(E331),1),Mes)/30  )  &gt;  0 , IF(F331,   DAYS360(DATE(YEAR(F331),MONTH(F331),1),Mes)/30  ,  DAYS360(DATE(YEAR(E331),MONTH(E331),1),Mes)/30) , 0)       )</f>
        <v>0</v>
      </c>
      <c r="L331" s="102">
        <f t="shared" si="196"/>
        <v>0</v>
      </c>
      <c r="M331" s="103"/>
      <c r="N331" s="29">
        <f>IF( ISERROR(OFFSET(SECUESTRADOS!D$1,MATCH(B331,SECUESTRADOS!A$2:A1405,0),0)) ,0 ,  OFFSET(SECUESTRADOS!D$1,MATCH(B331,SECUESTRADOS!A$2:A1405,0),0)  )</f>
        <v>0</v>
      </c>
      <c r="O331" s="30"/>
      <c r="P331" s="17" t="str">
        <f t="shared" si="3"/>
        <v>.socio</v>
      </c>
      <c r="Q331" s="17" t="str">
        <f t="shared" si="206"/>
        <v>#REF!</v>
      </c>
      <c r="R331" s="31"/>
      <c r="S331" s="31"/>
      <c r="T331" s="31"/>
    </row>
    <row r="332" ht="15.0" customHeight="1">
      <c r="A332" s="18" t="s">
        <v>38</v>
      </c>
      <c r="B332" s="17">
        <v>1659.0</v>
      </c>
      <c r="C332" s="19">
        <v>1659.0</v>
      </c>
      <c r="D332" s="20" t="str">
        <f>IF(   ISERROR(OFFSET(PADRON!B$2,MATCH(C:C,PADRON!A$2:A1405,0)-1,0,1,1) )  ,  ,    OFFSET(PADRON!B$2,MATCH(C:C,PADRON!A$2:A1405,0)-1,0,1,1))</f>
        <v>Marino, Fernando</v>
      </c>
      <c r="E332" s="21">
        <v>45839.0</v>
      </c>
      <c r="F332" s="21">
        <v>45870.0</v>
      </c>
      <c r="G332" s="23" t="s">
        <v>39</v>
      </c>
      <c r="H332" s="24">
        <f>IF( ISERROR( OFFSET(   'Cuadro tarifario'!D$2  , MATCH(CONCATENATE(                 IF(F332&gt;Mes,OFFSET(NroCT!B$17, MATCH($F332,NroCT!$A$18:$A1405,0),0,1,1),Periodovigente)                                                                                                                     ,A332) ,'Cuadro tarifario'!A$2:A1405,0) -1 , 0 , 1 , 1) )   , 0  ,   OFFSET(   'Cuadro tarifario'!D$2  , MATCH(CONCATENATE( IF(F332&gt;Mes,OFFSET(NroCT!B$17, MATCH($F332,NroCT!$A$18:$A1405,0),0,1,1),Periodovigente) ,A332) ,'Cuadro tarifario'!A$2:A1405,0) -1 , 0 , 1 , 1))</f>
        <v>9000</v>
      </c>
      <c r="I332" s="106">
        <f t="shared" si="195"/>
        <v>1</v>
      </c>
      <c r="J332" s="107">
        <f t="shared" si="207"/>
        <v>9000</v>
      </c>
      <c r="K332" s="108">
        <f>IF(  AND(N332&gt;0,I332=0)          ,N332 ,                         IF(  IF( F332 ,  DAYS360(DATE(YEAR(F332),MONTH(F332),1),Mes)/30  ,  DAYS360(DATE(YEAR(E332),MONTH(E332),1),Mes)/30  )  &gt;  0 , IF(F332,   DAYS360(DATE(YEAR(F332),MONTH(F332),1),Mes)/30  ,  DAYS360(DATE(YEAR(E332),MONTH(E332),1),Mes)/30) , 0)       )</f>
        <v>0</v>
      </c>
      <c r="L332" s="109">
        <f t="shared" si="196"/>
        <v>0</v>
      </c>
      <c r="M332" s="110"/>
      <c r="N332" s="29">
        <f>IF( ISERROR(OFFSET(SECUESTRADOS!D$1,MATCH(B332,SECUESTRADOS!A$2:A1405,0),0)) ,0 ,  OFFSET(SECUESTRADOS!D$1,MATCH(B332,SECUESTRADOS!A$2:A1405,0),0)  )</f>
        <v>0</v>
      </c>
      <c r="O332" s="30"/>
      <c r="P332" s="17" t="str">
        <f t="shared" si="3"/>
        <v>Bono canon</v>
      </c>
      <c r="Q332" s="17" t="str">
        <f>IF(AND(A332=A331,B332=B331,C332=C331),"Repetido","")</f>
        <v/>
      </c>
      <c r="R332" s="31"/>
      <c r="S332" s="31"/>
      <c r="T332" s="31"/>
    </row>
    <row r="333" ht="15.0" customHeight="1">
      <c r="A333" s="18" t="s">
        <v>82</v>
      </c>
      <c r="B333" s="18" t="s">
        <v>203</v>
      </c>
      <c r="C333" s="19">
        <v>1659.0</v>
      </c>
      <c r="D333" s="20" t="str">
        <f>IF(   ISERROR(OFFSET(PADRON!B$2,MATCH(C:C,PADRON!A$2:A1405,0)-1,0,1,1) )  ,  ,    OFFSET(PADRON!B$2,MATCH(C:C,PADRON!A$2:A1405,0)-1,0,1,1))</f>
        <v>Marino, Fernando</v>
      </c>
      <c r="E333" s="21">
        <v>45839.0</v>
      </c>
      <c r="F333" s="21">
        <v>45870.0</v>
      </c>
      <c r="G333" s="23" t="s">
        <v>39</v>
      </c>
      <c r="H333" s="24">
        <f>IF( ISERROR( OFFSET(   'Cuadro tarifario'!D$2  , MATCH(CONCATENATE(                 IF(F333&gt;Mes,OFFSET(NroCT!B$17, MATCH($F333,NroCT!$A$18:$A1405,0),0,1,1),Periodovigente)                                                                                                                     ,A333) ,'Cuadro tarifario'!A$2:A1405,0) -1 , 0 , 1 , 1) )   , 0  ,   OFFSET(   'Cuadro tarifario'!D$2  , MATCH(CONCATENATE( IF(F333&gt;Mes,OFFSET(NroCT!B$17, MATCH($F333,NroCT!$A$18:$A1405,0),0,1,1),Periodovigente) ,A333) ,'Cuadro tarifario'!A$2:A1405,0) -1 , 0 , 1 , 1))</f>
        <v>12000</v>
      </c>
      <c r="I333" s="85">
        <f t="shared" si="195"/>
        <v>1</v>
      </c>
      <c r="J333" s="101">
        <f t="shared" si="207"/>
        <v>12000</v>
      </c>
      <c r="K333" s="87">
        <f>IF(  AND(N333&gt;0,I333=0)          ,N333 ,                         IF(  IF( F333 ,  DAYS360(DATE(YEAR(F333),MONTH(F333),1),Mes)/30  ,  DAYS360(DATE(YEAR(E333),MONTH(E333),1),Mes)/30  )  &gt;  0 , IF(F333,   DAYS360(DATE(YEAR(F333),MONTH(F333),1),Mes)/30  ,  DAYS360(DATE(YEAR(E333),MONTH(E333),1),Mes)/30) , 0)       )</f>
        <v>0</v>
      </c>
      <c r="L333" s="102">
        <f t="shared" si="196"/>
        <v>0</v>
      </c>
      <c r="M333" s="103"/>
      <c r="N333" s="29">
        <f>IF( ISERROR(OFFSET(SECUESTRADOS!D$1,MATCH(B333,SECUESTRADOS!A$2:A1405,0),0)) ,0 ,  OFFSET(SECUESTRADOS!D$1,MATCH(B333,SECUESTRADOS!A$2:A1405,0),0)  )</f>
        <v>0</v>
      </c>
      <c r="O333" s="30"/>
      <c r="P333" s="17" t="str">
        <f t="shared" si="3"/>
        <v>cuna kayak</v>
      </c>
      <c r="Q333" s="17" t="str">
        <f>IF(AND(A333=#REF!,B333=#REF!,C333=#REF!),"Repetido","")</f>
        <v>#REF!</v>
      </c>
      <c r="R333" s="31"/>
      <c r="S333" s="31"/>
      <c r="T333" s="31"/>
    </row>
    <row r="334" ht="15.0" customHeight="1">
      <c r="A334" s="74" t="s">
        <v>71</v>
      </c>
      <c r="B334" s="74">
        <v>1660.0</v>
      </c>
      <c r="C334" s="19">
        <v>1660.0</v>
      </c>
      <c r="D334" s="20" t="str">
        <f>IF(   ISERROR(OFFSET(PADRON!B$2,MATCH(C:C,PADRON!A$2:A1405,0)-1,0,1,1) )  ,  ,    OFFSET(PADRON!B$2,MATCH(C:C,PADRON!A$2:A1405,0)-1,0,1,1))</f>
        <v>GABRIEL, GABRIELA VICTORIA</v>
      </c>
      <c r="E334" s="45">
        <v>45839.0</v>
      </c>
      <c r="F334" s="45">
        <v>45870.0</v>
      </c>
      <c r="G334" s="23" t="s">
        <v>39</v>
      </c>
      <c r="H334" s="24">
        <f>IF( ISERROR( OFFSET(   'Cuadro tarifario'!D$2  , MATCH(CONCATENATE(                 IF(F334&gt;Mes,OFFSET(NroCT!B$17, MATCH($F334,NroCT!$A$18:$A1405,0),0,1,1),Periodovigente)                                                                                                                     ,A334) ,'Cuadro tarifario'!A$2:A1405,0) -1 , 0 , 1 , 1) )   , 0  ,   OFFSET(   'Cuadro tarifario'!D$2  , MATCH(CONCATENATE( IF(F334&gt;Mes,OFFSET(NroCT!B$17, MATCH($F334,NroCT!$A$18:$A1405,0),0,1,1),Periodovigente) ,A334) ,'Cuadro tarifario'!A$2:A1405,0) -1 , 0 , 1 , 1))</f>
        <v>11000</v>
      </c>
      <c r="I334" s="85">
        <f t="shared" si="195"/>
        <v>1</v>
      </c>
      <c r="J334" s="101">
        <f t="shared" si="207"/>
        <v>11000</v>
      </c>
      <c r="K334" s="87">
        <f>IF(  AND(N334&gt;0,I334=0)          ,N334 ,                         IF(  IF( F334 ,  DAYS360(DATE(YEAR(F334),MONTH(F334),1),Mes)/30  ,  DAYS360(DATE(YEAR(E334),MONTH(E334),1),Mes)/30  )  &gt;  0 , IF(F334,   DAYS360(DATE(YEAR(F334),MONTH(F334),1),Mes)/30  ,  DAYS360(DATE(YEAR(E334),MONTH(E334),1),Mes)/30) , 0)       )</f>
        <v>0</v>
      </c>
      <c r="L334" s="102">
        <f t="shared" si="196"/>
        <v>0</v>
      </c>
      <c r="M334" s="103"/>
      <c r="N334" s="29">
        <f>IF( ISERROR(OFFSET(SECUESTRADOS!D$1,MATCH(B334,SECUESTRADOS!A$2:A1405,0),0)) ,0 ,  OFFSET(SECUESTRADOS!D$1,MATCH(B334,SECUESTRADOS!A$2:A1405,0),0)  )</f>
        <v>0</v>
      </c>
      <c r="O334" s="30"/>
      <c r="P334" s="17" t="str">
        <f t="shared" si="3"/>
        <v>.socio</v>
      </c>
      <c r="Q334" s="17" t="str">
        <f t="shared" ref="Q334:Q336" si="208">IF(AND(A334=A333,B334=B333,C334=C333),"Repetido","")</f>
        <v/>
      </c>
      <c r="R334" s="31"/>
      <c r="S334" s="31"/>
      <c r="T334" s="31"/>
    </row>
    <row r="335" ht="15.0" customHeight="1">
      <c r="A335" s="18" t="s">
        <v>38</v>
      </c>
      <c r="B335" s="17">
        <v>1660.0</v>
      </c>
      <c r="C335" s="19">
        <v>1660.0</v>
      </c>
      <c r="D335" s="20" t="str">
        <f>IF(   ISERROR(OFFSET(PADRON!B$2,MATCH(C:C,PADRON!A$2:A1405,0)-1,0,1,1) )  ,  ,    OFFSET(PADRON!B$2,MATCH(C:C,PADRON!A$2:A1405,0)-1,0,1,1))</f>
        <v>GABRIEL, GABRIELA VICTORIA</v>
      </c>
      <c r="E335" s="21">
        <v>45839.0</v>
      </c>
      <c r="F335" s="21">
        <v>45870.0</v>
      </c>
      <c r="G335" s="23" t="s">
        <v>39</v>
      </c>
      <c r="H335" s="24">
        <f>IF( ISERROR( OFFSET(   'Cuadro tarifario'!D$2  , MATCH(CONCATENATE(                 IF(F335&gt;Mes,OFFSET(NroCT!B$17, MATCH($F335,NroCT!$A$18:$A1405,0),0,1,1),Periodovigente)                                                                                                                     ,A335) ,'Cuadro tarifario'!A$2:A1405,0) -1 , 0 , 1 , 1) )   , 0  ,   OFFSET(   'Cuadro tarifario'!D$2  , MATCH(CONCATENATE( IF(F335&gt;Mes,OFFSET(NroCT!B$17, MATCH($F335,NroCT!$A$18:$A1405,0),0,1,1),Periodovigente) ,A335) ,'Cuadro tarifario'!A$2:A1405,0) -1 , 0 , 1 , 1))</f>
        <v>9000</v>
      </c>
      <c r="I335" s="106">
        <f t="shared" si="195"/>
        <v>1</v>
      </c>
      <c r="J335" s="107">
        <f t="shared" si="207"/>
        <v>9000</v>
      </c>
      <c r="K335" s="108">
        <f>IF(  AND(N335&gt;0,I335=0)          ,N335 ,                         IF(  IF( F335 ,  DAYS360(DATE(YEAR(F335),MONTH(F335),1),Mes)/30  ,  DAYS360(DATE(YEAR(E335),MONTH(E335),1),Mes)/30  )  &gt;  0 , IF(F335,   DAYS360(DATE(YEAR(F335),MONTH(F335),1),Mes)/30  ,  DAYS360(DATE(YEAR(E335),MONTH(E335),1),Mes)/30) , 0)       )</f>
        <v>0</v>
      </c>
      <c r="L335" s="109">
        <f t="shared" si="196"/>
        <v>0</v>
      </c>
      <c r="M335" s="110"/>
      <c r="N335" s="29">
        <f>IF( ISERROR(OFFSET(SECUESTRADOS!D$1,MATCH(B335,SECUESTRADOS!A$2:A1405,0),0)) ,0 ,  OFFSET(SECUESTRADOS!D$1,MATCH(B335,SECUESTRADOS!A$2:A1405,0),0)  )</f>
        <v>0</v>
      </c>
      <c r="O335" s="30"/>
      <c r="P335" s="17" t="str">
        <f t="shared" si="3"/>
        <v>Bono canon</v>
      </c>
      <c r="Q335" s="17" t="str">
        <f t="shared" si="208"/>
        <v/>
      </c>
      <c r="R335" s="31"/>
      <c r="S335" s="31"/>
      <c r="T335" s="31"/>
    </row>
    <row r="336" ht="15.0" customHeight="1">
      <c r="A336" s="18" t="s">
        <v>82</v>
      </c>
      <c r="B336" s="18" t="s">
        <v>204</v>
      </c>
      <c r="C336" s="19">
        <v>1660.0</v>
      </c>
      <c r="D336" s="20" t="str">
        <f>IF(   ISERROR(OFFSET(PADRON!B$2,MATCH(C:C,PADRON!A$2:A1405,0)-1,0,1,1) )  ,  ,    OFFSET(PADRON!B$2,MATCH(C:C,PADRON!A$2:A1405,0)-1,0,1,1))</f>
        <v>GABRIEL, GABRIELA VICTORIA</v>
      </c>
      <c r="E336" s="21">
        <v>45839.0</v>
      </c>
      <c r="F336" s="21">
        <v>45870.0</v>
      </c>
      <c r="G336" s="23" t="s">
        <v>39</v>
      </c>
      <c r="H336" s="24">
        <f>IF( ISERROR( OFFSET(   'Cuadro tarifario'!D$2  , MATCH(CONCATENATE(                 IF(F336&gt;Mes,OFFSET(NroCT!B$17, MATCH($F336,NroCT!$A$18:$A1405,0),0,1,1),Periodovigente)                                                                                                                     ,A336) ,'Cuadro tarifario'!A$2:A1405,0) -1 , 0 , 1 , 1) )   , 0  ,   OFFSET(   'Cuadro tarifario'!D$2  , MATCH(CONCATENATE( IF(F336&gt;Mes,OFFSET(NroCT!B$17, MATCH($F336,NroCT!$A$18:$A1405,0),0,1,1),Periodovigente) ,A336) ,'Cuadro tarifario'!A$2:A1405,0) -1 , 0 , 1 , 1))</f>
        <v>12000</v>
      </c>
      <c r="I336" s="106">
        <f t="shared" si="195"/>
        <v>1</v>
      </c>
      <c r="J336" s="107">
        <f t="shared" si="207"/>
        <v>12000</v>
      </c>
      <c r="K336" s="108">
        <f>IF(  AND(N336&gt;0,I336=0)          ,N336 ,                         IF(  IF( F336 ,  DAYS360(DATE(YEAR(F336),MONTH(F336),1),Mes)/30  ,  DAYS360(DATE(YEAR(E336),MONTH(E336),1),Mes)/30  )  &gt;  0 , IF(F336,   DAYS360(DATE(YEAR(F336),MONTH(F336),1),Mes)/30  ,  DAYS360(DATE(YEAR(E336),MONTH(E336),1),Mes)/30) , 0)       )</f>
        <v>0</v>
      </c>
      <c r="L336" s="109">
        <f t="shared" si="196"/>
        <v>0</v>
      </c>
      <c r="M336" s="110"/>
      <c r="N336" s="29">
        <f>IF( ISERROR(OFFSET(SECUESTRADOS!D$1,MATCH(B336,SECUESTRADOS!A$2:A1405,0),0)) ,0 ,  OFFSET(SECUESTRADOS!D$1,MATCH(B336,SECUESTRADOS!A$2:A1405,0),0)  )</f>
        <v>0</v>
      </c>
      <c r="O336" s="30"/>
      <c r="P336" s="17" t="str">
        <f t="shared" si="3"/>
        <v>cuna kayak</v>
      </c>
      <c r="Q336" s="17" t="str">
        <f t="shared" si="208"/>
        <v/>
      </c>
      <c r="R336" s="31"/>
      <c r="S336" s="31"/>
      <c r="T336" s="31"/>
    </row>
    <row r="337" ht="15.0" customHeight="1">
      <c r="A337" s="17" t="s">
        <v>71</v>
      </c>
      <c r="B337" s="18">
        <v>1662.0</v>
      </c>
      <c r="C337" s="19">
        <v>1662.0</v>
      </c>
      <c r="D337" s="20" t="str">
        <f>IF(   ISERROR(OFFSET(PADRON!B$2,MATCH(C:C,PADRON!A$2:A1405,0)-1,0,1,1) )  ,  ,    OFFSET(PADRON!B$2,MATCH(C:C,PADRON!A$2:A1405,0)-1,0,1,1))</f>
        <v>FEGAN, GLADIS</v>
      </c>
      <c r="E337" s="21">
        <v>45839.0</v>
      </c>
      <c r="F337" s="21">
        <v>45870.0</v>
      </c>
      <c r="G337" s="23" t="s">
        <v>39</v>
      </c>
      <c r="H337" s="24">
        <f>IF( ISERROR( OFFSET(   'Cuadro tarifario'!D$2  , MATCH(CONCATENATE(                 IF(F337&gt;Mes,OFFSET(NroCT!B$17, MATCH($F337,NroCT!$A$18:$A1405,0),0,1,1),Periodovigente)                                                                                                                     ,A337) ,'Cuadro tarifario'!A$2:A1405,0) -1 , 0 , 1 , 1) )   , 0  ,   OFFSET(   'Cuadro tarifario'!D$2  , MATCH(CONCATENATE( IF(F337&gt;Mes,OFFSET(NroCT!B$17, MATCH($F337,NroCT!$A$18:$A1405,0),0,1,1),Periodovigente) ,A337) ,'Cuadro tarifario'!A$2:A1405,0) -1 , 0 , 1 , 1))</f>
        <v>11000</v>
      </c>
      <c r="I337" s="85">
        <f t="shared" si="195"/>
        <v>1</v>
      </c>
      <c r="J337" s="101">
        <f t="shared" si="207"/>
        <v>11000</v>
      </c>
      <c r="K337" s="87">
        <f>IF(  AND(N337&gt;0,I337=0)          ,N337 ,                         IF(  IF( F337 ,  DAYS360(DATE(YEAR(F337),MONTH(F337),1),Mes)/30  ,  DAYS360(DATE(YEAR(E337),MONTH(E337),1),Mes)/30  )  &gt;  0 , IF(F337,   DAYS360(DATE(YEAR(F337),MONTH(F337),1),Mes)/30  ,  DAYS360(DATE(YEAR(E337),MONTH(E337),1),Mes)/30) , 0)       )</f>
        <v>0</v>
      </c>
      <c r="L337" s="102">
        <f t="shared" si="196"/>
        <v>0</v>
      </c>
      <c r="M337" s="103"/>
      <c r="N337" s="29">
        <f>IF( ISERROR(OFFSET(SECUESTRADOS!D$1,MATCH(B337,SECUESTRADOS!A$2:A1405,0),0)) ,0 ,  OFFSET(SECUESTRADOS!D$1,MATCH(B337,SECUESTRADOS!A$2:A1405,0),0)  )</f>
        <v>0</v>
      </c>
      <c r="O337" s="30"/>
      <c r="P337" s="17" t="str">
        <f t="shared" si="3"/>
        <v>.socio</v>
      </c>
      <c r="Q337" s="17" t="str">
        <f>IF(AND(A337=#REF!,B337=#REF!,C337=#REF!),"Repetido","")</f>
        <v>#REF!</v>
      </c>
      <c r="R337" s="31"/>
      <c r="S337" s="31"/>
      <c r="T337" s="31"/>
    </row>
    <row r="338" ht="15.0" customHeight="1">
      <c r="A338" s="18" t="s">
        <v>38</v>
      </c>
      <c r="B338" s="17">
        <v>1662.0</v>
      </c>
      <c r="C338" s="19">
        <v>1662.0</v>
      </c>
      <c r="D338" s="20" t="str">
        <f>IF(   ISERROR(OFFSET(PADRON!B$2,MATCH(C:C,PADRON!A$2:A1405,0)-1,0,1,1) )  ,  ,    OFFSET(PADRON!B$2,MATCH(C:C,PADRON!A$2:A1405,0)-1,0,1,1))</f>
        <v>FEGAN, GLADIS</v>
      </c>
      <c r="E338" s="21">
        <v>45839.0</v>
      </c>
      <c r="F338" s="45">
        <v>45870.0</v>
      </c>
      <c r="G338" s="23" t="s">
        <v>39</v>
      </c>
      <c r="H338" s="24">
        <f>IF( ISERROR( OFFSET(   'Cuadro tarifario'!D$2  , MATCH(CONCATENATE(                 IF(F338&gt;Mes,OFFSET(NroCT!B$17, MATCH($F338,NroCT!$A$18:$A1405,0),0,1,1),Periodovigente)                                                                                                                     ,A338) ,'Cuadro tarifario'!A$2:A1405,0) -1 , 0 , 1 , 1) )   , 0  ,   OFFSET(   'Cuadro tarifario'!D$2  , MATCH(CONCATENATE( IF(F338&gt;Mes,OFFSET(NroCT!B$17, MATCH($F338,NroCT!$A$18:$A1405,0),0,1,1),Periodovigente) ,A338) ,'Cuadro tarifario'!A$2:A1405,0) -1 , 0 , 1 , 1))</f>
        <v>9000</v>
      </c>
      <c r="I338" s="106">
        <f t="shared" si="195"/>
        <v>1</v>
      </c>
      <c r="J338" s="107">
        <f t="shared" si="207"/>
        <v>9000</v>
      </c>
      <c r="K338" s="108">
        <f>IF(  AND(N338&gt;0,I338=0)          ,N338 ,                         IF(  IF( F338 ,  DAYS360(DATE(YEAR(F338),MONTH(F338),1),Mes)/30  ,  DAYS360(DATE(YEAR(E338),MONTH(E338),1),Mes)/30  )  &gt;  0 , IF(F338,   DAYS360(DATE(YEAR(F338),MONTH(F338),1),Mes)/30  ,  DAYS360(DATE(YEAR(E338),MONTH(E338),1),Mes)/30) , 0)       )</f>
        <v>0</v>
      </c>
      <c r="L338" s="109">
        <f t="shared" si="196"/>
        <v>0</v>
      </c>
      <c r="M338" s="110"/>
      <c r="N338" s="29">
        <f>IF( ISERROR(OFFSET(SECUESTRADOS!D$1,MATCH(B338,SECUESTRADOS!A$2:A1405,0),0)) ,0 ,  OFFSET(SECUESTRADOS!D$1,MATCH(B338,SECUESTRADOS!A$2:A1405,0),0)  )</f>
        <v>0</v>
      </c>
      <c r="O338" s="30"/>
      <c r="P338" s="17" t="str">
        <f t="shared" si="3"/>
        <v>Bono canon</v>
      </c>
      <c r="Q338" s="17" t="str">
        <f>IF(AND(A338=A337,B338=B337,C338=C337),"Repetido","")</f>
        <v/>
      </c>
      <c r="R338" s="31"/>
      <c r="S338" s="31"/>
      <c r="T338" s="31"/>
    </row>
    <row r="339" ht="15.0" customHeight="1">
      <c r="A339" s="18" t="s">
        <v>71</v>
      </c>
      <c r="B339" s="18">
        <v>1671.0</v>
      </c>
      <c r="C339" s="19">
        <v>1671.0</v>
      </c>
      <c r="D339" s="20" t="str">
        <f>IF(   ISERROR(OFFSET(PADRON!B$2,MATCH(C:C,PADRON!A$2:A1405,0)-1,0,1,1) )  ,  ,    OFFSET(PADRON!B$2,MATCH(C:C,PADRON!A$2:A1405,0)-1,0,1,1))</f>
        <v>LAYANA, CLAUDIO</v>
      </c>
      <c r="E339" s="21">
        <v>46357.0</v>
      </c>
      <c r="F339" s="21"/>
      <c r="G339" s="23" t="s">
        <v>39</v>
      </c>
      <c r="H339" s="24">
        <f>IF( ISERROR( OFFSET(   'Cuadro tarifario'!D$2  , MATCH(CONCATENATE(                 IF(F339&gt;Mes,OFFSET(NroCT!B$17, MATCH($F339,NroCT!$A$18:$A1405,0),0,1,1),Periodovigente)                                                                                                                     ,A339) ,'Cuadro tarifario'!A$2:A1405,0) -1 , 0 , 1 , 1) )   , 0  ,   OFFSET(   'Cuadro tarifario'!D$2  , MATCH(CONCATENATE( IF(F339&gt;Mes,OFFSET(NroCT!B$17, MATCH($F339,NroCT!$A$18:$A1405,0),0,1,1),Periodovigente) ,A339) ,'Cuadro tarifario'!A$2:A1405,0) -1 , 0 , 1 , 1))</f>
        <v>11000</v>
      </c>
      <c r="I339" s="106">
        <f t="shared" si="195"/>
        <v>0</v>
      </c>
      <c r="J339" s="107">
        <f t="shared" si="207"/>
        <v>0</v>
      </c>
      <c r="K339" s="108">
        <f>IF(  AND(N339&gt;0,I339=0)          ,N339 ,                         IF(  IF( F339 ,  DAYS360(DATE(YEAR(F339),MONTH(F339),1),Mes)/30  ,  DAYS360(DATE(YEAR(E339),MONTH(E339),1),Mes)/30  )  &gt;  0 , IF(F339,   DAYS360(DATE(YEAR(F339),MONTH(F339),1),Mes)/30  ,  DAYS360(DATE(YEAR(E339),MONTH(E339),1),Mes)/30) , 0)       )</f>
        <v>0</v>
      </c>
      <c r="L339" s="109">
        <f t="shared" si="196"/>
        <v>0</v>
      </c>
      <c r="M339" s="123"/>
      <c r="N339" s="29">
        <f>IF( ISERROR(OFFSET(SECUESTRADOS!D$1,MATCH(B339,SECUESTRADOS!A$2:A1405,0),0)) ,0 ,  OFFSET(SECUESTRADOS!D$1,MATCH(B339,SECUESTRADOS!A$2:A1405,0),0)  )</f>
        <v>0</v>
      </c>
      <c r="O339" s="30"/>
      <c r="P339" s="17" t="b">
        <f t="shared" si="3"/>
        <v>0</v>
      </c>
      <c r="Q339" s="17" t="str">
        <f>IF(AND(A339=#REF!,B339=#REF!,C339=#REF!),"Repetido","")</f>
        <v>#REF!</v>
      </c>
      <c r="R339" s="31"/>
      <c r="S339" s="31"/>
      <c r="T339" s="31"/>
    </row>
    <row r="340" ht="15.0" customHeight="1">
      <c r="A340" s="18" t="s">
        <v>38</v>
      </c>
      <c r="B340" s="18">
        <v>1671.0</v>
      </c>
      <c r="C340" s="19">
        <v>1671.0</v>
      </c>
      <c r="D340" s="20" t="str">
        <f>IF(   ISERROR(OFFSET(PADRON!B$2,MATCH(C:C,PADRON!A$2:A1405,0)-1,0,1,1) )  ,  ,    OFFSET(PADRON!B$2,MATCH(C:C,PADRON!A$2:A1405,0)-1,0,1,1))</f>
        <v>LAYANA, CLAUDIO</v>
      </c>
      <c r="E340" s="21">
        <v>46357.0</v>
      </c>
      <c r="F340" s="21"/>
      <c r="G340" s="23" t="s">
        <v>39</v>
      </c>
      <c r="H340" s="24">
        <f>IF( ISERROR( OFFSET(   'Cuadro tarifario'!D$2  , MATCH(CONCATENATE(                 IF(F340&gt;Mes,OFFSET(NroCT!B$17, MATCH($F340,NroCT!$A$18:$A1405,0),0,1,1),Periodovigente)                                                                                                                     ,A340) ,'Cuadro tarifario'!A$2:A1405,0) -1 , 0 , 1 , 1) )   , 0  ,   OFFSET(   'Cuadro tarifario'!D$2  , MATCH(CONCATENATE( IF(F340&gt;Mes,OFFSET(NroCT!B$17, MATCH($F340,NroCT!$A$18:$A1405,0),0,1,1),Periodovigente) ,A340) ,'Cuadro tarifario'!A$2:A1405,0) -1 , 0 , 1 , 1))</f>
        <v>9000</v>
      </c>
      <c r="I340" s="106">
        <f t="shared" si="195"/>
        <v>0</v>
      </c>
      <c r="J340" s="107">
        <f t="shared" si="207"/>
        <v>0</v>
      </c>
      <c r="K340" s="108">
        <f>IF(  AND(N340&gt;0,I340=0)          ,N340 ,                         IF(  IF( F340 ,  DAYS360(DATE(YEAR(F340),MONTH(F340),1),Mes)/30  ,  DAYS360(DATE(YEAR(E340),MONTH(E340),1),Mes)/30  )  &gt;  0 , IF(F340,   DAYS360(DATE(YEAR(F340),MONTH(F340),1),Mes)/30  ,  DAYS360(DATE(YEAR(E340),MONTH(E340),1),Mes)/30) , 0)       )</f>
        <v>0</v>
      </c>
      <c r="L340" s="109">
        <f t="shared" si="196"/>
        <v>0</v>
      </c>
      <c r="M340" s="110"/>
      <c r="N340" s="29">
        <f>IF( ISERROR(OFFSET(SECUESTRADOS!D$1,MATCH(B340,SECUESTRADOS!A$2:A1405,0),0)) ,0 ,  OFFSET(SECUESTRADOS!D$1,MATCH(B340,SECUESTRADOS!A$2:A1405,0),0)  )</f>
        <v>0</v>
      </c>
      <c r="O340" s="30"/>
      <c r="P340" s="17" t="b">
        <f t="shared" si="3"/>
        <v>0</v>
      </c>
      <c r="Q340" s="17" t="str">
        <f>IF(AND(A340=A339,B340=B339,C340=C339),"Repetido","")</f>
        <v/>
      </c>
      <c r="R340" s="31"/>
      <c r="S340" s="31"/>
      <c r="T340" s="31"/>
    </row>
    <row r="341" ht="15.0" customHeight="1">
      <c r="A341" s="125" t="s">
        <v>40</v>
      </c>
      <c r="B341" s="125" t="s">
        <v>205</v>
      </c>
      <c r="C341" s="19">
        <v>1671.0</v>
      </c>
      <c r="D341" s="20" t="str">
        <f>IF(   ISERROR(OFFSET(PADRON!B$2,MATCH(C:C,PADRON!A$2:A1405,0)-1,0,1,1) )  ,  ,    OFFSET(PADRON!B$2,MATCH(C:C,PADRON!A$2:A1405,0)-1,0,1,1))</f>
        <v>LAYANA, CLAUDIO</v>
      </c>
      <c r="E341" s="21">
        <v>46357.0</v>
      </c>
      <c r="F341" s="21"/>
      <c r="G341" s="23" t="s">
        <v>39</v>
      </c>
      <c r="H341" s="24">
        <f>IF( ISERROR( OFFSET(   'Cuadro tarifario'!D$2  , MATCH(CONCATENATE(                 IF(F341&gt;Mes,OFFSET(NroCT!B$17, MATCH($F341,NroCT!$A$18:$A1405,0),0,1,1),Periodovigente)                                                                                                                     ,A341) ,'Cuadro tarifario'!A$2:A1405,0) -1 , 0 , 1 , 1) )   , 0  ,   OFFSET(   'Cuadro tarifario'!D$2  , MATCH(CONCATENATE( IF(F341&gt;Mes,OFFSET(NroCT!B$17, MATCH($F341,NroCT!$A$18:$A1405,0),0,1,1),Periodovigente) ,A341) ,'Cuadro tarifario'!A$2:A1405,0) -1 , 0 , 1 , 1))</f>
        <v>12000</v>
      </c>
      <c r="I341" s="106">
        <f t="shared" si="195"/>
        <v>0</v>
      </c>
      <c r="J341" s="107">
        <f t="shared" si="207"/>
        <v>0</v>
      </c>
      <c r="K341" s="108">
        <f>IF(  AND(N341&gt;0,I341=0)          ,N341 ,                         IF(  IF( F341 ,  DAYS360(DATE(YEAR(F341),MONTH(F341),1),Mes)/30  ,  DAYS360(DATE(YEAR(E341),MONTH(E341),1),Mes)/30  )  &gt;  0 , IF(F341,   DAYS360(DATE(YEAR(F341),MONTH(F341),1),Mes)/30  ,  DAYS360(DATE(YEAR(E341),MONTH(E341),1),Mes)/30) , 0)       )</f>
        <v>0</v>
      </c>
      <c r="L341" s="109">
        <f t="shared" si="196"/>
        <v>0</v>
      </c>
      <c r="M341" s="110"/>
      <c r="N341" s="29">
        <f>IF( ISERROR(OFFSET(SECUESTRADOS!D$1,MATCH(B341,SECUESTRADOS!A$2:A1405,0),0)) ,0 ,  OFFSET(SECUESTRADOS!D$1,MATCH(B341,SECUESTRADOS!A$2:A1405,0),0)  )</f>
        <v>0</v>
      </c>
      <c r="O341" s="30"/>
      <c r="P341" s="17" t="b">
        <f t="shared" si="3"/>
        <v>0</v>
      </c>
      <c r="Q341" s="17" t="str">
        <f>IF(AND(A341=#REF!,B341=#REF!,C341=#REF!),"Repetido","")</f>
        <v>#REF!</v>
      </c>
      <c r="R341" s="31"/>
      <c r="S341" s="31"/>
      <c r="T341" s="31"/>
    </row>
    <row r="342" ht="15.0" customHeight="1">
      <c r="A342" s="126" t="s">
        <v>42</v>
      </c>
      <c r="B342" s="127" t="s">
        <v>206</v>
      </c>
      <c r="C342" s="19">
        <v>1671.0</v>
      </c>
      <c r="D342" s="57" t="str">
        <f>IF(   ISERROR(OFFSET(PADRON!B$2,MATCH(C:C,PADRON!A$2:A1405,0)-1,0,1,1) )  ,  ,    OFFSET(PADRON!B$2,MATCH(C:C,PADRON!A$2:A1405,0)-1,0,1,1))</f>
        <v>LAYANA, CLAUDIO</v>
      </c>
      <c r="E342" s="58">
        <v>45992.0</v>
      </c>
      <c r="F342" s="58"/>
      <c r="G342" s="59" t="s">
        <v>39</v>
      </c>
      <c r="H342" s="60">
        <f>IF( ISERROR( OFFSET(   'Cuadro tarifario'!D$2  , MATCH(CONCATENATE(                 IF(F342&gt;Mes,OFFSET(NroCT!B$17, MATCH($F342,NroCT!$A$18:$A1405,0),0,1,1),Periodovigente)                                                                                                                     ,A342) ,'Cuadro tarifario'!A$2:A1405,0) -1 , 0 , 1 , 1) )   , 0  ,   OFFSET(   'Cuadro tarifario'!D$2  , MATCH(CONCATENATE( IF(F342&gt;Mes,OFFSET(NroCT!B$17, MATCH($F342,NroCT!$A$18:$A1405,0),0,1,1),Periodovigente) ,A342) ,'Cuadro tarifario'!A$2:A1405,0) -1 , 0 , 1 , 1))</f>
        <v>4000</v>
      </c>
      <c r="I342" s="117">
        <f t="shared" si="195"/>
        <v>0</v>
      </c>
      <c r="J342" s="118">
        <f t="shared" si="207"/>
        <v>0</v>
      </c>
      <c r="K342" s="119">
        <f>IF(  AND(N342&gt;0,I342=0)          ,N342 ,                         IF(  IF( F342 ,  DAYS360(DATE(YEAR(F342),MONTH(F342),1),Mes)/30  ,  DAYS360(DATE(YEAR(E342),MONTH(E342),1),Mes)/30  )  &gt;  0 , IF(F342,   DAYS360(DATE(YEAR(F342),MONTH(F342),1),Mes)/30  ,  DAYS360(DATE(YEAR(E342),MONTH(E342),1),Mes)/30) , 0)       )</f>
        <v>0</v>
      </c>
      <c r="L342" s="120">
        <f t="shared" si="196"/>
        <v>0</v>
      </c>
      <c r="M342" s="121"/>
      <c r="N342" s="29">
        <f>IF( ISERROR(OFFSET(SECUESTRADOS!D$1,MATCH(B342,SECUESTRADOS!A$2:A1405,0),0)) ,0 ,  OFFSET(SECUESTRADOS!D$1,MATCH(B342,SECUESTRADOS!A$2:A1405,0),0)  )</f>
        <v>0</v>
      </c>
      <c r="O342" s="30"/>
      <c r="P342" s="17" t="b">
        <f t="shared" si="3"/>
        <v>0</v>
      </c>
      <c r="Q342" s="17" t="str">
        <f t="shared" ref="Q342:Q350" si="209">IF(AND(A342=A341,B342=B341,C342=C341),"Repetido","")</f>
        <v/>
      </c>
      <c r="R342" s="31"/>
      <c r="S342" s="31"/>
      <c r="T342" s="31"/>
    </row>
    <row r="343" ht="15.0" customHeight="1">
      <c r="A343" s="17" t="s">
        <v>71</v>
      </c>
      <c r="B343" s="18">
        <v>1678.0</v>
      </c>
      <c r="C343" s="19">
        <v>1678.0</v>
      </c>
      <c r="D343" s="20" t="str">
        <f>IF(   ISERROR(OFFSET(PADRON!B$2,MATCH(C:C,PADRON!A$2:A1405,0)-1,0,1,1) )  ,  ,    OFFSET(PADRON!B$2,MATCH(C:C,PADRON!A$2:A1405,0)-1,0,1,1))</f>
        <v>SPAHR, ELISA</v>
      </c>
      <c r="E343" s="21">
        <v>45839.0</v>
      </c>
      <c r="F343" s="21">
        <v>45870.0</v>
      </c>
      <c r="G343" s="23" t="s">
        <v>39</v>
      </c>
      <c r="H343" s="24">
        <f>IF( ISERROR( OFFSET(   'Cuadro tarifario'!D$2  , MATCH(CONCATENATE(                 IF(F343&gt;Mes,OFFSET(NroCT!B$17, MATCH($F343,NroCT!$A$18:$A1405,0),0,1,1),Periodovigente)                                                                                                                     ,A343) ,'Cuadro tarifario'!A$2:A1405,0) -1 , 0 , 1 , 1) )   , 0  ,   OFFSET(   'Cuadro tarifario'!D$2  , MATCH(CONCATENATE( IF(F343&gt;Mes,OFFSET(NroCT!B$17, MATCH($F343,NroCT!$A$18:$A1405,0),0,1,1),Periodovigente) ,A343) ,'Cuadro tarifario'!A$2:A1405,0) -1 , 0 , 1 , 1))</f>
        <v>11000</v>
      </c>
      <c r="I343" s="106">
        <f t="shared" si="195"/>
        <v>1</v>
      </c>
      <c r="J343" s="107">
        <f t="shared" si="207"/>
        <v>11000</v>
      </c>
      <c r="K343" s="108">
        <f>IF(  AND(N343&gt;0,I343=0)          ,N343 ,                         IF(  IF( F343 ,  DAYS360(DATE(YEAR(F343),MONTH(F343),1),Mes)/30  ,  DAYS360(DATE(YEAR(E343),MONTH(E343),1),Mes)/30  )  &gt;  0 , IF(F343,   DAYS360(DATE(YEAR(F343),MONTH(F343),1),Mes)/30  ,  DAYS360(DATE(YEAR(E343),MONTH(E343),1),Mes)/30) , 0)       )</f>
        <v>0</v>
      </c>
      <c r="L343" s="109">
        <f t="shared" si="196"/>
        <v>0</v>
      </c>
      <c r="M343" s="110"/>
      <c r="N343" s="29">
        <f>IF( ISERROR(OFFSET(SECUESTRADOS!D$1,MATCH(B343,SECUESTRADOS!A$2:A1405,0),0)) ,0 ,  OFFSET(SECUESTRADOS!D$1,MATCH(B343,SECUESTRADOS!A$2:A1405,0),0)  )</f>
        <v>0</v>
      </c>
      <c r="O343" s="30"/>
      <c r="P343" s="17" t="str">
        <f t="shared" si="3"/>
        <v>.socio</v>
      </c>
      <c r="Q343" s="17" t="str">
        <f t="shared" si="209"/>
        <v/>
      </c>
      <c r="R343" s="31"/>
      <c r="S343" s="31"/>
      <c r="T343" s="31"/>
    </row>
    <row r="344" ht="15.0" customHeight="1">
      <c r="A344" s="17" t="s">
        <v>38</v>
      </c>
      <c r="B344" s="18">
        <v>1678.0</v>
      </c>
      <c r="C344" s="19">
        <v>1678.0</v>
      </c>
      <c r="D344" s="20" t="str">
        <f>IF(   ISERROR(OFFSET(PADRON!B$2,MATCH(C:C,PADRON!A$2:A1405,0)-1,0,1,1) )  ,  ,    OFFSET(PADRON!B$2,MATCH(C:C,PADRON!A$2:A1405,0)-1,0,1,1))</f>
        <v>SPAHR, ELISA</v>
      </c>
      <c r="E344" s="21">
        <v>45839.0</v>
      </c>
      <c r="F344" s="21">
        <v>45870.0</v>
      </c>
      <c r="G344" s="23" t="s">
        <v>39</v>
      </c>
      <c r="H344" s="24">
        <f>IF( ISERROR( OFFSET(   'Cuadro tarifario'!D$2  , MATCH(CONCATENATE(                 IF(F344&gt;Mes,OFFSET(NroCT!B$17, MATCH($F344,NroCT!$A$18:$A1405,0),0,1,1),Periodovigente)                                                                                                                     ,A344) ,'Cuadro tarifario'!A$2:A1405,0) -1 , 0 , 1 , 1) )   , 0  ,   OFFSET(   'Cuadro tarifario'!D$2  , MATCH(CONCATENATE( IF(F344&gt;Mes,OFFSET(NroCT!B$17, MATCH($F344,NroCT!$A$18:$A1405,0),0,1,1),Periodovigente) ,A344) ,'Cuadro tarifario'!A$2:A1405,0) -1 , 0 , 1 , 1))</f>
        <v>9000</v>
      </c>
      <c r="I344" s="106">
        <f t="shared" si="195"/>
        <v>1</v>
      </c>
      <c r="J344" s="107">
        <f t="shared" si="207"/>
        <v>9000</v>
      </c>
      <c r="K344" s="108">
        <f>IF(  AND(N344&gt;0,I344=0)          ,N344 ,                         IF(  IF( F344 ,  DAYS360(DATE(YEAR(F344),MONTH(F344),1),Mes)/30  ,  DAYS360(DATE(YEAR(E344),MONTH(E344),1),Mes)/30  )  &gt;  0 , IF(F344,   DAYS360(DATE(YEAR(F344),MONTH(F344),1),Mes)/30  ,  DAYS360(DATE(YEAR(E344),MONTH(E344),1),Mes)/30) , 0)       )</f>
        <v>0</v>
      </c>
      <c r="L344" s="109">
        <f t="shared" si="196"/>
        <v>0</v>
      </c>
      <c r="M344" s="110"/>
      <c r="N344" s="29">
        <f>IF( ISERROR(OFFSET(SECUESTRADOS!D$1,MATCH(B344,SECUESTRADOS!A$2:A1405,0),0)) ,0 ,  OFFSET(SECUESTRADOS!D$1,MATCH(B344,SECUESTRADOS!A$2:A1405,0),0)  )</f>
        <v>0</v>
      </c>
      <c r="O344" s="30"/>
      <c r="P344" s="17" t="str">
        <f t="shared" si="3"/>
        <v>Bono canon</v>
      </c>
      <c r="Q344" s="17" t="str">
        <f t="shared" si="209"/>
        <v/>
      </c>
      <c r="R344" s="31"/>
      <c r="S344" s="31"/>
      <c r="T344" s="31"/>
    </row>
    <row r="345" ht="15.0" customHeight="1">
      <c r="A345" s="18" t="s">
        <v>48</v>
      </c>
      <c r="B345" s="18" t="s">
        <v>207</v>
      </c>
      <c r="C345" s="19">
        <v>1678.0</v>
      </c>
      <c r="D345" s="20" t="str">
        <f>IF(   ISERROR(OFFSET(PADRON!B$2,MATCH(C:C,PADRON!A$2:A1405,0)-1,0,1,1) )  ,  ,    OFFSET(PADRON!B$2,MATCH(C:C,PADRON!A$2:A1405,0)-1,0,1,1))</f>
        <v>SPAHR, ELISA</v>
      </c>
      <c r="E345" s="21">
        <v>45839.0</v>
      </c>
      <c r="F345" s="21">
        <v>45870.0</v>
      </c>
      <c r="G345" s="23" t="s">
        <v>39</v>
      </c>
      <c r="H345" s="24">
        <f>IF( ISERROR( OFFSET(   'Cuadro tarifario'!D$2  , MATCH(CONCATENATE(                 IF(F345&gt;Mes,OFFSET(NroCT!B$17, MATCH($F345,NroCT!$A$18:$A1405,0),0,1,1),Periodovigente)                                                                                                                     ,A345) ,'Cuadro tarifario'!A$2:A1405,0) -1 , 0 , 1 , 1) )   , 0  ,   OFFSET(   'Cuadro tarifario'!D$2  , MATCH(CONCATENATE( IF(F345&gt;Mes,OFFSET(NroCT!B$17, MATCH($F345,NroCT!$A$18:$A1405,0),0,1,1),Periodovigente) ,A345) ,'Cuadro tarifario'!A$2:A1405,0) -1 , 0 , 1 , 1))</f>
        <v>12000</v>
      </c>
      <c r="I345" s="106">
        <f t="shared" si="195"/>
        <v>1</v>
      </c>
      <c r="J345" s="107">
        <f t="shared" si="207"/>
        <v>12000</v>
      </c>
      <c r="K345" s="108">
        <f>IF(  AND(N345&gt;0,I345=0)          ,N345 ,                         IF(  IF( F345 ,  DAYS360(DATE(YEAR(F345),MONTH(F345),1),Mes)/30  ,  DAYS360(DATE(YEAR(E345),MONTH(E345),1),Mes)/30  )  &gt;  0 , IF(F345,   DAYS360(DATE(YEAR(F345),MONTH(F345),1),Mes)/30  ,  DAYS360(DATE(YEAR(E345),MONTH(E345),1),Mes)/30) , 0)       )</f>
        <v>0</v>
      </c>
      <c r="L345" s="109">
        <f t="shared" si="196"/>
        <v>0</v>
      </c>
      <c r="M345" s="110"/>
      <c r="N345" s="29">
        <f>IF( ISERROR(OFFSET(SECUESTRADOS!D$1,MATCH(B345,SECUESTRADOS!A$2:A1405,0),0)) ,0 ,  OFFSET(SECUESTRADOS!D$1,MATCH(B345,SECUESTRADOS!A$2:A1405,0),0)  )</f>
        <v>0</v>
      </c>
      <c r="O345" s="30"/>
      <c r="P345" s="17" t="str">
        <f t="shared" si="3"/>
        <v>velero</v>
      </c>
      <c r="Q345" s="17" t="str">
        <f t="shared" si="209"/>
        <v/>
      </c>
      <c r="R345" s="31"/>
      <c r="S345" s="31"/>
      <c r="T345" s="31"/>
    </row>
    <row r="346" ht="15.0" customHeight="1">
      <c r="A346" s="18" t="s">
        <v>40</v>
      </c>
      <c r="B346" s="18" t="s">
        <v>208</v>
      </c>
      <c r="C346" s="19">
        <v>1678.0</v>
      </c>
      <c r="D346" s="20" t="str">
        <f>IF(   ISERROR(OFFSET(PADRON!B$2,MATCH(C:C,PADRON!A$2:A1405,0)-1,0,1,1) )  ,  ,    OFFSET(PADRON!B$2,MATCH(C:C,PADRON!A$2:A1405,0)-1,0,1,1))</f>
        <v>SPAHR, ELISA</v>
      </c>
      <c r="E346" s="21">
        <v>45839.0</v>
      </c>
      <c r="F346" s="21">
        <v>45870.0</v>
      </c>
      <c r="G346" s="23" t="s">
        <v>39</v>
      </c>
      <c r="H346" s="24">
        <f>IF( ISERROR( OFFSET(   'Cuadro tarifario'!D$2  , MATCH(CONCATENATE(                 IF(F346&gt;Mes,OFFSET(NroCT!B$17, MATCH($F346,NroCT!$A$18:$A1405,0),0,1,1),Periodovigente)                                                                                                                     ,A346) ,'Cuadro tarifario'!A$2:A1405,0) -1 , 0 , 1 , 1) )   , 0  ,   OFFSET(   'Cuadro tarifario'!D$2  , MATCH(CONCATENATE( IF(F346&gt;Mes,OFFSET(NroCT!B$17, MATCH($F346,NroCT!$A$18:$A1405,0),0,1,1),Periodovigente) ,A346) ,'Cuadro tarifario'!A$2:A1405,0) -1 , 0 , 1 , 1))</f>
        <v>12000</v>
      </c>
      <c r="I346" s="106">
        <f t="shared" si="195"/>
        <v>1</v>
      </c>
      <c r="J346" s="107">
        <f t="shared" si="207"/>
        <v>12000</v>
      </c>
      <c r="K346" s="108">
        <f>IF(  AND(N346&gt;0,I346=0)          ,N346 ,                         IF(  IF( F346 ,  DAYS360(DATE(YEAR(F346),MONTH(F346),1),Mes)/30  ,  DAYS360(DATE(YEAR(E346),MONTH(E346),1),Mes)/30  )  &gt;  0 , IF(F346,   DAYS360(DATE(YEAR(F346),MONTH(F346),1),Mes)/30  ,  DAYS360(DATE(YEAR(E346),MONTH(E346),1),Mes)/30) , 0)       )</f>
        <v>0</v>
      </c>
      <c r="L346" s="109">
        <f t="shared" si="196"/>
        <v>0</v>
      </c>
      <c r="M346" s="110"/>
      <c r="N346" s="29">
        <f>IF( ISERROR(OFFSET(SECUESTRADOS!D$1,MATCH(B346,SECUESTRADOS!A$2:A1405,0),0)) ,0 ,  OFFSET(SECUESTRADOS!D$1,MATCH(B346,SECUESTRADOS!A$2:A1405,0),0)  )</f>
        <v>0</v>
      </c>
      <c r="O346" s="30"/>
      <c r="P346" s="17" t="str">
        <f t="shared" si="3"/>
        <v>cuna windsurf</v>
      </c>
      <c r="Q346" s="17" t="str">
        <f t="shared" si="209"/>
        <v/>
      </c>
      <c r="R346" s="31"/>
      <c r="S346" s="31"/>
      <c r="T346" s="31"/>
    </row>
    <row r="347" ht="15.0" customHeight="1">
      <c r="A347" s="18" t="s">
        <v>42</v>
      </c>
      <c r="B347" s="18" t="s">
        <v>209</v>
      </c>
      <c r="C347" s="19">
        <v>1678.0</v>
      </c>
      <c r="D347" s="20" t="str">
        <f>IF(   ISERROR(OFFSET(PADRON!B$2,MATCH(C:C,PADRON!A$2:A1405,0)-1,0,1,1) )  ,  ,    OFFSET(PADRON!B$2,MATCH(C:C,PADRON!A$2:A1405,0)-1,0,1,1))</f>
        <v>SPAHR, ELISA</v>
      </c>
      <c r="E347" s="21">
        <v>45992.0</v>
      </c>
      <c r="F347" s="21"/>
      <c r="G347" s="23" t="s">
        <v>39</v>
      </c>
      <c r="H347" s="24">
        <f>IF( ISERROR( OFFSET(   'Cuadro tarifario'!D$2  , MATCH(CONCATENATE(                 IF(F347&gt;Mes,OFFSET(NroCT!B$17, MATCH($F347,NroCT!$A$18:$A1405,0),0,1,1),Periodovigente)                                                                                                                     ,A347) ,'Cuadro tarifario'!A$2:A1405,0) -1 , 0 , 1 , 1) )   , 0  ,   OFFSET(   'Cuadro tarifario'!D$2  , MATCH(CONCATENATE( IF(F347&gt;Mes,OFFSET(NroCT!B$17, MATCH($F347,NroCT!$A$18:$A1405,0),0,1,1),Periodovigente) ,A347) ,'Cuadro tarifario'!A$2:A1405,0) -1 , 0 , 1 , 1))</f>
        <v>4000</v>
      </c>
      <c r="I347" s="106">
        <f t="shared" si="195"/>
        <v>0</v>
      </c>
      <c r="J347" s="107">
        <f t="shared" si="207"/>
        <v>0</v>
      </c>
      <c r="K347" s="108">
        <f>IF(  AND(N347&gt;0,I347=0)          ,N347 ,                         IF(  IF( F347 ,  DAYS360(DATE(YEAR(F347),MONTH(F347),1),Mes)/30  ,  DAYS360(DATE(YEAR(E347),MONTH(E347),1),Mes)/30  )  &gt;  0 , IF(F347,   DAYS360(DATE(YEAR(F347),MONTH(F347),1),Mes)/30  ,  DAYS360(DATE(YEAR(E347),MONTH(E347),1),Mes)/30) , 0)       )</f>
        <v>0</v>
      </c>
      <c r="L347" s="109">
        <f t="shared" si="196"/>
        <v>0</v>
      </c>
      <c r="M347" s="110"/>
      <c r="N347" s="29">
        <f>IF( ISERROR(OFFSET(SECUESTRADOS!D$1,MATCH(B347,SECUESTRADOS!A$2:A1405,0),0)) ,0 ,  OFFSET(SECUESTRADOS!D$1,MATCH(B347,SECUESTRADOS!A$2:A1405,0),0)  )</f>
        <v>0</v>
      </c>
      <c r="O347" s="30"/>
      <c r="P347" s="17" t="b">
        <f t="shared" si="3"/>
        <v>0</v>
      </c>
      <c r="Q347" s="17" t="str">
        <f t="shared" si="209"/>
        <v/>
      </c>
      <c r="R347" s="31"/>
      <c r="S347" s="31"/>
      <c r="T347" s="31"/>
    </row>
    <row r="348" ht="15.0" customHeight="1">
      <c r="A348" s="18" t="s">
        <v>71</v>
      </c>
      <c r="B348" s="18">
        <v>1684.0</v>
      </c>
      <c r="C348" s="19">
        <v>1684.0</v>
      </c>
      <c r="D348" s="20" t="str">
        <f>IF(   ISERROR(OFFSET(PADRON!B$2,MATCH(C:C,PADRON!A$2:A1405,0)-1,0,1,1) )  ,  ,    OFFSET(PADRON!B$2,MATCH(C:C,PADRON!A$2:A1405,0)-1,0,1,1))</f>
        <v>BELTRAMI, CARMEN ALICIA</v>
      </c>
      <c r="E348" s="21">
        <v>45717.0</v>
      </c>
      <c r="F348" s="21">
        <v>45870.0</v>
      </c>
      <c r="G348" s="23" t="s">
        <v>39</v>
      </c>
      <c r="H348" s="24">
        <f>IF( ISERROR( OFFSET(   'Cuadro tarifario'!D$2  , MATCH(CONCATENATE(                 IF(F348&gt;Mes,OFFSET(NroCT!B$17, MATCH($F348,NroCT!$A$18:$A1405,0),0,1,1),Periodovigente)                                                                                                                     ,A348) ,'Cuadro tarifario'!A$2:A1405,0) -1 , 0 , 1 , 1) )   , 0  ,   OFFSET(   'Cuadro tarifario'!D$2  , MATCH(CONCATENATE( IF(F348&gt;Mes,OFFSET(NroCT!B$17, MATCH($F348,NroCT!$A$18:$A1405,0),0,1,1),Periodovigente) ,A348) ,'Cuadro tarifario'!A$2:A1405,0) -1 , 0 , 1 , 1))</f>
        <v>11000</v>
      </c>
      <c r="I348" s="106">
        <f t="shared" si="195"/>
        <v>5</v>
      </c>
      <c r="J348" s="107">
        <f t="shared" si="207"/>
        <v>55000</v>
      </c>
      <c r="K348" s="108">
        <f>IF(  AND(N348&gt;0,I348=0)          ,N348 ,                         IF(  IF( F348 ,  DAYS360(DATE(YEAR(F348),MONTH(F348),1),Mes)/30  ,  DAYS360(DATE(YEAR(E348),MONTH(E348),1),Mes)/30  )  &gt;  0 , IF(F348,   DAYS360(DATE(YEAR(F348),MONTH(F348),1),Mes)/30  ,  DAYS360(DATE(YEAR(E348),MONTH(E348),1),Mes)/30) , 0)       )</f>
        <v>0</v>
      </c>
      <c r="L348" s="109">
        <f t="shared" si="196"/>
        <v>0</v>
      </c>
      <c r="M348" s="110"/>
      <c r="N348" s="29">
        <f>IF( ISERROR(OFFSET(SECUESTRADOS!D$1,MATCH(B348,SECUESTRADOS!A$2:A1405,0),0)) ,0 ,  OFFSET(SECUESTRADOS!D$1,MATCH(B348,SECUESTRADOS!A$2:A1405,0),0)  )</f>
        <v>0</v>
      </c>
      <c r="O348" s="30"/>
      <c r="P348" s="17" t="str">
        <f t="shared" si="3"/>
        <v>.socio</v>
      </c>
      <c r="Q348" s="17" t="str">
        <f t="shared" si="209"/>
        <v/>
      </c>
      <c r="R348" s="31"/>
      <c r="S348" s="31"/>
      <c r="T348" s="31"/>
    </row>
    <row r="349" ht="15.0" customHeight="1">
      <c r="A349" s="17" t="s">
        <v>38</v>
      </c>
      <c r="B349" s="18">
        <v>1684.0</v>
      </c>
      <c r="C349" s="19">
        <v>1684.0</v>
      </c>
      <c r="D349" s="20" t="str">
        <f>IF(   ISERROR(OFFSET(PADRON!B$2,MATCH(C:C,PADRON!A$2:A1405,0)-1,0,1,1) )  ,  ,    OFFSET(PADRON!B$2,MATCH(C:C,PADRON!A$2:A1405,0)-1,0,1,1))</f>
        <v>BELTRAMI, CARMEN ALICIA</v>
      </c>
      <c r="E349" s="21">
        <v>45717.0</v>
      </c>
      <c r="F349" s="21">
        <v>45870.0</v>
      </c>
      <c r="G349" s="23" t="s">
        <v>39</v>
      </c>
      <c r="H349" s="24">
        <f>IF( ISERROR( OFFSET(   'Cuadro tarifario'!D$2  , MATCH(CONCATENATE(                 IF(F349&gt;Mes,OFFSET(NroCT!B$17, MATCH($F349,NroCT!$A$18:$A1405,0),0,1,1),Periodovigente)                                                                                                                     ,A349) ,'Cuadro tarifario'!A$2:A1405,0) -1 , 0 , 1 , 1) )   , 0  ,   OFFSET(   'Cuadro tarifario'!D$2  , MATCH(CONCATENATE( IF(F349&gt;Mes,OFFSET(NroCT!B$17, MATCH($F349,NroCT!$A$18:$A1405,0),0,1,1),Periodovigente) ,A349) ,'Cuadro tarifario'!A$2:A1405,0) -1 , 0 , 1 , 1))</f>
        <v>9000</v>
      </c>
      <c r="I349" s="106">
        <f t="shared" si="195"/>
        <v>5</v>
      </c>
      <c r="J349" s="107">
        <f t="shared" si="207"/>
        <v>45000</v>
      </c>
      <c r="K349" s="108">
        <f>IF(  AND(N349&gt;0,I349=0)          ,N349 ,                         IF(  IF( F349 ,  DAYS360(DATE(YEAR(F349),MONTH(F349),1),Mes)/30  ,  DAYS360(DATE(YEAR(E349),MONTH(E349),1),Mes)/30  )  &gt;  0 , IF(F349,   DAYS360(DATE(YEAR(F349),MONTH(F349),1),Mes)/30  ,  DAYS360(DATE(YEAR(E349),MONTH(E349),1),Mes)/30) , 0)       )</f>
        <v>0</v>
      </c>
      <c r="L349" s="109">
        <f t="shared" si="196"/>
        <v>0</v>
      </c>
      <c r="M349" s="110"/>
      <c r="N349" s="29">
        <f>IF( ISERROR(OFFSET(SECUESTRADOS!D$1,MATCH(B349,SECUESTRADOS!A$2:A1405,0),0)) ,0 ,  OFFSET(SECUESTRADOS!D$1,MATCH(B349,SECUESTRADOS!A$2:A1405,0),0)  )</f>
        <v>0</v>
      </c>
      <c r="O349" s="30"/>
      <c r="P349" s="17" t="str">
        <f t="shared" si="3"/>
        <v>Bono canon</v>
      </c>
      <c r="Q349" s="17" t="str">
        <f t="shared" si="209"/>
        <v/>
      </c>
      <c r="R349" s="31"/>
      <c r="S349" s="31"/>
      <c r="T349" s="31"/>
    </row>
    <row r="350" ht="15.0" customHeight="1">
      <c r="A350" s="18" t="s">
        <v>40</v>
      </c>
      <c r="B350" s="18" t="s">
        <v>210</v>
      </c>
      <c r="C350" s="19">
        <v>1684.0</v>
      </c>
      <c r="D350" s="20" t="str">
        <f>IF(   ISERROR(OFFSET(PADRON!B$2,MATCH(C:C,PADRON!A$2:A1405,0)-1,0,1,1) )  ,  ,    OFFSET(PADRON!B$2,MATCH(C:C,PADRON!A$2:A1405,0)-1,0,1,1))</f>
        <v>BELTRAMI, CARMEN ALICIA</v>
      </c>
      <c r="E350" s="21">
        <v>45717.0</v>
      </c>
      <c r="F350" s="21">
        <v>45870.0</v>
      </c>
      <c r="G350" s="23" t="s">
        <v>39</v>
      </c>
      <c r="H350" s="24">
        <f>IF( ISERROR( OFFSET(   'Cuadro tarifario'!D$2  , MATCH(CONCATENATE(                 IF(F350&gt;Mes,OFFSET(NroCT!B$17, MATCH($F350,NroCT!$A$18:$A1405,0),0,1,1),Periodovigente)                                                                                                                     ,A350) ,'Cuadro tarifario'!A$2:A1405,0) -1 , 0 , 1 , 1) )   , 0  ,   OFFSET(   'Cuadro tarifario'!D$2  , MATCH(CONCATENATE( IF(F350&gt;Mes,OFFSET(NroCT!B$17, MATCH($F350,NroCT!$A$18:$A1405,0),0,1,1),Periodovigente) ,A350) ,'Cuadro tarifario'!A$2:A1405,0) -1 , 0 , 1 , 1))</f>
        <v>12000</v>
      </c>
      <c r="I350" s="106">
        <f t="shared" si="195"/>
        <v>5</v>
      </c>
      <c r="J350" s="107">
        <f t="shared" si="207"/>
        <v>60000</v>
      </c>
      <c r="K350" s="108">
        <f>IF(  AND(N350&gt;0,I350=0)          ,N350 ,                         IF(  IF( F350 ,  DAYS360(DATE(YEAR(F350),MONTH(F350),1),Mes)/30  ,  DAYS360(DATE(YEAR(E350),MONTH(E350),1),Mes)/30  )  &gt;  0 , IF(F350,   DAYS360(DATE(YEAR(F350),MONTH(F350),1),Mes)/30  ,  DAYS360(DATE(YEAR(E350),MONTH(E350),1),Mes)/30) , 0)       )</f>
        <v>0</v>
      </c>
      <c r="L350" s="109">
        <f t="shared" si="196"/>
        <v>0</v>
      </c>
      <c r="M350" s="110"/>
      <c r="N350" s="29">
        <f>IF( ISERROR(OFFSET(SECUESTRADOS!D$1,MATCH(B350,SECUESTRADOS!A$2:A1405,0),0)) ,0 ,  OFFSET(SECUESTRADOS!D$1,MATCH(B350,SECUESTRADOS!A$2:A1405,0),0)  )</f>
        <v>0</v>
      </c>
      <c r="O350" s="30"/>
      <c r="P350" s="17" t="str">
        <f t="shared" si="3"/>
        <v>cuna windsurf</v>
      </c>
      <c r="Q350" s="17" t="str">
        <f t="shared" si="209"/>
        <v/>
      </c>
      <c r="R350" s="31"/>
      <c r="S350" s="31"/>
      <c r="T350" s="31"/>
    </row>
    <row r="351" ht="15.0" customHeight="1">
      <c r="A351" s="17" t="s">
        <v>71</v>
      </c>
      <c r="B351" s="18">
        <v>1688.0</v>
      </c>
      <c r="C351" s="19">
        <v>1688.0</v>
      </c>
      <c r="D351" s="20" t="str">
        <f>IF(   ISERROR(OFFSET(PADRON!B$2,MATCH(C:C,PADRON!A$2:A1405,0)-1,0,1,1) )  ,  ,    OFFSET(PADRON!B$2,MATCH(C:C,PADRON!A$2:A1405,0)-1,0,1,1))</f>
        <v>D´Alessandro, Ma. Elena</v>
      </c>
      <c r="E351" s="21">
        <v>45839.0</v>
      </c>
      <c r="F351" s="21">
        <v>45870.0</v>
      </c>
      <c r="G351" s="23" t="s">
        <v>39</v>
      </c>
      <c r="H351" s="24">
        <f>IF( ISERROR( OFFSET(   'Cuadro tarifario'!D$2  , MATCH(CONCATENATE(                 IF(F351&gt;Mes,OFFSET(NroCT!B$17, MATCH($F351,NroCT!$A$18:$A1405,0),0,1,1),Periodovigente)                                                                                                                     ,A351) ,'Cuadro tarifario'!A$2:A1405,0) -1 , 0 , 1 , 1) )   , 0  ,   OFFSET(   'Cuadro tarifario'!D$2  , MATCH(CONCATENATE( IF(F351&gt;Mes,OFFSET(NroCT!B$17, MATCH($F351,NroCT!$A$18:$A1405,0),0,1,1),Periodovigente) ,A351) ,'Cuadro tarifario'!A$2:A1405,0) -1 , 0 , 1 , 1))</f>
        <v>11000</v>
      </c>
      <c r="I351" s="106">
        <f t="shared" si="195"/>
        <v>1</v>
      </c>
      <c r="J351" s="107">
        <f t="shared" si="207"/>
        <v>11000</v>
      </c>
      <c r="K351" s="108">
        <f>IF(  AND(N351&gt;0,I351=0)          ,N351 ,                         IF(  IF( F351 ,  DAYS360(DATE(YEAR(F351),MONTH(F351),1),Mes)/30  ,  DAYS360(DATE(YEAR(E351),MONTH(E351),1),Mes)/30  )  &gt;  0 , IF(F351,   DAYS360(DATE(YEAR(F351),MONTH(F351),1),Mes)/30  ,  DAYS360(DATE(YEAR(E351),MONTH(E351),1),Mes)/30) , 0)       )</f>
        <v>0</v>
      </c>
      <c r="L351" s="109">
        <f t="shared" si="196"/>
        <v>0</v>
      </c>
      <c r="M351" s="110"/>
      <c r="N351" s="29">
        <f>IF( ISERROR(OFFSET(SECUESTRADOS!D$1,MATCH(B351,SECUESTRADOS!A$2:A1405,0),0)) ,0 ,  OFFSET(SECUESTRADOS!D$1,MATCH(B351,SECUESTRADOS!A$2:A1405,0),0)  )</f>
        <v>0</v>
      </c>
      <c r="O351" s="30"/>
      <c r="P351" s="17" t="str">
        <f t="shared" si="3"/>
        <v>.socio</v>
      </c>
      <c r="Q351" s="17" t="str">
        <f>IF(AND(A351=#REF!,B351=#REF!,C351=#REF!),"Repetido","")</f>
        <v>#REF!</v>
      </c>
      <c r="R351" s="31"/>
      <c r="S351" s="31"/>
      <c r="T351" s="31"/>
    </row>
    <row r="352" ht="15.0" customHeight="1">
      <c r="A352" s="17" t="s">
        <v>38</v>
      </c>
      <c r="B352" s="18">
        <v>1688.0</v>
      </c>
      <c r="C352" s="19">
        <v>1688.0</v>
      </c>
      <c r="D352" s="20" t="str">
        <f>IF(   ISERROR(OFFSET(PADRON!B$2,MATCH(C:C,PADRON!A$2:A1405,0)-1,0,1,1) )  ,  ,    OFFSET(PADRON!B$2,MATCH(C:C,PADRON!A$2:A1405,0)-1,0,1,1))</f>
        <v>D´Alessandro, Ma. Elena</v>
      </c>
      <c r="E352" s="21">
        <v>45839.0</v>
      </c>
      <c r="F352" s="21">
        <v>45870.0</v>
      </c>
      <c r="G352" s="23" t="s">
        <v>39</v>
      </c>
      <c r="H352" s="24">
        <f>IF( ISERROR( OFFSET(   'Cuadro tarifario'!D$2  , MATCH(CONCATENATE(                 IF(F352&gt;Mes,OFFSET(NroCT!B$17, MATCH($F352,NroCT!$A$18:$A1405,0),0,1,1),Periodovigente)                                                                                                                     ,A352) ,'Cuadro tarifario'!A$2:A1405,0) -1 , 0 , 1 , 1) )   , 0  ,   OFFSET(   'Cuadro tarifario'!D$2  , MATCH(CONCATENATE( IF(F352&gt;Mes,OFFSET(NroCT!B$17, MATCH($F352,NroCT!$A$18:$A1405,0),0,1,1),Periodovigente) ,A352) ,'Cuadro tarifario'!A$2:A1405,0) -1 , 0 , 1 , 1))</f>
        <v>9000</v>
      </c>
      <c r="I352" s="106">
        <f t="shared" si="195"/>
        <v>1</v>
      </c>
      <c r="J352" s="107">
        <f t="shared" si="207"/>
        <v>9000</v>
      </c>
      <c r="K352" s="108">
        <f>IF(  AND(N352&gt;0,I352=0)          ,N352 ,                         IF(  IF( F352 ,  DAYS360(DATE(YEAR(F352),MONTH(F352),1),Mes)/30  ,  DAYS360(DATE(YEAR(E352),MONTH(E352),1),Mes)/30  )  &gt;  0 , IF(F352,   DAYS360(DATE(YEAR(F352),MONTH(F352),1),Mes)/30  ,  DAYS360(DATE(YEAR(E352),MONTH(E352),1),Mes)/30) , 0)       )</f>
        <v>0</v>
      </c>
      <c r="L352" s="109">
        <f t="shared" si="196"/>
        <v>0</v>
      </c>
      <c r="M352" s="110"/>
      <c r="N352" s="29">
        <f>IF( ISERROR(OFFSET(SECUESTRADOS!D$1,MATCH(B352,SECUESTRADOS!A$2:A1405,0),0)) ,0 ,  OFFSET(SECUESTRADOS!D$1,MATCH(B352,SECUESTRADOS!A$2:A1405,0),0)  )</f>
        <v>0</v>
      </c>
      <c r="O352" s="30"/>
      <c r="P352" s="17" t="str">
        <f t="shared" si="3"/>
        <v>Bono canon</v>
      </c>
      <c r="Q352" s="17" t="str">
        <f t="shared" ref="Q352:Q353" si="210">IF(AND(A352=A351,B352=B351,C352=C351),"Repetido","")</f>
        <v/>
      </c>
      <c r="R352" s="31"/>
      <c r="S352" s="31"/>
      <c r="T352" s="31"/>
    </row>
    <row r="353" ht="15.0" customHeight="1">
      <c r="A353" s="18" t="s">
        <v>40</v>
      </c>
      <c r="B353" s="18" t="s">
        <v>211</v>
      </c>
      <c r="C353" s="19">
        <v>1688.0</v>
      </c>
      <c r="D353" s="20" t="str">
        <f>IF(   ISERROR(OFFSET(PADRON!B$2,MATCH(C:C,PADRON!A$2:A1405,0)-1,0,1,1) )  ,  ,    OFFSET(PADRON!B$2,MATCH(C:C,PADRON!A$2:A1405,0)-1,0,1,1))</f>
        <v>D´Alessandro, Ma. Elena</v>
      </c>
      <c r="E353" s="21">
        <v>45839.0</v>
      </c>
      <c r="F353" s="21">
        <v>45870.0</v>
      </c>
      <c r="G353" s="23" t="s">
        <v>39</v>
      </c>
      <c r="H353" s="24">
        <f>IF( ISERROR( OFFSET(   'Cuadro tarifario'!D$2  , MATCH(CONCATENATE(                 IF(F353&gt;Mes,OFFSET(NroCT!B$17, MATCH($F353,NroCT!$A$18:$A1405,0),0,1,1),Periodovigente)                                                                                                                     ,A353) ,'Cuadro tarifario'!A$2:A1405,0) -1 , 0 , 1 , 1) )   , 0  ,   OFFSET(   'Cuadro tarifario'!D$2  , MATCH(CONCATENATE( IF(F353&gt;Mes,OFFSET(NroCT!B$17, MATCH($F353,NroCT!$A$18:$A1405,0),0,1,1),Periodovigente) ,A353) ,'Cuadro tarifario'!A$2:A1405,0) -1 , 0 , 1 , 1))</f>
        <v>12000</v>
      </c>
      <c r="I353" s="106">
        <f t="shared" si="195"/>
        <v>1</v>
      </c>
      <c r="J353" s="107">
        <f t="shared" si="207"/>
        <v>12000</v>
      </c>
      <c r="K353" s="108">
        <f>IF(  AND(N353&gt;0,I353=0)          ,N353 ,                         IF(  IF( F353 ,  DAYS360(DATE(YEAR(F353),MONTH(F353),1),Mes)/30  ,  DAYS360(DATE(YEAR(E353),MONTH(E353),1),Mes)/30  )  &gt;  0 , IF(F353,   DAYS360(DATE(YEAR(F353),MONTH(F353),1),Mes)/30  ,  DAYS360(DATE(YEAR(E353),MONTH(E353),1),Mes)/30) , 0)       )</f>
        <v>0</v>
      </c>
      <c r="L353" s="109">
        <f t="shared" si="196"/>
        <v>0</v>
      </c>
      <c r="M353" s="110"/>
      <c r="N353" s="29">
        <f>IF( ISERROR(OFFSET(SECUESTRADOS!D$1,MATCH(B353,SECUESTRADOS!A$2:A1405,0),0)) ,0 ,  OFFSET(SECUESTRADOS!D$1,MATCH(B353,SECUESTRADOS!A$2:A1405,0),0)  )</f>
        <v>0</v>
      </c>
      <c r="O353" s="30"/>
      <c r="P353" s="17" t="str">
        <f t="shared" si="3"/>
        <v>cuna windsurf</v>
      </c>
      <c r="Q353" s="17" t="str">
        <f t="shared" si="210"/>
        <v/>
      </c>
      <c r="R353" s="31"/>
      <c r="S353" s="31"/>
      <c r="T353" s="31"/>
    </row>
    <row r="354" ht="15.0" customHeight="1">
      <c r="A354" s="18" t="s">
        <v>71</v>
      </c>
      <c r="B354" s="18">
        <v>1694.0</v>
      </c>
      <c r="C354" s="19">
        <v>1694.0</v>
      </c>
      <c r="D354" s="20" t="str">
        <f>IF(   ISERROR(OFFSET(PADRON!B$2,MATCH(C:C,PADRON!A$2:A1405,0)-1,0,1,1) )  ,  ,    OFFSET(PADRON!B$2,MATCH(C:C,PADRON!A$2:A1405,0)-1,0,1,1))</f>
        <v>GOMEZ, JORGE</v>
      </c>
      <c r="E354" s="21">
        <v>45839.0</v>
      </c>
      <c r="F354" s="21">
        <v>45870.0</v>
      </c>
      <c r="G354" s="23" t="s">
        <v>39</v>
      </c>
      <c r="H354" s="24">
        <f>IF( ISERROR( OFFSET(   'Cuadro tarifario'!D$2  , MATCH(CONCATENATE(                 IF(F354&gt;Mes,OFFSET(NroCT!B$17, MATCH($F354,NroCT!$A$18:$A1405,0),0,1,1),Periodovigente)                                                                                                                     ,A354) ,'Cuadro tarifario'!A$2:A1405,0) -1 , 0 , 1 , 1) )   , 0  ,   OFFSET(   'Cuadro tarifario'!D$2  , MATCH(CONCATENATE( IF(F354&gt;Mes,OFFSET(NroCT!B$17, MATCH($F354,NroCT!$A$18:$A1405,0),0,1,1),Periodovigente) ,A354) ,'Cuadro tarifario'!A$2:A1405,0) -1 , 0 , 1 , 1))</f>
        <v>11000</v>
      </c>
      <c r="I354" s="106">
        <f t="shared" si="195"/>
        <v>1</v>
      </c>
      <c r="J354" s="107">
        <f t="shared" si="207"/>
        <v>11000</v>
      </c>
      <c r="K354" s="108">
        <f>IF(  AND(N354&gt;0,I354=0)          ,N354 ,                         IF(  IF( F354 ,  DAYS360(DATE(YEAR(F354),MONTH(F354),1),Mes)/30  ,  DAYS360(DATE(YEAR(E354),MONTH(E354),1),Mes)/30  )  &gt;  0 , IF(F354,   DAYS360(DATE(YEAR(F354),MONTH(F354),1),Mes)/30  ,  DAYS360(DATE(YEAR(E354),MONTH(E354),1),Mes)/30) , 0)       )</f>
        <v>0</v>
      </c>
      <c r="L354" s="109">
        <f t="shared" si="196"/>
        <v>0</v>
      </c>
      <c r="M354" s="110"/>
      <c r="N354" s="29">
        <f>IF( ISERROR(OFFSET(SECUESTRADOS!D$1,MATCH(B354,SECUESTRADOS!A$2:A1405,0),0)) ,0 ,  OFFSET(SECUESTRADOS!D$1,MATCH(B354,SECUESTRADOS!A$2:A1405,0),0)  )</f>
        <v>0</v>
      </c>
      <c r="O354" s="30"/>
      <c r="P354" s="17" t="str">
        <f t="shared" si="3"/>
        <v>.socio</v>
      </c>
      <c r="Q354" s="17" t="str">
        <f>IF(AND(A354=#REF!,B354=#REF!,C354=#REF!),"Repetido","")</f>
        <v>#REF!</v>
      </c>
      <c r="R354" s="31"/>
      <c r="S354" s="31"/>
      <c r="T354" s="31"/>
    </row>
    <row r="355" ht="15.0" customHeight="1">
      <c r="A355" s="18" t="s">
        <v>38</v>
      </c>
      <c r="B355" s="18">
        <v>1694.0</v>
      </c>
      <c r="C355" s="19">
        <v>1694.0</v>
      </c>
      <c r="D355" s="20" t="str">
        <f>IF(   ISERROR(OFFSET(PADRON!B$2,MATCH(C:C,PADRON!A$2:A1405,0)-1,0,1,1) )  ,  ,    OFFSET(PADRON!B$2,MATCH(C:C,PADRON!A$2:A1405,0)-1,0,1,1))</f>
        <v>GOMEZ, JORGE</v>
      </c>
      <c r="E355" s="21">
        <v>45839.0</v>
      </c>
      <c r="F355" s="21">
        <v>45870.0</v>
      </c>
      <c r="G355" s="23" t="s">
        <v>39</v>
      </c>
      <c r="H355" s="24">
        <f>IF( ISERROR( OFFSET(   'Cuadro tarifario'!D$2  , MATCH(CONCATENATE(                 IF(F355&gt;Mes,OFFSET(NroCT!B$17, MATCH($F355,NroCT!$A$18:$A1405,0),0,1,1),Periodovigente)                                                                                                                     ,A355) ,'Cuadro tarifario'!A$2:A1405,0) -1 , 0 , 1 , 1) )   , 0  ,   OFFSET(   'Cuadro tarifario'!D$2  , MATCH(CONCATENATE( IF(F355&gt;Mes,OFFSET(NroCT!B$17, MATCH($F355,NroCT!$A$18:$A1405,0),0,1,1),Periodovigente) ,A355) ,'Cuadro tarifario'!A$2:A1405,0) -1 , 0 , 1 , 1))</f>
        <v>9000</v>
      </c>
      <c r="I355" s="106">
        <f t="shared" si="195"/>
        <v>1</v>
      </c>
      <c r="J355" s="107">
        <f t="shared" si="207"/>
        <v>9000</v>
      </c>
      <c r="K355" s="108">
        <f>IF(  AND(N355&gt;0,I355=0)          ,N355 ,                         IF(  IF( F355 ,  DAYS360(DATE(YEAR(F355),MONTH(F355),1),Mes)/30  ,  DAYS360(DATE(YEAR(E355),MONTH(E355),1),Mes)/30  )  &gt;  0 , IF(F355,   DAYS360(DATE(YEAR(F355),MONTH(F355),1),Mes)/30  ,  DAYS360(DATE(YEAR(E355),MONTH(E355),1),Mes)/30) , 0)       )</f>
        <v>0</v>
      </c>
      <c r="L355" s="109">
        <f t="shared" si="196"/>
        <v>0</v>
      </c>
      <c r="M355" s="110"/>
      <c r="N355" s="29">
        <f>IF( ISERROR(OFFSET(SECUESTRADOS!D$1,MATCH(B355,SECUESTRADOS!A$2:A1405,0),0)) ,0 ,  OFFSET(SECUESTRADOS!D$1,MATCH(B355,SECUESTRADOS!A$2:A1405,0),0)  )</f>
        <v>0</v>
      </c>
      <c r="O355" s="30"/>
      <c r="P355" s="17" t="str">
        <f t="shared" si="3"/>
        <v>Bono canon</v>
      </c>
      <c r="Q355" s="17" t="str">
        <f t="shared" ref="Q355:Q356" si="211">IF(AND(A355=A354,B355=B354,C355=C354),"Repetido","")</f>
        <v/>
      </c>
      <c r="R355" s="31"/>
      <c r="S355" s="31"/>
      <c r="T355" s="31"/>
    </row>
    <row r="356" ht="15.0" customHeight="1">
      <c r="A356" s="18" t="s">
        <v>82</v>
      </c>
      <c r="B356" s="18" t="s">
        <v>212</v>
      </c>
      <c r="C356" s="19">
        <v>1694.0</v>
      </c>
      <c r="D356" s="20" t="str">
        <f>IF(   ISERROR(OFFSET(PADRON!B$2,MATCH(C:C,PADRON!A$2:A1405,0)-1,0,1,1) )  ,  ,    OFFSET(PADRON!B$2,MATCH(C:C,PADRON!A$2:A1405,0)-1,0,1,1))</f>
        <v>GOMEZ, JORGE</v>
      </c>
      <c r="E356" s="21">
        <v>45839.0</v>
      </c>
      <c r="F356" s="21">
        <v>45870.0</v>
      </c>
      <c r="G356" s="23" t="s">
        <v>39</v>
      </c>
      <c r="H356" s="24">
        <f>IF( ISERROR( OFFSET(   'Cuadro tarifario'!D$2  , MATCH(CONCATENATE(                 IF(F356&gt;Mes,OFFSET(NroCT!B$17, MATCH($F356,NroCT!$A$18:$A1405,0),0,1,1),Periodovigente)                                                                                                                     ,A356) ,'Cuadro tarifario'!A$2:A1405,0) -1 , 0 , 1 , 1) )   , 0  ,   OFFSET(   'Cuadro tarifario'!D$2  , MATCH(CONCATENATE( IF(F356&gt;Mes,OFFSET(NroCT!B$17, MATCH($F356,NroCT!$A$18:$A1405,0),0,1,1),Periodovigente) ,A356) ,'Cuadro tarifario'!A$2:A1405,0) -1 , 0 , 1 , 1))</f>
        <v>12000</v>
      </c>
      <c r="I356" s="106">
        <f t="shared" si="195"/>
        <v>1</v>
      </c>
      <c r="J356" s="107">
        <f t="shared" si="207"/>
        <v>12000</v>
      </c>
      <c r="K356" s="108">
        <f>IF(  AND(N356&gt;0,I356=0)          ,N356 ,                         IF(  IF( F356 ,  DAYS360(DATE(YEAR(F356),MONTH(F356),1),Mes)/30  ,  DAYS360(DATE(YEAR(E356),MONTH(E356),1),Mes)/30  )  &gt;  0 , IF(F356,   DAYS360(DATE(YEAR(F356),MONTH(F356),1),Mes)/30  ,  DAYS360(DATE(YEAR(E356),MONTH(E356),1),Mes)/30) , 0)       )</f>
        <v>0</v>
      </c>
      <c r="L356" s="109">
        <f t="shared" si="196"/>
        <v>0</v>
      </c>
      <c r="M356" s="110"/>
      <c r="N356" s="29">
        <f>IF( ISERROR(OFFSET(SECUESTRADOS!D$1,MATCH(B356,SECUESTRADOS!A$2:A1405,0),0)) ,0 ,  OFFSET(SECUESTRADOS!D$1,MATCH(B356,SECUESTRADOS!A$2:A1405,0),0)  )</f>
        <v>0</v>
      </c>
      <c r="O356" s="30"/>
      <c r="P356" s="17" t="str">
        <f t="shared" si="3"/>
        <v>cuna kayak</v>
      </c>
      <c r="Q356" s="17" t="str">
        <f t="shared" si="211"/>
        <v/>
      </c>
      <c r="R356" s="31"/>
      <c r="S356" s="31"/>
      <c r="T356" s="31"/>
    </row>
    <row r="357" ht="15.0" customHeight="1">
      <c r="A357" s="18" t="s">
        <v>71</v>
      </c>
      <c r="B357" s="18">
        <v>1696.0</v>
      </c>
      <c r="C357" s="19">
        <v>1696.0</v>
      </c>
      <c r="D357" s="20" t="str">
        <f>IF(   ISERROR(OFFSET(PADRON!B$2,MATCH(C:C,PADRON!A$2:A1405,0)-1,0,1,1) )  ,  ,    OFFSET(PADRON!B$2,MATCH(C:C,PADRON!A$2:A1405,0)-1,0,1,1))</f>
        <v>ONOFRI, PABLO</v>
      </c>
      <c r="E357" s="21">
        <v>45839.0</v>
      </c>
      <c r="F357" s="21">
        <v>45870.0</v>
      </c>
      <c r="G357" s="23" t="s">
        <v>39</v>
      </c>
      <c r="H357" s="24">
        <f>IF( ISERROR( OFFSET(   'Cuadro tarifario'!D$2  , MATCH(CONCATENATE(                 IF(F357&gt;Mes,OFFSET(NroCT!B$17, MATCH($F357,NroCT!$A$18:$A1405,0),0,1,1),Periodovigente)                                                                                                                     ,A357) ,'Cuadro tarifario'!A$2:A1405,0) -1 , 0 , 1 , 1) )   , 0  ,   OFFSET(   'Cuadro tarifario'!D$2  , MATCH(CONCATENATE( IF(F357&gt;Mes,OFFSET(NroCT!B$17, MATCH($F357,NroCT!$A$18:$A1405,0),0,1,1),Periodovigente) ,A357) ,'Cuadro tarifario'!A$2:A1405,0) -1 , 0 , 1 , 1))</f>
        <v>11000</v>
      </c>
      <c r="I357" s="106">
        <f t="shared" si="195"/>
        <v>1</v>
      </c>
      <c r="J357" s="107">
        <f t="shared" si="207"/>
        <v>11000</v>
      </c>
      <c r="K357" s="108">
        <f>IF(  AND(N357&gt;0,I357=0)          ,N357 ,                         IF(  IF( F357 ,  DAYS360(DATE(YEAR(F357),MONTH(F357),1),Mes)/30  ,  DAYS360(DATE(YEAR(E357),MONTH(E357),1),Mes)/30  )  &gt;  0 , IF(F357,   DAYS360(DATE(YEAR(F357),MONTH(F357),1),Mes)/30  ,  DAYS360(DATE(YEAR(E357),MONTH(E357),1),Mes)/30) , 0)       )</f>
        <v>0</v>
      </c>
      <c r="L357" s="109">
        <f t="shared" si="196"/>
        <v>0</v>
      </c>
      <c r="M357" s="110"/>
      <c r="N357" s="29">
        <f>IF( ISERROR(OFFSET(SECUESTRADOS!D$1,MATCH(B357,SECUESTRADOS!A$2:A1405,0),0)) ,0 ,  OFFSET(SECUESTRADOS!D$1,MATCH(B357,SECUESTRADOS!A$2:A1405,0),0)  )</f>
        <v>0</v>
      </c>
      <c r="O357" s="30"/>
      <c r="P357" s="17" t="str">
        <f t="shared" si="3"/>
        <v>.socio</v>
      </c>
      <c r="Q357" s="17" t="str">
        <f>IF(AND(A357=#REF!,B357=#REF!,C357=#REF!),"Repetido","")</f>
        <v>#REF!</v>
      </c>
      <c r="R357" s="31"/>
      <c r="S357" s="31"/>
      <c r="T357" s="31"/>
    </row>
    <row r="358" ht="15.0" customHeight="1">
      <c r="A358" s="18" t="s">
        <v>38</v>
      </c>
      <c r="B358" s="18">
        <v>1696.0</v>
      </c>
      <c r="C358" s="19">
        <v>1696.0</v>
      </c>
      <c r="D358" s="20" t="str">
        <f>IF(   ISERROR(OFFSET(PADRON!B$2,MATCH(C:C,PADRON!A$2:A1405,0)-1,0,1,1) )  ,  ,    OFFSET(PADRON!B$2,MATCH(C:C,PADRON!A$2:A1405,0)-1,0,1,1))</f>
        <v>ONOFRI, PABLO</v>
      </c>
      <c r="E358" s="21">
        <v>45839.0</v>
      </c>
      <c r="F358" s="21">
        <v>45870.0</v>
      </c>
      <c r="G358" s="23" t="s">
        <v>39</v>
      </c>
      <c r="H358" s="24">
        <f>IF( ISERROR( OFFSET(   'Cuadro tarifario'!D$2  , MATCH(CONCATENATE(                 IF(F358&gt;Mes,OFFSET(NroCT!B$17, MATCH($F358,NroCT!$A$18:$A1405,0),0,1,1),Periodovigente)                                                                                                                     ,A358) ,'Cuadro tarifario'!A$2:A1405,0) -1 , 0 , 1 , 1) )   , 0  ,   OFFSET(   'Cuadro tarifario'!D$2  , MATCH(CONCATENATE( IF(F358&gt;Mes,OFFSET(NroCT!B$17, MATCH($F358,NroCT!$A$18:$A1405,0),0,1,1),Periodovigente) ,A358) ,'Cuadro tarifario'!A$2:A1405,0) -1 , 0 , 1 , 1))</f>
        <v>9000</v>
      </c>
      <c r="I358" s="106">
        <f t="shared" si="195"/>
        <v>1</v>
      </c>
      <c r="J358" s="107">
        <f t="shared" si="207"/>
        <v>9000</v>
      </c>
      <c r="K358" s="108">
        <f>IF(  AND(N358&gt;0,I358=0)          ,N358 ,                         IF(  IF( F358 ,  DAYS360(DATE(YEAR(F358),MONTH(F358),1),Mes)/30  ,  DAYS360(DATE(YEAR(E358),MONTH(E358),1),Mes)/30  )  &gt;  0 , IF(F358,   DAYS360(DATE(YEAR(F358),MONTH(F358),1),Mes)/30  ,  DAYS360(DATE(YEAR(E358),MONTH(E358),1),Mes)/30) , 0)       )</f>
        <v>0</v>
      </c>
      <c r="L358" s="109">
        <f t="shared" si="196"/>
        <v>0</v>
      </c>
      <c r="M358" s="110"/>
      <c r="N358" s="29">
        <f>IF( ISERROR(OFFSET(SECUESTRADOS!D$1,MATCH(B358,SECUESTRADOS!A$2:A1405,0),0)) ,0 ,  OFFSET(SECUESTRADOS!D$1,MATCH(B358,SECUESTRADOS!A$2:A1405,0),0)  )</f>
        <v>0</v>
      </c>
      <c r="O358" s="30"/>
      <c r="P358" s="17" t="str">
        <f t="shared" si="3"/>
        <v>Bono canon</v>
      </c>
      <c r="Q358" s="17" t="str">
        <f>IF(AND(A358=A357,B358=B357,C358=C357),"Repetido","")</f>
        <v/>
      </c>
      <c r="R358" s="31"/>
      <c r="S358" s="31"/>
      <c r="T358" s="31"/>
    </row>
    <row r="359" ht="15.0" customHeight="1">
      <c r="A359" s="18" t="s">
        <v>71</v>
      </c>
      <c r="B359" s="18">
        <v>1698.0</v>
      </c>
      <c r="C359" s="19">
        <v>1698.0</v>
      </c>
      <c r="D359" s="20" t="str">
        <f>IF(   ISERROR(OFFSET(PADRON!B$2,MATCH(C:C,PADRON!A$2:A1405,0)-1,0,1,1) )  ,  ,    OFFSET(PADRON!B$2,MATCH(C:C,PADRON!A$2:A1405,0)-1,0,1,1))</f>
        <v>GENTILE, MIGUEL ANGEL</v>
      </c>
      <c r="E359" s="21">
        <v>45839.0</v>
      </c>
      <c r="F359" s="21">
        <v>45870.0</v>
      </c>
      <c r="G359" s="23" t="s">
        <v>39</v>
      </c>
      <c r="H359" s="24">
        <f>IF( ISERROR( OFFSET(   'Cuadro tarifario'!D$2  , MATCH(CONCATENATE(                 IF(F359&gt;Mes,OFFSET(NroCT!B$17, MATCH($F359,NroCT!$A$18:$A1405,0),0,1,1),Periodovigente)                                                                                                                     ,A359) ,'Cuadro tarifario'!A$2:A1405,0) -1 , 0 , 1 , 1) )   , 0  ,   OFFSET(   'Cuadro tarifario'!D$2  , MATCH(CONCATENATE( IF(F359&gt;Mes,OFFSET(NroCT!B$17, MATCH($F359,NroCT!$A$18:$A1405,0),0,1,1),Periodovigente) ,A359) ,'Cuadro tarifario'!A$2:A1405,0) -1 , 0 , 1 , 1))</f>
        <v>11000</v>
      </c>
      <c r="I359" s="106">
        <f t="shared" si="195"/>
        <v>1</v>
      </c>
      <c r="J359" s="107">
        <f t="shared" si="207"/>
        <v>11000</v>
      </c>
      <c r="K359" s="108">
        <f>IF(  AND(N359&gt;0,I359=0)          ,N359 ,                         IF(  IF( F359 ,  DAYS360(DATE(YEAR(F359),MONTH(F359),1),Mes)/30  ,  DAYS360(DATE(YEAR(E359),MONTH(E359),1),Mes)/30  )  &gt;  0 , IF(F359,   DAYS360(DATE(YEAR(F359),MONTH(F359),1),Mes)/30  ,  DAYS360(DATE(YEAR(E359),MONTH(E359),1),Mes)/30) , 0)       )</f>
        <v>0</v>
      </c>
      <c r="L359" s="109">
        <f t="shared" si="196"/>
        <v>0</v>
      </c>
      <c r="M359" s="110"/>
      <c r="N359" s="29">
        <f>IF( ISERROR(OFFSET(SECUESTRADOS!D$1,MATCH(B359,SECUESTRADOS!A$2:A1405,0),0)) ,0 ,  OFFSET(SECUESTRADOS!D$1,MATCH(B359,SECUESTRADOS!A$2:A1405,0),0)  )</f>
        <v>0</v>
      </c>
      <c r="O359" s="30"/>
      <c r="P359" s="17" t="str">
        <f t="shared" si="3"/>
        <v>.socio</v>
      </c>
      <c r="Q359" s="17" t="str">
        <f>IF(AND(A359=#REF!,B359=#REF!,C359=#REF!),"Repetido","")</f>
        <v>#REF!</v>
      </c>
      <c r="R359" s="31"/>
      <c r="S359" s="31"/>
      <c r="T359" s="31"/>
    </row>
    <row r="360" ht="15.0" customHeight="1">
      <c r="A360" s="18" t="s">
        <v>38</v>
      </c>
      <c r="B360" s="18">
        <v>1698.0</v>
      </c>
      <c r="C360" s="19">
        <v>1698.0</v>
      </c>
      <c r="D360" s="20" t="str">
        <f>IF(   ISERROR(OFFSET(PADRON!B$2,MATCH(C:C,PADRON!A$2:A1405,0)-1,0,1,1) )  ,  ,    OFFSET(PADRON!B$2,MATCH(C:C,PADRON!A$2:A1405,0)-1,0,1,1))</f>
        <v>GENTILE, MIGUEL ANGEL</v>
      </c>
      <c r="E360" s="21">
        <v>45839.0</v>
      </c>
      <c r="F360" s="21">
        <v>45870.0</v>
      </c>
      <c r="G360" s="23" t="s">
        <v>39</v>
      </c>
      <c r="H360" s="24">
        <f>IF( ISERROR( OFFSET(   'Cuadro tarifario'!D$2  , MATCH(CONCATENATE(                 IF(F360&gt;Mes,OFFSET(NroCT!B$17, MATCH($F360,NroCT!$A$18:$A1405,0),0,1,1),Periodovigente)                                                                                                                     ,A360) ,'Cuadro tarifario'!A$2:A1405,0) -1 , 0 , 1 , 1) )   , 0  ,   OFFSET(   'Cuadro tarifario'!D$2  , MATCH(CONCATENATE( IF(F360&gt;Mes,OFFSET(NroCT!B$17, MATCH($F360,NroCT!$A$18:$A1405,0),0,1,1),Periodovigente) ,A360) ,'Cuadro tarifario'!A$2:A1405,0) -1 , 0 , 1 , 1))</f>
        <v>9000</v>
      </c>
      <c r="I360" s="106">
        <f t="shared" si="195"/>
        <v>1</v>
      </c>
      <c r="J360" s="107">
        <f t="shared" si="207"/>
        <v>9000</v>
      </c>
      <c r="K360" s="108">
        <f>IF(  AND(N360&gt;0,I360=0)          ,N360 ,                         IF(  IF( F360 ,  DAYS360(DATE(YEAR(F360),MONTH(F360),1),Mes)/30  ,  DAYS360(DATE(YEAR(E360),MONTH(E360),1),Mes)/30  )  &gt;  0 , IF(F360,   DAYS360(DATE(YEAR(F360),MONTH(F360),1),Mes)/30  ,  DAYS360(DATE(YEAR(E360),MONTH(E360),1),Mes)/30) , 0)       )</f>
        <v>0</v>
      </c>
      <c r="L360" s="109">
        <f t="shared" si="196"/>
        <v>0</v>
      </c>
      <c r="M360" s="110"/>
      <c r="N360" s="29">
        <f>IF( ISERROR(OFFSET(SECUESTRADOS!D$1,MATCH(B360,SECUESTRADOS!A$2:A1405,0),0)) ,0 ,  OFFSET(SECUESTRADOS!D$1,MATCH(B360,SECUESTRADOS!A$2:A1405,0),0)  )</f>
        <v>0</v>
      </c>
      <c r="O360" s="30"/>
      <c r="P360" s="17" t="str">
        <f t="shared" si="3"/>
        <v>Bono canon</v>
      </c>
      <c r="Q360" s="17" t="str">
        <f t="shared" ref="Q360:Q361" si="212">IF(AND(A360=A359,B360=B359,C360=C359),"Repetido","")</f>
        <v/>
      </c>
      <c r="R360" s="31"/>
      <c r="S360" s="31"/>
      <c r="T360" s="31"/>
    </row>
    <row r="361" ht="15.0" customHeight="1">
      <c r="A361" s="18" t="s">
        <v>48</v>
      </c>
      <c r="B361" s="18" t="s">
        <v>213</v>
      </c>
      <c r="C361" s="19">
        <v>1698.0</v>
      </c>
      <c r="D361" s="20" t="str">
        <f>IF(   ISERROR(OFFSET(PADRON!B$2,MATCH(C:C,PADRON!A$2:A1405,0)-1,0,1,1) )  ,  ,    OFFSET(PADRON!B$2,MATCH(C:C,PADRON!A$2:A1405,0)-1,0,1,1))</f>
        <v>GENTILE, MIGUEL ANGEL</v>
      </c>
      <c r="E361" s="21">
        <v>45839.0</v>
      </c>
      <c r="F361" s="21">
        <v>45870.0</v>
      </c>
      <c r="G361" s="23" t="s">
        <v>39</v>
      </c>
      <c r="H361" s="24">
        <f>IF( ISERROR( OFFSET(   'Cuadro tarifario'!D$2  , MATCH(CONCATENATE(                 IF(F361&gt;Mes,OFFSET(NroCT!B$17, MATCH($F361,NroCT!$A$18:$A1405,0),0,1,1),Periodovigente)                                                                                                                     ,A361) ,'Cuadro tarifario'!A$2:A1405,0) -1 , 0 , 1 , 1) )   , 0  ,   OFFSET(   'Cuadro tarifario'!D$2  , MATCH(CONCATENATE( IF(F361&gt;Mes,OFFSET(NroCT!B$17, MATCH($F361,NroCT!$A$18:$A1405,0),0,1,1),Periodovigente) ,A361) ,'Cuadro tarifario'!A$2:A1405,0) -1 , 0 , 1 , 1))</f>
        <v>12000</v>
      </c>
      <c r="I361" s="106">
        <f t="shared" si="195"/>
        <v>1</v>
      </c>
      <c r="J361" s="107">
        <f t="shared" si="207"/>
        <v>12000</v>
      </c>
      <c r="K361" s="108">
        <f>IF(  AND(N361&gt;0,I361=0)          ,N361 ,                         IF(  IF( F361 ,  DAYS360(DATE(YEAR(F361),MONTH(F361),1),Mes)/30  ,  DAYS360(DATE(YEAR(E361),MONTH(E361),1),Mes)/30  )  &gt;  0 , IF(F361,   DAYS360(DATE(YEAR(F361),MONTH(F361),1),Mes)/30  ,  DAYS360(DATE(YEAR(E361),MONTH(E361),1),Mes)/30) , 0)       )</f>
        <v>0</v>
      </c>
      <c r="L361" s="109">
        <f t="shared" si="196"/>
        <v>0</v>
      </c>
      <c r="M361" s="110"/>
      <c r="N361" s="29">
        <f>IF( ISERROR(OFFSET(SECUESTRADOS!D$1,MATCH(B361,SECUESTRADOS!A$2:A1405,0),0)) ,0 ,  OFFSET(SECUESTRADOS!D$1,MATCH(B361,SECUESTRADOS!A$2:A1405,0),0)  )</f>
        <v>0</v>
      </c>
      <c r="O361" s="30"/>
      <c r="P361" s="17" t="str">
        <f t="shared" si="3"/>
        <v>velero</v>
      </c>
      <c r="Q361" s="17" t="str">
        <f t="shared" si="212"/>
        <v/>
      </c>
      <c r="R361" s="31"/>
      <c r="S361" s="31"/>
      <c r="T361" s="31"/>
    </row>
    <row r="362" ht="15.0" customHeight="1">
      <c r="A362" s="18" t="s">
        <v>71</v>
      </c>
      <c r="B362" s="18">
        <v>1708.0</v>
      </c>
      <c r="C362" s="19">
        <v>1708.0</v>
      </c>
      <c r="D362" s="20" t="str">
        <f>IF(   ISERROR(OFFSET(PADRON!B$2,MATCH(C:C,PADRON!A$2:A1405,0)-1,0,1,1) )  ,  ,    OFFSET(PADRON!B$2,MATCH(C:C,PADRON!A$2:A1405,0)-1,0,1,1))</f>
        <v>CESTONA, MARCOS</v>
      </c>
      <c r="E362" s="21">
        <v>45839.0</v>
      </c>
      <c r="F362" s="21">
        <v>45870.0</v>
      </c>
      <c r="G362" s="23" t="s">
        <v>39</v>
      </c>
      <c r="H362" s="24">
        <f>IF( ISERROR( OFFSET(   'Cuadro tarifario'!D$2  , MATCH(CONCATENATE(                 IF(F362&gt;Mes,OFFSET(NroCT!B$17, MATCH($F362,NroCT!$A$18:$A1405,0),0,1,1),Periodovigente)                                                                                                                     ,A362) ,'Cuadro tarifario'!A$2:A1405,0) -1 , 0 , 1 , 1) )   , 0  ,   OFFSET(   'Cuadro tarifario'!D$2  , MATCH(CONCATENATE( IF(F362&gt;Mes,OFFSET(NroCT!B$17, MATCH($F362,NroCT!$A$18:$A1405,0),0,1,1),Periodovigente) ,A362) ,'Cuadro tarifario'!A$2:A1405,0) -1 , 0 , 1 , 1))</f>
        <v>11000</v>
      </c>
      <c r="I362" s="106">
        <f t="shared" si="195"/>
        <v>1</v>
      </c>
      <c r="J362" s="107">
        <f t="shared" si="207"/>
        <v>11000</v>
      </c>
      <c r="K362" s="108">
        <f>IF(  AND(N362&gt;0,I362=0)          ,N362 ,                         IF(  IF( F362 ,  DAYS360(DATE(YEAR(F362),MONTH(F362),1),Mes)/30  ,  DAYS360(DATE(YEAR(E362),MONTH(E362),1),Mes)/30  )  &gt;  0 , IF(F362,   DAYS360(DATE(YEAR(F362),MONTH(F362),1),Mes)/30  ,  DAYS360(DATE(YEAR(E362),MONTH(E362),1),Mes)/30) , 0)       )</f>
        <v>0</v>
      </c>
      <c r="L362" s="109">
        <f t="shared" si="196"/>
        <v>0</v>
      </c>
      <c r="M362" s="110"/>
      <c r="N362" s="29">
        <f>IF( ISERROR(OFFSET(SECUESTRADOS!D$1,MATCH(B362,SECUESTRADOS!A$2:A1405,0),0)) ,0 ,  OFFSET(SECUESTRADOS!D$1,MATCH(B362,SECUESTRADOS!A$2:A1405,0),0)  )</f>
        <v>0</v>
      </c>
      <c r="O362" s="30"/>
      <c r="P362" s="17" t="str">
        <f t="shared" si="3"/>
        <v>.socio</v>
      </c>
      <c r="Q362" s="17" t="str">
        <f>IF(AND(A362=#REF!,B362=#REF!,C362=#REF!),"Repetido","")</f>
        <v>#REF!</v>
      </c>
      <c r="R362" s="31"/>
      <c r="S362" s="31"/>
      <c r="T362" s="31"/>
    </row>
    <row r="363" ht="15.0" customHeight="1">
      <c r="A363" s="18" t="s">
        <v>38</v>
      </c>
      <c r="B363" s="18">
        <v>1708.0</v>
      </c>
      <c r="C363" s="19">
        <v>1708.0</v>
      </c>
      <c r="D363" s="20" t="str">
        <f>IF(   ISERROR(OFFSET(PADRON!B$2,MATCH(C:C,PADRON!A$2:A1405,0)-1,0,1,1) )  ,  ,    OFFSET(PADRON!B$2,MATCH(C:C,PADRON!A$2:A1405,0)-1,0,1,1))</f>
        <v>CESTONA, MARCOS</v>
      </c>
      <c r="E363" s="21">
        <v>45839.0</v>
      </c>
      <c r="F363" s="21">
        <v>45870.0</v>
      </c>
      <c r="G363" s="23" t="s">
        <v>39</v>
      </c>
      <c r="H363" s="24">
        <f>IF( ISERROR( OFFSET(   'Cuadro tarifario'!D$2  , MATCH(CONCATENATE(                 IF(F363&gt;Mes,OFFSET(NroCT!B$17, MATCH($F363,NroCT!$A$18:$A1405,0),0,1,1),Periodovigente)                                                                                                                     ,A363) ,'Cuadro tarifario'!A$2:A1405,0) -1 , 0 , 1 , 1) )   , 0  ,   OFFSET(   'Cuadro tarifario'!D$2  , MATCH(CONCATENATE( IF(F363&gt;Mes,OFFSET(NroCT!B$17, MATCH($F363,NroCT!$A$18:$A1405,0),0,1,1),Periodovigente) ,A363) ,'Cuadro tarifario'!A$2:A1405,0) -1 , 0 , 1 , 1))</f>
        <v>9000</v>
      </c>
      <c r="I363" s="106">
        <f t="shared" si="195"/>
        <v>1</v>
      </c>
      <c r="J363" s="107">
        <f t="shared" si="207"/>
        <v>9000</v>
      </c>
      <c r="K363" s="108">
        <f>IF(  AND(N363&gt;0,I363=0)          ,N363 ,                         IF(  IF( F363 ,  DAYS360(DATE(YEAR(F363),MONTH(F363),1),Mes)/30  ,  DAYS360(DATE(YEAR(E363),MONTH(E363),1),Mes)/30  )  &gt;  0 , IF(F363,   DAYS360(DATE(YEAR(F363),MONTH(F363),1),Mes)/30  ,  DAYS360(DATE(YEAR(E363),MONTH(E363),1),Mes)/30) , 0)       )</f>
        <v>0</v>
      </c>
      <c r="L363" s="109">
        <f t="shared" si="196"/>
        <v>0</v>
      </c>
      <c r="M363" s="110"/>
      <c r="N363" s="29">
        <f>IF( ISERROR(OFFSET(SECUESTRADOS!D$1,MATCH(B363,SECUESTRADOS!A$2:A1405,0),0)) ,0 ,  OFFSET(SECUESTRADOS!D$1,MATCH(B363,SECUESTRADOS!A$2:A1405,0),0)  )</f>
        <v>0</v>
      </c>
      <c r="O363" s="30"/>
      <c r="P363" s="17" t="str">
        <f t="shared" si="3"/>
        <v>Bono canon</v>
      </c>
      <c r="Q363" s="17" t="str">
        <f t="shared" ref="Q363:Q366" si="213">IF(AND(A363=A362,B363=B362,C363=C362),"Repetido","")</f>
        <v/>
      </c>
      <c r="R363" s="31"/>
      <c r="S363" s="31"/>
      <c r="T363" s="31"/>
    </row>
    <row r="364" ht="15.0" customHeight="1">
      <c r="A364" s="18" t="s">
        <v>82</v>
      </c>
      <c r="B364" s="18" t="s">
        <v>214</v>
      </c>
      <c r="C364" s="19">
        <v>1708.0</v>
      </c>
      <c r="D364" s="20" t="str">
        <f>IF(   ISERROR(OFFSET(PADRON!B$2,MATCH(C:C,PADRON!A$2:A1405,0)-1,0,1,1) )  ,  ,    OFFSET(PADRON!B$2,MATCH(C:C,PADRON!A$2:A1405,0)-1,0,1,1))</f>
        <v>CESTONA, MARCOS</v>
      </c>
      <c r="E364" s="21">
        <v>45839.0</v>
      </c>
      <c r="F364" s="21">
        <v>45870.0</v>
      </c>
      <c r="G364" s="23" t="s">
        <v>39</v>
      </c>
      <c r="H364" s="24">
        <f>IF( ISERROR( OFFSET(   'Cuadro tarifario'!D$2  , MATCH(CONCATENATE(                 IF(F364&gt;Mes,OFFSET(NroCT!B$17, MATCH($F364,NroCT!$A$18:$A1405,0),0,1,1),Periodovigente)                                                                                                                     ,A364) ,'Cuadro tarifario'!A$2:A1405,0) -1 , 0 , 1 , 1) )   , 0  ,   OFFSET(   'Cuadro tarifario'!D$2  , MATCH(CONCATENATE( IF(F364&gt;Mes,OFFSET(NroCT!B$17, MATCH($F364,NroCT!$A$18:$A1405,0),0,1,1),Periodovigente) ,A364) ,'Cuadro tarifario'!A$2:A1405,0) -1 , 0 , 1 , 1))</f>
        <v>12000</v>
      </c>
      <c r="I364" s="106">
        <f t="shared" si="195"/>
        <v>1</v>
      </c>
      <c r="J364" s="107">
        <f t="shared" si="207"/>
        <v>12000</v>
      </c>
      <c r="K364" s="108">
        <f>IF(  AND(N364&gt;0,I364=0)          ,N364 ,                         IF(  IF( F364 ,  DAYS360(DATE(YEAR(F364),MONTH(F364),1),Mes)/30  ,  DAYS360(DATE(YEAR(E364),MONTH(E364),1),Mes)/30  )  &gt;  0 , IF(F364,   DAYS360(DATE(YEAR(F364),MONTH(F364),1),Mes)/30  ,  DAYS360(DATE(YEAR(E364),MONTH(E364),1),Mes)/30) , 0)       )</f>
        <v>0</v>
      </c>
      <c r="L364" s="109">
        <f t="shared" si="196"/>
        <v>0</v>
      </c>
      <c r="M364" s="110"/>
      <c r="N364" s="29">
        <f>IF( ISERROR(OFFSET(SECUESTRADOS!D$1,MATCH(B364,SECUESTRADOS!A$2:A1405,0),0)) ,0 ,  OFFSET(SECUESTRADOS!D$1,MATCH(B364,SECUESTRADOS!A$2:A1405,0),0)  )</f>
        <v>0</v>
      </c>
      <c r="O364" s="30"/>
      <c r="P364" s="17" t="str">
        <f t="shared" si="3"/>
        <v>cuna kayak</v>
      </c>
      <c r="Q364" s="17" t="str">
        <f t="shared" si="213"/>
        <v/>
      </c>
      <c r="R364" s="31"/>
      <c r="S364" s="31"/>
      <c r="T364" s="31"/>
    </row>
    <row r="365" ht="15.0" customHeight="1">
      <c r="A365" s="18" t="s">
        <v>71</v>
      </c>
      <c r="B365" s="18">
        <v>1709.0</v>
      </c>
      <c r="C365" s="19">
        <v>1709.0</v>
      </c>
      <c r="D365" s="20" t="str">
        <f>IF(   ISERROR(OFFSET(PADRON!B$2,MATCH(C:C,PADRON!A$2:A1405,0)-1,0,1,1) )  ,  ,    OFFSET(PADRON!B$2,MATCH(C:C,PADRON!A$2:A1405,0)-1,0,1,1))</f>
        <v>ETCHETTO, SEBASTIAN</v>
      </c>
      <c r="E365" s="21">
        <v>45870.0</v>
      </c>
      <c r="F365" s="21">
        <v>45931.0</v>
      </c>
      <c r="G365" s="23" t="s">
        <v>39</v>
      </c>
      <c r="H365" s="24">
        <f>IF( ISERROR( OFFSET(   'Cuadro tarifario'!D$2  , MATCH(CONCATENATE(                 IF(F365&gt;Mes,OFFSET(NroCT!B$17, MATCH($F365,NroCT!$A$18:$A1405,0),0,1,1),Periodovigente)                                                                                                                     ,A365) ,'Cuadro tarifario'!A$2:A1405,0) -1 , 0 , 1 , 1) )   , 0  ,   OFFSET(   'Cuadro tarifario'!D$2  , MATCH(CONCATENATE( IF(F365&gt;Mes,OFFSET(NroCT!B$17, MATCH($F365,NroCT!$A$18:$A1405,0),0,1,1),Periodovigente) ,A365) ,'Cuadro tarifario'!A$2:A1405,0) -1 , 0 , 1 , 1))</f>
        <v>11000</v>
      </c>
      <c r="I365" s="106">
        <f t="shared" si="195"/>
        <v>2</v>
      </c>
      <c r="J365" s="107">
        <f t="shared" si="207"/>
        <v>22000</v>
      </c>
      <c r="K365" s="108">
        <f>IF(  AND(N365&gt;0,I365=0)          ,N365 ,                         IF(  IF( F365 ,  DAYS360(DATE(YEAR(F365),MONTH(F365),1),Mes)/30  ,  DAYS360(DATE(YEAR(E365),MONTH(E365),1),Mes)/30  )  &gt;  0 , IF(F365,   DAYS360(DATE(YEAR(F365),MONTH(F365),1),Mes)/30  ,  DAYS360(DATE(YEAR(E365),MONTH(E365),1),Mes)/30) , 0)       )</f>
        <v>0</v>
      </c>
      <c r="L365" s="109">
        <f t="shared" si="196"/>
        <v>0</v>
      </c>
      <c r="M365" s="110"/>
      <c r="N365" s="29">
        <f>IF( ISERROR(OFFSET(SECUESTRADOS!D$1,MATCH(B365,SECUESTRADOS!A$2:A1405,0),0)) ,0 ,  OFFSET(SECUESTRADOS!D$1,MATCH(B365,SECUESTRADOS!A$2:A1405,0),0)  )</f>
        <v>0</v>
      </c>
      <c r="O365" s="30"/>
      <c r="P365" s="17" t="str">
        <f t="shared" si="3"/>
        <v>.socio</v>
      </c>
      <c r="Q365" s="17" t="str">
        <f t="shared" si="213"/>
        <v/>
      </c>
      <c r="R365" s="31"/>
      <c r="S365" s="31"/>
      <c r="T365" s="31"/>
    </row>
    <row r="366" ht="15.0" customHeight="1">
      <c r="A366" s="18" t="s">
        <v>38</v>
      </c>
      <c r="B366" s="18">
        <v>1709.0</v>
      </c>
      <c r="C366" s="19">
        <v>1709.0</v>
      </c>
      <c r="D366" s="20" t="str">
        <f>IF(   ISERROR(OFFSET(PADRON!B$2,MATCH(C:C,PADRON!A$2:A1405,0)-1,0,1,1) )  ,  ,    OFFSET(PADRON!B$2,MATCH(C:C,PADRON!A$2:A1405,0)-1,0,1,1))</f>
        <v>ETCHETTO, SEBASTIAN</v>
      </c>
      <c r="E366" s="21">
        <v>45870.0</v>
      </c>
      <c r="F366" s="21">
        <v>45931.0</v>
      </c>
      <c r="G366" s="23" t="s">
        <v>39</v>
      </c>
      <c r="H366" s="24">
        <f>IF( ISERROR( OFFSET(   'Cuadro tarifario'!D$2  , MATCH(CONCATENATE(                 IF(F366&gt;Mes,OFFSET(NroCT!B$17, MATCH($F366,NroCT!$A$18:$A1405,0),0,1,1),Periodovigente)                                                                                                                     ,A366) ,'Cuadro tarifario'!A$2:A1405,0) -1 , 0 , 1 , 1) )   , 0  ,   OFFSET(   'Cuadro tarifario'!D$2  , MATCH(CONCATENATE( IF(F366&gt;Mes,OFFSET(NroCT!B$17, MATCH($F366,NroCT!$A$18:$A1405,0),0,1,1),Periodovigente) ,A366) ,'Cuadro tarifario'!A$2:A1405,0) -1 , 0 , 1 , 1))</f>
        <v>9000</v>
      </c>
      <c r="I366" s="106">
        <f t="shared" si="195"/>
        <v>2</v>
      </c>
      <c r="J366" s="107">
        <f t="shared" si="207"/>
        <v>18000</v>
      </c>
      <c r="K366" s="108">
        <f>IF(  AND(N366&gt;0,I366=0)          ,N366 ,                         IF(  IF( F366 ,  DAYS360(DATE(YEAR(F366),MONTH(F366),1),Mes)/30  ,  DAYS360(DATE(YEAR(E366),MONTH(E366),1),Mes)/30  )  &gt;  0 , IF(F366,   DAYS360(DATE(YEAR(F366),MONTH(F366),1),Mes)/30  ,  DAYS360(DATE(YEAR(E366),MONTH(E366),1),Mes)/30) , 0)       )</f>
        <v>0</v>
      </c>
      <c r="L366" s="109">
        <f t="shared" si="196"/>
        <v>0</v>
      </c>
      <c r="M366" s="110"/>
      <c r="N366" s="29">
        <f>IF( ISERROR(OFFSET(SECUESTRADOS!D$1,MATCH(B366,SECUESTRADOS!A$2:A1405,0),0)) ,0 ,  OFFSET(SECUESTRADOS!D$1,MATCH(B366,SECUESTRADOS!A$2:A1405,0),0)  )</f>
        <v>0</v>
      </c>
      <c r="O366" s="30"/>
      <c r="P366" s="17" t="str">
        <f t="shared" si="3"/>
        <v>Bono canon</v>
      </c>
      <c r="Q366" s="17" t="str">
        <f t="shared" si="213"/>
        <v/>
      </c>
      <c r="R366" s="31"/>
      <c r="S366" s="31"/>
      <c r="T366" s="31"/>
    </row>
    <row r="367" ht="15.0" customHeight="1">
      <c r="A367" s="18" t="s">
        <v>71</v>
      </c>
      <c r="B367" s="18">
        <v>1712.0</v>
      </c>
      <c r="C367" s="19">
        <v>1712.0</v>
      </c>
      <c r="D367" s="20" t="str">
        <f>IF(   ISERROR(OFFSET(PADRON!B$2,MATCH(C:C,PADRON!A$2:A1405,0)-1,0,1,1) )  ,  ,    OFFSET(PADRON!B$2,MATCH(C:C,PADRON!A$2:A1405,0)-1,0,1,1))</f>
        <v>DIAZ VAZQUEZ, LUCAS</v>
      </c>
      <c r="E367" s="21">
        <v>45839.0</v>
      </c>
      <c r="F367" s="21">
        <v>45870.0</v>
      </c>
      <c r="G367" s="23" t="s">
        <v>39</v>
      </c>
      <c r="H367" s="24">
        <f>IF( ISERROR( OFFSET(   'Cuadro tarifario'!D$2  , MATCH(CONCATENATE(                 IF(F367&gt;Mes,OFFSET(NroCT!B$17, MATCH($F367,NroCT!$A$18:$A1405,0),0,1,1),Periodovigente)                                                                                                                     ,A367) ,'Cuadro tarifario'!A$2:A1405,0) -1 , 0 , 1 , 1) )   , 0  ,   OFFSET(   'Cuadro tarifario'!D$2  , MATCH(CONCATENATE( IF(F367&gt;Mes,OFFSET(NroCT!B$17, MATCH($F367,NroCT!$A$18:$A1405,0),0,1,1),Periodovigente) ,A367) ,'Cuadro tarifario'!A$2:A1405,0) -1 , 0 , 1 , 1))</f>
        <v>11000</v>
      </c>
      <c r="I367" s="106">
        <f t="shared" si="195"/>
        <v>1</v>
      </c>
      <c r="J367" s="107">
        <f t="shared" si="207"/>
        <v>11000</v>
      </c>
      <c r="K367" s="108">
        <f>IF(  AND(N367&gt;0,I367=0)          ,N367 ,                         IF(  IF( F367 ,  DAYS360(DATE(YEAR(F367),MONTH(F367),1),Mes)/30  ,  DAYS360(DATE(YEAR(E367),MONTH(E367),1),Mes)/30  )  &gt;  0 , IF(F367,   DAYS360(DATE(YEAR(F367),MONTH(F367),1),Mes)/30  ,  DAYS360(DATE(YEAR(E367),MONTH(E367),1),Mes)/30) , 0)       )</f>
        <v>0</v>
      </c>
      <c r="L367" s="109">
        <f t="shared" si="196"/>
        <v>0</v>
      </c>
      <c r="M367" s="110"/>
      <c r="N367" s="29">
        <f>IF( ISERROR(OFFSET(SECUESTRADOS!D$1,MATCH(B367,SECUESTRADOS!A$2:A1405,0),0)) ,0 ,  OFFSET(SECUESTRADOS!D$1,MATCH(B367,SECUESTRADOS!A$2:A1405,0),0)  )</f>
        <v>0</v>
      </c>
      <c r="O367" s="30"/>
      <c r="P367" s="17" t="str">
        <f t="shared" si="3"/>
        <v>.socio</v>
      </c>
      <c r="Q367" s="17" t="str">
        <f>IF(AND(A367=#REF!,B367=#REF!,C367=#REF!),"Repetido","")</f>
        <v>#REF!</v>
      </c>
      <c r="R367" s="31"/>
      <c r="S367" s="31"/>
      <c r="T367" s="31"/>
    </row>
    <row r="368" ht="15.0" customHeight="1">
      <c r="A368" s="18" t="s">
        <v>38</v>
      </c>
      <c r="B368" s="18">
        <v>1712.0</v>
      </c>
      <c r="C368" s="19">
        <v>1712.0</v>
      </c>
      <c r="D368" s="20" t="str">
        <f>IF(   ISERROR(OFFSET(PADRON!B$2,MATCH(C:C,PADRON!A$2:A1405,0)-1,0,1,1) )  ,  ,    OFFSET(PADRON!B$2,MATCH(C:C,PADRON!A$2:A1405,0)-1,0,1,1))</f>
        <v>DIAZ VAZQUEZ, LUCAS</v>
      </c>
      <c r="E368" s="21">
        <v>45839.0</v>
      </c>
      <c r="F368" s="21">
        <v>45870.0</v>
      </c>
      <c r="G368" s="23" t="s">
        <v>39</v>
      </c>
      <c r="H368" s="24">
        <f>IF( ISERROR( OFFSET(   'Cuadro tarifario'!D$2  , MATCH(CONCATENATE(                 IF(F368&gt;Mes,OFFSET(NroCT!B$17, MATCH($F368,NroCT!$A$18:$A1405,0),0,1,1),Periodovigente)                                                                                                                     ,A368) ,'Cuadro tarifario'!A$2:A1405,0) -1 , 0 , 1 , 1) )   , 0  ,   OFFSET(   'Cuadro tarifario'!D$2  , MATCH(CONCATENATE( IF(F368&gt;Mes,OFFSET(NroCT!B$17, MATCH($F368,NroCT!$A$18:$A1405,0),0,1,1),Periodovigente) ,A368) ,'Cuadro tarifario'!A$2:A1405,0) -1 , 0 , 1 , 1))</f>
        <v>9000</v>
      </c>
      <c r="I368" s="106">
        <f t="shared" si="195"/>
        <v>1</v>
      </c>
      <c r="J368" s="107">
        <f t="shared" si="207"/>
        <v>9000</v>
      </c>
      <c r="K368" s="108">
        <f>IF(  AND(N368&gt;0,I368=0)          ,N368 ,                         IF(  IF( F368 ,  DAYS360(DATE(YEAR(F368),MONTH(F368),1),Mes)/30  ,  DAYS360(DATE(YEAR(E368),MONTH(E368),1),Mes)/30  )  &gt;  0 , IF(F368,   DAYS360(DATE(YEAR(F368),MONTH(F368),1),Mes)/30  ,  DAYS360(DATE(YEAR(E368),MONTH(E368),1),Mes)/30) , 0)       )</f>
        <v>0</v>
      </c>
      <c r="L368" s="109">
        <f t="shared" si="196"/>
        <v>0</v>
      </c>
      <c r="M368" s="110"/>
      <c r="N368" s="29">
        <f>IF( ISERROR(OFFSET(SECUESTRADOS!D$1,MATCH(B368,SECUESTRADOS!A$2:A1405,0),0)) ,0 ,  OFFSET(SECUESTRADOS!D$1,MATCH(B368,SECUESTRADOS!A$2:A1405,0),0)  )</f>
        <v>0</v>
      </c>
      <c r="O368" s="30"/>
      <c r="P368" s="17" t="str">
        <f t="shared" si="3"/>
        <v>Bono canon</v>
      </c>
      <c r="Q368" s="17" t="str">
        <f t="shared" ref="Q368:Q369" si="214">IF(AND(A368=A367,B368=B367,C368=C367),"Repetido","")</f>
        <v/>
      </c>
      <c r="R368" s="31"/>
      <c r="S368" s="31"/>
      <c r="T368" s="31"/>
    </row>
    <row r="369" ht="15.0" customHeight="1">
      <c r="A369" s="18" t="s">
        <v>40</v>
      </c>
      <c r="B369" s="18" t="s">
        <v>215</v>
      </c>
      <c r="C369" s="19">
        <v>1712.0</v>
      </c>
      <c r="D369" s="20" t="str">
        <f>IF(   ISERROR(OFFSET(PADRON!B$2,MATCH(C:C,PADRON!A$2:A1405,0)-1,0,1,1) )  ,  ,    OFFSET(PADRON!B$2,MATCH(C:C,PADRON!A$2:A1405,0)-1,0,1,1))</f>
        <v>DIAZ VAZQUEZ, LUCAS</v>
      </c>
      <c r="E369" s="21">
        <v>45839.0</v>
      </c>
      <c r="F369" s="21">
        <v>45870.0</v>
      </c>
      <c r="G369" s="23" t="s">
        <v>39</v>
      </c>
      <c r="H369" s="24">
        <f>IF( ISERROR( OFFSET(   'Cuadro tarifario'!D$2  , MATCH(CONCATENATE(                 IF(F369&gt;Mes,OFFSET(NroCT!B$17, MATCH($F369,NroCT!$A$18:$A1405,0),0,1,1),Periodovigente)                                                                                                                     ,A369) ,'Cuadro tarifario'!A$2:A1405,0) -1 , 0 , 1 , 1) )   , 0  ,   OFFSET(   'Cuadro tarifario'!D$2  , MATCH(CONCATENATE( IF(F369&gt;Mes,OFFSET(NroCT!B$17, MATCH($F369,NroCT!$A$18:$A1405,0),0,1,1),Periodovigente) ,A369) ,'Cuadro tarifario'!A$2:A1405,0) -1 , 0 , 1 , 1))</f>
        <v>12000</v>
      </c>
      <c r="I369" s="106">
        <f t="shared" si="195"/>
        <v>1</v>
      </c>
      <c r="J369" s="107">
        <f t="shared" si="207"/>
        <v>12000</v>
      </c>
      <c r="K369" s="108">
        <f>IF(  AND(N369&gt;0,I369=0)          ,N369 ,                         IF(  IF( F369 ,  DAYS360(DATE(YEAR(F369),MONTH(F369),1),Mes)/30  ,  DAYS360(DATE(YEAR(E369),MONTH(E369),1),Mes)/30  )  &gt;  0 , IF(F369,   DAYS360(DATE(YEAR(F369),MONTH(F369),1),Mes)/30  ,  DAYS360(DATE(YEAR(E369),MONTH(E369),1),Mes)/30) , 0)       )</f>
        <v>0</v>
      </c>
      <c r="L369" s="109">
        <f t="shared" si="196"/>
        <v>0</v>
      </c>
      <c r="M369" s="110"/>
      <c r="N369" s="29">
        <f>IF( ISERROR(OFFSET(SECUESTRADOS!D$1,MATCH(B369,SECUESTRADOS!A$2:A1405,0),0)) ,0 ,  OFFSET(SECUESTRADOS!D$1,MATCH(B369,SECUESTRADOS!A$2:A1405,0),0)  )</f>
        <v>0</v>
      </c>
      <c r="O369" s="30"/>
      <c r="P369" s="17" t="str">
        <f t="shared" si="3"/>
        <v>cuna windsurf</v>
      </c>
      <c r="Q369" s="17" t="str">
        <f t="shared" si="214"/>
        <v/>
      </c>
      <c r="R369" s="31"/>
      <c r="S369" s="31"/>
      <c r="T369" s="31"/>
    </row>
    <row r="370" ht="15.0" customHeight="1">
      <c r="A370" s="18" t="s">
        <v>71</v>
      </c>
      <c r="B370" s="18">
        <v>1714.0</v>
      </c>
      <c r="C370" s="19">
        <v>1714.0</v>
      </c>
      <c r="D370" s="20" t="str">
        <f>IF(   ISERROR(OFFSET(PADRON!B$2,MATCH(C:C,PADRON!A$2:A1405,0)-1,0,1,1) )  ,  ,    OFFSET(PADRON!B$2,MATCH(C:C,PADRON!A$2:A1405,0)-1,0,1,1))</f>
        <v>SALGADO, GUSTAVO</v>
      </c>
      <c r="E370" s="21">
        <v>45992.0</v>
      </c>
      <c r="F370" s="21"/>
      <c r="G370" s="23" t="s">
        <v>39</v>
      </c>
      <c r="H370" s="24">
        <f>IF( ISERROR( OFFSET(   'Cuadro tarifario'!D$2  , MATCH(CONCATENATE(                 IF(F370&gt;Mes,OFFSET(NroCT!B$17, MATCH($F370,NroCT!$A$18:$A1405,0),0,1,1),Periodovigente)                                                                                                                     ,A370) ,'Cuadro tarifario'!A$2:A1405,0) -1 , 0 , 1 , 1) )   , 0  ,   OFFSET(   'Cuadro tarifario'!D$2  , MATCH(CONCATENATE( IF(F370&gt;Mes,OFFSET(NroCT!B$17, MATCH($F370,NroCT!$A$18:$A1405,0),0,1,1),Periodovigente) ,A370) ,'Cuadro tarifario'!A$2:A1405,0) -1 , 0 , 1 , 1))</f>
        <v>11000</v>
      </c>
      <c r="I370" s="106">
        <f t="shared" si="195"/>
        <v>0</v>
      </c>
      <c r="J370" s="107">
        <f t="shared" si="207"/>
        <v>0</v>
      </c>
      <c r="K370" s="108">
        <f>IF(  AND(N370&gt;0,I370=0)          ,N370 ,                         IF(  IF( F370 ,  DAYS360(DATE(YEAR(F370),MONTH(F370),1),Mes)/30  ,  DAYS360(DATE(YEAR(E370),MONTH(E370),1),Mes)/30  )  &gt;  0 , IF(F370,   DAYS360(DATE(YEAR(F370),MONTH(F370),1),Mes)/30  ,  DAYS360(DATE(YEAR(E370),MONTH(E370),1),Mes)/30) , 0)       )</f>
        <v>0</v>
      </c>
      <c r="L370" s="109">
        <f t="shared" si="196"/>
        <v>0</v>
      </c>
      <c r="M370" s="123"/>
      <c r="N370" s="29">
        <f>IF( ISERROR(OFFSET(SECUESTRADOS!D$1,MATCH(B370,SECUESTRADOS!A$2:A1405,0),0)) ,0 ,  OFFSET(SECUESTRADOS!D$1,MATCH(B370,SECUESTRADOS!A$2:A1405,0),0)  )</f>
        <v>0</v>
      </c>
      <c r="O370" s="30"/>
      <c r="P370" s="17" t="b">
        <f t="shared" si="3"/>
        <v>0</v>
      </c>
      <c r="Q370" s="17" t="str">
        <f>IF(AND(A370=#REF!,B370=#REF!,C370=#REF!),"Repetido","")</f>
        <v>#REF!</v>
      </c>
      <c r="R370" s="31"/>
      <c r="S370" s="31"/>
      <c r="T370" s="31"/>
    </row>
    <row r="371" ht="15.0" customHeight="1">
      <c r="A371" s="18" t="s">
        <v>38</v>
      </c>
      <c r="B371" s="18">
        <v>1714.0</v>
      </c>
      <c r="C371" s="19">
        <v>1714.0</v>
      </c>
      <c r="D371" s="20" t="str">
        <f>IF(   ISERROR(OFFSET(PADRON!B$2,MATCH(C:C,PADRON!A$2:A1405,0)-1,0,1,1) )  ,  ,    OFFSET(PADRON!B$2,MATCH(C:C,PADRON!A$2:A1405,0)-1,0,1,1))</f>
        <v>SALGADO, GUSTAVO</v>
      </c>
      <c r="E371" s="21">
        <v>45992.0</v>
      </c>
      <c r="F371" s="21"/>
      <c r="G371" s="23" t="s">
        <v>39</v>
      </c>
      <c r="H371" s="24">
        <f>IF( ISERROR( OFFSET(   'Cuadro tarifario'!D$2  , MATCH(CONCATENATE(                 IF(F371&gt;Mes,OFFSET(NroCT!B$17, MATCH($F371,NroCT!$A$18:$A1405,0),0,1,1),Periodovigente)                                                                                                                     ,A371) ,'Cuadro tarifario'!A$2:A1405,0) -1 , 0 , 1 , 1) )   , 0  ,   OFFSET(   'Cuadro tarifario'!D$2  , MATCH(CONCATENATE( IF(F371&gt;Mes,OFFSET(NroCT!B$17, MATCH($F371,NroCT!$A$18:$A1405,0),0,1,1),Periodovigente) ,A371) ,'Cuadro tarifario'!A$2:A1405,0) -1 , 0 , 1 , 1))</f>
        <v>9000</v>
      </c>
      <c r="I371" s="106">
        <f t="shared" si="195"/>
        <v>0</v>
      </c>
      <c r="J371" s="107">
        <f t="shared" si="207"/>
        <v>0</v>
      </c>
      <c r="K371" s="108">
        <f>IF(  AND(N371&gt;0,I371=0)          ,N371 ,                         IF(  IF( F371 ,  DAYS360(DATE(YEAR(F371),MONTH(F371),1),Mes)/30  ,  DAYS360(DATE(YEAR(E371),MONTH(E371),1),Mes)/30  )  &gt;  0 , IF(F371,   DAYS360(DATE(YEAR(F371),MONTH(F371),1),Mes)/30  ,  DAYS360(DATE(YEAR(E371),MONTH(E371),1),Mes)/30) , 0)       )</f>
        <v>0</v>
      </c>
      <c r="L371" s="109">
        <f t="shared" si="196"/>
        <v>0</v>
      </c>
      <c r="M371" s="110"/>
      <c r="N371" s="29">
        <f>IF( ISERROR(OFFSET(SECUESTRADOS!D$1,MATCH(B371,SECUESTRADOS!A$2:A1405,0),0)) ,0 ,  OFFSET(SECUESTRADOS!D$1,MATCH(B371,SECUESTRADOS!A$2:A1405,0),0)  )</f>
        <v>0</v>
      </c>
      <c r="O371" s="30"/>
      <c r="P371" s="17" t="b">
        <f t="shared" si="3"/>
        <v>0</v>
      </c>
      <c r="Q371" s="17" t="str">
        <f t="shared" ref="Q371:Q373" si="215">IF(AND(A371=A370,B371=B370,C371=C370),"Repetido","")</f>
        <v/>
      </c>
      <c r="R371" s="31"/>
      <c r="S371" s="31"/>
      <c r="T371" s="31"/>
    </row>
    <row r="372" ht="15.0" customHeight="1">
      <c r="A372" s="18" t="s">
        <v>48</v>
      </c>
      <c r="B372" s="18" t="s">
        <v>216</v>
      </c>
      <c r="C372" s="19">
        <v>1714.0</v>
      </c>
      <c r="D372" s="20" t="str">
        <f>IF(   ISERROR(OFFSET(PADRON!B$2,MATCH(C:C,PADRON!A$2:A1405,0)-1,0,1,1) )  ,  ,    OFFSET(PADRON!B$2,MATCH(C:C,PADRON!A$2:A1405,0)-1,0,1,1))</f>
        <v>SALGADO, GUSTAVO</v>
      </c>
      <c r="E372" s="21">
        <v>45992.0</v>
      </c>
      <c r="F372" s="21"/>
      <c r="G372" s="23" t="s">
        <v>39</v>
      </c>
      <c r="H372" s="24">
        <f>IF( ISERROR( OFFSET(   'Cuadro tarifario'!D$2  , MATCH(CONCATENATE(                 IF(F372&gt;Mes,OFFSET(NroCT!B$17, MATCH($F372,NroCT!$A$18:$A1405,0),0,1,1),Periodovigente)                                                                                                                     ,A372) ,'Cuadro tarifario'!A$2:A1405,0) -1 , 0 , 1 , 1) )   , 0  ,   OFFSET(   'Cuadro tarifario'!D$2  , MATCH(CONCATENATE( IF(F372&gt;Mes,OFFSET(NroCT!B$17, MATCH($F372,NroCT!$A$18:$A1405,0),0,1,1),Periodovigente) ,A372) ,'Cuadro tarifario'!A$2:A1405,0) -1 , 0 , 1 , 1))</f>
        <v>12000</v>
      </c>
      <c r="I372" s="106">
        <f t="shared" si="195"/>
        <v>0</v>
      </c>
      <c r="J372" s="107">
        <f t="shared" si="207"/>
        <v>0</v>
      </c>
      <c r="K372" s="108">
        <f>IF(  AND(N372&gt;0,I372=0)          ,N372 ,                         IF(  IF( F372 ,  DAYS360(DATE(YEAR(F372),MONTH(F372),1),Mes)/30  ,  DAYS360(DATE(YEAR(E372),MONTH(E372),1),Mes)/30  )  &gt;  0 , IF(F372,   DAYS360(DATE(YEAR(F372),MONTH(F372),1),Mes)/30  ,  DAYS360(DATE(YEAR(E372),MONTH(E372),1),Mes)/30) , 0)       )</f>
        <v>0</v>
      </c>
      <c r="L372" s="109">
        <f t="shared" si="196"/>
        <v>0</v>
      </c>
      <c r="M372" s="110"/>
      <c r="N372" s="29">
        <f>IF( ISERROR(OFFSET(SECUESTRADOS!D$1,MATCH(B372,SECUESTRADOS!A$2:A1405,0),0)) ,0 ,  OFFSET(SECUESTRADOS!D$1,MATCH(B372,SECUESTRADOS!A$2:A1405,0),0)  )</f>
        <v>0</v>
      </c>
      <c r="O372" s="30"/>
      <c r="P372" s="17" t="b">
        <f t="shared" si="3"/>
        <v>0</v>
      </c>
      <c r="Q372" s="17" t="str">
        <f t="shared" si="215"/>
        <v/>
      </c>
      <c r="R372" s="31"/>
      <c r="S372" s="31"/>
      <c r="T372" s="31"/>
    </row>
    <row r="373" ht="15.0" customHeight="1">
      <c r="A373" s="18" t="s">
        <v>50</v>
      </c>
      <c r="B373" s="18" t="s">
        <v>217</v>
      </c>
      <c r="C373" s="19">
        <v>1714.0</v>
      </c>
      <c r="D373" s="20" t="str">
        <f>IF(   ISERROR(OFFSET(PADRON!B$2,MATCH(C:C,PADRON!A$2:A1405,0)-1,0,1,1) )  ,  ,    OFFSET(PADRON!B$2,MATCH(C:C,PADRON!A$2:A1405,0)-1,0,1,1))</f>
        <v>SALGADO, GUSTAVO</v>
      </c>
      <c r="E373" s="21">
        <v>45992.0</v>
      </c>
      <c r="F373" s="21"/>
      <c r="G373" s="23" t="s">
        <v>39</v>
      </c>
      <c r="H373" s="24">
        <f>IF( ISERROR( OFFSET(   'Cuadro tarifario'!D$2  , MATCH(CONCATENATE(                 IF(F373&gt;Mes,OFFSET(NroCT!B$17, MATCH($F373,NroCT!$A$18:$A1405,0),0,1,1),Periodovigente)                                                                                                                     ,A373) ,'Cuadro tarifario'!A$2:A1405,0) -1 , 0 , 1 , 1) )   , 0  ,   OFFSET(   'Cuadro tarifario'!D$2  , MATCH(CONCATENATE( IF(F373&gt;Mes,OFFSET(NroCT!B$17, MATCH($F373,NroCT!$A$18:$A1405,0),0,1,1),Periodovigente) ,A373) ,'Cuadro tarifario'!A$2:A1405,0) -1 , 0 , 1 , 1))</f>
        <v>3600</v>
      </c>
      <c r="I373" s="106">
        <f t="shared" si="195"/>
        <v>0</v>
      </c>
      <c r="J373" s="107">
        <f t="shared" si="207"/>
        <v>0</v>
      </c>
      <c r="K373" s="108">
        <f>IF(  AND(N373&gt;0,I373=0)          ,N373 ,                         IF(  IF( F373 ,  DAYS360(DATE(YEAR(F373),MONTH(F373),1),Mes)/30  ,  DAYS360(DATE(YEAR(E373),MONTH(E373),1),Mes)/30  )  &gt;  0 , IF(F373,   DAYS360(DATE(YEAR(F373),MONTH(F373),1),Mes)/30  ,  DAYS360(DATE(YEAR(E373),MONTH(E373),1),Mes)/30) , 0)       )</f>
        <v>0</v>
      </c>
      <c r="L373" s="109">
        <f t="shared" si="196"/>
        <v>0</v>
      </c>
      <c r="M373" s="110"/>
      <c r="N373" s="29">
        <f>IF( ISERROR(OFFSET(SECUESTRADOS!D$1,MATCH(B373,SECUESTRADOS!A$2:A1405,0),0)) ,0 ,  OFFSET(SECUESTRADOS!D$1,MATCH(B373,SECUESTRADOS!A$2:A1405,0),0)  )</f>
        <v>0</v>
      </c>
      <c r="O373" s="30"/>
      <c r="P373" s="17" t="b">
        <f t="shared" si="3"/>
        <v>0</v>
      </c>
      <c r="Q373" s="17" t="str">
        <f t="shared" si="215"/>
        <v/>
      </c>
      <c r="R373" s="31"/>
      <c r="S373" s="31"/>
      <c r="T373" s="31"/>
    </row>
    <row r="374" ht="15.0" customHeight="1">
      <c r="A374" s="18" t="s">
        <v>71</v>
      </c>
      <c r="B374" s="18">
        <v>1720.0</v>
      </c>
      <c r="C374" s="19">
        <v>1720.0</v>
      </c>
      <c r="D374" s="20" t="str">
        <f>IF(   ISERROR(OFFSET(PADRON!B$2,MATCH(C:C,PADRON!A$2:A1405,0)-1,0,1,1) )  ,  ,    OFFSET(PADRON!B$2,MATCH(C:C,PADRON!A$2:A1405,0)-1,0,1,1))</f>
        <v>PUPO, JOSE</v>
      </c>
      <c r="E374" s="21">
        <v>45778.0</v>
      </c>
      <c r="F374" s="21"/>
      <c r="G374" s="23" t="s">
        <v>39</v>
      </c>
      <c r="H374" s="24">
        <f>IF( ISERROR( OFFSET(   'Cuadro tarifario'!D$2  , MATCH(CONCATENATE(                 IF(F374&gt;Mes,OFFSET(NroCT!B$17, MATCH($F374,NroCT!$A$18:$A1405,0),0,1,1),Periodovigente)                                                                                                                     ,A374) ,'Cuadro tarifario'!A$2:A1405,0) -1 , 0 , 1 , 1) )   , 0  ,   OFFSET(   'Cuadro tarifario'!D$2  , MATCH(CONCATENATE( IF(F374&gt;Mes,OFFSET(NroCT!B$17, MATCH($F374,NroCT!$A$18:$A1405,0),0,1,1),Periodovigente) ,A374) ,'Cuadro tarifario'!A$2:A1405,0) -1 , 0 , 1 , 1))</f>
        <v>11000</v>
      </c>
      <c r="I374" s="106">
        <f t="shared" si="195"/>
        <v>0</v>
      </c>
      <c r="J374" s="107">
        <f t="shared" si="207"/>
        <v>0</v>
      </c>
      <c r="K374" s="108">
        <f>IF(  AND(N374&gt;0,I374=0)          ,N374 ,                         IF(  IF( F374 ,  DAYS360(DATE(YEAR(F374),MONTH(F374),1),Mes)/30  ,  DAYS360(DATE(YEAR(E374),MONTH(E374),1),Mes)/30  )  &gt;  0 , IF(F374,   DAYS360(DATE(YEAR(F374),MONTH(F374),1),Mes)/30  ,  DAYS360(DATE(YEAR(E374),MONTH(E374),1),Mes)/30) , 0)       )</f>
        <v>3</v>
      </c>
      <c r="L374" s="109">
        <f t="shared" si="196"/>
        <v>33000</v>
      </c>
      <c r="M374" s="110"/>
      <c r="N374" s="29">
        <f>IF( ISERROR(OFFSET(SECUESTRADOS!D$1,MATCH(B374,SECUESTRADOS!A$2:A1405,0),0)) ,0 ,  OFFSET(SECUESTRADOS!D$1,MATCH(B374,SECUESTRADOS!A$2:A1405,0),0)  )</f>
        <v>0</v>
      </c>
      <c r="O374" s="30"/>
      <c r="P374" s="17" t="b">
        <f t="shared" si="3"/>
        <v>0</v>
      </c>
      <c r="Q374" s="17" t="str">
        <f>IF(AND(A374=#REF!,B374=#REF!,C374=#REF!),"Repetido","")</f>
        <v>#REF!</v>
      </c>
      <c r="R374" s="31"/>
      <c r="S374" s="31"/>
      <c r="T374" s="31"/>
    </row>
    <row r="375" ht="15.0" customHeight="1">
      <c r="A375" s="18" t="s">
        <v>38</v>
      </c>
      <c r="B375" s="18">
        <v>1720.0</v>
      </c>
      <c r="C375" s="19">
        <v>1720.0</v>
      </c>
      <c r="D375" s="20" t="str">
        <f>IF(   ISERROR(OFFSET(PADRON!B$2,MATCH(C:C,PADRON!A$2:A1405,0)-1,0,1,1) )  ,  ,    OFFSET(PADRON!B$2,MATCH(C:C,PADRON!A$2:A1405,0)-1,0,1,1))</f>
        <v>PUPO, JOSE</v>
      </c>
      <c r="E375" s="21">
        <v>45778.0</v>
      </c>
      <c r="F375" s="21"/>
      <c r="G375" s="23" t="s">
        <v>39</v>
      </c>
      <c r="H375" s="24">
        <f>IF( ISERROR( OFFSET(   'Cuadro tarifario'!D$2  , MATCH(CONCATENATE(                 IF(F375&gt;Mes,OFFSET(NroCT!B$17, MATCH($F375,NroCT!$A$18:$A1405,0),0,1,1),Periodovigente)                                                                                                                     ,A375) ,'Cuadro tarifario'!A$2:A1405,0) -1 , 0 , 1 , 1) )   , 0  ,   OFFSET(   'Cuadro tarifario'!D$2  , MATCH(CONCATENATE( IF(F375&gt;Mes,OFFSET(NroCT!B$17, MATCH($F375,NroCT!$A$18:$A1405,0),0,1,1),Periodovigente) ,A375) ,'Cuadro tarifario'!A$2:A1405,0) -1 , 0 , 1 , 1))</f>
        <v>9000</v>
      </c>
      <c r="I375" s="106">
        <f t="shared" si="195"/>
        <v>0</v>
      </c>
      <c r="J375" s="107">
        <f t="shared" si="207"/>
        <v>0</v>
      </c>
      <c r="K375" s="108">
        <f>IF(  AND(N375&gt;0,I375=0)          ,N375 ,                         IF(  IF( F375 ,  DAYS360(DATE(YEAR(F375),MONTH(F375),1),Mes)/30  ,  DAYS360(DATE(YEAR(E375),MONTH(E375),1),Mes)/30  )  &gt;  0 , IF(F375,   DAYS360(DATE(YEAR(F375),MONTH(F375),1),Mes)/30  ,  DAYS360(DATE(YEAR(E375),MONTH(E375),1),Mes)/30) , 0)       )</f>
        <v>3</v>
      </c>
      <c r="L375" s="109">
        <f t="shared" si="196"/>
        <v>27000</v>
      </c>
      <c r="M375" s="110"/>
      <c r="N375" s="29">
        <f>IF( ISERROR(OFFSET(SECUESTRADOS!D$1,MATCH(B375,SECUESTRADOS!A$2:A1405,0),0)) ,0 ,  OFFSET(SECUESTRADOS!D$1,MATCH(B375,SECUESTRADOS!A$2:A1405,0),0)  )</f>
        <v>0</v>
      </c>
      <c r="O375" s="30"/>
      <c r="P375" s="17" t="b">
        <f t="shared" si="3"/>
        <v>0</v>
      </c>
      <c r="Q375" s="17" t="str">
        <f t="shared" ref="Q375:Q382" si="216">IF(AND(A375=A374,B375=B374,C375=C374),"Repetido","")</f>
        <v/>
      </c>
      <c r="R375" s="31"/>
      <c r="S375" s="31"/>
      <c r="T375" s="31"/>
    </row>
    <row r="376" ht="15.0" customHeight="1">
      <c r="A376" s="18" t="s">
        <v>40</v>
      </c>
      <c r="B376" s="18" t="s">
        <v>218</v>
      </c>
      <c r="C376" s="19">
        <v>1720.0</v>
      </c>
      <c r="D376" s="20" t="str">
        <f>IF(   ISERROR(OFFSET(PADRON!B$2,MATCH(C:C,PADRON!A$2:A1405,0)-1,0,1,1) )  ,  ,    OFFSET(PADRON!B$2,MATCH(C:C,PADRON!A$2:A1405,0)-1,0,1,1))</f>
        <v>PUPO, JOSE</v>
      </c>
      <c r="E376" s="21">
        <v>45778.0</v>
      </c>
      <c r="F376" s="21"/>
      <c r="G376" s="23" t="s">
        <v>39</v>
      </c>
      <c r="H376" s="24">
        <f>IF( ISERROR( OFFSET(   'Cuadro tarifario'!D$2  , MATCH(CONCATENATE(                 IF(F376&gt;Mes,OFFSET(NroCT!B$17, MATCH($F376,NroCT!$A$18:$A1405,0),0,1,1),Periodovigente)                                                                                                                     ,A376) ,'Cuadro tarifario'!A$2:A1405,0) -1 , 0 , 1 , 1) )   , 0  ,   OFFSET(   'Cuadro tarifario'!D$2  , MATCH(CONCATENATE( IF(F376&gt;Mes,OFFSET(NroCT!B$17, MATCH($F376,NroCT!$A$18:$A1405,0),0,1,1),Periodovigente) ,A376) ,'Cuadro tarifario'!A$2:A1405,0) -1 , 0 , 1 , 1))</f>
        <v>12000</v>
      </c>
      <c r="I376" s="106">
        <f t="shared" si="195"/>
        <v>0</v>
      </c>
      <c r="J376" s="107">
        <f t="shared" si="207"/>
        <v>0</v>
      </c>
      <c r="K376" s="108">
        <f>IF(  AND(N376&gt;0,I376=0)          ,N376 ,                         IF(  IF( F376 ,  DAYS360(DATE(YEAR(F376),MONTH(F376),1),Mes)/30  ,  DAYS360(DATE(YEAR(E376),MONTH(E376),1),Mes)/30  )  &gt;  0 , IF(F376,   DAYS360(DATE(YEAR(F376),MONTH(F376),1),Mes)/30  ,  DAYS360(DATE(YEAR(E376),MONTH(E376),1),Mes)/30) , 0)       )</f>
        <v>3</v>
      </c>
      <c r="L376" s="109">
        <f t="shared" si="196"/>
        <v>36000</v>
      </c>
      <c r="M376" s="110"/>
      <c r="N376" s="29">
        <f>IF( ISERROR(OFFSET(SECUESTRADOS!D$1,MATCH(B376,SECUESTRADOS!A$2:A1405,0),0)) ,0 ,  OFFSET(SECUESTRADOS!D$1,MATCH(B376,SECUESTRADOS!A$2:A1405,0),0)  )</f>
        <v>0</v>
      </c>
      <c r="O376" s="30"/>
      <c r="P376" s="17" t="b">
        <f t="shared" si="3"/>
        <v>0</v>
      </c>
      <c r="Q376" s="17" t="str">
        <f t="shared" si="216"/>
        <v/>
      </c>
      <c r="R376" s="31"/>
      <c r="S376" s="31"/>
      <c r="T376" s="31"/>
    </row>
    <row r="377" ht="15.0" customHeight="1">
      <c r="A377" s="18" t="s">
        <v>50</v>
      </c>
      <c r="B377" s="18" t="s">
        <v>219</v>
      </c>
      <c r="C377" s="19">
        <v>1720.0</v>
      </c>
      <c r="D377" s="20" t="str">
        <f>IF(   ISERROR(OFFSET(PADRON!B$2,MATCH(C:C,PADRON!A$2:A1405,0)-1,0,1,1) )  ,  ,    OFFSET(PADRON!B$2,MATCH(C:C,PADRON!A$2:A1405,0)-1,0,1,1))</f>
        <v>PUPO, JOSE</v>
      </c>
      <c r="E377" s="21">
        <v>45992.0</v>
      </c>
      <c r="F377" s="21"/>
      <c r="G377" s="23" t="s">
        <v>39</v>
      </c>
      <c r="H377" s="24">
        <f>IF( ISERROR( OFFSET(   'Cuadro tarifario'!D$2  , MATCH(CONCATENATE(                 IF(F377&gt;Mes,OFFSET(NroCT!B$17, MATCH($F377,NroCT!$A$18:$A1405,0),0,1,1),Periodovigente)                                                                                                                     ,A377) ,'Cuadro tarifario'!A$2:A1405,0) -1 , 0 , 1 , 1) )   , 0  ,   OFFSET(   'Cuadro tarifario'!D$2  , MATCH(CONCATENATE( IF(F377&gt;Mes,OFFSET(NroCT!B$17, MATCH($F377,NroCT!$A$18:$A1405,0),0,1,1),Periodovigente) ,A377) ,'Cuadro tarifario'!A$2:A1405,0) -1 , 0 , 1 , 1))</f>
        <v>3600</v>
      </c>
      <c r="I377" s="106">
        <f t="shared" si="195"/>
        <v>0</v>
      </c>
      <c r="J377" s="107">
        <f t="shared" si="207"/>
        <v>0</v>
      </c>
      <c r="K377" s="108">
        <f>IF(  AND(N377&gt;0,I377=0)          ,N377 ,                         IF(  IF( F377 ,  DAYS360(DATE(YEAR(F377),MONTH(F377),1),Mes)/30  ,  DAYS360(DATE(YEAR(E377),MONTH(E377),1),Mes)/30  )  &gt;  0 , IF(F377,   DAYS360(DATE(YEAR(F377),MONTH(F377),1),Mes)/30  ,  DAYS360(DATE(YEAR(E377),MONTH(E377),1),Mes)/30) , 0)       )</f>
        <v>0</v>
      </c>
      <c r="L377" s="109">
        <f t="shared" si="196"/>
        <v>0</v>
      </c>
      <c r="M377" s="110"/>
      <c r="N377" s="29">
        <f>IF( ISERROR(OFFSET(SECUESTRADOS!D$1,MATCH(B377,SECUESTRADOS!A$2:A1405,0),0)) ,0 ,  OFFSET(SECUESTRADOS!D$1,MATCH(B377,SECUESTRADOS!A$2:A1405,0),0)  )</f>
        <v>0</v>
      </c>
      <c r="O377" s="30"/>
      <c r="P377" s="17" t="b">
        <f t="shared" si="3"/>
        <v>0</v>
      </c>
      <c r="Q377" s="17" t="str">
        <f t="shared" si="216"/>
        <v/>
      </c>
      <c r="R377" s="31"/>
      <c r="S377" s="31"/>
      <c r="T377" s="31"/>
    </row>
    <row r="378" ht="15.0" customHeight="1">
      <c r="A378" s="18" t="s">
        <v>42</v>
      </c>
      <c r="B378" s="18" t="s">
        <v>220</v>
      </c>
      <c r="C378" s="19">
        <v>1720.0</v>
      </c>
      <c r="D378" s="20" t="str">
        <f>IF(   ISERROR(OFFSET(PADRON!B$2,MATCH(C:C,PADRON!A$2:A1405,0)-1,0,1,1) )  ,  ,    OFFSET(PADRON!B$2,MATCH(C:C,PADRON!A$2:A1405,0)-1,0,1,1))</f>
        <v>PUPO, JOSE</v>
      </c>
      <c r="E378" s="21">
        <v>45992.0</v>
      </c>
      <c r="F378" s="21"/>
      <c r="G378" s="23" t="s">
        <v>39</v>
      </c>
      <c r="H378" s="24">
        <f>IF( ISERROR( OFFSET(   'Cuadro tarifario'!D$2  , MATCH(CONCATENATE(                 IF(F378&gt;Mes,OFFSET(NroCT!B$17, MATCH($F378,NroCT!$A$18:$A1405,0),0,1,1),Periodovigente)                                                                                                                     ,A378) ,'Cuadro tarifario'!A$2:A1405,0) -1 , 0 , 1 , 1) )   , 0  ,   OFFSET(   'Cuadro tarifario'!D$2  , MATCH(CONCATENATE( IF(F378&gt;Mes,OFFSET(NroCT!B$17, MATCH($F378,NroCT!$A$18:$A1405,0),0,1,1),Periodovigente) ,A378) ,'Cuadro tarifario'!A$2:A1405,0) -1 , 0 , 1 , 1))</f>
        <v>4000</v>
      </c>
      <c r="I378" s="106">
        <f t="shared" si="195"/>
        <v>0</v>
      </c>
      <c r="J378" s="107">
        <f t="shared" si="207"/>
        <v>0</v>
      </c>
      <c r="K378" s="108">
        <f>IF(  AND(N378&gt;0,I378=0)          ,N378 ,                         IF(  IF( F378 ,  DAYS360(DATE(YEAR(F378),MONTH(F378),1),Mes)/30  ,  DAYS360(DATE(YEAR(E378),MONTH(E378),1),Mes)/30  )  &gt;  0 , IF(F378,   DAYS360(DATE(YEAR(F378),MONTH(F378),1),Mes)/30  ,  DAYS360(DATE(YEAR(E378),MONTH(E378),1),Mes)/30) , 0)       )</f>
        <v>0</v>
      </c>
      <c r="L378" s="109">
        <f t="shared" si="196"/>
        <v>0</v>
      </c>
      <c r="M378" s="110"/>
      <c r="N378" s="29">
        <f>IF( ISERROR(OFFSET(SECUESTRADOS!D$1,MATCH(B378,SECUESTRADOS!A$2:A1405,0),0)) ,0 ,  OFFSET(SECUESTRADOS!D$1,MATCH(B378,SECUESTRADOS!A$2:A1405,0),0)  )</f>
        <v>0</v>
      </c>
      <c r="O378" s="30"/>
      <c r="P378" s="17" t="b">
        <f t="shared" si="3"/>
        <v>0</v>
      </c>
      <c r="Q378" s="17" t="str">
        <f t="shared" si="216"/>
        <v/>
      </c>
      <c r="R378" s="31"/>
      <c r="S378" s="31"/>
      <c r="T378" s="31"/>
    </row>
    <row r="379" ht="15.0" customHeight="1">
      <c r="A379" s="126" t="s">
        <v>42</v>
      </c>
      <c r="B379" s="127" t="s">
        <v>221</v>
      </c>
      <c r="C379" s="19">
        <v>1720.0</v>
      </c>
      <c r="D379" s="57" t="str">
        <f>IF(   ISERROR(OFFSET(PADRON!B$2,MATCH(C:C,PADRON!A$2:A1405,0)-1,0,1,1) )  ,  ,    OFFSET(PADRON!B$2,MATCH(C:C,PADRON!A$2:A1405,0)-1,0,1,1))</f>
        <v>PUPO, JOSE</v>
      </c>
      <c r="E379" s="58">
        <v>45992.0</v>
      </c>
      <c r="F379" s="58"/>
      <c r="G379" s="59" t="s">
        <v>39</v>
      </c>
      <c r="H379" s="60">
        <f>IF( ISERROR( OFFSET(   'Cuadro tarifario'!D$2  , MATCH(CONCATENATE(                 IF(F379&gt;Mes,OFFSET(NroCT!B$17, MATCH($F379,NroCT!$A$18:$A1405,0),0,1,1),Periodovigente)                                                                                                                     ,A379) ,'Cuadro tarifario'!A$2:A1405,0) -1 , 0 , 1 , 1) )   , 0  ,   OFFSET(   'Cuadro tarifario'!D$2  , MATCH(CONCATENATE( IF(F379&gt;Mes,OFFSET(NroCT!B$17, MATCH($F379,NroCT!$A$18:$A1405,0),0,1,1),Periodovigente) ,A379) ,'Cuadro tarifario'!A$2:A1405,0) -1 , 0 , 1 , 1))</f>
        <v>4000</v>
      </c>
      <c r="I379" s="117">
        <f t="shared" si="195"/>
        <v>0</v>
      </c>
      <c r="J379" s="118">
        <f t="shared" si="207"/>
        <v>0</v>
      </c>
      <c r="K379" s="119">
        <f>IF(  AND(N379&gt;0,I379=0)          ,N379 ,                         IF(  IF( F379 ,  DAYS360(DATE(YEAR(F379),MONTH(F379),1),Mes)/30  ,  DAYS360(DATE(YEAR(E379),MONTH(E379),1),Mes)/30  )  &gt;  0 , IF(F379,   DAYS360(DATE(YEAR(F379),MONTH(F379),1),Mes)/30  ,  DAYS360(DATE(YEAR(E379),MONTH(E379),1),Mes)/30) , 0)       )</f>
        <v>0</v>
      </c>
      <c r="L379" s="120">
        <f t="shared" si="196"/>
        <v>0</v>
      </c>
      <c r="M379" s="121"/>
      <c r="N379" s="29">
        <f>IF( ISERROR(OFFSET(SECUESTRADOS!D$1,MATCH(B379,SECUESTRADOS!A$2:A1405,0),0)) ,0 ,  OFFSET(SECUESTRADOS!D$1,MATCH(B379,SECUESTRADOS!A$2:A1405,0),0)  )</f>
        <v>0</v>
      </c>
      <c r="O379" s="30"/>
      <c r="P379" s="17" t="b">
        <f t="shared" si="3"/>
        <v>0</v>
      </c>
      <c r="Q379" s="17" t="str">
        <f t="shared" si="216"/>
        <v/>
      </c>
      <c r="R379" s="31"/>
      <c r="S379" s="31"/>
      <c r="T379" s="31"/>
    </row>
    <row r="380" ht="15.0" customHeight="1">
      <c r="A380" s="125" t="s">
        <v>71</v>
      </c>
      <c r="B380" s="127">
        <v>1722.0</v>
      </c>
      <c r="C380" s="19">
        <v>1722.0</v>
      </c>
      <c r="D380" s="57" t="str">
        <f>IF(   ISERROR(OFFSET(PADRON!B$2,MATCH(C:C,PADRON!A$2:A1405,0)-1,0,1,1) )  ,  ,    OFFSET(PADRON!B$2,MATCH(C:C,PADRON!A$2:A1405,0)-1,0,1,1))</f>
        <v>SUCIC, J. PABLO</v>
      </c>
      <c r="E380" s="58">
        <v>45839.0</v>
      </c>
      <c r="F380" s="58">
        <v>45870.0</v>
      </c>
      <c r="G380" s="59" t="s">
        <v>39</v>
      </c>
      <c r="H380" s="60">
        <f>IF( ISERROR( OFFSET(   'Cuadro tarifario'!D$2  , MATCH(CONCATENATE(                 IF(F380&gt;Mes,OFFSET(NroCT!B$17, MATCH($F380,NroCT!$A$18:$A1405,0),0,1,1),Periodovigente)                                                                                                                     ,A380) ,'Cuadro tarifario'!A$2:A1405,0) -1 , 0 , 1 , 1) )   , 0  ,   OFFSET(   'Cuadro tarifario'!D$2  , MATCH(CONCATENATE( IF(F380&gt;Mes,OFFSET(NroCT!B$17, MATCH($F380,NroCT!$A$18:$A1405,0),0,1,1),Periodovigente) ,A380) ,'Cuadro tarifario'!A$2:A1405,0) -1 , 0 , 1 , 1))</f>
        <v>11000</v>
      </c>
      <c r="I380" s="117">
        <f t="shared" si="195"/>
        <v>1</v>
      </c>
      <c r="J380" s="118">
        <f t="shared" si="207"/>
        <v>11000</v>
      </c>
      <c r="K380" s="119">
        <f>IF(  AND(N380&gt;0,I380=0)          ,N380 ,                         IF(  IF( F380 ,  DAYS360(DATE(YEAR(F380),MONTH(F380),1),Mes)/30  ,  DAYS360(DATE(YEAR(E380),MONTH(E380),1),Mes)/30  )  &gt;  0 , IF(F380,   DAYS360(DATE(YEAR(F380),MONTH(F380),1),Mes)/30  ,  DAYS360(DATE(YEAR(E380),MONTH(E380),1),Mes)/30) , 0)       )</f>
        <v>0</v>
      </c>
      <c r="L380" s="120">
        <f t="shared" si="196"/>
        <v>0</v>
      </c>
      <c r="M380" s="121"/>
      <c r="N380" s="29">
        <f>IF( ISERROR(OFFSET(SECUESTRADOS!D$1,MATCH(B380,SECUESTRADOS!A$2:A1405,0),0)) ,0 ,  OFFSET(SECUESTRADOS!D$1,MATCH(B380,SECUESTRADOS!A$2:A1405,0),0)  )</f>
        <v>0</v>
      </c>
      <c r="O380" s="30"/>
      <c r="P380" s="17" t="str">
        <f t="shared" si="3"/>
        <v>.socio</v>
      </c>
      <c r="Q380" s="17" t="str">
        <f t="shared" si="216"/>
        <v/>
      </c>
      <c r="R380" s="31"/>
      <c r="S380" s="31"/>
      <c r="T380" s="31"/>
    </row>
    <row r="381" ht="15.0" customHeight="1">
      <c r="A381" s="125" t="s">
        <v>38</v>
      </c>
      <c r="B381" s="127">
        <v>1722.0</v>
      </c>
      <c r="C381" s="19">
        <v>1722.0</v>
      </c>
      <c r="D381" s="57" t="str">
        <f>IF(   ISERROR(OFFSET(PADRON!B$2,MATCH(C:C,PADRON!A$2:A1405,0)-1,0,1,1) )  ,  ,    OFFSET(PADRON!B$2,MATCH(C:C,PADRON!A$2:A1405,0)-1,0,1,1))</f>
        <v>SUCIC, J. PABLO</v>
      </c>
      <c r="E381" s="58">
        <v>45839.0</v>
      </c>
      <c r="F381" s="58">
        <v>45870.0</v>
      </c>
      <c r="G381" s="59" t="s">
        <v>39</v>
      </c>
      <c r="H381" s="60">
        <f>IF( ISERROR( OFFSET(   'Cuadro tarifario'!D$2  , MATCH(CONCATENATE(                 IF(F381&gt;Mes,OFFSET(NroCT!B$17, MATCH($F381,NroCT!$A$18:$A1405,0),0,1,1),Periodovigente)                                                                                                                     ,A381) ,'Cuadro tarifario'!A$2:A1405,0) -1 , 0 , 1 , 1) )   , 0  ,   OFFSET(   'Cuadro tarifario'!D$2  , MATCH(CONCATENATE( IF(F381&gt;Mes,OFFSET(NroCT!B$17, MATCH($F381,NroCT!$A$18:$A1405,0),0,1,1),Periodovigente) ,A381) ,'Cuadro tarifario'!A$2:A1405,0) -1 , 0 , 1 , 1))</f>
        <v>9000</v>
      </c>
      <c r="I381" s="117">
        <f t="shared" si="195"/>
        <v>1</v>
      </c>
      <c r="J381" s="118">
        <f t="shared" si="207"/>
        <v>9000</v>
      </c>
      <c r="K381" s="119">
        <f>IF(  AND(N381&gt;0,I381=0)          ,N381 ,                         IF(  IF( F381 ,  DAYS360(DATE(YEAR(F381),MONTH(F381),1),Mes)/30  ,  DAYS360(DATE(YEAR(E381),MONTH(E381),1),Mes)/30  )  &gt;  0 , IF(F381,   DAYS360(DATE(YEAR(F381),MONTH(F381),1),Mes)/30  ,  DAYS360(DATE(YEAR(E381),MONTH(E381),1),Mes)/30) , 0)       )</f>
        <v>0</v>
      </c>
      <c r="L381" s="120">
        <f t="shared" si="196"/>
        <v>0</v>
      </c>
      <c r="M381" s="121"/>
      <c r="N381" s="29">
        <f>IF( ISERROR(OFFSET(SECUESTRADOS!D$1,MATCH(B381,SECUESTRADOS!A$2:A1405,0),0)) ,0 ,  OFFSET(SECUESTRADOS!D$1,MATCH(B381,SECUESTRADOS!A$2:A1405,0),0)  )</f>
        <v>0</v>
      </c>
      <c r="O381" s="30"/>
      <c r="P381" s="17" t="str">
        <f t="shared" si="3"/>
        <v>Bono canon</v>
      </c>
      <c r="Q381" s="17" t="str">
        <f t="shared" si="216"/>
        <v/>
      </c>
      <c r="R381" s="31"/>
      <c r="S381" s="31"/>
      <c r="T381" s="31"/>
    </row>
    <row r="382" ht="15.0" customHeight="1">
      <c r="A382" s="125" t="s">
        <v>40</v>
      </c>
      <c r="B382" s="127" t="s">
        <v>222</v>
      </c>
      <c r="C382" s="19">
        <v>1722.0</v>
      </c>
      <c r="D382" s="57" t="str">
        <f>IF(   ISERROR(OFFSET(PADRON!B$2,MATCH(C:C,PADRON!A$2:A1405,0)-1,0,1,1) )  ,  ,    OFFSET(PADRON!B$2,MATCH(C:C,PADRON!A$2:A1405,0)-1,0,1,1))</f>
        <v>SUCIC, J. PABLO</v>
      </c>
      <c r="E382" s="58">
        <v>45839.0</v>
      </c>
      <c r="F382" s="58">
        <v>45870.0</v>
      </c>
      <c r="G382" s="59" t="s">
        <v>39</v>
      </c>
      <c r="H382" s="60">
        <f>IF( ISERROR( OFFSET(   'Cuadro tarifario'!D$2  , MATCH(CONCATENATE(                 IF(F382&gt;Mes,OFFSET(NroCT!B$17, MATCH($F382,NroCT!$A$18:$A1405,0),0,1,1),Periodovigente)                                                                                                                     ,A382) ,'Cuadro tarifario'!A$2:A1405,0) -1 , 0 , 1 , 1) )   , 0  ,   OFFSET(   'Cuadro tarifario'!D$2  , MATCH(CONCATENATE( IF(F382&gt;Mes,OFFSET(NroCT!B$17, MATCH($F382,NroCT!$A$18:$A1405,0),0,1,1),Periodovigente) ,A382) ,'Cuadro tarifario'!A$2:A1405,0) -1 , 0 , 1 , 1))</f>
        <v>12000</v>
      </c>
      <c r="I382" s="117">
        <f t="shared" si="195"/>
        <v>1</v>
      </c>
      <c r="J382" s="118">
        <f t="shared" si="207"/>
        <v>12000</v>
      </c>
      <c r="K382" s="119">
        <f>IF(  AND(N382&gt;0,I382=0)          ,N382 ,                         IF(  IF( F382 ,  DAYS360(DATE(YEAR(F382),MONTH(F382),1),Mes)/30  ,  DAYS360(DATE(YEAR(E382),MONTH(E382),1),Mes)/30  )  &gt;  0 , IF(F382,   DAYS360(DATE(YEAR(F382),MONTH(F382),1),Mes)/30  ,  DAYS360(DATE(YEAR(E382),MONTH(E382),1),Mes)/30) , 0)       )</f>
        <v>0</v>
      </c>
      <c r="L382" s="120">
        <f t="shared" si="196"/>
        <v>0</v>
      </c>
      <c r="M382" s="121"/>
      <c r="N382" s="29">
        <f>IF( ISERROR(OFFSET(SECUESTRADOS!D$1,MATCH(B382,SECUESTRADOS!A$2:A1405,0),0)) ,0 ,  OFFSET(SECUESTRADOS!D$1,MATCH(B382,SECUESTRADOS!A$2:A1405,0),0)  )</f>
        <v>0</v>
      </c>
      <c r="O382" s="30"/>
      <c r="P382" s="17" t="str">
        <f t="shared" si="3"/>
        <v>cuna windsurf</v>
      </c>
      <c r="Q382" s="17" t="str">
        <f t="shared" si="216"/>
        <v/>
      </c>
      <c r="R382" s="31"/>
      <c r="S382" s="31"/>
      <c r="T382" s="31"/>
    </row>
    <row r="383" ht="15.0" customHeight="1">
      <c r="A383" s="18" t="s">
        <v>71</v>
      </c>
      <c r="B383" s="18">
        <v>1724.0</v>
      </c>
      <c r="C383" s="19">
        <v>1724.0</v>
      </c>
      <c r="D383" s="20" t="str">
        <f>IF(   ISERROR(OFFSET(PADRON!B$2,MATCH(C:C,PADRON!A$2:A1405,0)-1,0,1,1) )  ,  ,    OFFSET(PADRON!B$2,MATCH(C:C,PADRON!A$2:A1405,0)-1,0,1,1))</f>
        <v>MAISANO, NATALIA</v>
      </c>
      <c r="E383" s="21">
        <v>45839.0</v>
      </c>
      <c r="F383" s="21">
        <v>45870.0</v>
      </c>
      <c r="G383" s="23" t="s">
        <v>39</v>
      </c>
      <c r="H383" s="24">
        <f>IF( ISERROR( OFFSET(   'Cuadro tarifario'!D$2  , MATCH(CONCATENATE(                 IF(F383&gt;Mes,OFFSET(NroCT!B$17, MATCH($F383,NroCT!$A$18:$A1405,0),0,1,1),Periodovigente)                                                                                                                     ,A383) ,'Cuadro tarifario'!A$2:A1405,0) -1 , 0 , 1 , 1) )   , 0  ,   OFFSET(   'Cuadro tarifario'!D$2  , MATCH(CONCATENATE( IF(F383&gt;Mes,OFFSET(NroCT!B$17, MATCH($F383,NroCT!$A$18:$A1405,0),0,1,1),Periodovigente) ,A383) ,'Cuadro tarifario'!A$2:A1405,0) -1 , 0 , 1 , 1))</f>
        <v>11000</v>
      </c>
      <c r="I383" s="106">
        <f t="shared" si="195"/>
        <v>1</v>
      </c>
      <c r="J383" s="107">
        <f t="shared" si="207"/>
        <v>11000</v>
      </c>
      <c r="K383" s="108">
        <f>IF(  AND(N383&gt;0,I383=0)          ,N383 ,                         IF(  IF( F383 ,  DAYS360(DATE(YEAR(F383),MONTH(F383),1),Mes)/30  ,  DAYS360(DATE(YEAR(E383),MONTH(E383),1),Mes)/30  )  &gt;  0 , IF(F383,   DAYS360(DATE(YEAR(F383),MONTH(F383),1),Mes)/30  ,  DAYS360(DATE(YEAR(E383),MONTH(E383),1),Mes)/30) , 0)       )</f>
        <v>0</v>
      </c>
      <c r="L383" s="109">
        <f t="shared" si="196"/>
        <v>0</v>
      </c>
      <c r="M383" s="110"/>
      <c r="N383" s="29">
        <f>IF( ISERROR(OFFSET(SECUESTRADOS!D$1,MATCH(B383,SECUESTRADOS!A$2:A1405,0),0)) ,0 ,  OFFSET(SECUESTRADOS!D$1,MATCH(B383,SECUESTRADOS!A$2:A1405,0),0)  )</f>
        <v>0</v>
      </c>
      <c r="O383" s="30"/>
      <c r="P383" s="17" t="str">
        <f t="shared" si="3"/>
        <v>.socio</v>
      </c>
      <c r="Q383" s="17" t="str">
        <f>IF(AND(A383=#REF!,B383=#REF!,C383=#REF!),"Repetido","")</f>
        <v>#REF!</v>
      </c>
      <c r="R383" s="31"/>
      <c r="S383" s="31"/>
      <c r="T383" s="31"/>
    </row>
    <row r="384" ht="15.0" customHeight="1">
      <c r="A384" s="18" t="s">
        <v>38</v>
      </c>
      <c r="B384" s="18">
        <v>1724.0</v>
      </c>
      <c r="C384" s="19">
        <v>1724.0</v>
      </c>
      <c r="D384" s="20" t="str">
        <f>IF(   ISERROR(OFFSET(PADRON!B$2,MATCH(C:C,PADRON!A$2:A1405,0)-1,0,1,1) )  ,  ,    OFFSET(PADRON!B$2,MATCH(C:C,PADRON!A$2:A1405,0)-1,0,1,1))</f>
        <v>MAISANO, NATALIA</v>
      </c>
      <c r="E384" s="21">
        <v>45839.0</v>
      </c>
      <c r="F384" s="21">
        <v>45870.0</v>
      </c>
      <c r="G384" s="23" t="s">
        <v>39</v>
      </c>
      <c r="H384" s="24">
        <f>IF( ISERROR( OFFSET(   'Cuadro tarifario'!D$2  , MATCH(CONCATENATE(                 IF(F384&gt;Mes,OFFSET(NroCT!B$17, MATCH($F384,NroCT!$A$18:$A1405,0),0,1,1),Periodovigente)                                                                                                                     ,A384) ,'Cuadro tarifario'!A$2:A1405,0) -1 , 0 , 1 , 1) )   , 0  ,   OFFSET(   'Cuadro tarifario'!D$2  , MATCH(CONCATENATE( IF(F384&gt;Mes,OFFSET(NroCT!B$17, MATCH($F384,NroCT!$A$18:$A1405,0),0,1,1),Periodovigente) ,A384) ,'Cuadro tarifario'!A$2:A1405,0) -1 , 0 , 1 , 1))</f>
        <v>9000</v>
      </c>
      <c r="I384" s="106">
        <f t="shared" si="195"/>
        <v>1</v>
      </c>
      <c r="J384" s="107">
        <f t="shared" si="207"/>
        <v>9000</v>
      </c>
      <c r="K384" s="108">
        <f>IF(  AND(N384&gt;0,I384=0)          ,N384 ,                         IF(  IF( F384 ,  DAYS360(DATE(YEAR(F384),MONTH(F384),1),Mes)/30  ,  DAYS360(DATE(YEAR(E384),MONTH(E384),1),Mes)/30  )  &gt;  0 , IF(F384,   DAYS360(DATE(YEAR(F384),MONTH(F384),1),Mes)/30  ,  DAYS360(DATE(YEAR(E384),MONTH(E384),1),Mes)/30) , 0)       )</f>
        <v>0</v>
      </c>
      <c r="L384" s="109">
        <f t="shared" si="196"/>
        <v>0</v>
      </c>
      <c r="M384" s="110"/>
      <c r="N384" s="29">
        <f>IF( ISERROR(OFFSET(SECUESTRADOS!D$1,MATCH(B384,SECUESTRADOS!A$2:A1405,0),0)) ,0 ,  OFFSET(SECUESTRADOS!D$1,MATCH(B384,SECUESTRADOS!A$2:A1405,0),0)  )</f>
        <v>0</v>
      </c>
      <c r="O384" s="30"/>
      <c r="P384" s="17" t="str">
        <f t="shared" si="3"/>
        <v>Bono canon</v>
      </c>
      <c r="Q384" s="17" t="str">
        <f t="shared" ref="Q384:Q387" si="217">IF(AND(A384=A383,B384=B383,C384=C383),"Repetido","")</f>
        <v/>
      </c>
      <c r="R384" s="31"/>
      <c r="S384" s="31"/>
      <c r="T384" s="31"/>
    </row>
    <row r="385" ht="15.0" customHeight="1">
      <c r="A385" s="18" t="s">
        <v>40</v>
      </c>
      <c r="B385" s="18" t="s">
        <v>223</v>
      </c>
      <c r="C385" s="19">
        <v>1724.0</v>
      </c>
      <c r="D385" s="20" t="str">
        <f>IF(   ISERROR(OFFSET(PADRON!B$2,MATCH(C:C,PADRON!A$2:A1405,0)-1,0,1,1) )  ,  ,    OFFSET(PADRON!B$2,MATCH(C:C,PADRON!A$2:A1405,0)-1,0,1,1))</f>
        <v>MAISANO, NATALIA</v>
      </c>
      <c r="E385" s="21">
        <v>45839.0</v>
      </c>
      <c r="F385" s="21">
        <v>45870.0</v>
      </c>
      <c r="G385" s="23" t="s">
        <v>39</v>
      </c>
      <c r="H385" s="24">
        <f>IF( ISERROR( OFFSET(   'Cuadro tarifario'!D$2  , MATCH(CONCATENATE(                 IF(F385&gt;Mes,OFFSET(NroCT!B$17, MATCH($F385,NroCT!$A$18:$A1405,0),0,1,1),Periodovigente)                                                                                                                     ,A385) ,'Cuadro tarifario'!A$2:A1405,0) -1 , 0 , 1 , 1) )   , 0  ,   OFFSET(   'Cuadro tarifario'!D$2  , MATCH(CONCATENATE( IF(F385&gt;Mes,OFFSET(NroCT!B$17, MATCH($F385,NroCT!$A$18:$A1405,0),0,1,1),Periodovigente) ,A385) ,'Cuadro tarifario'!A$2:A1405,0) -1 , 0 , 1 , 1))</f>
        <v>12000</v>
      </c>
      <c r="I385" s="106">
        <f t="shared" si="195"/>
        <v>1</v>
      </c>
      <c r="J385" s="107">
        <f t="shared" si="207"/>
        <v>12000</v>
      </c>
      <c r="K385" s="108">
        <f>IF(  AND(N385&gt;0,I385=0)          ,N385 ,                         IF(  IF( F385 ,  DAYS360(DATE(YEAR(F385),MONTH(F385),1),Mes)/30  ,  DAYS360(DATE(YEAR(E385),MONTH(E385),1),Mes)/30  )  &gt;  0 , IF(F385,   DAYS360(DATE(YEAR(F385),MONTH(F385),1),Mes)/30  ,  DAYS360(DATE(YEAR(E385),MONTH(E385),1),Mes)/30) , 0)       )</f>
        <v>0</v>
      </c>
      <c r="L385" s="109">
        <f t="shared" si="196"/>
        <v>0</v>
      </c>
      <c r="M385" s="110"/>
      <c r="N385" s="29">
        <f>IF( ISERROR(OFFSET(SECUESTRADOS!D$1,MATCH(B385,SECUESTRADOS!A$2:A1405,0),0)) ,0 ,  OFFSET(SECUESTRADOS!D$1,MATCH(B385,SECUESTRADOS!A$2:A1405,0),0)  )</f>
        <v>0</v>
      </c>
      <c r="O385" s="30"/>
      <c r="P385" s="17" t="str">
        <f t="shared" si="3"/>
        <v>cuna windsurf</v>
      </c>
      <c r="Q385" s="17" t="str">
        <f t="shared" si="217"/>
        <v/>
      </c>
      <c r="R385" s="31"/>
      <c r="S385" s="31"/>
      <c r="T385" s="31"/>
    </row>
    <row r="386" ht="15.0" customHeight="1">
      <c r="A386" s="18" t="s">
        <v>71</v>
      </c>
      <c r="B386" s="18">
        <v>1725.0</v>
      </c>
      <c r="C386" s="19">
        <v>1725.0</v>
      </c>
      <c r="D386" s="20" t="str">
        <f>IF(   ISERROR(OFFSET(PADRON!B$2,MATCH(C:C,PADRON!A$2:A1405,0)-1,0,1,1) )  ,  ,    OFFSET(PADRON!B$2,MATCH(C:C,PADRON!A$2:A1405,0)-1,0,1,1))</f>
        <v>POUCHOU, ANDREA</v>
      </c>
      <c r="E386" s="21">
        <v>45748.0</v>
      </c>
      <c r="F386" s="21"/>
      <c r="G386" s="23" t="s">
        <v>39</v>
      </c>
      <c r="H386" s="24">
        <f>IF( ISERROR( OFFSET(   'Cuadro tarifario'!D$2  , MATCH(CONCATENATE(                 IF(F386&gt;Mes,OFFSET(NroCT!B$17, MATCH($F386,NroCT!$A$18:$A1405,0),0,1,1),Periodovigente)                                                                                                                     ,A386) ,'Cuadro tarifario'!A$2:A1405,0) -1 , 0 , 1 , 1) )   , 0  ,   OFFSET(   'Cuadro tarifario'!D$2  , MATCH(CONCATENATE( IF(F386&gt;Mes,OFFSET(NroCT!B$17, MATCH($F386,NroCT!$A$18:$A1405,0),0,1,1),Periodovigente) ,A386) ,'Cuadro tarifario'!A$2:A1405,0) -1 , 0 , 1 , 1))</f>
        <v>11000</v>
      </c>
      <c r="I386" s="106">
        <f t="shared" si="195"/>
        <v>0</v>
      </c>
      <c r="J386" s="107">
        <f t="shared" si="207"/>
        <v>0</v>
      </c>
      <c r="K386" s="108">
        <f>IF(  AND(N386&gt;0,I386=0)          ,N386 ,                         IF(  IF( F386 ,  DAYS360(DATE(YEAR(F386),MONTH(F386),1),Mes)/30  ,  DAYS360(DATE(YEAR(E386),MONTH(E386),1),Mes)/30  )  &gt;  0 , IF(F386,   DAYS360(DATE(YEAR(F386),MONTH(F386),1),Mes)/30  ,  DAYS360(DATE(YEAR(E386),MONTH(E386),1),Mes)/30) , 0)       )</f>
        <v>4</v>
      </c>
      <c r="L386" s="109">
        <f t="shared" si="196"/>
        <v>44000</v>
      </c>
      <c r="M386" s="110"/>
      <c r="N386" s="29">
        <f>IF( ISERROR(OFFSET(SECUESTRADOS!D$1,MATCH(B386,SECUESTRADOS!A$2:A1405,0),0)) ,0 ,  OFFSET(SECUESTRADOS!D$1,MATCH(B386,SECUESTRADOS!A$2:A1405,0),0)  )</f>
        <v>0</v>
      </c>
      <c r="O386" s="30"/>
      <c r="P386" s="17" t="b">
        <f t="shared" si="3"/>
        <v>0</v>
      </c>
      <c r="Q386" s="17" t="str">
        <f t="shared" si="217"/>
        <v/>
      </c>
      <c r="R386" s="31"/>
      <c r="S386" s="31"/>
      <c r="T386" s="31"/>
    </row>
    <row r="387" ht="15.0" customHeight="1">
      <c r="A387" s="18" t="s">
        <v>38</v>
      </c>
      <c r="B387" s="18">
        <v>1725.0</v>
      </c>
      <c r="C387" s="19">
        <v>1725.0</v>
      </c>
      <c r="D387" s="20" t="str">
        <f>IF(   ISERROR(OFFSET(PADRON!B$2,MATCH(C:C,PADRON!A$2:A1405,0)-1,0,1,1) )  ,  ,    OFFSET(PADRON!B$2,MATCH(C:C,PADRON!A$2:A1405,0)-1,0,1,1))</f>
        <v>POUCHOU, ANDREA</v>
      </c>
      <c r="E387" s="21">
        <v>45748.0</v>
      </c>
      <c r="F387" s="21"/>
      <c r="G387" s="23" t="s">
        <v>39</v>
      </c>
      <c r="H387" s="24">
        <f>IF( ISERROR( OFFSET(   'Cuadro tarifario'!D$2  , MATCH(CONCATENATE(                 IF(F387&gt;Mes,OFFSET(NroCT!B$17, MATCH($F387,NroCT!$A$18:$A1405,0),0,1,1),Periodovigente)                                                                                                                     ,A387) ,'Cuadro tarifario'!A$2:A1405,0) -1 , 0 , 1 , 1) )   , 0  ,   OFFSET(   'Cuadro tarifario'!D$2  , MATCH(CONCATENATE( IF(F387&gt;Mes,OFFSET(NroCT!B$17, MATCH($F387,NroCT!$A$18:$A1405,0),0,1,1),Periodovigente) ,A387) ,'Cuadro tarifario'!A$2:A1405,0) -1 , 0 , 1 , 1))</f>
        <v>9000</v>
      </c>
      <c r="I387" s="106">
        <f t="shared" si="195"/>
        <v>0</v>
      </c>
      <c r="J387" s="107">
        <f t="shared" si="207"/>
        <v>0</v>
      </c>
      <c r="K387" s="108">
        <f>IF(  AND(N387&gt;0,I387=0)          ,N387 ,                         IF(  IF( F387 ,  DAYS360(DATE(YEAR(F387),MONTH(F387),1),Mes)/30  ,  DAYS360(DATE(YEAR(E387),MONTH(E387),1),Mes)/30  )  &gt;  0 , IF(F387,   DAYS360(DATE(YEAR(F387),MONTH(F387),1),Mes)/30  ,  DAYS360(DATE(YEAR(E387),MONTH(E387),1),Mes)/30) , 0)       )</f>
        <v>4</v>
      </c>
      <c r="L387" s="109">
        <f t="shared" si="196"/>
        <v>36000</v>
      </c>
      <c r="M387" s="110"/>
      <c r="N387" s="29">
        <f>IF( ISERROR(OFFSET(SECUESTRADOS!D$1,MATCH(B387,SECUESTRADOS!A$2:A1405,0),0)) ,0 ,  OFFSET(SECUESTRADOS!D$1,MATCH(B387,SECUESTRADOS!A$2:A1405,0),0)  )</f>
        <v>0</v>
      </c>
      <c r="O387" s="30"/>
      <c r="P387" s="17" t="b">
        <f t="shared" si="3"/>
        <v>0</v>
      </c>
      <c r="Q387" s="17" t="str">
        <f t="shared" si="217"/>
        <v/>
      </c>
      <c r="R387" s="31"/>
      <c r="S387" s="31"/>
      <c r="T387" s="31"/>
    </row>
    <row r="388" ht="15.0" customHeight="1">
      <c r="A388" s="18" t="s">
        <v>71</v>
      </c>
      <c r="B388" s="18">
        <v>1727.0</v>
      </c>
      <c r="C388" s="19">
        <v>1727.0</v>
      </c>
      <c r="D388" s="20" t="str">
        <f>IF(   ISERROR(OFFSET(PADRON!B$2,MATCH(C:C,PADRON!A$2:A1405,0)-1,0,1,1) )  ,  ,    OFFSET(PADRON!B$2,MATCH(C:C,PADRON!A$2:A1405,0)-1,0,1,1))</f>
        <v>SALMOIRAGHI, GUILLERMO</v>
      </c>
      <c r="E388" s="21">
        <v>45992.0</v>
      </c>
      <c r="F388" s="21"/>
      <c r="G388" s="23" t="s">
        <v>39</v>
      </c>
      <c r="H388" s="24">
        <f>IF( ISERROR( OFFSET(   'Cuadro tarifario'!D$2  , MATCH(CONCATENATE(                 IF(F388&gt;Mes,OFFSET(NroCT!B$17, MATCH($F388,NroCT!$A$18:$A1405,0),0,1,1),Periodovigente)                                                                                                                     ,A388) ,'Cuadro tarifario'!A$2:A1405,0) -1 , 0 , 1 , 1) )   , 0  ,   OFFSET(   'Cuadro tarifario'!D$2  , MATCH(CONCATENATE( IF(F388&gt;Mes,OFFSET(NroCT!B$17, MATCH($F388,NroCT!$A$18:$A1405,0),0,1,1),Periodovigente) ,A388) ,'Cuadro tarifario'!A$2:A1405,0) -1 , 0 , 1 , 1))</f>
        <v>11000</v>
      </c>
      <c r="I388" s="106">
        <f t="shared" si="195"/>
        <v>0</v>
      </c>
      <c r="J388" s="107">
        <f t="shared" si="207"/>
        <v>0</v>
      </c>
      <c r="K388" s="108">
        <f>IF(  AND(N388&gt;0,I388=0)          ,N388 ,                         IF(  IF( F388 ,  DAYS360(DATE(YEAR(F388),MONTH(F388),1),Mes)/30  ,  DAYS360(DATE(YEAR(E388),MONTH(E388),1),Mes)/30  )  &gt;  0 , IF(F388,   DAYS360(DATE(YEAR(F388),MONTH(F388),1),Mes)/30  ,  DAYS360(DATE(YEAR(E388),MONTH(E388),1),Mes)/30) , 0)       )</f>
        <v>0</v>
      </c>
      <c r="L388" s="109">
        <f t="shared" si="196"/>
        <v>0</v>
      </c>
      <c r="M388" s="110"/>
      <c r="N388" s="29">
        <f>IF( ISERROR(OFFSET(SECUESTRADOS!D$1,MATCH(B388,SECUESTRADOS!A$2:A1405,0),0)) ,0 ,  OFFSET(SECUESTRADOS!D$1,MATCH(B388,SECUESTRADOS!A$2:A1405,0),0)  )</f>
        <v>0</v>
      </c>
      <c r="O388" s="30"/>
      <c r="P388" s="17" t="b">
        <f t="shared" si="3"/>
        <v>0</v>
      </c>
      <c r="Q388" s="17" t="str">
        <f>IF(AND(A388=#REF!,B388=#REF!,C388=#REF!),"Repetido","")</f>
        <v>#REF!</v>
      </c>
      <c r="R388" s="31"/>
      <c r="S388" s="31"/>
      <c r="T388" s="31"/>
    </row>
    <row r="389" ht="15.0" customHeight="1">
      <c r="A389" s="18" t="s">
        <v>38</v>
      </c>
      <c r="B389" s="18">
        <v>1727.0</v>
      </c>
      <c r="C389" s="19">
        <v>1727.0</v>
      </c>
      <c r="D389" s="20" t="str">
        <f>IF(   ISERROR(OFFSET(PADRON!B$2,MATCH(C:C,PADRON!A$2:A1405,0)-1,0,1,1) )  ,  ,    OFFSET(PADRON!B$2,MATCH(C:C,PADRON!A$2:A1405,0)-1,0,1,1))</f>
        <v>SALMOIRAGHI, GUILLERMO</v>
      </c>
      <c r="E389" s="21">
        <v>45992.0</v>
      </c>
      <c r="F389" s="21"/>
      <c r="G389" s="23" t="s">
        <v>39</v>
      </c>
      <c r="H389" s="24">
        <f>IF( ISERROR( OFFSET(   'Cuadro tarifario'!D$2  , MATCH(CONCATENATE(                 IF(F389&gt;Mes,OFFSET(NroCT!B$17, MATCH($F389,NroCT!$A$18:$A1405,0),0,1,1),Periodovigente)                                                                                                                     ,A389) ,'Cuadro tarifario'!A$2:A1405,0) -1 , 0 , 1 , 1) )   , 0  ,   OFFSET(   'Cuadro tarifario'!D$2  , MATCH(CONCATENATE( IF(F389&gt;Mes,OFFSET(NroCT!B$17, MATCH($F389,NroCT!$A$18:$A1405,0),0,1,1),Periodovigente) ,A389) ,'Cuadro tarifario'!A$2:A1405,0) -1 , 0 , 1 , 1))</f>
        <v>9000</v>
      </c>
      <c r="I389" s="106">
        <f t="shared" si="195"/>
        <v>0</v>
      </c>
      <c r="J389" s="107">
        <f t="shared" si="207"/>
        <v>0</v>
      </c>
      <c r="K389" s="108">
        <f>IF(  AND(N389&gt;0,I389=0)          ,N389 ,                         IF(  IF( F389 ,  DAYS360(DATE(YEAR(F389),MONTH(F389),1),Mes)/30  ,  DAYS360(DATE(YEAR(E389),MONTH(E389),1),Mes)/30  )  &gt;  0 , IF(F389,   DAYS360(DATE(YEAR(F389),MONTH(F389),1),Mes)/30  ,  DAYS360(DATE(YEAR(E389),MONTH(E389),1),Mes)/30) , 0)       )</f>
        <v>0</v>
      </c>
      <c r="L389" s="109">
        <f t="shared" si="196"/>
        <v>0</v>
      </c>
      <c r="M389" s="110"/>
      <c r="N389" s="29">
        <f>IF( ISERROR(OFFSET(SECUESTRADOS!D$1,MATCH(B389,SECUESTRADOS!A$2:A1405,0),0)) ,0 ,  OFFSET(SECUESTRADOS!D$1,MATCH(B389,SECUESTRADOS!A$2:A1405,0),0)  )</f>
        <v>0</v>
      </c>
      <c r="O389" s="30"/>
      <c r="P389" s="17" t="b">
        <f t="shared" si="3"/>
        <v>0</v>
      </c>
      <c r="Q389" s="17" t="str">
        <f t="shared" ref="Q389:Q390" si="218">IF(AND(A389=A388,B389=B388,C389=C388),"Repetido","")</f>
        <v/>
      </c>
      <c r="R389" s="31"/>
      <c r="S389" s="31"/>
      <c r="T389" s="31"/>
    </row>
    <row r="390" ht="15.0" customHeight="1">
      <c r="A390" s="18" t="s">
        <v>40</v>
      </c>
      <c r="B390" s="18" t="s">
        <v>224</v>
      </c>
      <c r="C390" s="19">
        <v>1727.0</v>
      </c>
      <c r="D390" s="20" t="str">
        <f>IF(   ISERROR(OFFSET(PADRON!B$2,MATCH(C:C,PADRON!A$2:A1405,0)-1,0,1,1) )  ,  ,    OFFSET(PADRON!B$2,MATCH(C:C,PADRON!A$2:A1405,0)-1,0,1,1))</f>
        <v>SALMOIRAGHI, GUILLERMO</v>
      </c>
      <c r="E390" s="21">
        <v>45992.0</v>
      </c>
      <c r="F390" s="21"/>
      <c r="G390" s="23" t="s">
        <v>39</v>
      </c>
      <c r="H390" s="24">
        <f>IF( ISERROR( OFFSET(   'Cuadro tarifario'!D$2  , MATCH(CONCATENATE(                 IF(F390&gt;Mes,OFFSET(NroCT!B$17, MATCH($F390,NroCT!$A$18:$A1405,0),0,1,1),Periodovigente)                                                                                                                     ,A390) ,'Cuadro tarifario'!A$2:A1405,0) -1 , 0 , 1 , 1) )   , 0  ,   OFFSET(   'Cuadro tarifario'!D$2  , MATCH(CONCATENATE( IF(F390&gt;Mes,OFFSET(NroCT!B$17, MATCH($F390,NroCT!$A$18:$A1405,0),0,1,1),Periodovigente) ,A390) ,'Cuadro tarifario'!A$2:A1405,0) -1 , 0 , 1 , 1))</f>
        <v>12000</v>
      </c>
      <c r="I390" s="106">
        <f t="shared" si="195"/>
        <v>0</v>
      </c>
      <c r="J390" s="107">
        <f t="shared" si="207"/>
        <v>0</v>
      </c>
      <c r="K390" s="108">
        <f>IF(  AND(N390&gt;0,I390=0)          ,N390 ,                         IF(  IF( F390 ,  DAYS360(DATE(YEAR(F390),MONTH(F390),1),Mes)/30  ,  DAYS360(DATE(YEAR(E390),MONTH(E390),1),Mes)/30  )  &gt;  0 , IF(F390,   DAYS360(DATE(YEAR(F390),MONTH(F390),1),Mes)/30  ,  DAYS360(DATE(YEAR(E390),MONTH(E390),1),Mes)/30) , 0)       )</f>
        <v>0</v>
      </c>
      <c r="L390" s="109">
        <f t="shared" si="196"/>
        <v>0</v>
      </c>
      <c r="M390" s="110"/>
      <c r="N390" s="29">
        <f>IF( ISERROR(OFFSET(SECUESTRADOS!D$1,MATCH(B390,SECUESTRADOS!A$2:A1405,0),0)) ,0 ,  OFFSET(SECUESTRADOS!D$1,MATCH(B390,SECUESTRADOS!A$2:A1405,0),0)  )</f>
        <v>0</v>
      </c>
      <c r="O390" s="30"/>
      <c r="P390" s="17" t="b">
        <f t="shared" si="3"/>
        <v>0</v>
      </c>
      <c r="Q390" s="17" t="str">
        <f t="shared" si="218"/>
        <v/>
      </c>
      <c r="R390" s="31"/>
      <c r="S390" s="31"/>
      <c r="T390" s="31"/>
    </row>
    <row r="391" ht="15.0" customHeight="1">
      <c r="A391" s="18" t="s">
        <v>40</v>
      </c>
      <c r="B391" s="18" t="s">
        <v>225</v>
      </c>
      <c r="C391" s="19">
        <v>1727.0</v>
      </c>
      <c r="D391" s="20" t="str">
        <f>IF(   ISERROR(OFFSET(PADRON!B$2,MATCH(C:C,PADRON!A$2:A1405,0)-1,0,1,1) )  ,  ,    OFFSET(PADRON!B$2,MATCH(C:C,PADRON!A$2:A1405,0)-1,0,1,1))</f>
        <v>SALMOIRAGHI, GUILLERMO</v>
      </c>
      <c r="E391" s="21">
        <v>45992.0</v>
      </c>
      <c r="F391" s="21"/>
      <c r="G391" s="23" t="s">
        <v>39</v>
      </c>
      <c r="H391" s="24">
        <f>IF( ISERROR( OFFSET(   'Cuadro tarifario'!D$2  , MATCH(CONCATENATE(                 IF(F391&gt;Mes,OFFSET(NroCT!B$17, MATCH($F391,NroCT!$A$18:$A1405,0),0,1,1),Periodovigente)                                                                                                                     ,A391) ,'Cuadro tarifario'!A$2:A1405,0) -1 , 0 , 1 , 1) )   , 0  ,   OFFSET(   'Cuadro tarifario'!D$2  , MATCH(CONCATENATE( IF(F391&gt;Mes,OFFSET(NroCT!B$17, MATCH($F391,NroCT!$A$18:$A1405,0),0,1,1),Periodovigente) ,A391) ,'Cuadro tarifario'!A$2:A1405,0) -1 , 0 , 1 , 1))</f>
        <v>12000</v>
      </c>
      <c r="I391" s="106">
        <f t="shared" si="195"/>
        <v>0</v>
      </c>
      <c r="J391" s="107">
        <f t="shared" si="207"/>
        <v>0</v>
      </c>
      <c r="K391" s="108">
        <f>IF(  AND(N391&gt;0,I391=0)          ,N391 ,                         IF(  IF( F391 ,  DAYS360(DATE(YEAR(F391),MONTH(F391),1),Mes)/30  ,  DAYS360(DATE(YEAR(E391),MONTH(E391),1),Mes)/30  )  &gt;  0 , IF(F391,   DAYS360(DATE(YEAR(F391),MONTH(F391),1),Mes)/30  ,  DAYS360(DATE(YEAR(E391),MONTH(E391),1),Mes)/30) , 0)       )</f>
        <v>0</v>
      </c>
      <c r="L391" s="109">
        <f t="shared" si="196"/>
        <v>0</v>
      </c>
      <c r="M391" s="110"/>
      <c r="N391" s="29">
        <f>IF( ISERROR(OFFSET(SECUESTRADOS!D$1,MATCH(B391,SECUESTRADOS!A$2:A1405,0),0)) ,0 ,  OFFSET(SECUESTRADOS!D$1,MATCH(B391,SECUESTRADOS!A$2:A1405,0),0)  )</f>
        <v>0</v>
      </c>
      <c r="O391" s="30"/>
      <c r="P391" s="17" t="b">
        <f t="shared" si="3"/>
        <v>0</v>
      </c>
      <c r="Q391" s="17" t="str">
        <f t="shared" ref="Q391:Q392" si="219">IF(AND(A391=#REF!,B391=#REF!,C391=#REF!),"Repetido","")</f>
        <v>#REF!</v>
      </c>
      <c r="R391" s="31"/>
      <c r="S391" s="31"/>
      <c r="T391" s="31"/>
    </row>
    <row r="392" ht="15.0" customHeight="1">
      <c r="A392" s="18" t="s">
        <v>48</v>
      </c>
      <c r="B392" s="18" t="s">
        <v>226</v>
      </c>
      <c r="C392" s="19">
        <v>1727.0</v>
      </c>
      <c r="D392" s="20" t="str">
        <f>IF(   ISERROR(OFFSET(PADRON!B$2,MATCH(C:C,PADRON!A$2:A1405,0)-1,0,1,1) )  ,  ,    OFFSET(PADRON!B$2,MATCH(C:C,PADRON!A$2:A1405,0)-1,0,1,1))</f>
        <v>SALMOIRAGHI, GUILLERMO</v>
      </c>
      <c r="E392" s="21">
        <v>45992.0</v>
      </c>
      <c r="F392" s="21"/>
      <c r="G392" s="23" t="s">
        <v>39</v>
      </c>
      <c r="H392" s="24">
        <f>IF( ISERROR( OFFSET(   'Cuadro tarifario'!D$2  , MATCH(CONCATENATE(                 IF(F392&gt;Mes,OFFSET(NroCT!B$17, MATCH($F392,NroCT!$A$18:$A1405,0),0,1,1),Periodovigente)                                                                                                                     ,A392) ,'Cuadro tarifario'!A$2:A1405,0) -1 , 0 , 1 , 1) )   , 0  ,   OFFSET(   'Cuadro tarifario'!D$2  , MATCH(CONCATENATE( IF(F392&gt;Mes,OFFSET(NroCT!B$17, MATCH($F392,NroCT!$A$18:$A1405,0),0,1,1),Periodovigente) ,A392) ,'Cuadro tarifario'!A$2:A1405,0) -1 , 0 , 1 , 1))</f>
        <v>12000</v>
      </c>
      <c r="I392" s="106">
        <f t="shared" si="195"/>
        <v>0</v>
      </c>
      <c r="J392" s="107">
        <f t="shared" si="207"/>
        <v>0</v>
      </c>
      <c r="K392" s="108">
        <f>IF(  AND(N392&gt;0,I392=0)          ,N392 ,                         IF(  IF( F392 ,  DAYS360(DATE(YEAR(F392),MONTH(F392),1),Mes)/30  ,  DAYS360(DATE(YEAR(E392),MONTH(E392),1),Mes)/30  )  &gt;  0 , IF(F392,   DAYS360(DATE(YEAR(F392),MONTH(F392),1),Mes)/30  ,  DAYS360(DATE(YEAR(E392),MONTH(E392),1),Mes)/30) , 0)       )</f>
        <v>0</v>
      </c>
      <c r="L392" s="109">
        <f t="shared" si="196"/>
        <v>0</v>
      </c>
      <c r="M392" s="110"/>
      <c r="N392" s="29">
        <f>IF( ISERROR(OFFSET(SECUESTRADOS!D$1,MATCH(B392,SECUESTRADOS!A$2:A1405,0),0)) ,0 ,  OFFSET(SECUESTRADOS!D$1,MATCH(B392,SECUESTRADOS!A$2:A1405,0),0)  )</f>
        <v>0</v>
      </c>
      <c r="O392" s="30"/>
      <c r="P392" s="17" t="b">
        <f t="shared" si="3"/>
        <v>0</v>
      </c>
      <c r="Q392" s="17" t="str">
        <f t="shared" si="219"/>
        <v>#REF!</v>
      </c>
      <c r="R392" s="31"/>
      <c r="S392" s="31"/>
      <c r="T392" s="31"/>
    </row>
    <row r="393" ht="15.0" customHeight="1">
      <c r="A393" s="18" t="s">
        <v>42</v>
      </c>
      <c r="B393" s="18" t="s">
        <v>227</v>
      </c>
      <c r="C393" s="19">
        <v>1727.0</v>
      </c>
      <c r="D393" s="20" t="str">
        <f>IF(   ISERROR(OFFSET(PADRON!B$2,MATCH(C:C,PADRON!A$2:A1405,0)-1,0,1,1) )  ,  ,    OFFSET(PADRON!B$2,MATCH(C:C,PADRON!A$2:A1405,0)-1,0,1,1))</f>
        <v>SALMOIRAGHI, GUILLERMO</v>
      </c>
      <c r="E393" s="21">
        <v>45992.0</v>
      </c>
      <c r="F393" s="21"/>
      <c r="G393" s="23" t="s">
        <v>39</v>
      </c>
      <c r="H393" s="24">
        <f>IF( ISERROR( OFFSET(   'Cuadro tarifario'!D$2  , MATCH(CONCATENATE(                 IF(F393&gt;Mes,OFFSET(NroCT!B$17, MATCH($F393,NroCT!$A$18:$A1405,0),0,1,1),Periodovigente)                                                                                                                     ,A393) ,'Cuadro tarifario'!A$2:A1405,0) -1 , 0 , 1 , 1) )   , 0  ,   OFFSET(   'Cuadro tarifario'!D$2  , MATCH(CONCATENATE( IF(F393&gt;Mes,OFFSET(NroCT!B$17, MATCH($F393,NroCT!$A$18:$A1405,0),0,1,1),Periodovigente) ,A393) ,'Cuadro tarifario'!A$2:A1405,0) -1 , 0 , 1 , 1))</f>
        <v>4000</v>
      </c>
      <c r="I393" s="106">
        <f t="shared" si="195"/>
        <v>0</v>
      </c>
      <c r="J393" s="107">
        <f t="shared" si="207"/>
        <v>0</v>
      </c>
      <c r="K393" s="108">
        <f>IF(  AND(N393&gt;0,I393=0)          ,N393 ,                         IF(  IF( F393 ,  DAYS360(DATE(YEAR(F393),MONTH(F393),1),Mes)/30  ,  DAYS360(DATE(YEAR(E393),MONTH(E393),1),Mes)/30  )  &gt;  0 , IF(F393,   DAYS360(DATE(YEAR(F393),MONTH(F393),1),Mes)/30  ,  DAYS360(DATE(YEAR(E393),MONTH(E393),1),Mes)/30) , 0)       )</f>
        <v>0</v>
      </c>
      <c r="L393" s="109">
        <f t="shared" si="196"/>
        <v>0</v>
      </c>
      <c r="M393" s="110"/>
      <c r="N393" s="29">
        <f>IF( ISERROR(OFFSET(SECUESTRADOS!D$1,MATCH(B393,SECUESTRADOS!A$2:A1405,0),0)) ,0 ,  OFFSET(SECUESTRADOS!D$1,MATCH(B393,SECUESTRADOS!A$2:A1405,0),0)  )</f>
        <v>0</v>
      </c>
      <c r="O393" s="30"/>
      <c r="P393" s="17" t="b">
        <f t="shared" si="3"/>
        <v>0</v>
      </c>
      <c r="Q393" s="17" t="str">
        <f>IF(AND(A393=A389,B393=B389,C393=C389),"Repetido","")</f>
        <v/>
      </c>
      <c r="R393" s="31"/>
      <c r="S393" s="31"/>
      <c r="T393" s="31"/>
    </row>
    <row r="394" ht="15.0" customHeight="1">
      <c r="A394" s="18" t="s">
        <v>52</v>
      </c>
      <c r="B394" s="18" t="s">
        <v>228</v>
      </c>
      <c r="C394" s="19">
        <v>1727.0</v>
      </c>
      <c r="D394" s="20" t="str">
        <f>IF(   ISERROR(OFFSET(PADRON!B$2,MATCH(C:C,PADRON!A$2:A1405,0)-1,0,1,1) )  ,  ,    OFFSET(PADRON!B$2,MATCH(C:C,PADRON!A$2:A1405,0)-1,0,1,1))</f>
        <v>SALMOIRAGHI, GUILLERMO</v>
      </c>
      <c r="E394" s="21">
        <v>45992.0</v>
      </c>
      <c r="F394" s="21"/>
      <c r="G394" s="23" t="s">
        <v>39</v>
      </c>
      <c r="H394" s="24">
        <f>IF( ISERROR( OFFSET(   'Cuadro tarifario'!D$2  , MATCH(CONCATENATE(                 IF(F394&gt;Mes,OFFSET(NroCT!B$17, MATCH($F394,NroCT!$A$18:$A1405,0),0,1,1),Periodovigente)                                                                                                                     ,A394) ,'Cuadro tarifario'!A$2:A1405,0) -1 , 0 , 1 , 1) )   , 0  ,   OFFSET(   'Cuadro tarifario'!D$2  , MATCH(CONCATENATE( IF(F394&gt;Mes,OFFSET(NroCT!B$17, MATCH($F394,NroCT!$A$18:$A1405,0),0,1,1),Periodovigente) ,A394) ,'Cuadro tarifario'!A$2:A1405,0) -1 , 0 , 1 , 1))</f>
        <v>4000</v>
      </c>
      <c r="I394" s="106">
        <f t="shared" si="195"/>
        <v>0</v>
      </c>
      <c r="J394" s="107">
        <f t="shared" si="207"/>
        <v>0</v>
      </c>
      <c r="K394" s="108">
        <f>IF(  AND(N394&gt;0,I394=0)          ,N394 ,                         IF(  IF( F394 ,  DAYS360(DATE(YEAR(F394),MONTH(F394),1),Mes)/30  ,  DAYS360(DATE(YEAR(E394),MONTH(E394),1),Mes)/30  )  &gt;  0 , IF(F394,   DAYS360(DATE(YEAR(F394),MONTH(F394),1),Mes)/30  ,  DAYS360(DATE(YEAR(E394),MONTH(E394),1),Mes)/30) , 0)       )</f>
        <v>0</v>
      </c>
      <c r="L394" s="109">
        <f t="shared" si="196"/>
        <v>0</v>
      </c>
      <c r="M394" s="110"/>
      <c r="N394" s="29">
        <f>IF( ISERROR(OFFSET(SECUESTRADOS!D$1,MATCH(B394,SECUESTRADOS!A$2:A1405,0),0)) ,0 ,  OFFSET(SECUESTRADOS!D$1,MATCH(B394,SECUESTRADOS!A$2:A1405,0),0)  )</f>
        <v>0</v>
      </c>
      <c r="O394" s="30"/>
      <c r="P394" s="17" t="b">
        <f t="shared" si="3"/>
        <v>0</v>
      </c>
      <c r="Q394" s="17" t="str">
        <f>IF(AND(A394=A393,B394=B393,C394=C393),"Repetido","")</f>
        <v/>
      </c>
      <c r="R394" s="31"/>
      <c r="S394" s="31"/>
      <c r="T394" s="31"/>
    </row>
    <row r="395" ht="15.0" customHeight="1">
      <c r="A395" s="18" t="s">
        <v>71</v>
      </c>
      <c r="B395" s="18">
        <v>1729.0</v>
      </c>
      <c r="C395" s="19">
        <v>1729.0</v>
      </c>
      <c r="D395" s="20" t="str">
        <f>IF(   ISERROR(OFFSET(PADRON!B$2,MATCH(C:C,PADRON!A$2:A1405,0)-1,0,1,1) )  ,  ,    OFFSET(PADRON!B$2,MATCH(C:C,PADRON!A$2:A1405,0)-1,0,1,1))</f>
        <v>FERREYRA, MARCELA</v>
      </c>
      <c r="E395" s="21">
        <v>45839.0</v>
      </c>
      <c r="F395" s="21">
        <v>45870.0</v>
      </c>
      <c r="G395" s="23" t="s">
        <v>39</v>
      </c>
      <c r="H395" s="24">
        <f>IF( ISERROR( OFFSET(   'Cuadro tarifario'!D$2  , MATCH(CONCATENATE(                 IF(F395&gt;Mes,OFFSET(NroCT!B$17, MATCH($F395,NroCT!$A$18:$A1405,0),0,1,1),Periodovigente)                                                                                                                     ,A395) ,'Cuadro tarifario'!A$2:A1405,0) -1 , 0 , 1 , 1) )   , 0  ,   OFFSET(   'Cuadro tarifario'!D$2  , MATCH(CONCATENATE( IF(F395&gt;Mes,OFFSET(NroCT!B$17, MATCH($F395,NroCT!$A$18:$A1405,0),0,1,1),Periodovigente) ,A395) ,'Cuadro tarifario'!A$2:A1405,0) -1 , 0 , 1 , 1))</f>
        <v>11000</v>
      </c>
      <c r="I395" s="106">
        <f t="shared" si="195"/>
        <v>1</v>
      </c>
      <c r="J395" s="107">
        <f t="shared" si="207"/>
        <v>11000</v>
      </c>
      <c r="K395" s="108">
        <f>IF(  AND(N395&gt;0,I395=0)          ,N395 ,                         IF(  IF( F395 ,  DAYS360(DATE(YEAR(F395),MONTH(F395),1),Mes)/30  ,  DAYS360(DATE(YEAR(E395),MONTH(E395),1),Mes)/30  )  &gt;  0 , IF(F395,   DAYS360(DATE(YEAR(F395),MONTH(F395),1),Mes)/30  ,  DAYS360(DATE(YEAR(E395),MONTH(E395),1),Mes)/30) , 0)       )</f>
        <v>0</v>
      </c>
      <c r="L395" s="109">
        <f t="shared" si="196"/>
        <v>0</v>
      </c>
      <c r="M395" s="110"/>
      <c r="N395" s="29">
        <f>IF( ISERROR(OFFSET(SECUESTRADOS!D$1,MATCH(B395,SECUESTRADOS!A$2:A1405,0),0)) ,0 ,  OFFSET(SECUESTRADOS!D$1,MATCH(B395,SECUESTRADOS!A$2:A1405,0),0)  )</f>
        <v>0</v>
      </c>
      <c r="O395" s="30"/>
      <c r="P395" s="17" t="str">
        <f t="shared" si="3"/>
        <v>.socio</v>
      </c>
      <c r="Q395" s="17" t="str">
        <f>IF(AND(A395=A389,B395=B389,C395=C389),"Repetido","")</f>
        <v/>
      </c>
      <c r="R395" s="31"/>
      <c r="S395" s="31"/>
      <c r="T395" s="31"/>
    </row>
    <row r="396" ht="15.0" customHeight="1">
      <c r="A396" s="18" t="s">
        <v>38</v>
      </c>
      <c r="B396" s="18">
        <v>1729.0</v>
      </c>
      <c r="C396" s="19">
        <v>1729.0</v>
      </c>
      <c r="D396" s="20" t="str">
        <f>IF(   ISERROR(OFFSET(PADRON!B$2,MATCH(C:C,PADRON!A$2:A1405,0)-1,0,1,1) )  ,  ,    OFFSET(PADRON!B$2,MATCH(C:C,PADRON!A$2:A1405,0)-1,0,1,1))</f>
        <v>FERREYRA, MARCELA</v>
      </c>
      <c r="E396" s="21">
        <v>45839.0</v>
      </c>
      <c r="F396" s="21">
        <v>45870.0</v>
      </c>
      <c r="G396" s="23" t="s">
        <v>39</v>
      </c>
      <c r="H396" s="24">
        <f>IF( ISERROR( OFFSET(   'Cuadro tarifario'!D$2  , MATCH(CONCATENATE(                 IF(F396&gt;Mes,OFFSET(NroCT!B$17, MATCH($F396,NroCT!$A$18:$A1405,0),0,1,1),Periodovigente)                                                                                                                     ,A396) ,'Cuadro tarifario'!A$2:A1405,0) -1 , 0 , 1 , 1) )   , 0  ,   OFFSET(   'Cuadro tarifario'!D$2  , MATCH(CONCATENATE( IF(F396&gt;Mes,OFFSET(NroCT!B$17, MATCH($F396,NroCT!$A$18:$A1405,0),0,1,1),Periodovigente) ,A396) ,'Cuadro tarifario'!A$2:A1405,0) -1 , 0 , 1 , 1))</f>
        <v>9000</v>
      </c>
      <c r="I396" s="106">
        <f t="shared" si="195"/>
        <v>1</v>
      </c>
      <c r="J396" s="107">
        <f t="shared" si="207"/>
        <v>9000</v>
      </c>
      <c r="K396" s="108">
        <f>IF(  AND(N396&gt;0,I396=0)          ,N396 ,                         IF(  IF( F396 ,  DAYS360(DATE(YEAR(F396),MONTH(F396),1),Mes)/30  ,  DAYS360(DATE(YEAR(E396),MONTH(E396),1),Mes)/30  )  &gt;  0 , IF(F396,   DAYS360(DATE(YEAR(F396),MONTH(F396),1),Mes)/30  ,  DAYS360(DATE(YEAR(E396),MONTH(E396),1),Mes)/30) , 0)       )</f>
        <v>0</v>
      </c>
      <c r="L396" s="109">
        <f t="shared" si="196"/>
        <v>0</v>
      </c>
      <c r="M396" s="110"/>
      <c r="N396" s="29">
        <f>IF( ISERROR(OFFSET(SECUESTRADOS!D$1,MATCH(B396,SECUESTRADOS!A$2:A1405,0),0)) ,0 ,  OFFSET(SECUESTRADOS!D$1,MATCH(B396,SECUESTRADOS!A$2:A1405,0),0)  )</f>
        <v>0</v>
      </c>
      <c r="O396" s="30"/>
      <c r="P396" s="17" t="str">
        <f t="shared" si="3"/>
        <v>Bono canon</v>
      </c>
      <c r="Q396" s="17" t="str">
        <f t="shared" ref="Q396:Q397" si="220">IF(AND(A396=A395,B396=B395,C396=C395),"Repetido","")</f>
        <v/>
      </c>
      <c r="R396" s="31"/>
      <c r="S396" s="31"/>
      <c r="T396" s="31"/>
    </row>
    <row r="397" ht="15.0" customHeight="1">
      <c r="A397" s="18" t="s">
        <v>40</v>
      </c>
      <c r="B397" s="18" t="s">
        <v>229</v>
      </c>
      <c r="C397" s="19">
        <v>1729.0</v>
      </c>
      <c r="D397" s="20" t="str">
        <f>IF(   ISERROR(OFFSET(PADRON!B$2,MATCH(C:C,PADRON!A$2:A1405,0)-1,0,1,1) )  ,  ,    OFFSET(PADRON!B$2,MATCH(C:C,PADRON!A$2:A1405,0)-1,0,1,1))</f>
        <v>FERREYRA, MARCELA</v>
      </c>
      <c r="E397" s="21">
        <v>45839.0</v>
      </c>
      <c r="F397" s="21">
        <v>45870.0</v>
      </c>
      <c r="G397" s="23" t="s">
        <v>39</v>
      </c>
      <c r="H397" s="24">
        <f>IF( ISERROR( OFFSET(   'Cuadro tarifario'!D$2  , MATCH(CONCATENATE(                 IF(F397&gt;Mes,OFFSET(NroCT!B$17, MATCH($F397,NroCT!$A$18:$A1405,0),0,1,1),Periodovigente)                                                                                                                     ,A397) ,'Cuadro tarifario'!A$2:A1405,0) -1 , 0 , 1 , 1) )   , 0  ,   OFFSET(   'Cuadro tarifario'!D$2  , MATCH(CONCATENATE( IF(F397&gt;Mes,OFFSET(NroCT!B$17, MATCH($F397,NroCT!$A$18:$A1405,0),0,1,1),Periodovigente) ,A397) ,'Cuadro tarifario'!A$2:A1405,0) -1 , 0 , 1 , 1))</f>
        <v>12000</v>
      </c>
      <c r="I397" s="106">
        <f t="shared" si="195"/>
        <v>1</v>
      </c>
      <c r="J397" s="107">
        <f t="shared" si="207"/>
        <v>12000</v>
      </c>
      <c r="K397" s="108">
        <f>IF(  AND(N397&gt;0,I397=0)          ,N397 ,                         IF(  IF( F397 ,  DAYS360(DATE(YEAR(F397),MONTH(F397),1),Mes)/30  ,  DAYS360(DATE(YEAR(E397),MONTH(E397),1),Mes)/30  )  &gt;  0 , IF(F397,   DAYS360(DATE(YEAR(F397),MONTH(F397),1),Mes)/30  ,  DAYS360(DATE(YEAR(E397),MONTH(E397),1),Mes)/30) , 0)       )</f>
        <v>0</v>
      </c>
      <c r="L397" s="109">
        <f t="shared" si="196"/>
        <v>0</v>
      </c>
      <c r="M397" s="110"/>
      <c r="N397" s="29">
        <f>IF( ISERROR(OFFSET(SECUESTRADOS!D$1,MATCH(B397,SECUESTRADOS!A$2:A1405,0),0)) ,0 ,  OFFSET(SECUESTRADOS!D$1,MATCH(B397,SECUESTRADOS!A$2:A1405,0),0)  )</f>
        <v>0</v>
      </c>
      <c r="O397" s="30"/>
      <c r="P397" s="17" t="str">
        <f t="shared" si="3"/>
        <v>cuna windsurf</v>
      </c>
      <c r="Q397" s="17" t="str">
        <f t="shared" si="220"/>
        <v/>
      </c>
      <c r="R397" s="31"/>
      <c r="S397" s="31"/>
      <c r="T397" s="31"/>
    </row>
    <row r="398" ht="15.0" customHeight="1">
      <c r="A398" s="18" t="s">
        <v>71</v>
      </c>
      <c r="B398" s="18">
        <v>1730.0</v>
      </c>
      <c r="C398" s="19">
        <v>1730.0</v>
      </c>
      <c r="D398" s="20" t="str">
        <f>IF(   ISERROR(OFFSET(PADRON!B$2,MATCH(C:C,PADRON!A$2:A1405,0)-1,0,1,1) )  ,  ,    OFFSET(PADRON!B$2,MATCH(C:C,PADRON!A$2:A1405,0)-1,0,1,1))</f>
        <v>TIMKO, GISELLA</v>
      </c>
      <c r="E398" s="21">
        <v>45839.0</v>
      </c>
      <c r="F398" s="21">
        <v>45870.0</v>
      </c>
      <c r="G398" s="23" t="s">
        <v>39</v>
      </c>
      <c r="H398" s="24">
        <f>IF( ISERROR( OFFSET(   'Cuadro tarifario'!D$2  , MATCH(CONCATENATE(                 IF(F398&gt;Mes,OFFSET(NroCT!B$17, MATCH($F398,NroCT!$A$18:$A1405,0),0,1,1),Periodovigente)                                                                                                                     ,A398) ,'Cuadro tarifario'!A$2:A1405,0) -1 , 0 , 1 , 1) )   , 0  ,   OFFSET(   'Cuadro tarifario'!D$2  , MATCH(CONCATENATE( IF(F398&gt;Mes,OFFSET(NroCT!B$17, MATCH($F398,NroCT!$A$18:$A1405,0),0,1,1),Periodovigente) ,A398) ,'Cuadro tarifario'!A$2:A1405,0) -1 , 0 , 1 , 1))</f>
        <v>11000</v>
      </c>
      <c r="I398" s="106">
        <f t="shared" si="195"/>
        <v>1</v>
      </c>
      <c r="J398" s="107">
        <f t="shared" si="207"/>
        <v>11000</v>
      </c>
      <c r="K398" s="108">
        <f>IF(  AND(N398&gt;0,I398=0)          ,N398 ,                         IF(  IF( F398 ,  DAYS360(DATE(YEAR(F398),MONTH(F398),1),Mes)/30  ,  DAYS360(DATE(YEAR(E398),MONTH(E398),1),Mes)/30  )  &gt;  0 , IF(F398,   DAYS360(DATE(YEAR(F398),MONTH(F398),1),Mes)/30  ,  DAYS360(DATE(YEAR(E398),MONTH(E398),1),Mes)/30) , 0)       )</f>
        <v>0</v>
      </c>
      <c r="L398" s="109">
        <f t="shared" si="196"/>
        <v>0</v>
      </c>
      <c r="M398" s="110"/>
      <c r="N398" s="29">
        <f>IF( ISERROR(OFFSET(SECUESTRADOS!D$1,MATCH(B398,SECUESTRADOS!A$2:A1405,0),0)) ,0 ,  OFFSET(SECUESTRADOS!D$1,MATCH(B398,SECUESTRADOS!A$2:A1405,0),0)  )</f>
        <v>0</v>
      </c>
      <c r="O398" s="30"/>
      <c r="P398" s="17" t="str">
        <f t="shared" si="3"/>
        <v>.socio</v>
      </c>
      <c r="Q398" s="17" t="str">
        <f>IF(AND(A398=A396,B398=B396,C398=C396),"Repetido","")</f>
        <v/>
      </c>
      <c r="R398" s="31"/>
      <c r="S398" s="31"/>
      <c r="T398" s="31"/>
    </row>
    <row r="399" ht="15.0" customHeight="1">
      <c r="A399" s="18" t="s">
        <v>38</v>
      </c>
      <c r="B399" s="18">
        <v>1730.0</v>
      </c>
      <c r="C399" s="19">
        <v>1730.0</v>
      </c>
      <c r="D399" s="20" t="str">
        <f>IF(   ISERROR(OFFSET(PADRON!B$2,MATCH(C:C,PADRON!A$2:A1405,0)-1,0,1,1) )  ,  ,    OFFSET(PADRON!B$2,MATCH(C:C,PADRON!A$2:A1405,0)-1,0,1,1))</f>
        <v>TIMKO, GISELLA</v>
      </c>
      <c r="E399" s="21">
        <v>45839.0</v>
      </c>
      <c r="F399" s="21">
        <v>45870.0</v>
      </c>
      <c r="G399" s="23" t="s">
        <v>39</v>
      </c>
      <c r="H399" s="24">
        <f>IF( ISERROR( OFFSET(   'Cuadro tarifario'!D$2  , MATCH(CONCATENATE(                 IF(F399&gt;Mes,OFFSET(NroCT!B$17, MATCH($F399,NroCT!$A$18:$A1405,0),0,1,1),Periodovigente)                                                                                                                     ,A399) ,'Cuadro tarifario'!A$2:A1405,0) -1 , 0 , 1 , 1) )   , 0  ,   OFFSET(   'Cuadro tarifario'!D$2  , MATCH(CONCATENATE( IF(F399&gt;Mes,OFFSET(NroCT!B$17, MATCH($F399,NroCT!$A$18:$A1405,0),0,1,1),Periodovigente) ,A399) ,'Cuadro tarifario'!A$2:A1405,0) -1 , 0 , 1 , 1))</f>
        <v>9000</v>
      </c>
      <c r="I399" s="106">
        <f t="shared" si="195"/>
        <v>1</v>
      </c>
      <c r="J399" s="107">
        <f t="shared" si="207"/>
        <v>9000</v>
      </c>
      <c r="K399" s="108">
        <f>IF(  AND(N399&gt;0,I399=0)          ,N399 ,                         IF(  IF( F399 ,  DAYS360(DATE(YEAR(F399),MONTH(F399),1),Mes)/30  ,  DAYS360(DATE(YEAR(E399),MONTH(E399),1),Mes)/30  )  &gt;  0 , IF(F399,   DAYS360(DATE(YEAR(F399),MONTH(F399),1),Mes)/30  ,  DAYS360(DATE(YEAR(E399),MONTH(E399),1),Mes)/30) , 0)       )</f>
        <v>0</v>
      </c>
      <c r="L399" s="109">
        <f t="shared" si="196"/>
        <v>0</v>
      </c>
      <c r="M399" s="110"/>
      <c r="N399" s="29">
        <f>IF( ISERROR(OFFSET(SECUESTRADOS!D$1,MATCH(B399,SECUESTRADOS!A$2:A1405,0),0)) ,0 ,  OFFSET(SECUESTRADOS!D$1,MATCH(B399,SECUESTRADOS!A$2:A1405,0),0)  )</f>
        <v>0</v>
      </c>
      <c r="O399" s="30"/>
      <c r="P399" s="17" t="str">
        <f t="shared" si="3"/>
        <v>Bono canon</v>
      </c>
      <c r="Q399" s="17" t="str">
        <f t="shared" ref="Q399:Q400" si="221">IF(AND(A399=A398,B399=B398,C399=C398),"Repetido","")</f>
        <v/>
      </c>
      <c r="R399" s="31"/>
      <c r="S399" s="31"/>
      <c r="T399" s="31"/>
    </row>
    <row r="400" ht="15.0" customHeight="1">
      <c r="A400" s="18" t="s">
        <v>40</v>
      </c>
      <c r="B400" s="18" t="s">
        <v>230</v>
      </c>
      <c r="C400" s="19">
        <v>1730.0</v>
      </c>
      <c r="D400" s="20" t="str">
        <f>IF(   ISERROR(OFFSET(PADRON!B$2,MATCH(C:C,PADRON!A$2:A1405,0)-1,0,1,1) )  ,  ,    OFFSET(PADRON!B$2,MATCH(C:C,PADRON!A$2:A1405,0)-1,0,1,1))</f>
        <v>TIMKO, GISELLA</v>
      </c>
      <c r="E400" s="21">
        <v>45839.0</v>
      </c>
      <c r="F400" s="21">
        <v>45870.0</v>
      </c>
      <c r="G400" s="23" t="s">
        <v>39</v>
      </c>
      <c r="H400" s="24">
        <f>IF( ISERROR( OFFSET(   'Cuadro tarifario'!D$2  , MATCH(CONCATENATE(                 IF(F400&gt;Mes,OFFSET(NroCT!B$17, MATCH($F400,NroCT!$A$18:$A1405,0),0,1,1),Periodovigente)                                                                                                                     ,A400) ,'Cuadro tarifario'!A$2:A1405,0) -1 , 0 , 1 , 1) )   , 0  ,   OFFSET(   'Cuadro tarifario'!D$2  , MATCH(CONCATENATE( IF(F400&gt;Mes,OFFSET(NroCT!B$17, MATCH($F400,NroCT!$A$18:$A1405,0),0,1,1),Periodovigente) ,A400) ,'Cuadro tarifario'!A$2:A1405,0) -1 , 0 , 1 , 1))</f>
        <v>12000</v>
      </c>
      <c r="I400" s="106">
        <f t="shared" si="195"/>
        <v>1</v>
      </c>
      <c r="J400" s="107">
        <f t="shared" si="207"/>
        <v>12000</v>
      </c>
      <c r="K400" s="108">
        <f>IF(  AND(N400&gt;0,I400=0)          ,N400 ,                         IF(  IF( F400 ,  DAYS360(DATE(YEAR(F400),MONTH(F400),1),Mes)/30  ,  DAYS360(DATE(YEAR(E400),MONTH(E400),1),Mes)/30  )  &gt;  0 , IF(F400,   DAYS360(DATE(YEAR(F400),MONTH(F400),1),Mes)/30  ,  DAYS360(DATE(YEAR(E400),MONTH(E400),1),Mes)/30) , 0)       )</f>
        <v>0</v>
      </c>
      <c r="L400" s="109">
        <f t="shared" si="196"/>
        <v>0</v>
      </c>
      <c r="M400" s="110"/>
      <c r="N400" s="29">
        <f>IF( ISERROR(OFFSET(SECUESTRADOS!D$1,MATCH(B400,SECUESTRADOS!A$2:A1405,0),0)) ,0 ,  OFFSET(SECUESTRADOS!D$1,MATCH(B400,SECUESTRADOS!A$2:A1405,0),0)  )</f>
        <v>0</v>
      </c>
      <c r="O400" s="30"/>
      <c r="P400" s="17" t="str">
        <f t="shared" si="3"/>
        <v>cuna windsurf</v>
      </c>
      <c r="Q400" s="17" t="str">
        <f t="shared" si="221"/>
        <v/>
      </c>
      <c r="R400" s="31"/>
      <c r="S400" s="31"/>
      <c r="T400" s="31"/>
    </row>
    <row r="401" ht="15.0" customHeight="1">
      <c r="A401" s="18" t="s">
        <v>71</v>
      </c>
      <c r="B401" s="18">
        <v>1732.0</v>
      </c>
      <c r="C401" s="19">
        <v>1732.0</v>
      </c>
      <c r="D401" s="20" t="str">
        <f>IF(   ISERROR(OFFSET(PADRON!B$2,MATCH(C:C,PADRON!A$2:A1405,0)-1,0,1,1) )  ,  ,    OFFSET(PADRON!B$2,MATCH(C:C,PADRON!A$2:A1405,0)-1,0,1,1))</f>
        <v>GANDULFO, VANESA</v>
      </c>
      <c r="E401" s="21">
        <v>45839.0</v>
      </c>
      <c r="F401" s="21">
        <v>45901.0</v>
      </c>
      <c r="G401" s="23" t="s">
        <v>39</v>
      </c>
      <c r="H401" s="24">
        <f>IF( ISERROR( OFFSET(   'Cuadro tarifario'!D$2  , MATCH(CONCATENATE(                 IF(F401&gt;Mes,OFFSET(NroCT!B$17, MATCH($F401,NroCT!$A$18:$A1405,0),0,1,1),Periodovigente)                                                                                                                     ,A401) ,'Cuadro tarifario'!A$2:A1405,0) -1 , 0 , 1 , 1) )   , 0  ,   OFFSET(   'Cuadro tarifario'!D$2  , MATCH(CONCATENATE( IF(F401&gt;Mes,OFFSET(NroCT!B$17, MATCH($F401,NroCT!$A$18:$A1405,0),0,1,1),Periodovigente) ,A401) ,'Cuadro tarifario'!A$2:A1405,0) -1 , 0 , 1 , 1))</f>
        <v>11000</v>
      </c>
      <c r="I401" s="106">
        <f t="shared" si="195"/>
        <v>2</v>
      </c>
      <c r="J401" s="107">
        <f t="shared" si="207"/>
        <v>22000</v>
      </c>
      <c r="K401" s="108">
        <f>IF(  AND(N401&gt;0,I401=0)          ,N401 ,                         IF(  IF( F401 ,  DAYS360(DATE(YEAR(F401),MONTH(F401),1),Mes)/30  ,  DAYS360(DATE(YEAR(E401),MONTH(E401),1),Mes)/30  )  &gt;  0 , IF(F401,   DAYS360(DATE(YEAR(F401),MONTH(F401),1),Mes)/30  ,  DAYS360(DATE(YEAR(E401),MONTH(E401),1),Mes)/30) , 0)       )</f>
        <v>0</v>
      </c>
      <c r="L401" s="109">
        <f t="shared" si="196"/>
        <v>0</v>
      </c>
      <c r="M401" s="110"/>
      <c r="N401" s="29">
        <f>IF( ISERROR(OFFSET(SECUESTRADOS!D$1,MATCH(B401,SECUESTRADOS!A$2:A1405,0),0)) ,0 ,  OFFSET(SECUESTRADOS!D$1,MATCH(B401,SECUESTRADOS!A$2:A1405,0),0)  )</f>
        <v>0</v>
      </c>
      <c r="O401" s="30"/>
      <c r="P401" s="17" t="str">
        <f t="shared" si="3"/>
        <v>.socio</v>
      </c>
      <c r="Q401" s="17" t="str">
        <f>IF(AND(A401=#REF!,B401=#REF!,C401=#REF!),"Repetido","")</f>
        <v>#REF!</v>
      </c>
      <c r="R401" s="31"/>
      <c r="S401" s="31"/>
      <c r="T401" s="31"/>
    </row>
    <row r="402" ht="15.0" customHeight="1">
      <c r="A402" s="18" t="s">
        <v>38</v>
      </c>
      <c r="B402" s="18">
        <v>1732.0</v>
      </c>
      <c r="C402" s="19">
        <v>1732.0</v>
      </c>
      <c r="D402" s="20" t="str">
        <f>IF(   ISERROR(OFFSET(PADRON!B$2,MATCH(C:C,PADRON!A$2:A1405,0)-1,0,1,1) )  ,  ,    OFFSET(PADRON!B$2,MATCH(C:C,PADRON!A$2:A1405,0)-1,0,1,1))</f>
        <v>GANDULFO, VANESA</v>
      </c>
      <c r="E402" s="21">
        <v>45839.0</v>
      </c>
      <c r="F402" s="21">
        <v>45901.0</v>
      </c>
      <c r="G402" s="23" t="s">
        <v>39</v>
      </c>
      <c r="H402" s="24">
        <f>IF( ISERROR( OFFSET(   'Cuadro tarifario'!D$2  , MATCH(CONCATENATE(                 IF(F402&gt;Mes,OFFSET(NroCT!B$17, MATCH($F402,NroCT!$A$18:$A1405,0),0,1,1),Periodovigente)                                                                                                                     ,A402) ,'Cuadro tarifario'!A$2:A1405,0) -1 , 0 , 1 , 1) )   , 0  ,   OFFSET(   'Cuadro tarifario'!D$2  , MATCH(CONCATENATE( IF(F402&gt;Mes,OFFSET(NroCT!B$17, MATCH($F402,NroCT!$A$18:$A1405,0),0,1,1),Periodovigente) ,A402) ,'Cuadro tarifario'!A$2:A1405,0) -1 , 0 , 1 , 1))</f>
        <v>9000</v>
      </c>
      <c r="I402" s="106">
        <f t="shared" si="195"/>
        <v>2</v>
      </c>
      <c r="J402" s="107">
        <f t="shared" si="207"/>
        <v>18000</v>
      </c>
      <c r="K402" s="108">
        <f>IF(  AND(N402&gt;0,I402=0)          ,N402 ,                         IF(  IF( F402 ,  DAYS360(DATE(YEAR(F402),MONTH(F402),1),Mes)/30  ,  DAYS360(DATE(YEAR(E402),MONTH(E402),1),Mes)/30  )  &gt;  0 , IF(F402,   DAYS360(DATE(YEAR(F402),MONTH(F402),1),Mes)/30  ,  DAYS360(DATE(YEAR(E402),MONTH(E402),1),Mes)/30) , 0)       )</f>
        <v>0</v>
      </c>
      <c r="L402" s="109">
        <f t="shared" si="196"/>
        <v>0</v>
      </c>
      <c r="M402" s="110"/>
      <c r="N402" s="29">
        <f>IF( ISERROR(OFFSET(SECUESTRADOS!D$1,MATCH(B402,SECUESTRADOS!A$2:A1405,0),0)) ,0 ,  OFFSET(SECUESTRADOS!D$1,MATCH(B402,SECUESTRADOS!A$2:A1405,0),0)  )</f>
        <v>0</v>
      </c>
      <c r="O402" s="30"/>
      <c r="P402" s="17" t="str">
        <f t="shared" si="3"/>
        <v>Bono canon</v>
      </c>
      <c r="Q402" s="17" t="str">
        <f>IF(AND(A402=A401,B402=B401,C402=C401),"Repetido","")</f>
        <v/>
      </c>
      <c r="R402" s="31"/>
      <c r="S402" s="31"/>
      <c r="T402" s="31"/>
    </row>
    <row r="403" ht="15.0" customHeight="1">
      <c r="A403" s="18" t="s">
        <v>71</v>
      </c>
      <c r="B403" s="18">
        <v>1735.0</v>
      </c>
      <c r="C403" s="19">
        <v>1735.0</v>
      </c>
      <c r="D403" s="20" t="str">
        <f>IF(   ISERROR(OFFSET(PADRON!B$2,MATCH(C:C,PADRON!A$2:A1405,0)-1,0,1,1) )  ,  ,    OFFSET(PADRON!B$2,MATCH(C:C,PADRON!A$2:A1405,0)-1,0,1,1))</f>
        <v>ZAPATA, MARINA </v>
      </c>
      <c r="E403" s="21">
        <v>45839.0</v>
      </c>
      <c r="F403" s="21">
        <v>45870.0</v>
      </c>
      <c r="G403" s="23" t="s">
        <v>39</v>
      </c>
      <c r="H403" s="24">
        <f>IF( ISERROR( OFFSET(   'Cuadro tarifario'!D$2  , MATCH(CONCATENATE(                 IF(F403&gt;Mes,OFFSET(NroCT!B$17, MATCH($F403,NroCT!$A$18:$A1405,0),0,1,1),Periodovigente)                                                                                                                     ,A403) ,'Cuadro tarifario'!A$2:A1405,0) -1 , 0 , 1 , 1) )   , 0  ,   OFFSET(   'Cuadro tarifario'!D$2  , MATCH(CONCATENATE( IF(F403&gt;Mes,OFFSET(NroCT!B$17, MATCH($F403,NroCT!$A$18:$A1405,0),0,1,1),Periodovigente) ,A403) ,'Cuadro tarifario'!A$2:A1405,0) -1 , 0 , 1 , 1))</f>
        <v>11000</v>
      </c>
      <c r="I403" s="106">
        <f t="shared" si="195"/>
        <v>1</v>
      </c>
      <c r="J403" s="107">
        <f t="shared" si="207"/>
        <v>11000</v>
      </c>
      <c r="K403" s="108">
        <f>IF(  AND(N403&gt;0,I403=0)          ,N403 ,                         IF(  IF( F403 ,  DAYS360(DATE(YEAR(F403),MONTH(F403),1),Mes)/30  ,  DAYS360(DATE(YEAR(E403),MONTH(E403),1),Mes)/30  )  &gt;  0 , IF(F403,   DAYS360(DATE(YEAR(F403),MONTH(F403),1),Mes)/30  ,  DAYS360(DATE(YEAR(E403),MONTH(E403),1),Mes)/30) , 0)       )</f>
        <v>0</v>
      </c>
      <c r="L403" s="109">
        <f t="shared" si="196"/>
        <v>0</v>
      </c>
      <c r="M403" s="110"/>
      <c r="N403" s="29">
        <f>IF( ISERROR(OFFSET(SECUESTRADOS!D$1,MATCH(B403,SECUESTRADOS!A$2:A1405,0),0)) ,0 ,  OFFSET(SECUESTRADOS!D$1,MATCH(B403,SECUESTRADOS!A$2:A1405,0),0)  )</f>
        <v>0</v>
      </c>
      <c r="O403" s="30"/>
      <c r="P403" s="17" t="str">
        <f t="shared" si="3"/>
        <v>.socio</v>
      </c>
      <c r="Q403" s="17" t="str">
        <f>IF(AND(A403=#REF!,B403=#REF!,C403=#REF!),"Repetido","")</f>
        <v>#REF!</v>
      </c>
      <c r="R403" s="31"/>
      <c r="S403" s="31"/>
      <c r="T403" s="31"/>
    </row>
    <row r="404" ht="15.0" customHeight="1">
      <c r="A404" s="18" t="s">
        <v>38</v>
      </c>
      <c r="B404" s="18">
        <v>1735.0</v>
      </c>
      <c r="C404" s="19">
        <v>1735.0</v>
      </c>
      <c r="D404" s="20" t="str">
        <f>IF(   ISERROR(OFFSET(PADRON!B$2,MATCH(C:C,PADRON!A$2:A1405,0)-1,0,1,1) )  ,  ,    OFFSET(PADRON!B$2,MATCH(C:C,PADRON!A$2:A1405,0)-1,0,1,1))</f>
        <v>ZAPATA, MARINA </v>
      </c>
      <c r="E404" s="21">
        <v>45839.0</v>
      </c>
      <c r="F404" s="21">
        <v>45870.0</v>
      </c>
      <c r="G404" s="23" t="s">
        <v>39</v>
      </c>
      <c r="H404" s="24">
        <f>IF( ISERROR( OFFSET(   'Cuadro tarifario'!D$2  , MATCH(CONCATENATE(                 IF(F404&gt;Mes,OFFSET(NroCT!B$17, MATCH($F404,NroCT!$A$18:$A1405,0),0,1,1),Periodovigente)                                                                                                                     ,A404) ,'Cuadro tarifario'!A$2:A1405,0) -1 , 0 , 1 , 1) )   , 0  ,   OFFSET(   'Cuadro tarifario'!D$2  , MATCH(CONCATENATE( IF(F404&gt;Mes,OFFSET(NroCT!B$17, MATCH($F404,NroCT!$A$18:$A1405,0),0,1,1),Periodovigente) ,A404) ,'Cuadro tarifario'!A$2:A1405,0) -1 , 0 , 1 , 1))</f>
        <v>9000</v>
      </c>
      <c r="I404" s="106">
        <f t="shared" si="195"/>
        <v>1</v>
      </c>
      <c r="J404" s="107">
        <f t="shared" si="207"/>
        <v>9000</v>
      </c>
      <c r="K404" s="108">
        <f>IF(  AND(N404&gt;0,I404=0)          ,N404 ,                         IF(  IF( F404 ,  DAYS360(DATE(YEAR(F404),MONTH(F404),1),Mes)/30  ,  DAYS360(DATE(YEAR(E404),MONTH(E404),1),Mes)/30  )  &gt;  0 , IF(F404,   DAYS360(DATE(YEAR(F404),MONTH(F404),1),Mes)/30  ,  DAYS360(DATE(YEAR(E404),MONTH(E404),1),Mes)/30) , 0)       )</f>
        <v>0</v>
      </c>
      <c r="L404" s="109">
        <f t="shared" si="196"/>
        <v>0</v>
      </c>
      <c r="M404" s="110"/>
      <c r="N404" s="29">
        <f>IF( ISERROR(OFFSET(SECUESTRADOS!D$1,MATCH(B404,SECUESTRADOS!A$2:A1405,0),0)) ,0 ,  OFFSET(SECUESTRADOS!D$1,MATCH(B404,SECUESTRADOS!A$2:A1405,0),0)  )</f>
        <v>0</v>
      </c>
      <c r="O404" s="30"/>
      <c r="P404" s="17" t="str">
        <f t="shared" si="3"/>
        <v>Bono canon</v>
      </c>
      <c r="Q404" s="17" t="str">
        <f>IF(AND(A404=A403,B404=B403,C404=C403),"Repetido","")</f>
        <v/>
      </c>
      <c r="R404" s="31"/>
      <c r="S404" s="31"/>
      <c r="T404" s="31"/>
    </row>
    <row r="405" ht="15.0" customHeight="1">
      <c r="A405" s="18" t="s">
        <v>71</v>
      </c>
      <c r="B405" s="18">
        <v>1737.0</v>
      </c>
      <c r="C405" s="19">
        <v>1737.0</v>
      </c>
      <c r="D405" s="20" t="str">
        <f>IF(   ISERROR(OFFSET(PADRON!B$2,MATCH(C:C,PADRON!A$2:A1405,0)-1,0,1,1) )  ,  ,    OFFSET(PADRON!B$2,MATCH(C:C,PADRON!A$2:A1405,0)-1,0,1,1))</f>
        <v>CAMARA, ANA</v>
      </c>
      <c r="E405" s="21">
        <v>45809.0</v>
      </c>
      <c r="F405" s="21">
        <v>45992.0</v>
      </c>
      <c r="G405" s="23" t="s">
        <v>39</v>
      </c>
      <c r="H405" s="24">
        <f>IF( ISERROR( OFFSET(   'Cuadro tarifario'!D$2  , MATCH(CONCATENATE(                 IF(F405&gt;Mes,OFFSET(NroCT!B$17, MATCH($F405,NroCT!$A$18:$A1405,0),0,1,1),Periodovigente)                                                                                                                     ,A405) ,'Cuadro tarifario'!A$2:A1405,0) -1 , 0 , 1 , 1) )   , 0  ,   OFFSET(   'Cuadro tarifario'!D$2  , MATCH(CONCATENATE( IF(F405&gt;Mes,OFFSET(NroCT!B$17, MATCH($F405,NroCT!$A$18:$A1405,0),0,1,1),Periodovigente) ,A405) ,'Cuadro tarifario'!A$2:A1405,0) -1 , 0 , 1 , 1))</f>
        <v>11000</v>
      </c>
      <c r="I405" s="106">
        <f t="shared" si="195"/>
        <v>6</v>
      </c>
      <c r="J405" s="107">
        <f t="shared" si="207"/>
        <v>66000</v>
      </c>
      <c r="K405" s="108">
        <f>IF(  AND(N405&gt;0,I405=0)          ,N405 ,                         IF(  IF( F405 ,  DAYS360(DATE(YEAR(F405),MONTH(F405),1),Mes)/30  ,  DAYS360(DATE(YEAR(E405),MONTH(E405),1),Mes)/30  )  &gt;  0 , IF(F405,   DAYS360(DATE(YEAR(F405),MONTH(F405),1),Mes)/30  ,  DAYS360(DATE(YEAR(E405),MONTH(E405),1),Mes)/30) , 0)       )</f>
        <v>0</v>
      </c>
      <c r="L405" s="109">
        <f t="shared" si="196"/>
        <v>0</v>
      </c>
      <c r="M405" s="110"/>
      <c r="N405" s="29">
        <f>IF( ISERROR(OFFSET(SECUESTRADOS!D$1,MATCH(B405,SECUESTRADOS!A$2:A1405,0),0)) ,0 ,  OFFSET(SECUESTRADOS!D$1,MATCH(B405,SECUESTRADOS!A$2:A1405,0),0)  )</f>
        <v>0</v>
      </c>
      <c r="O405" s="30"/>
      <c r="P405" s="17" t="str">
        <f t="shared" si="3"/>
        <v>.socio</v>
      </c>
      <c r="Q405" s="17" t="str">
        <f>IF(AND(A405=#REF!,B405=#REF!,C405=#REF!),"Repetido","")</f>
        <v>#REF!</v>
      </c>
      <c r="R405" s="31"/>
      <c r="S405" s="31"/>
      <c r="T405" s="31"/>
    </row>
    <row r="406" ht="15.0" customHeight="1">
      <c r="A406" s="18" t="s">
        <v>38</v>
      </c>
      <c r="B406" s="18">
        <v>1737.0</v>
      </c>
      <c r="C406" s="19">
        <v>1737.0</v>
      </c>
      <c r="D406" s="20" t="str">
        <f>IF(   ISERROR(OFFSET(PADRON!B$2,MATCH(C:C,PADRON!A$2:A1405,0)-1,0,1,1) )  ,  ,    OFFSET(PADRON!B$2,MATCH(C:C,PADRON!A$2:A1405,0)-1,0,1,1))</f>
        <v>CAMARA, ANA</v>
      </c>
      <c r="E406" s="21">
        <v>45809.0</v>
      </c>
      <c r="F406" s="21">
        <v>45992.0</v>
      </c>
      <c r="G406" s="23" t="s">
        <v>39</v>
      </c>
      <c r="H406" s="24">
        <f>IF( ISERROR( OFFSET(   'Cuadro tarifario'!D$2  , MATCH(CONCATENATE(                 IF(F406&gt;Mes,OFFSET(NroCT!B$17, MATCH($F406,NroCT!$A$18:$A1405,0),0,1,1),Periodovigente)                                                                                                                     ,A406) ,'Cuadro tarifario'!A$2:A1405,0) -1 , 0 , 1 , 1) )   , 0  ,   OFFSET(   'Cuadro tarifario'!D$2  , MATCH(CONCATENATE( IF(F406&gt;Mes,OFFSET(NroCT!B$17, MATCH($F406,NroCT!$A$18:$A1405,0),0,1,1),Periodovigente) ,A406) ,'Cuadro tarifario'!A$2:A1405,0) -1 , 0 , 1 , 1))</f>
        <v>9000</v>
      </c>
      <c r="I406" s="106">
        <f t="shared" si="195"/>
        <v>6</v>
      </c>
      <c r="J406" s="107">
        <f t="shared" si="207"/>
        <v>54000</v>
      </c>
      <c r="K406" s="108">
        <f>IF(  AND(N406&gt;0,I406=0)          ,N406 ,                         IF(  IF( F406 ,  DAYS360(DATE(YEAR(F406),MONTH(F406),1),Mes)/30  ,  DAYS360(DATE(YEAR(E406),MONTH(E406),1),Mes)/30  )  &gt;  0 , IF(F406,   DAYS360(DATE(YEAR(F406),MONTH(F406),1),Mes)/30  ,  DAYS360(DATE(YEAR(E406),MONTH(E406),1),Mes)/30) , 0)       )</f>
        <v>0</v>
      </c>
      <c r="L406" s="109">
        <f t="shared" si="196"/>
        <v>0</v>
      </c>
      <c r="M406" s="110"/>
      <c r="N406" s="29">
        <f>IF( ISERROR(OFFSET(SECUESTRADOS!D$1,MATCH(B406,SECUESTRADOS!A$2:A1405,0),0)) ,0 ,  OFFSET(SECUESTRADOS!D$1,MATCH(B406,SECUESTRADOS!A$2:A1405,0),0)  )</f>
        <v>0</v>
      </c>
      <c r="O406" s="30"/>
      <c r="P406" s="17" t="str">
        <f t="shared" si="3"/>
        <v>Bono canon</v>
      </c>
      <c r="Q406" s="17" t="str">
        <f t="shared" ref="Q406:Q412" si="222">IF(AND(A406=A405,B406=B405,C406=C405),"Repetido","")</f>
        <v/>
      </c>
      <c r="R406" s="31"/>
      <c r="S406" s="31"/>
      <c r="T406" s="31"/>
    </row>
    <row r="407" ht="15.0" customHeight="1">
      <c r="A407" s="18" t="s">
        <v>40</v>
      </c>
      <c r="B407" s="18" t="s">
        <v>231</v>
      </c>
      <c r="C407" s="19">
        <v>1737.0</v>
      </c>
      <c r="D407" s="20" t="str">
        <f>IF(   ISERROR(OFFSET(PADRON!B$2,MATCH(C:C,PADRON!A$2:A1405,0)-1,0,1,1) )  ,  ,    OFFSET(PADRON!B$2,MATCH(C:C,PADRON!A$2:A1405,0)-1,0,1,1))</f>
        <v>CAMARA, ANA</v>
      </c>
      <c r="E407" s="21">
        <v>45839.0</v>
      </c>
      <c r="F407" s="21">
        <v>45992.0</v>
      </c>
      <c r="G407" s="23" t="s">
        <v>39</v>
      </c>
      <c r="H407" s="24">
        <f>IF( ISERROR( OFFSET(   'Cuadro tarifario'!D$2  , MATCH(CONCATENATE(                 IF(F407&gt;Mes,OFFSET(NroCT!B$17, MATCH($F407,NroCT!$A$18:$A1405,0),0,1,1),Periodovigente)                                                                                                                     ,A407) ,'Cuadro tarifario'!A$2:A1405,0) -1 , 0 , 1 , 1) )   , 0  ,   OFFSET(   'Cuadro tarifario'!D$2  , MATCH(CONCATENATE( IF(F407&gt;Mes,OFFSET(NroCT!B$17, MATCH($F407,NroCT!$A$18:$A1405,0),0,1,1),Periodovigente) ,A407) ,'Cuadro tarifario'!A$2:A1405,0) -1 , 0 , 1 , 1))</f>
        <v>12000</v>
      </c>
      <c r="I407" s="106">
        <f t="shared" si="195"/>
        <v>5</v>
      </c>
      <c r="J407" s="107">
        <f t="shared" si="207"/>
        <v>60000</v>
      </c>
      <c r="K407" s="108">
        <f>IF(  AND(N407&gt;0,I407=0)          ,N407 ,                         IF(  IF( F407 ,  DAYS360(DATE(YEAR(F407),MONTH(F407),1),Mes)/30  ,  DAYS360(DATE(YEAR(E407),MONTH(E407),1),Mes)/30  )  &gt;  0 , IF(F407,   DAYS360(DATE(YEAR(F407),MONTH(F407),1),Mes)/30  ,  DAYS360(DATE(YEAR(E407),MONTH(E407),1),Mes)/30) , 0)       )</f>
        <v>0</v>
      </c>
      <c r="L407" s="109">
        <f t="shared" si="196"/>
        <v>0</v>
      </c>
      <c r="M407" s="110"/>
      <c r="N407" s="29">
        <f>IF( ISERROR(OFFSET(SECUESTRADOS!D$1,MATCH(B407,SECUESTRADOS!A$2:A1405,0),0)) ,0 ,  OFFSET(SECUESTRADOS!D$1,MATCH(B407,SECUESTRADOS!A$2:A1405,0),0)  )</f>
        <v>0</v>
      </c>
      <c r="O407" s="30"/>
      <c r="P407" s="17" t="str">
        <f t="shared" si="3"/>
        <v>cuna windsurf</v>
      </c>
      <c r="Q407" s="17" t="str">
        <f t="shared" si="222"/>
        <v/>
      </c>
      <c r="R407" s="31"/>
      <c r="S407" s="31"/>
      <c r="T407" s="31"/>
    </row>
    <row r="408" ht="15.0" customHeight="1">
      <c r="A408" s="18" t="s">
        <v>71</v>
      </c>
      <c r="B408" s="18">
        <v>1738.0</v>
      </c>
      <c r="C408" s="19">
        <v>1738.0</v>
      </c>
      <c r="D408" s="20" t="str">
        <f>IF(   ISERROR(OFFSET(PADRON!B$2,MATCH(C:C,PADRON!A$2:A1405,0)-1,0,1,1) )  ,  ,    OFFSET(PADRON!B$2,MATCH(C:C,PADRON!A$2:A1405,0)-1,0,1,1))</f>
        <v>Malmoria, Ianina Soledad</v>
      </c>
      <c r="E408" s="21">
        <v>45839.0</v>
      </c>
      <c r="F408" s="21">
        <v>45870.0</v>
      </c>
      <c r="G408" s="23" t="s">
        <v>39</v>
      </c>
      <c r="H408" s="24">
        <f>IF( ISERROR( OFFSET(   'Cuadro tarifario'!D$2  , MATCH(CONCATENATE(                 IF(F408&gt;Mes,OFFSET(NroCT!B$17, MATCH($F408,NroCT!$A$18:$A1405,0),0,1,1),Periodovigente)                                                                                                                     ,A408) ,'Cuadro tarifario'!A$2:A1405,0) -1 , 0 , 1 , 1) )   , 0  ,   OFFSET(   'Cuadro tarifario'!D$2  , MATCH(CONCATENATE( IF(F408&gt;Mes,OFFSET(NroCT!B$17, MATCH($F408,NroCT!$A$18:$A1405,0),0,1,1),Periodovigente) ,A408) ,'Cuadro tarifario'!A$2:A1405,0) -1 , 0 , 1 , 1))</f>
        <v>11000</v>
      </c>
      <c r="I408" s="106">
        <f t="shared" si="195"/>
        <v>1</v>
      </c>
      <c r="J408" s="107">
        <f t="shared" si="207"/>
        <v>11000</v>
      </c>
      <c r="K408" s="108">
        <f>IF(  AND(N408&gt;0,I408=0)          ,N408 ,                         IF(  IF( F408 ,  DAYS360(DATE(YEAR(F408),MONTH(F408),1),Mes)/30  ,  DAYS360(DATE(YEAR(E408),MONTH(E408),1),Mes)/30  )  &gt;  0 , IF(F408,   DAYS360(DATE(YEAR(F408),MONTH(F408),1),Mes)/30  ,  DAYS360(DATE(YEAR(E408),MONTH(E408),1),Mes)/30) , 0)       )</f>
        <v>0</v>
      </c>
      <c r="L408" s="109">
        <f t="shared" si="196"/>
        <v>0</v>
      </c>
      <c r="M408" s="110"/>
      <c r="N408" s="29">
        <f>IF( ISERROR(OFFSET(SECUESTRADOS!D$1,MATCH(B408,SECUESTRADOS!A$2:A1405,0),0)) ,0 ,  OFFSET(SECUESTRADOS!D$1,MATCH(B408,SECUESTRADOS!A$2:A1405,0),0)  )</f>
        <v>0</v>
      </c>
      <c r="O408" s="30"/>
      <c r="P408" s="17" t="str">
        <f t="shared" si="3"/>
        <v>.socio</v>
      </c>
      <c r="Q408" s="17" t="str">
        <f t="shared" si="222"/>
        <v/>
      </c>
      <c r="R408" s="31"/>
      <c r="S408" s="31"/>
      <c r="T408" s="31"/>
    </row>
    <row r="409" ht="15.0" customHeight="1">
      <c r="A409" s="18" t="s">
        <v>38</v>
      </c>
      <c r="B409" s="18">
        <v>1738.0</v>
      </c>
      <c r="C409" s="19">
        <v>1738.0</v>
      </c>
      <c r="D409" s="20" t="str">
        <f>IF(   ISERROR(OFFSET(PADRON!B$2,MATCH(C:C,PADRON!A$2:A1405,0)-1,0,1,1) )  ,  ,    OFFSET(PADRON!B$2,MATCH(C:C,PADRON!A$2:A1405,0)-1,0,1,1))</f>
        <v>Malmoria, Ianina Soledad</v>
      </c>
      <c r="E409" s="21">
        <v>45839.0</v>
      </c>
      <c r="F409" s="21">
        <v>45870.0</v>
      </c>
      <c r="G409" s="23" t="s">
        <v>39</v>
      </c>
      <c r="H409" s="24">
        <f>IF( ISERROR( OFFSET(   'Cuadro tarifario'!D$2  , MATCH(CONCATENATE(                 IF(F409&gt;Mes,OFFSET(NroCT!B$17, MATCH($F409,NroCT!$A$18:$A1405,0),0,1,1),Periodovigente)                                                                                                                     ,A409) ,'Cuadro tarifario'!A$2:A1405,0) -1 , 0 , 1 , 1) )   , 0  ,   OFFSET(   'Cuadro tarifario'!D$2  , MATCH(CONCATENATE( IF(F409&gt;Mes,OFFSET(NroCT!B$17, MATCH($F409,NroCT!$A$18:$A1405,0),0,1,1),Periodovigente) ,A409) ,'Cuadro tarifario'!A$2:A1405,0) -1 , 0 , 1 , 1))</f>
        <v>9000</v>
      </c>
      <c r="I409" s="106">
        <f t="shared" si="195"/>
        <v>1</v>
      </c>
      <c r="J409" s="107">
        <f t="shared" si="207"/>
        <v>9000</v>
      </c>
      <c r="K409" s="108">
        <f>IF(  AND(N409&gt;0,I409=0)          ,N409 ,                         IF(  IF( F409 ,  DAYS360(DATE(YEAR(F409),MONTH(F409),1),Mes)/30  ,  DAYS360(DATE(YEAR(E409),MONTH(E409),1),Mes)/30  )  &gt;  0 , IF(F409,   DAYS360(DATE(YEAR(F409),MONTH(F409),1),Mes)/30  ,  DAYS360(DATE(YEAR(E409),MONTH(E409),1),Mes)/30) , 0)       )</f>
        <v>0</v>
      </c>
      <c r="L409" s="109">
        <f t="shared" si="196"/>
        <v>0</v>
      </c>
      <c r="M409" s="110"/>
      <c r="N409" s="29">
        <f>IF( ISERROR(OFFSET(SECUESTRADOS!D$1,MATCH(B409,SECUESTRADOS!A$2:A1405,0),0)) ,0 ,  OFFSET(SECUESTRADOS!D$1,MATCH(B409,SECUESTRADOS!A$2:A1405,0),0)  )</f>
        <v>0</v>
      </c>
      <c r="O409" s="30"/>
      <c r="P409" s="17" t="str">
        <f t="shared" si="3"/>
        <v>Bono canon</v>
      </c>
      <c r="Q409" s="17" t="str">
        <f t="shared" si="222"/>
        <v/>
      </c>
      <c r="R409" s="31"/>
      <c r="S409" s="31"/>
      <c r="T409" s="31"/>
    </row>
    <row r="410" ht="15.0" customHeight="1">
      <c r="A410" s="18" t="s">
        <v>71</v>
      </c>
      <c r="B410" s="18">
        <v>1739.0</v>
      </c>
      <c r="C410" s="19">
        <v>1739.0</v>
      </c>
      <c r="D410" s="20" t="str">
        <f>IF(   ISERROR(OFFSET(PADRON!B$2,MATCH(C:C,PADRON!A$2:A1405,0)-1,0,1,1) )  ,  ,    OFFSET(PADRON!B$2,MATCH(C:C,PADRON!A$2:A1405,0)-1,0,1,1))</f>
        <v>RAMPOLDI, JUAN IGNACIO</v>
      </c>
      <c r="E410" s="21">
        <v>45839.0</v>
      </c>
      <c r="F410" s="21">
        <v>45870.0</v>
      </c>
      <c r="G410" s="23" t="s">
        <v>39</v>
      </c>
      <c r="H410" s="24">
        <f>IF( ISERROR( OFFSET(   'Cuadro tarifario'!D$2  , MATCH(CONCATENATE(                 IF(F410&gt;Mes,OFFSET(NroCT!B$17, MATCH($F410,NroCT!$A$18:$A1405,0),0,1,1),Periodovigente)                                                                                                                     ,A410) ,'Cuadro tarifario'!A$2:A1405,0) -1 , 0 , 1 , 1) )   , 0  ,   OFFSET(   'Cuadro tarifario'!D$2  , MATCH(CONCATENATE( IF(F410&gt;Mes,OFFSET(NroCT!B$17, MATCH($F410,NroCT!$A$18:$A1405,0),0,1,1),Periodovigente) ,A410) ,'Cuadro tarifario'!A$2:A1405,0) -1 , 0 , 1 , 1))</f>
        <v>11000</v>
      </c>
      <c r="I410" s="106">
        <f t="shared" si="195"/>
        <v>1</v>
      </c>
      <c r="J410" s="107">
        <f t="shared" si="207"/>
        <v>11000</v>
      </c>
      <c r="K410" s="108">
        <f>IF(  AND(N410&gt;0,I410=0)          ,N410 ,                         IF(  IF( F410 ,  DAYS360(DATE(YEAR(F410),MONTH(F410),1),Mes)/30  ,  DAYS360(DATE(YEAR(E410),MONTH(E410),1),Mes)/30  )  &gt;  0 , IF(F410,   DAYS360(DATE(YEAR(F410),MONTH(F410),1),Mes)/30  ,  DAYS360(DATE(YEAR(E410),MONTH(E410),1),Mes)/30) , 0)       )</f>
        <v>0</v>
      </c>
      <c r="L410" s="109">
        <f t="shared" si="196"/>
        <v>0</v>
      </c>
      <c r="M410" s="110"/>
      <c r="N410" s="29">
        <f>IF( ISERROR(OFFSET(SECUESTRADOS!D$1,MATCH(B410,SECUESTRADOS!A$2:A1405,0),0)) ,0 ,  OFFSET(SECUESTRADOS!D$1,MATCH(B410,SECUESTRADOS!A$2:A1405,0),0)  )</f>
        <v>0</v>
      </c>
      <c r="O410" s="30"/>
      <c r="P410" s="17" t="str">
        <f t="shared" si="3"/>
        <v>.socio</v>
      </c>
      <c r="Q410" s="17" t="str">
        <f t="shared" si="222"/>
        <v/>
      </c>
      <c r="R410" s="31"/>
      <c r="S410" s="31"/>
      <c r="T410" s="31"/>
    </row>
    <row r="411" ht="15.0" customHeight="1">
      <c r="A411" s="18" t="s">
        <v>38</v>
      </c>
      <c r="B411" s="18">
        <v>1739.0</v>
      </c>
      <c r="C411" s="19">
        <v>1739.0</v>
      </c>
      <c r="D411" s="20" t="str">
        <f>IF(   ISERROR(OFFSET(PADRON!B$2,MATCH(C:C,PADRON!A$2:A1405,0)-1,0,1,1) )  ,  ,    OFFSET(PADRON!B$2,MATCH(C:C,PADRON!A$2:A1405,0)-1,0,1,1))</f>
        <v>RAMPOLDI, JUAN IGNACIO</v>
      </c>
      <c r="E411" s="21">
        <v>45839.0</v>
      </c>
      <c r="F411" s="21">
        <v>45870.0</v>
      </c>
      <c r="G411" s="32" t="s">
        <v>39</v>
      </c>
      <c r="H411" s="24">
        <f>IF( ISERROR( OFFSET(   'Cuadro tarifario'!D$2  , MATCH(CONCATENATE(                 IF(F411&gt;Mes,OFFSET(NroCT!B$17, MATCH($F411,NroCT!$A$18:$A1405,0),0,1,1),Periodovigente)                                                                                                                     ,A411) ,'Cuadro tarifario'!A$2:A1405,0) -1 , 0 , 1 , 1) )   , 0  ,   OFFSET(   'Cuadro tarifario'!D$2  , MATCH(CONCATENATE( IF(F411&gt;Mes,OFFSET(NroCT!B$17, MATCH($F411,NroCT!$A$18:$A1405,0),0,1,1),Periodovigente) ,A411) ,'Cuadro tarifario'!A$2:A1405,0) -1 , 0 , 1 , 1))</f>
        <v>9000</v>
      </c>
      <c r="I411" s="106">
        <f t="shared" si="195"/>
        <v>1</v>
      </c>
      <c r="J411" s="107">
        <f t="shared" si="207"/>
        <v>9000</v>
      </c>
      <c r="K411" s="108">
        <f>IF(  AND(N411&gt;0,I411=0)          ,N411 ,                         IF(  IF( F411 ,  DAYS360(DATE(YEAR(F411),MONTH(F411),1),Mes)/30  ,  DAYS360(DATE(YEAR(E411),MONTH(E411),1),Mes)/30  )  &gt;  0 , IF(F411,   DAYS360(DATE(YEAR(F411),MONTH(F411),1),Mes)/30  ,  DAYS360(DATE(YEAR(E411),MONTH(E411),1),Mes)/30) , 0)       )</f>
        <v>0</v>
      </c>
      <c r="L411" s="109">
        <f t="shared" si="196"/>
        <v>0</v>
      </c>
      <c r="M411" s="110"/>
      <c r="N411" s="29">
        <f>IF( ISERROR(OFFSET(SECUESTRADOS!D$1,MATCH(B411,SECUESTRADOS!A$2:A1405,0),0)) ,0 ,  OFFSET(SECUESTRADOS!D$1,MATCH(B411,SECUESTRADOS!A$2:A1405,0),0)  )</f>
        <v>0</v>
      </c>
      <c r="O411" s="30"/>
      <c r="P411" s="17" t="str">
        <f t="shared" si="3"/>
        <v>Bono canon</v>
      </c>
      <c r="Q411" s="17" t="str">
        <f t="shared" si="222"/>
        <v/>
      </c>
      <c r="R411" s="31"/>
      <c r="S411" s="31"/>
      <c r="T411" s="31"/>
    </row>
    <row r="412" ht="15.0" customHeight="1">
      <c r="A412" s="18" t="s">
        <v>40</v>
      </c>
      <c r="B412" s="116" t="s">
        <v>232</v>
      </c>
      <c r="C412" s="19">
        <v>1739.0</v>
      </c>
      <c r="D412" s="57" t="str">
        <f>IF(   ISERROR(OFFSET(PADRON!B$2,MATCH(C:C,PADRON!A$2:A1405,0)-1,0,1,1) )  ,  ,    OFFSET(PADRON!B$2,MATCH(C:C,PADRON!A$2:A1405,0)-1,0,1,1))</f>
        <v>RAMPOLDI, JUAN IGNACIO</v>
      </c>
      <c r="E412" s="58">
        <v>45839.0</v>
      </c>
      <c r="F412" s="58">
        <v>45870.0</v>
      </c>
      <c r="G412" s="128" t="s">
        <v>39</v>
      </c>
      <c r="H412" s="60">
        <f>IF( ISERROR( OFFSET(   'Cuadro tarifario'!D$2  , MATCH(CONCATENATE(                 IF(F412&gt;Mes,OFFSET(NroCT!B$17, MATCH($F412,NroCT!$A$18:$A1405,0),0,1,1),Periodovigente)                                                                                                                     ,A412) ,'Cuadro tarifario'!A$2:A1405,0) -1 , 0 , 1 , 1) )   , 0  ,   OFFSET(   'Cuadro tarifario'!D$2  , MATCH(CONCATENATE( IF(F412&gt;Mes,OFFSET(NroCT!B$17, MATCH($F412,NroCT!$A$18:$A1405,0),0,1,1),Periodovigente) ,A412) ,'Cuadro tarifario'!A$2:A1405,0) -1 , 0 , 1 , 1))</f>
        <v>12000</v>
      </c>
      <c r="I412" s="117">
        <f t="shared" si="195"/>
        <v>1</v>
      </c>
      <c r="J412" s="118">
        <f t="shared" si="207"/>
        <v>12000</v>
      </c>
      <c r="K412" s="119">
        <f>IF(  AND(N412&gt;0,I412=0)          ,N412 ,                         IF(  IF( F412 ,  DAYS360(DATE(YEAR(F412),MONTH(F412),1),Mes)/30  ,  DAYS360(DATE(YEAR(E412),MONTH(E412),1),Mes)/30  )  &gt;  0 , IF(F412,   DAYS360(DATE(YEAR(F412),MONTH(F412),1),Mes)/30  ,  DAYS360(DATE(YEAR(E412),MONTH(E412),1),Mes)/30) , 0)       )</f>
        <v>0</v>
      </c>
      <c r="L412" s="120">
        <f t="shared" si="196"/>
        <v>0</v>
      </c>
      <c r="M412" s="121"/>
      <c r="N412" s="29">
        <f>IF( ISERROR(OFFSET(SECUESTRADOS!D$1,MATCH(B412,SECUESTRADOS!A$2:A1405,0),0)) ,0 ,  OFFSET(SECUESTRADOS!D$1,MATCH(B412,SECUESTRADOS!A$2:A1405,0),0)  )</f>
        <v>0</v>
      </c>
      <c r="O412" s="30"/>
      <c r="P412" s="17" t="str">
        <f t="shared" si="3"/>
        <v>cuna windsurf</v>
      </c>
      <c r="Q412" s="17" t="str">
        <f t="shared" si="222"/>
        <v/>
      </c>
      <c r="R412" s="31"/>
      <c r="S412" s="31"/>
      <c r="T412" s="31"/>
    </row>
    <row r="413" ht="15.0" customHeight="1">
      <c r="A413" s="18" t="s">
        <v>71</v>
      </c>
      <c r="B413" s="18">
        <v>1742.0</v>
      </c>
      <c r="C413" s="19">
        <v>1742.0</v>
      </c>
      <c r="D413" s="20" t="str">
        <f>IF(   ISERROR(OFFSET(PADRON!B$2,MATCH(C:C,PADRON!A$2:A1405,0)-1,0,1,1) )  ,  ,    OFFSET(PADRON!B$2,MATCH(C:C,PADRON!A$2:A1405,0)-1,0,1,1))</f>
        <v>Montesino, Ma. Florencia</v>
      </c>
      <c r="E413" s="21">
        <v>45839.0</v>
      </c>
      <c r="F413" s="21">
        <v>45870.0</v>
      </c>
      <c r="G413" s="23" t="s">
        <v>39</v>
      </c>
      <c r="H413" s="24">
        <f>IF( ISERROR( OFFSET(   'Cuadro tarifario'!D$2  , MATCH(CONCATENATE(                 IF(F413&gt;Mes,OFFSET(NroCT!B$17, MATCH($F413,NroCT!$A$18:$A1405,0),0,1,1),Periodovigente)                                                                                                                     ,A413) ,'Cuadro tarifario'!A$2:A1405,0) -1 , 0 , 1 , 1) )   , 0  ,   OFFSET(   'Cuadro tarifario'!D$2  , MATCH(CONCATENATE( IF(F413&gt;Mes,OFFSET(NroCT!B$17, MATCH($F413,NroCT!$A$18:$A1405,0),0,1,1),Periodovigente) ,A413) ,'Cuadro tarifario'!A$2:A1405,0) -1 , 0 , 1 , 1))</f>
        <v>11000</v>
      </c>
      <c r="I413" s="106">
        <f t="shared" si="195"/>
        <v>1</v>
      </c>
      <c r="J413" s="107">
        <f t="shared" si="207"/>
        <v>11000</v>
      </c>
      <c r="K413" s="108">
        <f>IF(  AND(N413&gt;0,I413=0)          ,N413 ,                         IF(  IF( F413 ,  DAYS360(DATE(YEAR(F413),MONTH(F413),1),Mes)/30  ,  DAYS360(DATE(YEAR(E413),MONTH(E413),1),Mes)/30  )  &gt;  0 , IF(F413,   DAYS360(DATE(YEAR(F413),MONTH(F413),1),Mes)/30  ,  DAYS360(DATE(YEAR(E413),MONTH(E413),1),Mes)/30) , 0)       )</f>
        <v>0</v>
      </c>
      <c r="L413" s="109">
        <f t="shared" si="196"/>
        <v>0</v>
      </c>
      <c r="M413" s="110"/>
      <c r="N413" s="29">
        <f>IF( ISERROR(OFFSET(SECUESTRADOS!D$1,MATCH(B413,SECUESTRADOS!A$2:A1405,0),0)) ,0 ,  OFFSET(SECUESTRADOS!D$1,MATCH(B413,SECUESTRADOS!A$2:A1405,0),0)  )</f>
        <v>0</v>
      </c>
      <c r="O413" s="30"/>
      <c r="P413" s="17" t="str">
        <f t="shared" si="3"/>
        <v>.socio</v>
      </c>
      <c r="Q413" s="17" t="str">
        <f>IF(AND(A413=#REF!,B413=#REF!,C413=#REF!),"Repetido","")</f>
        <v>#REF!</v>
      </c>
      <c r="R413" s="31"/>
      <c r="S413" s="31"/>
      <c r="T413" s="31"/>
    </row>
    <row r="414" ht="15.0" customHeight="1">
      <c r="A414" s="18" t="s">
        <v>38</v>
      </c>
      <c r="B414" s="18">
        <v>1742.0</v>
      </c>
      <c r="C414" s="19">
        <v>1742.0</v>
      </c>
      <c r="D414" s="20" t="str">
        <f>IF(   ISERROR(OFFSET(PADRON!B$2,MATCH(C:C,PADRON!A$2:A1405,0)-1,0,1,1) )  ,  ,    OFFSET(PADRON!B$2,MATCH(C:C,PADRON!A$2:A1405,0)-1,0,1,1))</f>
        <v>Montesino, Ma. Florencia</v>
      </c>
      <c r="E414" s="21">
        <v>45839.0</v>
      </c>
      <c r="F414" s="21">
        <v>45870.0</v>
      </c>
      <c r="G414" s="23" t="s">
        <v>39</v>
      </c>
      <c r="H414" s="24">
        <f>IF( ISERROR( OFFSET(   'Cuadro tarifario'!D$2  , MATCH(CONCATENATE(                 IF(F414&gt;Mes,OFFSET(NroCT!B$17, MATCH($F414,NroCT!$A$18:$A1405,0),0,1,1),Periodovigente)                                                                                                                     ,A414) ,'Cuadro tarifario'!A$2:A1405,0) -1 , 0 , 1 , 1) )   , 0  ,   OFFSET(   'Cuadro tarifario'!D$2  , MATCH(CONCATENATE( IF(F414&gt;Mes,OFFSET(NroCT!B$17, MATCH($F414,NroCT!$A$18:$A1405,0),0,1,1),Periodovigente) ,A414) ,'Cuadro tarifario'!A$2:A1405,0) -1 , 0 , 1 , 1))</f>
        <v>9000</v>
      </c>
      <c r="I414" s="106">
        <f t="shared" si="195"/>
        <v>1</v>
      </c>
      <c r="J414" s="107">
        <f t="shared" si="207"/>
        <v>9000</v>
      </c>
      <c r="K414" s="108">
        <f>IF(  AND(N414&gt;0,I414=0)          ,N414 ,                         IF(  IF( F414 ,  DAYS360(DATE(YEAR(F414),MONTH(F414),1),Mes)/30  ,  DAYS360(DATE(YEAR(E414),MONTH(E414),1),Mes)/30  )  &gt;  0 , IF(F414,   DAYS360(DATE(YEAR(F414),MONTH(F414),1),Mes)/30  ,  DAYS360(DATE(YEAR(E414),MONTH(E414),1),Mes)/30) , 0)       )</f>
        <v>0</v>
      </c>
      <c r="L414" s="109">
        <f t="shared" si="196"/>
        <v>0</v>
      </c>
      <c r="M414" s="110"/>
      <c r="N414" s="29">
        <f>IF( ISERROR(OFFSET(SECUESTRADOS!D$1,MATCH(B414,SECUESTRADOS!A$2:A1405,0),0)) ,0 ,  OFFSET(SECUESTRADOS!D$1,MATCH(B414,SECUESTRADOS!A$2:A1405,0),0)  )</f>
        <v>0</v>
      </c>
      <c r="O414" s="30"/>
      <c r="P414" s="17" t="str">
        <f t="shared" si="3"/>
        <v>Bono canon</v>
      </c>
      <c r="Q414" s="17" t="str">
        <f t="shared" ref="Q414:Q417" si="223">IF(AND(A414=A413,B414=B413,C414=C413),"Repetido","")</f>
        <v/>
      </c>
      <c r="R414" s="31"/>
      <c r="S414" s="31"/>
      <c r="T414" s="31"/>
    </row>
    <row r="415" ht="15.0" customHeight="1">
      <c r="A415" s="18" t="s">
        <v>71</v>
      </c>
      <c r="B415" s="18">
        <v>1743.0</v>
      </c>
      <c r="C415" s="19">
        <v>1743.0</v>
      </c>
      <c r="D415" s="20" t="str">
        <f>IF(   ISERROR(OFFSET(PADRON!B$2,MATCH(C:C,PADRON!A$2:A1405,0)-1,0,1,1) )  ,  ,    OFFSET(PADRON!B$2,MATCH(C:C,PADRON!A$2:A1405,0)-1,0,1,1))</f>
        <v>CHIAPPE, PABLO DARIO</v>
      </c>
      <c r="E415" s="21">
        <v>45839.0</v>
      </c>
      <c r="F415" s="21">
        <v>45870.0</v>
      </c>
      <c r="G415" s="23" t="s">
        <v>39</v>
      </c>
      <c r="H415" s="24">
        <f>IF( ISERROR( OFFSET(   'Cuadro tarifario'!D$2  , MATCH(CONCATENATE(                 IF(F415&gt;Mes,OFFSET(NroCT!B$17, MATCH($F415,NroCT!$A$18:$A1405,0),0,1,1),Periodovigente)                                                                                                                     ,A415) ,'Cuadro tarifario'!A$2:A1405,0) -1 , 0 , 1 , 1) )   , 0  ,   OFFSET(   'Cuadro tarifario'!D$2  , MATCH(CONCATENATE( IF(F415&gt;Mes,OFFSET(NroCT!B$17, MATCH($F415,NroCT!$A$18:$A1405,0),0,1,1),Periodovigente) ,A415) ,'Cuadro tarifario'!A$2:A1405,0) -1 , 0 , 1 , 1))</f>
        <v>11000</v>
      </c>
      <c r="I415" s="106">
        <f t="shared" si="195"/>
        <v>1</v>
      </c>
      <c r="J415" s="107">
        <f t="shared" si="207"/>
        <v>11000</v>
      </c>
      <c r="K415" s="108">
        <f>IF(  AND(N415&gt;0,I415=0)          ,N415 ,                         IF(  IF( F415 ,  DAYS360(DATE(YEAR(F415),MONTH(F415),1),Mes)/30  ,  DAYS360(DATE(YEAR(E415),MONTH(E415),1),Mes)/30  )  &gt;  0 , IF(F415,   DAYS360(DATE(YEAR(F415),MONTH(F415),1),Mes)/30  ,  DAYS360(DATE(YEAR(E415),MONTH(E415),1),Mes)/30) , 0)       )</f>
        <v>0</v>
      </c>
      <c r="L415" s="109">
        <f t="shared" si="196"/>
        <v>0</v>
      </c>
      <c r="M415" s="110"/>
      <c r="N415" s="29">
        <f>IF( ISERROR(OFFSET(SECUESTRADOS!D$1,MATCH(B415,SECUESTRADOS!A$2:A1405,0),0)) ,0 ,  OFFSET(SECUESTRADOS!D$1,MATCH(B415,SECUESTRADOS!A$2:A1405,0),0)  )</f>
        <v>0</v>
      </c>
      <c r="O415" s="30"/>
      <c r="P415" s="17" t="str">
        <f t="shared" si="3"/>
        <v>.socio</v>
      </c>
      <c r="Q415" s="17" t="str">
        <f t="shared" si="223"/>
        <v/>
      </c>
      <c r="R415" s="31"/>
      <c r="S415" s="31"/>
      <c r="T415" s="31"/>
    </row>
    <row r="416" ht="15.0" customHeight="1">
      <c r="A416" s="18" t="s">
        <v>38</v>
      </c>
      <c r="B416" s="18">
        <v>1743.0</v>
      </c>
      <c r="C416" s="19">
        <v>1743.0</v>
      </c>
      <c r="D416" s="20" t="str">
        <f>IF(   ISERROR(OFFSET(PADRON!B$2,MATCH(C:C,PADRON!A$2:A1405,0)-1,0,1,1) )  ,  ,    OFFSET(PADRON!B$2,MATCH(C:C,PADRON!A$2:A1405,0)-1,0,1,1))</f>
        <v>CHIAPPE, PABLO DARIO</v>
      </c>
      <c r="E416" s="21">
        <v>45839.0</v>
      </c>
      <c r="F416" s="21">
        <v>45870.0</v>
      </c>
      <c r="G416" s="32" t="s">
        <v>39</v>
      </c>
      <c r="H416" s="24">
        <f>IF( ISERROR( OFFSET(   'Cuadro tarifario'!D$2  , MATCH(CONCATENATE(                 IF(F416&gt;Mes,OFFSET(NroCT!B$17, MATCH($F416,NroCT!$A$18:$A1405,0),0,1,1),Periodovigente)                                                                                                                     ,A416) ,'Cuadro tarifario'!A$2:A1405,0) -1 , 0 , 1 , 1) )   , 0  ,   OFFSET(   'Cuadro tarifario'!D$2  , MATCH(CONCATENATE( IF(F416&gt;Mes,OFFSET(NroCT!B$17, MATCH($F416,NroCT!$A$18:$A1405,0),0,1,1),Periodovigente) ,A416) ,'Cuadro tarifario'!A$2:A1405,0) -1 , 0 , 1 , 1))</f>
        <v>9000</v>
      </c>
      <c r="I416" s="106">
        <f t="shared" si="195"/>
        <v>1</v>
      </c>
      <c r="J416" s="107">
        <f t="shared" si="207"/>
        <v>9000</v>
      </c>
      <c r="K416" s="108">
        <f>IF(  AND(N416&gt;0,I416=0)          ,N416 ,                         IF(  IF( F416 ,  DAYS360(DATE(YEAR(F416),MONTH(F416),1),Mes)/30  ,  DAYS360(DATE(YEAR(E416),MONTH(E416),1),Mes)/30  )  &gt;  0 , IF(F416,   DAYS360(DATE(YEAR(F416),MONTH(F416),1),Mes)/30  ,  DAYS360(DATE(YEAR(E416),MONTH(E416),1),Mes)/30) , 0)       )</f>
        <v>0</v>
      </c>
      <c r="L416" s="109">
        <f t="shared" si="196"/>
        <v>0</v>
      </c>
      <c r="M416" s="110"/>
      <c r="N416" s="29">
        <f>IF( ISERROR(OFFSET(SECUESTRADOS!D$1,MATCH(B416,SECUESTRADOS!A$2:A1405,0),0)) ,0 ,  OFFSET(SECUESTRADOS!D$1,MATCH(B416,SECUESTRADOS!A$2:A1405,0),0)  )</f>
        <v>0</v>
      </c>
      <c r="O416" s="30"/>
      <c r="P416" s="17" t="str">
        <f t="shared" si="3"/>
        <v>Bono canon</v>
      </c>
      <c r="Q416" s="17" t="str">
        <f t="shared" si="223"/>
        <v/>
      </c>
      <c r="R416" s="31"/>
      <c r="S416" s="31"/>
      <c r="T416" s="31"/>
    </row>
    <row r="417" ht="15.0" customHeight="1">
      <c r="A417" s="18" t="s">
        <v>40</v>
      </c>
      <c r="B417" s="18" t="s">
        <v>233</v>
      </c>
      <c r="C417" s="19">
        <v>1743.0</v>
      </c>
      <c r="D417" s="20" t="str">
        <f>IF(   ISERROR(OFFSET(PADRON!B$2,MATCH(C:C,PADRON!A$2:A1405,0)-1,0,1,1) )  ,  ,    OFFSET(PADRON!B$2,MATCH(C:C,PADRON!A$2:A1405,0)-1,0,1,1))</f>
        <v>CHIAPPE, PABLO DARIO</v>
      </c>
      <c r="E417" s="21">
        <v>45839.0</v>
      </c>
      <c r="F417" s="21">
        <v>45870.0</v>
      </c>
      <c r="G417" s="23" t="s">
        <v>39</v>
      </c>
      <c r="H417" s="24">
        <f>IF( ISERROR( OFFSET(   'Cuadro tarifario'!D$2  , MATCH(CONCATENATE(                 IF(F417&gt;Mes,OFFSET(NroCT!B$17, MATCH($F417,NroCT!$A$18:$A1405,0),0,1,1),Periodovigente)                                                                                                                     ,A417) ,'Cuadro tarifario'!A$2:A1405,0) -1 , 0 , 1 , 1) )   , 0  ,   OFFSET(   'Cuadro tarifario'!D$2  , MATCH(CONCATENATE( IF(F417&gt;Mes,OFFSET(NroCT!B$17, MATCH($F417,NroCT!$A$18:$A1405,0),0,1,1),Periodovigente) ,A417) ,'Cuadro tarifario'!A$2:A1405,0) -1 , 0 , 1 , 1))</f>
        <v>12000</v>
      </c>
      <c r="I417" s="106">
        <f t="shared" si="195"/>
        <v>1</v>
      </c>
      <c r="J417" s="107">
        <f t="shared" si="207"/>
        <v>12000</v>
      </c>
      <c r="K417" s="108">
        <f>IF(  AND(N417&gt;0,I417=0)          ,N417 ,                         IF(  IF( F417 ,  DAYS360(DATE(YEAR(F417),MONTH(F417),1),Mes)/30  ,  DAYS360(DATE(YEAR(E417),MONTH(E417),1),Mes)/30  )  &gt;  0 , IF(F417,   DAYS360(DATE(YEAR(F417),MONTH(F417),1),Mes)/30  ,  DAYS360(DATE(YEAR(E417),MONTH(E417),1),Mes)/30) , 0)       )</f>
        <v>0</v>
      </c>
      <c r="L417" s="109">
        <f t="shared" si="196"/>
        <v>0</v>
      </c>
      <c r="M417" s="110"/>
      <c r="N417" s="29">
        <f>IF( ISERROR(OFFSET(SECUESTRADOS!D$1,MATCH(B417,SECUESTRADOS!A$2:A1405,0),0)) ,0 ,  OFFSET(SECUESTRADOS!D$1,MATCH(B417,SECUESTRADOS!A$2:A1405,0),0)  )</f>
        <v>0</v>
      </c>
      <c r="O417" s="30"/>
      <c r="P417" s="17" t="str">
        <f t="shared" si="3"/>
        <v>cuna windsurf</v>
      </c>
      <c r="Q417" s="17" t="str">
        <f t="shared" si="223"/>
        <v/>
      </c>
      <c r="R417" s="31"/>
      <c r="S417" s="31"/>
      <c r="T417" s="31"/>
    </row>
    <row r="418" ht="15.0" customHeight="1">
      <c r="A418" s="18" t="s">
        <v>71</v>
      </c>
      <c r="B418" s="18">
        <v>1748.0</v>
      </c>
      <c r="C418" s="19">
        <v>1748.0</v>
      </c>
      <c r="D418" s="20" t="str">
        <f>IF(   ISERROR(OFFSET(PADRON!B$2,MATCH(C:C,PADRON!A$2:A1405,0)-1,0,1,1) )  ,  ,    OFFSET(PADRON!B$2,MATCH(C:C,PADRON!A$2:A1405,0)-1,0,1,1))</f>
        <v>TRAVERSO, MERCEDES</v>
      </c>
      <c r="E418" s="21">
        <v>45809.0</v>
      </c>
      <c r="F418" s="21">
        <v>45870.0</v>
      </c>
      <c r="G418" s="23" t="s">
        <v>39</v>
      </c>
      <c r="H418" s="24">
        <f>IF( ISERROR( OFFSET(   'Cuadro tarifario'!D$2  , MATCH(CONCATENATE(                 IF(F418&gt;Mes,OFFSET(NroCT!B$17, MATCH($F418,NroCT!$A$18:$A1405,0),0,1,1),Periodovigente)                                                                                                                     ,A418) ,'Cuadro tarifario'!A$2:A1405,0) -1 , 0 , 1 , 1) )   , 0  ,   OFFSET(   'Cuadro tarifario'!D$2  , MATCH(CONCATENATE( IF(F418&gt;Mes,OFFSET(NroCT!B$17, MATCH($F418,NroCT!$A$18:$A1405,0),0,1,1),Periodovigente) ,A418) ,'Cuadro tarifario'!A$2:A1405,0) -1 , 0 , 1 , 1))</f>
        <v>11000</v>
      </c>
      <c r="I418" s="106">
        <f t="shared" si="195"/>
        <v>2</v>
      </c>
      <c r="J418" s="107">
        <f t="shared" si="207"/>
        <v>22000</v>
      </c>
      <c r="K418" s="108">
        <f>IF(  AND(N418&gt;0,I418=0)          ,N418 ,                         IF(  IF( F418 ,  DAYS360(DATE(YEAR(F418),MONTH(F418),1),Mes)/30  ,  DAYS360(DATE(YEAR(E418),MONTH(E418),1),Mes)/30  )  &gt;  0 , IF(F418,   DAYS360(DATE(YEAR(F418),MONTH(F418),1),Mes)/30  ,  DAYS360(DATE(YEAR(E418),MONTH(E418),1),Mes)/30) , 0)       )</f>
        <v>0</v>
      </c>
      <c r="L418" s="109">
        <f t="shared" si="196"/>
        <v>0</v>
      </c>
      <c r="M418" s="110"/>
      <c r="N418" s="29">
        <f>IF( ISERROR(OFFSET(SECUESTRADOS!D$1,MATCH(B418,SECUESTRADOS!A$2:A1405,0),0)) ,0 ,  OFFSET(SECUESTRADOS!D$1,MATCH(B418,SECUESTRADOS!A$2:A1405,0),0)  )</f>
        <v>0</v>
      </c>
      <c r="O418" s="30"/>
      <c r="P418" s="17" t="str">
        <f t="shared" si="3"/>
        <v>.socio</v>
      </c>
      <c r="Q418" s="17" t="str">
        <f>IF(AND(A418=#REF!,B418=#REF!,C418=#REF!),"Repetido","")</f>
        <v>#REF!</v>
      </c>
      <c r="R418" s="31"/>
      <c r="S418" s="31"/>
      <c r="T418" s="31"/>
    </row>
    <row r="419" ht="15.0" customHeight="1">
      <c r="A419" s="18" t="s">
        <v>38</v>
      </c>
      <c r="B419" s="18">
        <v>1748.0</v>
      </c>
      <c r="C419" s="19">
        <v>1748.0</v>
      </c>
      <c r="D419" s="20" t="str">
        <f>IF(   ISERROR(OFFSET(PADRON!B$2,MATCH(C:C,PADRON!A$2:A1405,0)-1,0,1,1) )  ,  ,    OFFSET(PADRON!B$2,MATCH(C:C,PADRON!A$2:A1405,0)-1,0,1,1))</f>
        <v>TRAVERSO, MERCEDES</v>
      </c>
      <c r="E419" s="21">
        <v>45809.0</v>
      </c>
      <c r="F419" s="21">
        <v>45870.0</v>
      </c>
      <c r="G419" s="23" t="s">
        <v>39</v>
      </c>
      <c r="H419" s="24">
        <f>IF( ISERROR( OFFSET(   'Cuadro tarifario'!D$2  , MATCH(CONCATENATE(                 IF(F419&gt;Mes,OFFSET(NroCT!B$17, MATCH($F419,NroCT!$A$18:$A1405,0),0,1,1),Periodovigente)                                                                                                                     ,A419) ,'Cuadro tarifario'!A$2:A1405,0) -1 , 0 , 1 , 1) )   , 0  ,   OFFSET(   'Cuadro tarifario'!D$2  , MATCH(CONCATENATE( IF(F419&gt;Mes,OFFSET(NroCT!B$17, MATCH($F419,NroCT!$A$18:$A1405,0),0,1,1),Periodovigente) ,A419) ,'Cuadro tarifario'!A$2:A1405,0) -1 , 0 , 1 , 1))</f>
        <v>9000</v>
      </c>
      <c r="I419" s="106">
        <f t="shared" si="195"/>
        <v>2</v>
      </c>
      <c r="J419" s="107">
        <f t="shared" si="207"/>
        <v>18000</v>
      </c>
      <c r="K419" s="108">
        <f>IF(  AND(N419&gt;0,I419=0)          ,N419 ,                         IF(  IF( F419 ,  DAYS360(DATE(YEAR(F419),MONTH(F419),1),Mes)/30  ,  DAYS360(DATE(YEAR(E419),MONTH(E419),1),Mes)/30  )  &gt;  0 , IF(F419,   DAYS360(DATE(YEAR(F419),MONTH(F419),1),Mes)/30  ,  DAYS360(DATE(YEAR(E419),MONTH(E419),1),Mes)/30) , 0)       )</f>
        <v>0</v>
      </c>
      <c r="L419" s="109">
        <f t="shared" si="196"/>
        <v>0</v>
      </c>
      <c r="M419" s="110"/>
      <c r="N419" s="29">
        <f>IF( ISERROR(OFFSET(SECUESTRADOS!D$1,MATCH(B419,SECUESTRADOS!A$2:A1405,0),0)) ,0 ,  OFFSET(SECUESTRADOS!D$1,MATCH(B419,SECUESTRADOS!A$2:A1405,0),0)  )</f>
        <v>0</v>
      </c>
      <c r="O419" s="30"/>
      <c r="P419" s="17" t="str">
        <f t="shared" si="3"/>
        <v>Bono canon</v>
      </c>
      <c r="Q419" s="17" t="str">
        <f t="shared" ref="Q419:Q420" si="224">IF(AND(A419=A418,B419=B418,C419=C418),"Repetido","")</f>
        <v/>
      </c>
      <c r="R419" s="31"/>
      <c r="S419" s="31"/>
      <c r="T419" s="31"/>
    </row>
    <row r="420" ht="15.0" customHeight="1">
      <c r="A420" s="18" t="s">
        <v>40</v>
      </c>
      <c r="B420" s="18" t="s">
        <v>234</v>
      </c>
      <c r="C420" s="19">
        <v>1748.0</v>
      </c>
      <c r="D420" s="20" t="str">
        <f>IF(   ISERROR(OFFSET(PADRON!B$2,MATCH(C:C,PADRON!A$2:A1405,0)-1,0,1,1) )  ,  ,    OFFSET(PADRON!B$2,MATCH(C:C,PADRON!A$2:A1405,0)-1,0,1,1))</f>
        <v>TRAVERSO, MERCEDES</v>
      </c>
      <c r="E420" s="21">
        <v>45809.0</v>
      </c>
      <c r="F420" s="21">
        <v>45870.0</v>
      </c>
      <c r="G420" s="23" t="s">
        <v>39</v>
      </c>
      <c r="H420" s="24">
        <f>IF( ISERROR( OFFSET(   'Cuadro tarifario'!D$2  , MATCH(CONCATENATE(                 IF(F420&gt;Mes,OFFSET(NroCT!B$17, MATCH($F420,NroCT!$A$18:$A1405,0),0,1,1),Periodovigente)                                                                                                                     ,A420) ,'Cuadro tarifario'!A$2:A1405,0) -1 , 0 , 1 , 1) )   , 0  ,   OFFSET(   'Cuadro tarifario'!D$2  , MATCH(CONCATENATE( IF(F420&gt;Mes,OFFSET(NroCT!B$17, MATCH($F420,NroCT!$A$18:$A1405,0),0,1,1),Periodovigente) ,A420) ,'Cuadro tarifario'!A$2:A1405,0) -1 , 0 , 1 , 1))</f>
        <v>12000</v>
      </c>
      <c r="I420" s="106">
        <f t="shared" si="195"/>
        <v>2</v>
      </c>
      <c r="J420" s="107">
        <f t="shared" si="207"/>
        <v>24000</v>
      </c>
      <c r="K420" s="108">
        <f>IF(  AND(N420&gt;0,I420=0)          ,N420 ,                         IF(  IF( F420 ,  DAYS360(DATE(YEAR(F420),MONTH(F420),1),Mes)/30  ,  DAYS360(DATE(YEAR(E420),MONTH(E420),1),Mes)/30  )  &gt;  0 , IF(F420,   DAYS360(DATE(YEAR(F420),MONTH(F420),1),Mes)/30  ,  DAYS360(DATE(YEAR(E420),MONTH(E420),1),Mes)/30) , 0)       )</f>
        <v>0</v>
      </c>
      <c r="L420" s="109">
        <f t="shared" si="196"/>
        <v>0</v>
      </c>
      <c r="M420" s="110"/>
      <c r="N420" s="29">
        <f>IF( ISERROR(OFFSET(SECUESTRADOS!D$1,MATCH(B420,SECUESTRADOS!A$2:A1405,0),0)) ,0 ,  OFFSET(SECUESTRADOS!D$1,MATCH(B420,SECUESTRADOS!A$2:A1405,0),0)  )</f>
        <v>0</v>
      </c>
      <c r="O420" s="30"/>
      <c r="P420" s="17" t="str">
        <f t="shared" si="3"/>
        <v>cuna windsurf</v>
      </c>
      <c r="Q420" s="17" t="str">
        <f t="shared" si="224"/>
        <v/>
      </c>
      <c r="R420" s="31"/>
      <c r="S420" s="31"/>
      <c r="T420" s="31"/>
    </row>
    <row r="421" ht="15.0" customHeight="1">
      <c r="A421" s="18" t="s">
        <v>50</v>
      </c>
      <c r="B421" s="18" t="s">
        <v>235</v>
      </c>
      <c r="C421" s="19">
        <v>1748.0</v>
      </c>
      <c r="D421" s="20" t="str">
        <f>IF(   ISERROR(OFFSET(PADRON!B$2,MATCH(C:C,PADRON!A$2:A1405,0)-1,0,1,1) )  ,  ,    OFFSET(PADRON!B$2,MATCH(C:C,PADRON!A$2:A1405,0)-1,0,1,1))</f>
        <v>TRAVERSO, MERCEDES</v>
      </c>
      <c r="E421" s="21">
        <v>45992.0</v>
      </c>
      <c r="F421" s="21"/>
      <c r="G421" s="23" t="s">
        <v>39</v>
      </c>
      <c r="H421" s="24">
        <f>IF( ISERROR( OFFSET(   'Cuadro tarifario'!D$2  , MATCH(CONCATENATE(                 IF(F421&gt;Mes,OFFSET(NroCT!B$17, MATCH($F421,NroCT!$A$18:$A1405,0),0,1,1),Periodovigente)                                                                                                                     ,A421) ,'Cuadro tarifario'!A$2:A1405,0) -1 , 0 , 1 , 1) )   , 0  ,   OFFSET(   'Cuadro tarifario'!D$2  , MATCH(CONCATENATE( IF(F421&gt;Mes,OFFSET(NroCT!B$17, MATCH($F421,NroCT!$A$18:$A1405,0),0,1,1),Periodovigente) ,A421) ,'Cuadro tarifario'!A$2:A1405,0) -1 , 0 , 1 , 1))</f>
        <v>3600</v>
      </c>
      <c r="I421" s="106">
        <f t="shared" si="195"/>
        <v>0</v>
      </c>
      <c r="J421" s="107">
        <f t="shared" si="207"/>
        <v>0</v>
      </c>
      <c r="K421" s="108">
        <f>IF(  AND(N421&gt;0,I421=0)          ,N421 ,                         IF(  IF( F421 ,  DAYS360(DATE(YEAR(F421),MONTH(F421),1),Mes)/30  ,  DAYS360(DATE(YEAR(E421),MONTH(E421),1),Mes)/30  )  &gt;  0 , IF(F421,   DAYS360(DATE(YEAR(F421),MONTH(F421),1),Mes)/30  ,  DAYS360(DATE(YEAR(E421),MONTH(E421),1),Mes)/30) , 0)       )</f>
        <v>0</v>
      </c>
      <c r="L421" s="109">
        <f t="shared" si="196"/>
        <v>0</v>
      </c>
      <c r="M421" s="110"/>
      <c r="N421" s="29">
        <f>IF( ISERROR(OFFSET(SECUESTRADOS!D$1,MATCH(B421,SECUESTRADOS!A$2:A1405,0),0)) ,0 ,  OFFSET(SECUESTRADOS!D$1,MATCH(B421,SECUESTRADOS!A$2:A1405,0),0)  )</f>
        <v>0</v>
      </c>
      <c r="O421" s="30"/>
      <c r="P421" s="17" t="b">
        <f t="shared" si="3"/>
        <v>0</v>
      </c>
      <c r="Q421" s="17" t="str">
        <f>IF(AND(A421=A419,B421=B419,C421=C419),"Repetido","")</f>
        <v/>
      </c>
      <c r="R421" s="31"/>
      <c r="S421" s="31"/>
      <c r="T421" s="31"/>
    </row>
    <row r="422" ht="15.0" customHeight="1">
      <c r="A422" s="18" t="s">
        <v>71</v>
      </c>
      <c r="B422" s="18">
        <v>1756.0</v>
      </c>
      <c r="C422" s="19">
        <v>1756.0</v>
      </c>
      <c r="D422" s="20" t="str">
        <f>IF(   ISERROR(OFFSET(PADRON!B$2,MATCH(C:C,PADRON!A$2:A1405,0)-1,0,1,1) )  ,  ,    OFFSET(PADRON!B$2,MATCH(C:C,PADRON!A$2:A1405,0)-1,0,1,1))</f>
        <v>PENNA, GONZALO</v>
      </c>
      <c r="E422" s="21">
        <v>45992.0</v>
      </c>
      <c r="F422" s="21"/>
      <c r="G422" s="23" t="s">
        <v>39</v>
      </c>
      <c r="H422" s="24">
        <f>IF( ISERROR( OFFSET(   'Cuadro tarifario'!D$2  , MATCH(CONCATENATE(                 IF(F422&gt;Mes,OFFSET(NroCT!B$17, MATCH($F422,NroCT!$A$18:$A1405,0),0,1,1),Periodovigente)                                                                                                                     ,A422) ,'Cuadro tarifario'!A$2:A1405,0) -1 , 0 , 1 , 1) )   , 0  ,   OFFSET(   'Cuadro tarifario'!D$2  , MATCH(CONCATENATE( IF(F422&gt;Mes,OFFSET(NroCT!B$17, MATCH($F422,NroCT!$A$18:$A1405,0),0,1,1),Periodovigente) ,A422) ,'Cuadro tarifario'!A$2:A1405,0) -1 , 0 , 1 , 1))</f>
        <v>11000</v>
      </c>
      <c r="I422" s="106">
        <f t="shared" si="195"/>
        <v>0</v>
      </c>
      <c r="J422" s="107">
        <f t="shared" si="207"/>
        <v>0</v>
      </c>
      <c r="K422" s="108">
        <f>IF(  AND(N422&gt;0,I422=0)          ,N422 ,                         IF(  IF( F422 ,  DAYS360(DATE(YEAR(F422),MONTH(F422),1),Mes)/30  ,  DAYS360(DATE(YEAR(E422),MONTH(E422),1),Mes)/30  )  &gt;  0 , IF(F422,   DAYS360(DATE(YEAR(F422),MONTH(F422),1),Mes)/30  ,  DAYS360(DATE(YEAR(E422),MONTH(E422),1),Mes)/30) , 0)       )</f>
        <v>0</v>
      </c>
      <c r="L422" s="109">
        <f t="shared" si="196"/>
        <v>0</v>
      </c>
      <c r="M422" s="110"/>
      <c r="N422" s="29">
        <f>IF( ISERROR(OFFSET(SECUESTRADOS!D$1,MATCH(B422,SECUESTRADOS!A$2:A1405,0),0)) ,0 ,  OFFSET(SECUESTRADOS!D$1,MATCH(B422,SECUESTRADOS!A$2:A1405,0),0)  )</f>
        <v>0</v>
      </c>
      <c r="O422" s="30"/>
      <c r="P422" s="17" t="b">
        <f t="shared" si="3"/>
        <v>0</v>
      </c>
      <c r="Q422" s="17" t="str">
        <f>IF(AND(A422=#REF!,B422=#REF!,C422=#REF!),"Repetido","")</f>
        <v>#REF!</v>
      </c>
      <c r="R422" s="31"/>
      <c r="S422" s="31"/>
      <c r="T422" s="31"/>
    </row>
    <row r="423" ht="15.0" customHeight="1">
      <c r="A423" s="18" t="s">
        <v>38</v>
      </c>
      <c r="B423" s="18">
        <v>1756.0</v>
      </c>
      <c r="C423" s="19">
        <v>1756.0</v>
      </c>
      <c r="D423" s="20" t="str">
        <f>IF(   ISERROR(OFFSET(PADRON!B$2,MATCH(C:C,PADRON!A$2:A1405,0)-1,0,1,1) )  ,  ,    OFFSET(PADRON!B$2,MATCH(C:C,PADRON!A$2:A1405,0)-1,0,1,1))</f>
        <v>PENNA, GONZALO</v>
      </c>
      <c r="E423" s="21">
        <v>45992.0</v>
      </c>
      <c r="F423" s="21"/>
      <c r="G423" s="23" t="s">
        <v>39</v>
      </c>
      <c r="H423" s="24">
        <f>IF( ISERROR( OFFSET(   'Cuadro tarifario'!D$2  , MATCH(CONCATENATE(                 IF(F423&gt;Mes,OFFSET(NroCT!B$17, MATCH($F423,NroCT!$A$18:$A1405,0),0,1,1),Periodovigente)                                                                                                                     ,A423) ,'Cuadro tarifario'!A$2:A1405,0) -1 , 0 , 1 , 1) )   , 0  ,   OFFSET(   'Cuadro tarifario'!D$2  , MATCH(CONCATENATE( IF(F423&gt;Mes,OFFSET(NroCT!B$17, MATCH($F423,NroCT!$A$18:$A1405,0),0,1,1),Periodovigente) ,A423) ,'Cuadro tarifario'!A$2:A1405,0) -1 , 0 , 1 , 1))</f>
        <v>9000</v>
      </c>
      <c r="I423" s="106">
        <f t="shared" si="195"/>
        <v>0</v>
      </c>
      <c r="J423" s="107">
        <f t="shared" si="207"/>
        <v>0</v>
      </c>
      <c r="K423" s="108">
        <f>IF(  AND(N423&gt;0,I423=0)          ,N423 ,                         IF(  IF( F423 ,  DAYS360(DATE(YEAR(F423),MONTH(F423),1),Mes)/30  ,  DAYS360(DATE(YEAR(E423),MONTH(E423),1),Mes)/30  )  &gt;  0 , IF(F423,   DAYS360(DATE(YEAR(F423),MONTH(F423),1),Mes)/30  ,  DAYS360(DATE(YEAR(E423),MONTH(E423),1),Mes)/30) , 0)       )</f>
        <v>0</v>
      </c>
      <c r="L423" s="109">
        <f t="shared" si="196"/>
        <v>0</v>
      </c>
      <c r="M423" s="110"/>
      <c r="N423" s="29">
        <f>IF( ISERROR(OFFSET(SECUESTRADOS!D$1,MATCH(B423,SECUESTRADOS!A$2:A1405,0),0)) ,0 ,  OFFSET(SECUESTRADOS!D$1,MATCH(B423,SECUESTRADOS!A$2:A1405,0),0)  )</f>
        <v>0</v>
      </c>
      <c r="O423" s="30"/>
      <c r="P423" s="17" t="b">
        <f t="shared" si="3"/>
        <v>0</v>
      </c>
      <c r="Q423" s="17" t="str">
        <f t="shared" ref="Q423:Q426" si="225">IF(AND(A423=A422,B423=B422,C423=C422),"Repetido","")</f>
        <v/>
      </c>
      <c r="R423" s="31"/>
      <c r="S423" s="31"/>
      <c r="T423" s="31"/>
    </row>
    <row r="424" ht="15.0" customHeight="1">
      <c r="A424" s="18" t="s">
        <v>40</v>
      </c>
      <c r="B424" s="18" t="s">
        <v>236</v>
      </c>
      <c r="C424" s="19">
        <v>1756.0</v>
      </c>
      <c r="D424" s="20" t="str">
        <f>IF(   ISERROR(OFFSET(PADRON!B$2,MATCH(C:C,PADRON!A$2:A1405,0)-1,0,1,1) )  ,  ,    OFFSET(PADRON!B$2,MATCH(C:C,PADRON!A$2:A1405,0)-1,0,1,1))</f>
        <v>PENNA, GONZALO</v>
      </c>
      <c r="E424" s="21">
        <v>45992.0</v>
      </c>
      <c r="F424" s="21"/>
      <c r="G424" s="23" t="s">
        <v>39</v>
      </c>
      <c r="H424" s="24">
        <f>IF( ISERROR( OFFSET(   'Cuadro tarifario'!D$2  , MATCH(CONCATENATE(                 IF(F424&gt;Mes,OFFSET(NroCT!B$17, MATCH($F424,NroCT!$A$18:$A1405,0),0,1,1),Periodovigente)                                                                                                                     ,A424) ,'Cuadro tarifario'!A$2:A1405,0) -1 , 0 , 1 , 1) )   , 0  ,   OFFSET(   'Cuadro tarifario'!D$2  , MATCH(CONCATENATE( IF(F424&gt;Mes,OFFSET(NroCT!B$17, MATCH($F424,NroCT!$A$18:$A1405,0),0,1,1),Periodovigente) ,A424) ,'Cuadro tarifario'!A$2:A1405,0) -1 , 0 , 1 , 1))</f>
        <v>12000</v>
      </c>
      <c r="I424" s="106">
        <f t="shared" si="195"/>
        <v>0</v>
      </c>
      <c r="J424" s="107">
        <f t="shared" si="207"/>
        <v>0</v>
      </c>
      <c r="K424" s="108">
        <f>IF(  AND(N424&gt;0,I424=0)          ,N424 ,                         IF(  IF( F424 ,  DAYS360(DATE(YEAR(F424),MONTH(F424),1),Mes)/30  ,  DAYS360(DATE(YEAR(E424),MONTH(E424),1),Mes)/30  )  &gt;  0 , IF(F424,   DAYS360(DATE(YEAR(F424),MONTH(F424),1),Mes)/30  ,  DAYS360(DATE(YEAR(E424),MONTH(E424),1),Mes)/30) , 0)       )</f>
        <v>0</v>
      </c>
      <c r="L424" s="109">
        <f t="shared" si="196"/>
        <v>0</v>
      </c>
      <c r="M424" s="110"/>
      <c r="N424" s="29">
        <f>IF( ISERROR(OFFSET(SECUESTRADOS!D$1,MATCH(B424,SECUESTRADOS!A$2:A1405,0),0)) ,0 ,  OFFSET(SECUESTRADOS!D$1,MATCH(B424,SECUESTRADOS!A$2:A1405,0),0)  )</f>
        <v>0</v>
      </c>
      <c r="O424" s="30"/>
      <c r="P424" s="17" t="b">
        <f t="shared" si="3"/>
        <v>0</v>
      </c>
      <c r="Q424" s="17" t="str">
        <f t="shared" si="225"/>
        <v/>
      </c>
      <c r="R424" s="31"/>
      <c r="S424" s="31"/>
      <c r="T424" s="31"/>
    </row>
    <row r="425" ht="15.0" customHeight="1">
      <c r="A425" s="18" t="s">
        <v>40</v>
      </c>
      <c r="B425" s="18" t="s">
        <v>237</v>
      </c>
      <c r="C425" s="19">
        <v>1756.0</v>
      </c>
      <c r="D425" s="20" t="str">
        <f>IF(   ISERROR(OFFSET(PADRON!B$2,MATCH(C:C,PADRON!A$2:A1405,0)-1,0,1,1) )  ,  ,    OFFSET(PADRON!B$2,MATCH(C:C,PADRON!A$2:A1405,0)-1,0,1,1))</f>
        <v>PENNA, GONZALO</v>
      </c>
      <c r="E425" s="21">
        <v>45992.0</v>
      </c>
      <c r="F425" s="21"/>
      <c r="G425" s="23" t="s">
        <v>39</v>
      </c>
      <c r="H425" s="24">
        <f>IF( ISERROR( OFFSET(   'Cuadro tarifario'!D$2  , MATCH(CONCATENATE(                 IF(F425&gt;Mes,OFFSET(NroCT!B$17, MATCH($F425,NroCT!$A$18:$A1405,0),0,1,1),Periodovigente)                                                                                                                     ,A425) ,'Cuadro tarifario'!A$2:A1405,0) -1 , 0 , 1 , 1) )   , 0  ,   OFFSET(   'Cuadro tarifario'!D$2  , MATCH(CONCATENATE( IF(F425&gt;Mes,OFFSET(NroCT!B$17, MATCH($F425,NroCT!$A$18:$A1405,0),0,1,1),Periodovigente) ,A425) ,'Cuadro tarifario'!A$2:A1405,0) -1 , 0 , 1 , 1))</f>
        <v>12000</v>
      </c>
      <c r="I425" s="106">
        <f t="shared" si="195"/>
        <v>0</v>
      </c>
      <c r="J425" s="107">
        <f t="shared" si="207"/>
        <v>0</v>
      </c>
      <c r="K425" s="108">
        <f>IF(  AND(N425&gt;0,I425=0)          ,N425 ,                         IF(  IF( F425 ,  DAYS360(DATE(YEAR(F425),MONTH(F425),1),Mes)/30  ,  DAYS360(DATE(YEAR(E425),MONTH(E425),1),Mes)/30  )  &gt;  0 , IF(F425,   DAYS360(DATE(YEAR(F425),MONTH(F425),1),Mes)/30  ,  DAYS360(DATE(YEAR(E425),MONTH(E425),1),Mes)/30) , 0)       )</f>
        <v>0</v>
      </c>
      <c r="L425" s="109">
        <f t="shared" si="196"/>
        <v>0</v>
      </c>
      <c r="M425" s="110"/>
      <c r="N425" s="29">
        <f>IF( ISERROR(OFFSET(SECUESTRADOS!D$1,MATCH(B425,SECUESTRADOS!A$2:A1405,0),0)) ,0 ,  OFFSET(SECUESTRADOS!D$1,MATCH(B425,SECUESTRADOS!A$2:A1405,0),0)  )</f>
        <v>0</v>
      </c>
      <c r="O425" s="30"/>
      <c r="P425" s="17" t="b">
        <f t="shared" si="3"/>
        <v>0</v>
      </c>
      <c r="Q425" s="17" t="str">
        <f t="shared" si="225"/>
        <v/>
      </c>
      <c r="R425" s="31"/>
      <c r="S425" s="31"/>
      <c r="T425" s="31"/>
    </row>
    <row r="426" ht="15.0" customHeight="1">
      <c r="A426" s="18" t="s">
        <v>42</v>
      </c>
      <c r="B426" s="18" t="s">
        <v>238</v>
      </c>
      <c r="C426" s="19">
        <v>1756.0</v>
      </c>
      <c r="D426" s="20" t="str">
        <f>IF(   ISERROR(OFFSET(PADRON!B$2,MATCH(C:C,PADRON!A$2:A1405,0)-1,0,1,1) )  ,  ,    OFFSET(PADRON!B$2,MATCH(C:C,PADRON!A$2:A1405,0)-1,0,1,1))</f>
        <v>PENNA, GONZALO</v>
      </c>
      <c r="E426" s="21">
        <v>45992.0</v>
      </c>
      <c r="F426" s="21"/>
      <c r="G426" s="23" t="s">
        <v>39</v>
      </c>
      <c r="H426" s="24">
        <f>IF( ISERROR( OFFSET(   'Cuadro tarifario'!D$2  , MATCH(CONCATENATE(                 IF(F426&gt;Mes,OFFSET(NroCT!B$17, MATCH($F426,NroCT!$A$18:$A1405,0),0,1,1),Periodovigente)                                                                                                                     ,A426) ,'Cuadro tarifario'!A$2:A1405,0) -1 , 0 , 1 , 1) )   , 0  ,   OFFSET(   'Cuadro tarifario'!D$2  , MATCH(CONCATENATE( IF(F426&gt;Mes,OFFSET(NroCT!B$17, MATCH($F426,NroCT!$A$18:$A1405,0),0,1,1),Periodovigente) ,A426) ,'Cuadro tarifario'!A$2:A1405,0) -1 , 0 , 1 , 1))</f>
        <v>4000</v>
      </c>
      <c r="I426" s="106">
        <f t="shared" si="195"/>
        <v>0</v>
      </c>
      <c r="J426" s="107">
        <f t="shared" si="207"/>
        <v>0</v>
      </c>
      <c r="K426" s="108">
        <f>IF(  AND(N426&gt;0,I426=0)          ,N426 ,                         IF(  IF( F426 ,  DAYS360(DATE(YEAR(F426),MONTH(F426),1),Mes)/30  ,  DAYS360(DATE(YEAR(E426),MONTH(E426),1),Mes)/30  )  &gt;  0 , IF(F426,   DAYS360(DATE(YEAR(F426),MONTH(F426),1),Mes)/30  ,  DAYS360(DATE(YEAR(E426),MONTH(E426),1),Mes)/30) , 0)       )</f>
        <v>0</v>
      </c>
      <c r="L426" s="109">
        <f t="shared" si="196"/>
        <v>0</v>
      </c>
      <c r="M426" s="110"/>
      <c r="N426" s="29">
        <f>IF( ISERROR(OFFSET(SECUESTRADOS!D$1,MATCH(B426,SECUESTRADOS!A$2:A1405,0),0)) ,0 ,  OFFSET(SECUESTRADOS!D$1,MATCH(B426,SECUESTRADOS!A$2:A1405,0),0)  )</f>
        <v>0</v>
      </c>
      <c r="O426" s="30"/>
      <c r="P426" s="17" t="b">
        <f t="shared" si="3"/>
        <v>0</v>
      </c>
      <c r="Q426" s="17" t="str">
        <f t="shared" si="225"/>
        <v/>
      </c>
      <c r="R426" s="31"/>
      <c r="S426" s="31"/>
      <c r="T426" s="31"/>
    </row>
    <row r="427" ht="15.0" customHeight="1">
      <c r="A427" s="18" t="s">
        <v>50</v>
      </c>
      <c r="B427" s="18" t="s">
        <v>239</v>
      </c>
      <c r="C427" s="19">
        <v>1756.0</v>
      </c>
      <c r="D427" s="20" t="str">
        <f>IF(   ISERROR(OFFSET(PADRON!B$2,MATCH(C:C,PADRON!A$2:A1405,0)-1,0,1,1) )  ,  ,    OFFSET(PADRON!B$2,MATCH(C:C,PADRON!A$2:A1405,0)-1,0,1,1))</f>
        <v>PENNA, GONZALO</v>
      </c>
      <c r="E427" s="21">
        <v>45992.0</v>
      </c>
      <c r="F427" s="21"/>
      <c r="G427" s="23" t="s">
        <v>39</v>
      </c>
      <c r="H427" s="24">
        <f>IF( ISERROR( OFFSET(   'Cuadro tarifario'!D$2  , MATCH(CONCATENATE(                 IF(F427&gt;Mes,OFFSET(NroCT!B$17, MATCH($F427,NroCT!$A$18:$A1405,0),0,1,1),Periodovigente)                                                                                                                     ,A427) ,'Cuadro tarifario'!A$2:A1405,0) -1 , 0 , 1 , 1) )   , 0  ,   OFFSET(   'Cuadro tarifario'!D$2  , MATCH(CONCATENATE( IF(F427&gt;Mes,OFFSET(NroCT!B$17, MATCH($F427,NroCT!$A$18:$A1405,0),0,1,1),Periodovigente) ,A427) ,'Cuadro tarifario'!A$2:A1405,0) -1 , 0 , 1 , 1))</f>
        <v>3600</v>
      </c>
      <c r="I427" s="106">
        <f t="shared" si="195"/>
        <v>0</v>
      </c>
      <c r="J427" s="107">
        <f t="shared" si="207"/>
        <v>0</v>
      </c>
      <c r="K427" s="108">
        <f>IF(  AND(N427&gt;0,I427=0)          ,N427 ,                         IF(  IF( F427 ,  DAYS360(DATE(YEAR(F427),MONTH(F427),1),Mes)/30  ,  DAYS360(DATE(YEAR(E427),MONTH(E427),1),Mes)/30  )  &gt;  0 , IF(F427,   DAYS360(DATE(YEAR(F427),MONTH(F427),1),Mes)/30  ,  DAYS360(DATE(YEAR(E427),MONTH(E427),1),Mes)/30) , 0)       )</f>
        <v>0</v>
      </c>
      <c r="L427" s="109">
        <f t="shared" si="196"/>
        <v>0</v>
      </c>
      <c r="M427" s="110"/>
      <c r="N427" s="29">
        <f>IF( ISERROR(OFFSET(SECUESTRADOS!D$1,MATCH(B427,SECUESTRADOS!A$2:A1405,0),0)) ,0 ,  OFFSET(SECUESTRADOS!D$1,MATCH(B427,SECUESTRADOS!A$2:A1405,0),0)  )</f>
        <v>0</v>
      </c>
      <c r="O427" s="30"/>
      <c r="P427" s="17" t="b">
        <f t="shared" si="3"/>
        <v>0</v>
      </c>
      <c r="Q427" s="17" t="str">
        <f>IF(AND(A427=A424,B427=B424,C427=C424),"Repetido","")</f>
        <v/>
      </c>
      <c r="R427" s="31"/>
      <c r="S427" s="31"/>
      <c r="T427" s="31"/>
    </row>
    <row r="428" ht="15.0" customHeight="1">
      <c r="A428" s="18" t="s">
        <v>71</v>
      </c>
      <c r="B428" s="18">
        <v>1758.0</v>
      </c>
      <c r="C428" s="19">
        <v>1758.0</v>
      </c>
      <c r="D428" s="20" t="str">
        <f>IF(   ISERROR(OFFSET(PADRON!B$2,MATCH(C:C,PADRON!A$2:A1405,0)-1,0,1,1) )  ,  ,    OFFSET(PADRON!B$2,MATCH(C:C,PADRON!A$2:A1405,0)-1,0,1,1))</f>
        <v>SALDAÑA, MARIANA</v>
      </c>
      <c r="E428" s="21">
        <v>45839.0</v>
      </c>
      <c r="F428" s="21">
        <v>45870.0</v>
      </c>
      <c r="G428" s="23" t="s">
        <v>39</v>
      </c>
      <c r="H428" s="24">
        <f>IF( ISERROR( OFFSET(   'Cuadro tarifario'!D$2  , MATCH(CONCATENATE(                 IF(F428&gt;Mes,OFFSET(NroCT!B$17, MATCH($F428,NroCT!$A$18:$A1405,0),0,1,1),Periodovigente)                                                                                                                     ,A428) ,'Cuadro tarifario'!A$2:A1405,0) -1 , 0 , 1 , 1) )   , 0  ,   OFFSET(   'Cuadro tarifario'!D$2  , MATCH(CONCATENATE( IF(F428&gt;Mes,OFFSET(NroCT!B$17, MATCH($F428,NroCT!$A$18:$A1405,0),0,1,1),Periodovigente) ,A428) ,'Cuadro tarifario'!A$2:A1405,0) -1 , 0 , 1 , 1))</f>
        <v>11000</v>
      </c>
      <c r="I428" s="106">
        <f t="shared" si="195"/>
        <v>1</v>
      </c>
      <c r="J428" s="107">
        <f t="shared" si="207"/>
        <v>11000</v>
      </c>
      <c r="K428" s="108">
        <f>IF(  AND(N428&gt;0,I428=0)          ,N428 ,                         IF(  IF( F428 ,  DAYS360(DATE(YEAR(F428),MONTH(F428),1),Mes)/30  ,  DAYS360(DATE(YEAR(E428),MONTH(E428),1),Mes)/30  )  &gt;  0 , IF(F428,   DAYS360(DATE(YEAR(F428),MONTH(F428),1),Mes)/30  ,  DAYS360(DATE(YEAR(E428),MONTH(E428),1),Mes)/30) , 0)       )</f>
        <v>0</v>
      </c>
      <c r="L428" s="109">
        <f t="shared" si="196"/>
        <v>0</v>
      </c>
      <c r="M428" s="110"/>
      <c r="N428" s="29">
        <f>IF( ISERROR(OFFSET(SECUESTRADOS!D$1,MATCH(B428,SECUESTRADOS!A$2:A1405,0),0)) ,0 ,  OFFSET(SECUESTRADOS!D$1,MATCH(B428,SECUESTRADOS!A$2:A1405,0),0)  )</f>
        <v>0</v>
      </c>
      <c r="O428" s="30"/>
      <c r="P428" s="17" t="str">
        <f t="shared" si="3"/>
        <v>.socio</v>
      </c>
      <c r="Q428" s="17" t="str">
        <f>IF(AND(A428=#REF!,B428=#REF!,C428=#REF!),"Repetido","")</f>
        <v>#REF!</v>
      </c>
      <c r="R428" s="31"/>
      <c r="S428" s="31"/>
      <c r="T428" s="31"/>
    </row>
    <row r="429" ht="15.0" customHeight="1">
      <c r="A429" s="18" t="s">
        <v>38</v>
      </c>
      <c r="B429" s="18">
        <v>1758.0</v>
      </c>
      <c r="C429" s="19">
        <v>1758.0</v>
      </c>
      <c r="D429" s="20" t="str">
        <f>IF(   ISERROR(OFFSET(PADRON!B$2,MATCH(C:C,PADRON!A$2:A1405,0)-1,0,1,1) )  ,  ,    OFFSET(PADRON!B$2,MATCH(C:C,PADRON!A$2:A1405,0)-1,0,1,1))</f>
        <v>SALDAÑA, MARIANA</v>
      </c>
      <c r="E429" s="21">
        <v>45839.0</v>
      </c>
      <c r="F429" s="21">
        <v>45870.0</v>
      </c>
      <c r="G429" s="23" t="s">
        <v>39</v>
      </c>
      <c r="H429" s="24">
        <f>IF( ISERROR( OFFSET(   'Cuadro tarifario'!D$2  , MATCH(CONCATENATE(                 IF(F429&gt;Mes,OFFSET(NroCT!B$17, MATCH($F429,NroCT!$A$18:$A1405,0),0,1,1),Periodovigente)                                                                                                                     ,A429) ,'Cuadro tarifario'!A$2:A1405,0) -1 , 0 , 1 , 1) )   , 0  ,   OFFSET(   'Cuadro tarifario'!D$2  , MATCH(CONCATENATE( IF(F429&gt;Mes,OFFSET(NroCT!B$17, MATCH($F429,NroCT!$A$18:$A1405,0),0,1,1),Periodovigente) ,A429) ,'Cuadro tarifario'!A$2:A1405,0) -1 , 0 , 1 , 1))</f>
        <v>9000</v>
      </c>
      <c r="I429" s="106">
        <f t="shared" si="195"/>
        <v>1</v>
      </c>
      <c r="J429" s="107">
        <f t="shared" si="207"/>
        <v>9000</v>
      </c>
      <c r="K429" s="108">
        <f>IF(  AND(N429&gt;0,I429=0)          ,N429 ,                         IF(  IF( F429 ,  DAYS360(DATE(YEAR(F429),MONTH(F429),1),Mes)/30  ,  DAYS360(DATE(YEAR(E429),MONTH(E429),1),Mes)/30  )  &gt;  0 , IF(F429,   DAYS360(DATE(YEAR(F429),MONTH(F429),1),Mes)/30  ,  DAYS360(DATE(YEAR(E429),MONTH(E429),1),Mes)/30) , 0)       )</f>
        <v>0</v>
      </c>
      <c r="L429" s="109">
        <f t="shared" si="196"/>
        <v>0</v>
      </c>
      <c r="M429" s="110"/>
      <c r="N429" s="29">
        <f>IF( ISERROR(OFFSET(SECUESTRADOS!D$1,MATCH(B429,SECUESTRADOS!A$2:A1405,0),0)) ,0 ,  OFFSET(SECUESTRADOS!D$1,MATCH(B429,SECUESTRADOS!A$2:A1405,0),0)  )</f>
        <v>0</v>
      </c>
      <c r="O429" s="30"/>
      <c r="P429" s="17" t="str">
        <f t="shared" si="3"/>
        <v>Bono canon</v>
      </c>
      <c r="Q429" s="17" t="str">
        <f>IF(AND(A429=A428,B429=B428,C429=C428),"Repetido","")</f>
        <v/>
      </c>
      <c r="R429" s="31"/>
      <c r="S429" s="31"/>
      <c r="T429" s="31"/>
    </row>
    <row r="430" ht="15.0" customHeight="1">
      <c r="A430" s="18" t="s">
        <v>71</v>
      </c>
      <c r="B430" s="18">
        <v>1762.0</v>
      </c>
      <c r="C430" s="19">
        <v>1762.0</v>
      </c>
      <c r="D430" s="20" t="str">
        <f>IF(   ISERROR(OFFSET(PADRON!B$2,MATCH(C:C,PADRON!A$2:A1405,0)-1,0,1,1) )  ,  ,    OFFSET(PADRON!B$2,MATCH(C:C,PADRON!A$2:A1405,0)-1,0,1,1))</f>
        <v>SPANTI, GUSTAVO</v>
      </c>
      <c r="E430" s="21">
        <v>45839.0</v>
      </c>
      <c r="F430" s="21">
        <v>45870.0</v>
      </c>
      <c r="G430" s="23" t="s">
        <v>39</v>
      </c>
      <c r="H430" s="24">
        <f>IF( ISERROR( OFFSET(   'Cuadro tarifario'!D$2  , MATCH(CONCATENATE(                 IF(F430&gt;Mes,OFFSET(NroCT!B$17, MATCH($F430,NroCT!$A$18:$A1405,0),0,1,1),Periodovigente)                                                                                                                     ,A430) ,'Cuadro tarifario'!A$2:A1405,0) -1 , 0 , 1 , 1) )   , 0  ,   OFFSET(   'Cuadro tarifario'!D$2  , MATCH(CONCATENATE( IF(F430&gt;Mes,OFFSET(NroCT!B$17, MATCH($F430,NroCT!$A$18:$A1405,0),0,1,1),Periodovigente) ,A430) ,'Cuadro tarifario'!A$2:A1405,0) -1 , 0 , 1 , 1))</f>
        <v>11000</v>
      </c>
      <c r="I430" s="106">
        <f t="shared" si="195"/>
        <v>1</v>
      </c>
      <c r="J430" s="107">
        <f t="shared" si="207"/>
        <v>11000</v>
      </c>
      <c r="K430" s="108">
        <f>IF(  AND(N430&gt;0,I430=0)          ,N430 ,                         IF(  IF( F430 ,  DAYS360(DATE(YEAR(F430),MONTH(F430),1),Mes)/30  ,  DAYS360(DATE(YEAR(E430),MONTH(E430),1),Mes)/30  )  &gt;  0 , IF(F430,   DAYS360(DATE(YEAR(F430),MONTH(F430),1),Mes)/30  ,  DAYS360(DATE(YEAR(E430),MONTH(E430),1),Mes)/30) , 0)       )</f>
        <v>0</v>
      </c>
      <c r="L430" s="109">
        <f t="shared" si="196"/>
        <v>0</v>
      </c>
      <c r="M430" s="110"/>
      <c r="N430" s="29">
        <f>IF( ISERROR(OFFSET(SECUESTRADOS!D$1,MATCH(B430,SECUESTRADOS!A$2:A1405,0),0)) ,0 ,  OFFSET(SECUESTRADOS!D$1,MATCH(B430,SECUESTRADOS!A$2:A1405,0),0)  )</f>
        <v>0</v>
      </c>
      <c r="O430" s="30"/>
      <c r="P430" s="17" t="str">
        <f t="shared" si="3"/>
        <v>.socio</v>
      </c>
      <c r="Q430" s="17" t="str">
        <f>IF(AND(A430=#REF!,B430=#REF!,C430=#REF!),"Repetido","")</f>
        <v>#REF!</v>
      </c>
      <c r="R430" s="31"/>
      <c r="S430" s="31"/>
      <c r="T430" s="31"/>
    </row>
    <row r="431" ht="15.0" customHeight="1">
      <c r="A431" s="18" t="s">
        <v>38</v>
      </c>
      <c r="B431" s="18">
        <v>1762.0</v>
      </c>
      <c r="C431" s="19">
        <v>1762.0</v>
      </c>
      <c r="D431" s="20" t="str">
        <f>IF(   ISERROR(OFFSET(PADRON!B$2,MATCH(C:C,PADRON!A$2:A1405,0)-1,0,1,1) )  ,  ,    OFFSET(PADRON!B$2,MATCH(C:C,PADRON!A$2:A1405,0)-1,0,1,1))</f>
        <v>SPANTI, GUSTAVO</v>
      </c>
      <c r="E431" s="21">
        <v>45839.0</v>
      </c>
      <c r="F431" s="21">
        <v>45870.0</v>
      </c>
      <c r="G431" s="23" t="s">
        <v>39</v>
      </c>
      <c r="H431" s="24">
        <f>IF( ISERROR( OFFSET(   'Cuadro tarifario'!D$2  , MATCH(CONCATENATE(                 IF(F431&gt;Mes,OFFSET(NroCT!B$17, MATCH($F431,NroCT!$A$18:$A1405,0),0,1,1),Periodovigente)                                                                                                                     ,A431) ,'Cuadro tarifario'!A$2:A1405,0) -1 , 0 , 1 , 1) )   , 0  ,   OFFSET(   'Cuadro tarifario'!D$2  , MATCH(CONCATENATE( IF(F431&gt;Mes,OFFSET(NroCT!B$17, MATCH($F431,NroCT!$A$18:$A1405,0),0,1,1),Periodovigente) ,A431) ,'Cuadro tarifario'!A$2:A1405,0) -1 , 0 , 1 , 1))</f>
        <v>9000</v>
      </c>
      <c r="I431" s="106">
        <f t="shared" si="195"/>
        <v>1</v>
      </c>
      <c r="J431" s="107">
        <f t="shared" si="207"/>
        <v>9000</v>
      </c>
      <c r="K431" s="108">
        <f>IF(  AND(N431&gt;0,I431=0)          ,N431 ,                         IF(  IF( F431 ,  DAYS360(DATE(YEAR(F431),MONTH(F431),1),Mes)/30  ,  DAYS360(DATE(YEAR(E431),MONTH(E431),1),Mes)/30  )  &gt;  0 , IF(F431,   DAYS360(DATE(YEAR(F431),MONTH(F431),1),Mes)/30  ,  DAYS360(DATE(YEAR(E431),MONTH(E431),1),Mes)/30) , 0)       )</f>
        <v>0</v>
      </c>
      <c r="L431" s="109">
        <f t="shared" si="196"/>
        <v>0</v>
      </c>
      <c r="M431" s="110"/>
      <c r="N431" s="29">
        <f>IF( ISERROR(OFFSET(SECUESTRADOS!D$1,MATCH(B431,SECUESTRADOS!A$2:A1405,0),0)) ,0 ,  OFFSET(SECUESTRADOS!D$1,MATCH(B431,SECUESTRADOS!A$2:A1405,0),0)  )</f>
        <v>0</v>
      </c>
      <c r="O431" s="30"/>
      <c r="P431" s="17" t="str">
        <f t="shared" si="3"/>
        <v>Bono canon</v>
      </c>
      <c r="Q431" s="17" t="str">
        <f t="shared" ref="Q431:Q436" si="226">IF(AND(A431=A430,B431=B430,C431=C430),"Repetido","")</f>
        <v/>
      </c>
      <c r="R431" s="31"/>
      <c r="S431" s="31"/>
      <c r="T431" s="31"/>
    </row>
    <row r="432" ht="15.0" customHeight="1">
      <c r="A432" s="18" t="s">
        <v>40</v>
      </c>
      <c r="B432" s="18" t="s">
        <v>240</v>
      </c>
      <c r="C432" s="19">
        <v>1762.0</v>
      </c>
      <c r="D432" s="20" t="str">
        <f>IF(   ISERROR(OFFSET(PADRON!B$2,MATCH(C:C,PADRON!A$2:A1405,0)-1,0,1,1) )  ,  ,    OFFSET(PADRON!B$2,MATCH(C:C,PADRON!A$2:A1405,0)-1,0,1,1))</f>
        <v>SPANTI, GUSTAVO</v>
      </c>
      <c r="E432" s="21">
        <v>45839.0</v>
      </c>
      <c r="F432" s="21">
        <v>45870.0</v>
      </c>
      <c r="G432" s="23" t="s">
        <v>39</v>
      </c>
      <c r="H432" s="24">
        <f>IF( ISERROR( OFFSET(   'Cuadro tarifario'!D$2  , MATCH(CONCATENATE(                 IF(F432&gt;Mes,OFFSET(NroCT!B$17, MATCH($F432,NroCT!$A$18:$A1405,0),0,1,1),Periodovigente)                                                                                                                     ,A432) ,'Cuadro tarifario'!A$2:A1405,0) -1 , 0 , 1 , 1) )   , 0  ,   OFFSET(   'Cuadro tarifario'!D$2  , MATCH(CONCATENATE( IF(F432&gt;Mes,OFFSET(NroCT!B$17, MATCH($F432,NroCT!$A$18:$A1405,0),0,1,1),Periodovigente) ,A432) ,'Cuadro tarifario'!A$2:A1405,0) -1 , 0 , 1 , 1))</f>
        <v>12000</v>
      </c>
      <c r="I432" s="106">
        <f t="shared" si="195"/>
        <v>1</v>
      </c>
      <c r="J432" s="107">
        <f t="shared" si="207"/>
        <v>12000</v>
      </c>
      <c r="K432" s="108">
        <f>IF(  AND(N432&gt;0,I432=0)          ,N432 ,                         IF(  IF( F432 ,  DAYS360(DATE(YEAR(F432),MONTH(F432),1),Mes)/30  ,  DAYS360(DATE(YEAR(E432),MONTH(E432),1),Mes)/30  )  &gt;  0 , IF(F432,   DAYS360(DATE(YEAR(F432),MONTH(F432),1),Mes)/30  ,  DAYS360(DATE(YEAR(E432),MONTH(E432),1),Mes)/30) , 0)       )</f>
        <v>0</v>
      </c>
      <c r="L432" s="109">
        <f t="shared" si="196"/>
        <v>0</v>
      </c>
      <c r="M432" s="110"/>
      <c r="N432" s="29">
        <f>IF( ISERROR(OFFSET(SECUESTRADOS!D$1,MATCH(B432,SECUESTRADOS!A$2:A1405,0),0)) ,0 ,  OFFSET(SECUESTRADOS!D$1,MATCH(B432,SECUESTRADOS!A$2:A1405,0),0)  )</f>
        <v>0</v>
      </c>
      <c r="O432" s="30"/>
      <c r="P432" s="17" t="str">
        <f t="shared" si="3"/>
        <v>cuna windsurf</v>
      </c>
      <c r="Q432" s="17" t="str">
        <f t="shared" si="226"/>
        <v/>
      </c>
      <c r="R432" s="31"/>
      <c r="S432" s="31"/>
      <c r="T432" s="31"/>
    </row>
    <row r="433" ht="15.0" customHeight="1">
      <c r="A433" s="18" t="s">
        <v>71</v>
      </c>
      <c r="B433" s="18">
        <v>1763.0</v>
      </c>
      <c r="C433" s="19">
        <v>1763.0</v>
      </c>
      <c r="D433" s="20" t="str">
        <f>IF(   ISERROR(OFFSET(PADRON!B$2,MATCH(C:C,PADRON!A$2:A1405,0)-1,0,1,1) )  ,  ,    OFFSET(PADRON!B$2,MATCH(C:C,PADRON!A$2:A1405,0)-1,0,1,1))</f>
        <v>BRACCIALE, ADRIAN</v>
      </c>
      <c r="E433" s="21">
        <v>45839.0</v>
      </c>
      <c r="F433" s="21"/>
      <c r="G433" s="23" t="s">
        <v>39</v>
      </c>
      <c r="H433" s="24">
        <f>IF( ISERROR( OFFSET(   'Cuadro tarifario'!D$2  , MATCH(CONCATENATE(                 IF(F433&gt;Mes,OFFSET(NroCT!B$17, MATCH($F433,NroCT!$A$18:$A1405,0),0,1,1),Periodovigente)                                                                                                                     ,A433) ,'Cuadro tarifario'!A$2:A1405,0) -1 , 0 , 1 , 1) )   , 0  ,   OFFSET(   'Cuadro tarifario'!D$2  , MATCH(CONCATENATE( IF(F433&gt;Mes,OFFSET(NroCT!B$17, MATCH($F433,NroCT!$A$18:$A1405,0),0,1,1),Periodovigente) ,A433) ,'Cuadro tarifario'!A$2:A1405,0) -1 , 0 , 1 , 1))</f>
        <v>11000</v>
      </c>
      <c r="I433" s="106">
        <f t="shared" si="195"/>
        <v>0</v>
      </c>
      <c r="J433" s="107">
        <f t="shared" si="207"/>
        <v>0</v>
      </c>
      <c r="K433" s="108">
        <f>IF(  AND(N433&gt;0,I433=0)          ,N433 ,                         IF(  IF( F433 ,  DAYS360(DATE(YEAR(F433),MONTH(F433),1),Mes)/30  ,  DAYS360(DATE(YEAR(E433),MONTH(E433),1),Mes)/30  )  &gt;  0 , IF(F433,   DAYS360(DATE(YEAR(F433),MONTH(F433),1),Mes)/30  ,  DAYS360(DATE(YEAR(E433),MONTH(E433),1),Mes)/30) , 0)       )</f>
        <v>1</v>
      </c>
      <c r="L433" s="109">
        <f t="shared" si="196"/>
        <v>11000</v>
      </c>
      <c r="M433" s="110"/>
      <c r="N433" s="29">
        <f>IF( ISERROR(OFFSET(SECUESTRADOS!D$1,MATCH(B433,SECUESTRADOS!A$2:A1405,0),0)) ,0 ,  OFFSET(SECUESTRADOS!D$1,MATCH(B433,SECUESTRADOS!A$2:A1405,0),0)  )</f>
        <v>0</v>
      </c>
      <c r="O433" s="30"/>
      <c r="P433" s="17" t="b">
        <f t="shared" si="3"/>
        <v>0</v>
      </c>
      <c r="Q433" s="17" t="str">
        <f t="shared" si="226"/>
        <v/>
      </c>
      <c r="R433" s="31"/>
      <c r="S433" s="31"/>
      <c r="T433" s="31"/>
    </row>
    <row r="434" ht="15.0" customHeight="1">
      <c r="A434" s="18" t="s">
        <v>38</v>
      </c>
      <c r="B434" s="18">
        <v>1763.0</v>
      </c>
      <c r="C434" s="19">
        <v>1763.0</v>
      </c>
      <c r="D434" s="20" t="str">
        <f>IF(   ISERROR(OFFSET(PADRON!B$2,MATCH(C:C,PADRON!A$2:A1405,0)-1,0,1,1) )  ,  ,    OFFSET(PADRON!B$2,MATCH(C:C,PADRON!A$2:A1405,0)-1,0,1,1))</f>
        <v>BRACCIALE, ADRIAN</v>
      </c>
      <c r="E434" s="21">
        <v>45839.0</v>
      </c>
      <c r="F434" s="21"/>
      <c r="G434" s="23" t="s">
        <v>39</v>
      </c>
      <c r="H434" s="24">
        <f>IF( ISERROR( OFFSET(   'Cuadro tarifario'!D$2  , MATCH(CONCATENATE(                 IF(F434&gt;Mes,OFFSET(NroCT!B$17, MATCH($F434,NroCT!$A$18:$A1405,0),0,1,1),Periodovigente)                                                                                                                     ,A434) ,'Cuadro tarifario'!A$2:A1405,0) -1 , 0 , 1 , 1) )   , 0  ,   OFFSET(   'Cuadro tarifario'!D$2  , MATCH(CONCATENATE( IF(F434&gt;Mes,OFFSET(NroCT!B$17, MATCH($F434,NroCT!$A$18:$A1405,0),0,1,1),Periodovigente) ,A434) ,'Cuadro tarifario'!A$2:A1405,0) -1 , 0 , 1 , 1))</f>
        <v>9000</v>
      </c>
      <c r="I434" s="106">
        <f t="shared" si="195"/>
        <v>0</v>
      </c>
      <c r="J434" s="107">
        <f t="shared" si="207"/>
        <v>0</v>
      </c>
      <c r="K434" s="108">
        <f>IF(  AND(N434&gt;0,I434=0)          ,N434 ,                         IF(  IF( F434 ,  DAYS360(DATE(YEAR(F434),MONTH(F434),1),Mes)/30  ,  DAYS360(DATE(YEAR(E434),MONTH(E434),1),Mes)/30  )  &gt;  0 , IF(F434,   DAYS360(DATE(YEAR(F434),MONTH(F434),1),Mes)/30  ,  DAYS360(DATE(YEAR(E434),MONTH(E434),1),Mes)/30) , 0)       )</f>
        <v>1</v>
      </c>
      <c r="L434" s="109">
        <f t="shared" si="196"/>
        <v>9000</v>
      </c>
      <c r="M434" s="110"/>
      <c r="N434" s="29">
        <f>IF( ISERROR(OFFSET(SECUESTRADOS!D$1,MATCH(B434,SECUESTRADOS!A$2:A1405,0),0)) ,0 ,  OFFSET(SECUESTRADOS!D$1,MATCH(B434,SECUESTRADOS!A$2:A1405,0),0)  )</f>
        <v>0</v>
      </c>
      <c r="O434" s="30"/>
      <c r="P434" s="17" t="b">
        <f t="shared" si="3"/>
        <v>0</v>
      </c>
      <c r="Q434" s="17" t="str">
        <f t="shared" si="226"/>
        <v/>
      </c>
      <c r="R434" s="31"/>
      <c r="S434" s="31"/>
      <c r="T434" s="31"/>
    </row>
    <row r="435" ht="15.0" customHeight="1">
      <c r="A435" s="18" t="s">
        <v>82</v>
      </c>
      <c r="B435" s="18" t="s">
        <v>241</v>
      </c>
      <c r="C435" s="19">
        <v>1763.0</v>
      </c>
      <c r="D435" s="20" t="str">
        <f>IF(   ISERROR(OFFSET(PADRON!B$2,MATCH(C:C,PADRON!A$2:A1405,0)-1,0,1,1) )  ,  ,    OFFSET(PADRON!B$2,MATCH(C:C,PADRON!A$2:A1405,0)-1,0,1,1))</f>
        <v>BRACCIALE, ADRIAN</v>
      </c>
      <c r="E435" s="21">
        <v>45839.0</v>
      </c>
      <c r="F435" s="21"/>
      <c r="G435" s="23" t="s">
        <v>39</v>
      </c>
      <c r="H435" s="24">
        <f>IF( ISERROR( OFFSET(   'Cuadro tarifario'!D$2  , MATCH(CONCATENATE(                 IF(F435&gt;Mes,OFFSET(NroCT!B$17, MATCH($F435,NroCT!$A$18:$A1405,0),0,1,1),Periodovigente)                                                                                                                     ,A435) ,'Cuadro tarifario'!A$2:A1405,0) -1 , 0 , 1 , 1) )   , 0  ,   OFFSET(   'Cuadro tarifario'!D$2  , MATCH(CONCATENATE( IF(F435&gt;Mes,OFFSET(NroCT!B$17, MATCH($F435,NroCT!$A$18:$A1405,0),0,1,1),Periodovigente) ,A435) ,'Cuadro tarifario'!A$2:A1405,0) -1 , 0 , 1 , 1))</f>
        <v>12000</v>
      </c>
      <c r="I435" s="106">
        <f t="shared" si="195"/>
        <v>0</v>
      </c>
      <c r="J435" s="107">
        <f t="shared" si="207"/>
        <v>0</v>
      </c>
      <c r="K435" s="108">
        <f>IF(  AND(N435&gt;0,I435=0)          ,N435 ,                         IF(  IF( F435 ,  DAYS360(DATE(YEAR(F435),MONTH(F435),1),Mes)/30  ,  DAYS360(DATE(YEAR(E435),MONTH(E435),1),Mes)/30  )  &gt;  0 , IF(F435,   DAYS360(DATE(YEAR(F435),MONTH(F435),1),Mes)/30  ,  DAYS360(DATE(YEAR(E435),MONTH(E435),1),Mes)/30) , 0)       )</f>
        <v>1</v>
      </c>
      <c r="L435" s="109">
        <f t="shared" si="196"/>
        <v>12000</v>
      </c>
      <c r="M435" s="110"/>
      <c r="N435" s="29">
        <f>IF( ISERROR(OFFSET(SECUESTRADOS!D$1,MATCH(B435,SECUESTRADOS!A$2:A1405,0),0)) ,0 ,  OFFSET(SECUESTRADOS!D$1,MATCH(B435,SECUESTRADOS!A$2:A1405,0),0)  )</f>
        <v>0</v>
      </c>
      <c r="O435" s="30"/>
      <c r="P435" s="17" t="b">
        <f t="shared" si="3"/>
        <v>0</v>
      </c>
      <c r="Q435" s="17" t="str">
        <f t="shared" si="226"/>
        <v/>
      </c>
      <c r="R435" s="31"/>
      <c r="S435" s="31"/>
      <c r="T435" s="31"/>
    </row>
    <row r="436" ht="15.0" customHeight="1">
      <c r="A436" s="18" t="s">
        <v>82</v>
      </c>
      <c r="B436" s="18" t="s">
        <v>242</v>
      </c>
      <c r="C436" s="19">
        <v>1763.0</v>
      </c>
      <c r="D436" s="20" t="str">
        <f>IF(   ISERROR(OFFSET(PADRON!B$2,MATCH(C:C,PADRON!A$2:A1405,0)-1,0,1,1) )  ,  ,    OFFSET(PADRON!B$2,MATCH(C:C,PADRON!A$2:A1405,0)-1,0,1,1))</f>
        <v>BRACCIALE, ADRIAN</v>
      </c>
      <c r="E436" s="21">
        <v>45839.0</v>
      </c>
      <c r="F436" s="21"/>
      <c r="G436" s="23" t="s">
        <v>39</v>
      </c>
      <c r="H436" s="24">
        <f>IF( ISERROR( OFFSET(   'Cuadro tarifario'!D$2  , MATCH(CONCATENATE(                 IF(F436&gt;Mes,OFFSET(NroCT!B$17, MATCH($F436,NroCT!$A$18:$A1405,0),0,1,1),Periodovigente)                                                                                                                     ,A436) ,'Cuadro tarifario'!A$2:A1405,0) -1 , 0 , 1 , 1) )   , 0  ,   OFFSET(   'Cuadro tarifario'!D$2  , MATCH(CONCATENATE( IF(F436&gt;Mes,OFFSET(NroCT!B$17, MATCH($F436,NroCT!$A$18:$A1405,0),0,1,1),Periodovigente) ,A436) ,'Cuadro tarifario'!A$2:A1405,0) -1 , 0 , 1 , 1))</f>
        <v>12000</v>
      </c>
      <c r="I436" s="106">
        <f t="shared" si="195"/>
        <v>0</v>
      </c>
      <c r="J436" s="107">
        <f t="shared" si="207"/>
        <v>0</v>
      </c>
      <c r="K436" s="108">
        <f>IF(  AND(N436&gt;0,I436=0)          ,N436 ,                         IF(  IF( F436 ,  DAYS360(DATE(YEAR(F436),MONTH(F436),1),Mes)/30  ,  DAYS360(DATE(YEAR(E436),MONTH(E436),1),Mes)/30  )  &gt;  0 , IF(F436,   DAYS360(DATE(YEAR(F436),MONTH(F436),1),Mes)/30  ,  DAYS360(DATE(YEAR(E436),MONTH(E436),1),Mes)/30) , 0)       )</f>
        <v>1</v>
      </c>
      <c r="L436" s="109">
        <f t="shared" si="196"/>
        <v>12000</v>
      </c>
      <c r="M436" s="110"/>
      <c r="N436" s="29">
        <f>IF( ISERROR(OFFSET(SECUESTRADOS!D$1,MATCH(B436,SECUESTRADOS!A$2:A1405,0),0)) ,0 ,  OFFSET(SECUESTRADOS!D$1,MATCH(B436,SECUESTRADOS!A$2:A1405,0),0)  )</f>
        <v>0</v>
      </c>
      <c r="O436" s="30"/>
      <c r="P436" s="17" t="b">
        <f t="shared" si="3"/>
        <v>0</v>
      </c>
      <c r="Q436" s="17" t="str">
        <f t="shared" si="226"/>
        <v/>
      </c>
      <c r="R436" s="31"/>
      <c r="S436" s="31"/>
      <c r="T436" s="31"/>
    </row>
    <row r="437" ht="15.0" customHeight="1">
      <c r="A437" s="18" t="s">
        <v>71</v>
      </c>
      <c r="B437" s="18">
        <v>1767.0</v>
      </c>
      <c r="C437" s="19">
        <v>1767.0</v>
      </c>
      <c r="D437" s="20" t="str">
        <f>IF(   ISERROR(OFFSET(PADRON!B$2,MATCH(C:C,PADRON!A$2:A1405,0)-1,0,1,1) )  ,  ,    OFFSET(PADRON!B$2,MATCH(C:C,PADRON!A$2:A1405,0)-1,0,1,1))</f>
        <v>MONZA, ALEJANDRO</v>
      </c>
      <c r="E437" s="21">
        <v>45778.0</v>
      </c>
      <c r="F437" s="21">
        <v>45870.0</v>
      </c>
      <c r="G437" s="23" t="s">
        <v>39</v>
      </c>
      <c r="H437" s="24">
        <f>IF( ISERROR( OFFSET(   'Cuadro tarifario'!D$2  , MATCH(CONCATENATE(                 IF(F437&gt;Mes,OFFSET(NroCT!B$17, MATCH($F437,NroCT!$A$18:$A1405,0),0,1,1),Periodovigente)                                                                                                                     ,A437) ,'Cuadro tarifario'!A$2:A1405,0) -1 , 0 , 1 , 1) )   , 0  ,   OFFSET(   'Cuadro tarifario'!D$2  , MATCH(CONCATENATE( IF(F437&gt;Mes,OFFSET(NroCT!B$17, MATCH($F437,NroCT!$A$18:$A1405,0),0,1,1),Periodovigente) ,A437) ,'Cuadro tarifario'!A$2:A1405,0) -1 , 0 , 1 , 1))</f>
        <v>11000</v>
      </c>
      <c r="I437" s="106">
        <f t="shared" si="195"/>
        <v>3</v>
      </c>
      <c r="J437" s="107">
        <f t="shared" si="207"/>
        <v>33000</v>
      </c>
      <c r="K437" s="108">
        <f>IF(  AND(N437&gt;0,I437=0)          ,N437 ,                         IF(  IF( F437 ,  DAYS360(DATE(YEAR(F437),MONTH(F437),1),Mes)/30  ,  DAYS360(DATE(YEAR(E437),MONTH(E437),1),Mes)/30  )  &gt;  0 , IF(F437,   DAYS360(DATE(YEAR(F437),MONTH(F437),1),Mes)/30  ,  DAYS360(DATE(YEAR(E437),MONTH(E437),1),Mes)/30) , 0)       )</f>
        <v>0</v>
      </c>
      <c r="L437" s="109">
        <f t="shared" si="196"/>
        <v>0</v>
      </c>
      <c r="M437" s="110"/>
      <c r="N437" s="29">
        <f>IF( ISERROR(OFFSET(SECUESTRADOS!D$1,MATCH(B437,SECUESTRADOS!A$2:A1405,0),0)) ,0 ,  OFFSET(SECUESTRADOS!D$1,MATCH(B437,SECUESTRADOS!A$2:A1405,0),0)  )</f>
        <v>0</v>
      </c>
      <c r="O437" s="30"/>
      <c r="P437" s="17" t="str">
        <f t="shared" si="3"/>
        <v>.socio</v>
      </c>
      <c r="Q437" s="17" t="str">
        <f>IF(AND(A437=#REF!,B437=#REF!,C437=#REF!),"Repetido","")</f>
        <v>#REF!</v>
      </c>
      <c r="R437" s="31"/>
      <c r="S437" s="31"/>
      <c r="T437" s="31"/>
    </row>
    <row r="438" ht="15.0" customHeight="1">
      <c r="A438" s="18" t="s">
        <v>38</v>
      </c>
      <c r="B438" s="18">
        <v>1767.0</v>
      </c>
      <c r="C438" s="19">
        <v>1767.0</v>
      </c>
      <c r="D438" s="20" t="str">
        <f>IF(   ISERROR(OFFSET(PADRON!B$2,MATCH(C:C,PADRON!A$2:A1405,0)-1,0,1,1) )  ,  ,    OFFSET(PADRON!B$2,MATCH(C:C,PADRON!A$2:A1405,0)-1,0,1,1))</f>
        <v>MONZA, ALEJANDRO</v>
      </c>
      <c r="E438" s="21">
        <v>45778.0</v>
      </c>
      <c r="F438" s="21">
        <v>45870.0</v>
      </c>
      <c r="G438" s="23" t="s">
        <v>39</v>
      </c>
      <c r="H438" s="24">
        <f>IF( ISERROR( OFFSET(   'Cuadro tarifario'!D$2  , MATCH(CONCATENATE(                 IF(F438&gt;Mes,OFFSET(NroCT!B$17, MATCH($F438,NroCT!$A$18:$A1405,0),0,1,1),Periodovigente)                                                                                                                     ,A438) ,'Cuadro tarifario'!A$2:A1405,0) -1 , 0 , 1 , 1) )   , 0  ,   OFFSET(   'Cuadro tarifario'!D$2  , MATCH(CONCATENATE( IF(F438&gt;Mes,OFFSET(NroCT!B$17, MATCH($F438,NroCT!$A$18:$A1405,0),0,1,1),Periodovigente) ,A438) ,'Cuadro tarifario'!A$2:A1405,0) -1 , 0 , 1 , 1))</f>
        <v>9000</v>
      </c>
      <c r="I438" s="106">
        <f t="shared" si="195"/>
        <v>3</v>
      </c>
      <c r="J438" s="107">
        <f t="shared" si="207"/>
        <v>27000</v>
      </c>
      <c r="K438" s="108">
        <f>IF(  AND(N438&gt;0,I438=0)          ,N438 ,                         IF(  IF( F438 ,  DAYS360(DATE(YEAR(F438),MONTH(F438),1),Mes)/30  ,  DAYS360(DATE(YEAR(E438),MONTH(E438),1),Mes)/30  )  &gt;  0 , IF(F438,   DAYS360(DATE(YEAR(F438),MONTH(F438),1),Mes)/30  ,  DAYS360(DATE(YEAR(E438),MONTH(E438),1),Mes)/30) , 0)       )</f>
        <v>0</v>
      </c>
      <c r="L438" s="109">
        <f t="shared" si="196"/>
        <v>0</v>
      </c>
      <c r="M438" s="110"/>
      <c r="N438" s="29">
        <f>IF( ISERROR(OFFSET(SECUESTRADOS!D$1,MATCH(B438,SECUESTRADOS!A$2:A1405,0),0)) ,0 ,  OFFSET(SECUESTRADOS!D$1,MATCH(B438,SECUESTRADOS!A$2:A1405,0),0)  )</f>
        <v>0</v>
      </c>
      <c r="O438" s="30"/>
      <c r="P438" s="17" t="str">
        <f t="shared" si="3"/>
        <v>Bono canon</v>
      </c>
      <c r="Q438" s="17" t="str">
        <f t="shared" ref="Q438:Q439" si="227">IF(AND(A438=A437,B438=B437,C438=C437),"Repetido","")</f>
        <v/>
      </c>
      <c r="R438" s="31"/>
      <c r="S438" s="31"/>
      <c r="T438" s="31"/>
    </row>
    <row r="439" ht="15.0" customHeight="1">
      <c r="A439" s="18" t="s">
        <v>82</v>
      </c>
      <c r="B439" s="18" t="s">
        <v>243</v>
      </c>
      <c r="C439" s="19">
        <v>1767.0</v>
      </c>
      <c r="D439" s="20" t="str">
        <f>IF(   ISERROR(OFFSET(PADRON!B$2,MATCH(C:C,PADRON!A$2:A1405,0)-1,0,1,1) )  ,  ,    OFFSET(PADRON!B$2,MATCH(C:C,PADRON!A$2:A1405,0)-1,0,1,1))</f>
        <v>MONZA, ALEJANDRO</v>
      </c>
      <c r="E439" s="21">
        <v>45778.0</v>
      </c>
      <c r="F439" s="21">
        <v>45870.0</v>
      </c>
      <c r="G439" s="23" t="s">
        <v>39</v>
      </c>
      <c r="H439" s="24">
        <f>IF( ISERROR( OFFSET(   'Cuadro tarifario'!D$2  , MATCH(CONCATENATE(                 IF(F439&gt;Mes,OFFSET(NroCT!B$17, MATCH($F439,NroCT!$A$18:$A1405,0),0,1,1),Periodovigente)                                                                                                                     ,A439) ,'Cuadro tarifario'!A$2:A1405,0) -1 , 0 , 1 , 1) )   , 0  ,   OFFSET(   'Cuadro tarifario'!D$2  , MATCH(CONCATENATE( IF(F439&gt;Mes,OFFSET(NroCT!B$17, MATCH($F439,NroCT!$A$18:$A1405,0),0,1,1),Periodovigente) ,A439) ,'Cuadro tarifario'!A$2:A1405,0) -1 , 0 , 1 , 1))</f>
        <v>12000</v>
      </c>
      <c r="I439" s="106">
        <f t="shared" si="195"/>
        <v>3</v>
      </c>
      <c r="J439" s="107">
        <f t="shared" si="207"/>
        <v>36000</v>
      </c>
      <c r="K439" s="108">
        <f>IF(  AND(N439&gt;0,I439=0)          ,N439 ,                         IF(  IF( F439 ,  DAYS360(DATE(YEAR(F439),MONTH(F439),1),Mes)/30  ,  DAYS360(DATE(YEAR(E439),MONTH(E439),1),Mes)/30  )  &gt;  0 , IF(F439,   DAYS360(DATE(YEAR(F439),MONTH(F439),1),Mes)/30  ,  DAYS360(DATE(YEAR(E439),MONTH(E439),1),Mes)/30) , 0)       )</f>
        <v>0</v>
      </c>
      <c r="L439" s="109">
        <f t="shared" si="196"/>
        <v>0</v>
      </c>
      <c r="M439" s="110"/>
      <c r="N439" s="29">
        <f>IF( ISERROR(OFFSET(SECUESTRADOS!D$1,MATCH(B439,SECUESTRADOS!A$2:A1405,0),0)) ,0 ,  OFFSET(SECUESTRADOS!D$1,MATCH(B439,SECUESTRADOS!A$2:A1405,0),0)  )</f>
        <v>0</v>
      </c>
      <c r="O439" s="30"/>
      <c r="P439" s="17" t="str">
        <f t="shared" si="3"/>
        <v>cuna kayak</v>
      </c>
      <c r="Q439" s="17" t="str">
        <f t="shared" si="227"/>
        <v/>
      </c>
      <c r="R439" s="31"/>
      <c r="S439" s="31"/>
      <c r="T439" s="31"/>
    </row>
    <row r="440" ht="15.0" customHeight="1">
      <c r="A440" s="18" t="s">
        <v>71</v>
      </c>
      <c r="B440" s="18">
        <v>1768.0</v>
      </c>
      <c r="C440" s="19">
        <v>1768.0</v>
      </c>
      <c r="D440" s="20" t="str">
        <f>IF(   ISERROR(OFFSET(PADRON!B$2,MATCH(C:C,PADRON!A$2:A1405,0)-1,0,1,1) )  ,  ,    OFFSET(PADRON!B$2,MATCH(C:C,PADRON!A$2:A1405,0)-1,0,1,1))</f>
        <v>AMOREO, MONICA</v>
      </c>
      <c r="E440" s="21">
        <v>45839.0</v>
      </c>
      <c r="F440" s="21">
        <v>45870.0</v>
      </c>
      <c r="G440" s="23" t="s">
        <v>39</v>
      </c>
      <c r="H440" s="24">
        <f>IF( ISERROR( OFFSET(   'Cuadro tarifario'!D$2  , MATCH(CONCATENATE(                 IF(F440&gt;Mes,OFFSET(NroCT!B$17, MATCH($F440,NroCT!$A$18:$A1405,0),0,1,1),Periodovigente)                                                                                                                     ,A440) ,'Cuadro tarifario'!A$2:A1405,0) -1 , 0 , 1 , 1) )   , 0  ,   OFFSET(   'Cuadro tarifario'!D$2  , MATCH(CONCATENATE( IF(F440&gt;Mes,OFFSET(NroCT!B$17, MATCH($F440,NroCT!$A$18:$A1405,0),0,1,1),Periodovigente) ,A440) ,'Cuadro tarifario'!A$2:A1405,0) -1 , 0 , 1 , 1))</f>
        <v>11000</v>
      </c>
      <c r="I440" s="106">
        <f t="shared" si="195"/>
        <v>1</v>
      </c>
      <c r="J440" s="107">
        <f t="shared" si="207"/>
        <v>11000</v>
      </c>
      <c r="K440" s="108">
        <f>IF(  AND(N440&gt;0,I440=0)          ,N440 ,                         IF(  IF( F440 ,  DAYS360(DATE(YEAR(F440),MONTH(F440),1),Mes)/30  ,  DAYS360(DATE(YEAR(E440),MONTH(E440),1),Mes)/30  )  &gt;  0 , IF(F440,   DAYS360(DATE(YEAR(F440),MONTH(F440),1),Mes)/30  ,  DAYS360(DATE(YEAR(E440),MONTH(E440),1),Mes)/30) , 0)       )</f>
        <v>0</v>
      </c>
      <c r="L440" s="109">
        <f t="shared" si="196"/>
        <v>0</v>
      </c>
      <c r="M440" s="110"/>
      <c r="N440" s="29">
        <f>IF( ISERROR(OFFSET(SECUESTRADOS!D$1,MATCH(B440,SECUESTRADOS!A$2:A1405,0),0)) ,0 ,  OFFSET(SECUESTRADOS!D$1,MATCH(B440,SECUESTRADOS!A$2:A1405,0),0)  )</f>
        <v>0</v>
      </c>
      <c r="O440" s="30"/>
      <c r="P440" s="17" t="str">
        <f t="shared" si="3"/>
        <v>.socio</v>
      </c>
      <c r="Q440" s="17" t="str">
        <f>IF(AND(A440=A438,B440=B438,C440=C438),"Repetido","")</f>
        <v/>
      </c>
      <c r="R440" s="31"/>
      <c r="S440" s="31"/>
      <c r="T440" s="31"/>
    </row>
    <row r="441" ht="15.0" customHeight="1">
      <c r="A441" s="18" t="s">
        <v>38</v>
      </c>
      <c r="B441" s="18">
        <v>1768.0</v>
      </c>
      <c r="C441" s="19">
        <v>1768.0</v>
      </c>
      <c r="D441" s="20" t="str">
        <f>IF(   ISERROR(OFFSET(PADRON!B$2,MATCH(C:C,PADRON!A$2:A1405,0)-1,0,1,1) )  ,  ,    OFFSET(PADRON!B$2,MATCH(C:C,PADRON!A$2:A1405,0)-1,0,1,1))</f>
        <v>AMOREO, MONICA</v>
      </c>
      <c r="E441" s="21">
        <v>45839.0</v>
      </c>
      <c r="F441" s="21">
        <v>45870.0</v>
      </c>
      <c r="G441" s="23" t="s">
        <v>39</v>
      </c>
      <c r="H441" s="24">
        <f>IF( ISERROR( OFFSET(   'Cuadro tarifario'!D$2  , MATCH(CONCATENATE(                 IF(F441&gt;Mes,OFFSET(NroCT!B$17, MATCH($F441,NroCT!$A$18:$A1405,0),0,1,1),Periodovigente)                                                                                                                     ,A441) ,'Cuadro tarifario'!A$2:A1405,0) -1 , 0 , 1 , 1) )   , 0  ,   OFFSET(   'Cuadro tarifario'!D$2  , MATCH(CONCATENATE( IF(F441&gt;Mes,OFFSET(NroCT!B$17, MATCH($F441,NroCT!$A$18:$A1405,0),0,1,1),Periodovigente) ,A441) ,'Cuadro tarifario'!A$2:A1405,0) -1 , 0 , 1 , 1))</f>
        <v>9000</v>
      </c>
      <c r="I441" s="106">
        <f t="shared" si="195"/>
        <v>1</v>
      </c>
      <c r="J441" s="107">
        <f t="shared" si="207"/>
        <v>9000</v>
      </c>
      <c r="K441" s="108">
        <f>IF(  AND(N441&gt;0,I441=0)          ,N441 ,                         IF(  IF( F441 ,  DAYS360(DATE(YEAR(F441),MONTH(F441),1),Mes)/30  ,  DAYS360(DATE(YEAR(E441),MONTH(E441),1),Mes)/30  )  &gt;  0 , IF(F441,   DAYS360(DATE(YEAR(F441),MONTH(F441),1),Mes)/30  ,  DAYS360(DATE(YEAR(E441),MONTH(E441),1),Mes)/30) , 0)       )</f>
        <v>0</v>
      </c>
      <c r="L441" s="109">
        <f t="shared" si="196"/>
        <v>0</v>
      </c>
      <c r="M441" s="110"/>
      <c r="N441" s="29">
        <f>IF( ISERROR(OFFSET(SECUESTRADOS!D$1,MATCH(B441,SECUESTRADOS!A$2:A1405,0),0)) ,0 ,  OFFSET(SECUESTRADOS!D$1,MATCH(B441,SECUESTRADOS!A$2:A1405,0),0)  )</f>
        <v>0</v>
      </c>
      <c r="O441" s="30"/>
      <c r="P441" s="17" t="str">
        <f t="shared" si="3"/>
        <v>Bono canon</v>
      </c>
      <c r="Q441" s="17" t="str">
        <f t="shared" ref="Q441:Q442" si="228">IF(AND(A441=A440,B441=B440,C441=C440),"Repetido","")</f>
        <v/>
      </c>
      <c r="R441" s="31"/>
      <c r="S441" s="31"/>
      <c r="T441" s="31"/>
    </row>
    <row r="442" ht="15.0" customHeight="1">
      <c r="A442" s="18" t="s">
        <v>40</v>
      </c>
      <c r="B442" s="18" t="s">
        <v>244</v>
      </c>
      <c r="C442" s="19">
        <v>1768.0</v>
      </c>
      <c r="D442" s="20" t="str">
        <f>IF(   ISERROR(OFFSET(PADRON!B$2,MATCH(C:C,PADRON!A$2:A1405,0)-1,0,1,1) )  ,  ,    OFFSET(PADRON!B$2,MATCH(C:C,PADRON!A$2:A1405,0)-1,0,1,1))</f>
        <v>AMOREO, MONICA</v>
      </c>
      <c r="E442" s="21">
        <v>45839.0</v>
      </c>
      <c r="F442" s="21">
        <v>45870.0</v>
      </c>
      <c r="G442" s="23" t="s">
        <v>39</v>
      </c>
      <c r="H442" s="24">
        <f>IF( ISERROR( OFFSET(   'Cuadro tarifario'!D$2  , MATCH(CONCATENATE(                 IF(F442&gt;Mes,OFFSET(NroCT!B$17, MATCH($F442,NroCT!$A$18:$A1405,0),0,1,1),Periodovigente)                                                                                                                     ,A442) ,'Cuadro tarifario'!A$2:A1405,0) -1 , 0 , 1 , 1) )   , 0  ,   OFFSET(   'Cuadro tarifario'!D$2  , MATCH(CONCATENATE( IF(F442&gt;Mes,OFFSET(NroCT!B$17, MATCH($F442,NroCT!$A$18:$A1405,0),0,1,1),Periodovigente) ,A442) ,'Cuadro tarifario'!A$2:A1405,0) -1 , 0 , 1 , 1))</f>
        <v>12000</v>
      </c>
      <c r="I442" s="106">
        <f t="shared" si="195"/>
        <v>1</v>
      </c>
      <c r="J442" s="107">
        <f t="shared" si="207"/>
        <v>12000</v>
      </c>
      <c r="K442" s="108">
        <f>IF(  AND(N442&gt;0,I442=0)          ,N442 ,                         IF(  IF( F442 ,  DAYS360(DATE(YEAR(F442),MONTH(F442),1),Mes)/30  ,  DAYS360(DATE(YEAR(E442),MONTH(E442),1),Mes)/30  )  &gt;  0 , IF(F442,   DAYS360(DATE(YEAR(F442),MONTH(F442),1),Mes)/30  ,  DAYS360(DATE(YEAR(E442),MONTH(E442),1),Mes)/30) , 0)       )</f>
        <v>0</v>
      </c>
      <c r="L442" s="109">
        <f t="shared" si="196"/>
        <v>0</v>
      </c>
      <c r="M442" s="110"/>
      <c r="N442" s="29">
        <f>IF( ISERROR(OFFSET(SECUESTRADOS!D$1,MATCH(B442,SECUESTRADOS!A$2:A1405,0),0)) ,0 ,  OFFSET(SECUESTRADOS!D$1,MATCH(B442,SECUESTRADOS!A$2:A1405,0),0)  )</f>
        <v>0</v>
      </c>
      <c r="O442" s="30"/>
      <c r="P442" s="17" t="str">
        <f t="shared" si="3"/>
        <v>cuna windsurf</v>
      </c>
      <c r="Q442" s="17" t="str">
        <f t="shared" si="228"/>
        <v/>
      </c>
      <c r="R442" s="31"/>
      <c r="S442" s="31"/>
      <c r="T442" s="31"/>
    </row>
    <row r="443" ht="15.0" customHeight="1">
      <c r="A443" s="18" t="s">
        <v>71</v>
      </c>
      <c r="B443" s="18">
        <v>1771.0</v>
      </c>
      <c r="C443" s="19">
        <v>1771.0</v>
      </c>
      <c r="D443" s="20" t="str">
        <f>IF(   ISERROR(OFFSET(PADRON!B$2,MATCH(C:C,PADRON!A$2:A1405,0)-1,0,1,1) )  ,  ,    OFFSET(PADRON!B$2,MATCH(C:C,PADRON!A$2:A1405,0)-1,0,1,1))</f>
        <v>GASCO, DANIEL</v>
      </c>
      <c r="E443" s="21">
        <v>45839.0</v>
      </c>
      <c r="F443" s="21">
        <v>45870.0</v>
      </c>
      <c r="G443" s="23" t="s">
        <v>39</v>
      </c>
      <c r="H443" s="24">
        <f>IF( ISERROR( OFFSET(   'Cuadro tarifario'!D$2  , MATCH(CONCATENATE(                 IF(F443&gt;Mes,OFFSET(NroCT!B$17, MATCH($F443,NroCT!$A$18:$A1405,0),0,1,1),Periodovigente)                                                                                                                     ,A443) ,'Cuadro tarifario'!A$2:A1405,0) -1 , 0 , 1 , 1) )   , 0  ,   OFFSET(   'Cuadro tarifario'!D$2  , MATCH(CONCATENATE( IF(F443&gt;Mes,OFFSET(NroCT!B$17, MATCH($F443,NroCT!$A$18:$A1405,0),0,1,1),Periodovigente) ,A443) ,'Cuadro tarifario'!A$2:A1405,0) -1 , 0 , 1 , 1))</f>
        <v>11000</v>
      </c>
      <c r="I443" s="106">
        <f t="shared" si="195"/>
        <v>1</v>
      </c>
      <c r="J443" s="107">
        <f t="shared" si="207"/>
        <v>11000</v>
      </c>
      <c r="K443" s="108">
        <f>IF(  AND(N443&gt;0,I443=0)          ,N443 ,                         IF(  IF( F443 ,  DAYS360(DATE(YEAR(F443),MONTH(F443),1),Mes)/30  ,  DAYS360(DATE(YEAR(E443),MONTH(E443),1),Mes)/30  )  &gt;  0 , IF(F443,   DAYS360(DATE(YEAR(F443),MONTH(F443),1),Mes)/30  ,  DAYS360(DATE(YEAR(E443),MONTH(E443),1),Mes)/30) , 0)       )</f>
        <v>0</v>
      </c>
      <c r="L443" s="109">
        <f t="shared" si="196"/>
        <v>0</v>
      </c>
      <c r="M443" s="110"/>
      <c r="N443" s="29">
        <f>IF( ISERROR(OFFSET(SECUESTRADOS!D$1,MATCH(B443,SECUESTRADOS!A$2:A1405,0),0)) ,0 ,  OFFSET(SECUESTRADOS!D$1,MATCH(B443,SECUESTRADOS!A$2:A1405,0),0)  )</f>
        <v>0</v>
      </c>
      <c r="O443" s="30"/>
      <c r="P443" s="17" t="str">
        <f t="shared" si="3"/>
        <v>.socio</v>
      </c>
      <c r="Q443" s="17" t="str">
        <f>IF(AND(A443=#REF!,B443=#REF!,C443=#REF!),"Repetido","")</f>
        <v>#REF!</v>
      </c>
      <c r="R443" s="31"/>
      <c r="S443" s="31"/>
      <c r="T443" s="31"/>
    </row>
    <row r="444" ht="15.0" customHeight="1">
      <c r="A444" s="18" t="s">
        <v>38</v>
      </c>
      <c r="B444" s="18">
        <v>1771.0</v>
      </c>
      <c r="C444" s="19">
        <v>1771.0</v>
      </c>
      <c r="D444" s="20" t="str">
        <f>IF(   ISERROR(OFFSET(PADRON!B$2,MATCH(C:C,PADRON!A$2:A1405,0)-1,0,1,1) )  ,  ,    OFFSET(PADRON!B$2,MATCH(C:C,PADRON!A$2:A1405,0)-1,0,1,1))</f>
        <v>GASCO, DANIEL</v>
      </c>
      <c r="E444" s="21">
        <v>45839.0</v>
      </c>
      <c r="F444" s="21">
        <v>45870.0</v>
      </c>
      <c r="G444" s="23" t="s">
        <v>39</v>
      </c>
      <c r="H444" s="24">
        <f>IF( ISERROR( OFFSET(   'Cuadro tarifario'!D$2  , MATCH(CONCATENATE(                 IF(F444&gt;Mes,OFFSET(NroCT!B$17, MATCH($F444,NroCT!$A$18:$A1405,0),0,1,1),Periodovigente)                                                                                                                     ,A444) ,'Cuadro tarifario'!A$2:A1405,0) -1 , 0 , 1 , 1) )   , 0  ,   OFFSET(   'Cuadro tarifario'!D$2  , MATCH(CONCATENATE( IF(F444&gt;Mes,OFFSET(NroCT!B$17, MATCH($F444,NroCT!$A$18:$A1405,0),0,1,1),Periodovigente) ,A444) ,'Cuadro tarifario'!A$2:A1405,0) -1 , 0 , 1 , 1))</f>
        <v>9000</v>
      </c>
      <c r="I444" s="106">
        <f t="shared" si="195"/>
        <v>1</v>
      </c>
      <c r="J444" s="107">
        <f t="shared" si="207"/>
        <v>9000</v>
      </c>
      <c r="K444" s="108">
        <f>IF(  AND(N444&gt;0,I444=0)          ,N444 ,                         IF(  IF( F444 ,  DAYS360(DATE(YEAR(F444),MONTH(F444),1),Mes)/30  ,  DAYS360(DATE(YEAR(E444),MONTH(E444),1),Mes)/30  )  &gt;  0 , IF(F444,   DAYS360(DATE(YEAR(F444),MONTH(F444),1),Mes)/30  ,  DAYS360(DATE(YEAR(E444),MONTH(E444),1),Mes)/30) , 0)       )</f>
        <v>0</v>
      </c>
      <c r="L444" s="109">
        <f t="shared" si="196"/>
        <v>0</v>
      </c>
      <c r="M444" s="110"/>
      <c r="N444" s="29">
        <f>IF( ISERROR(OFFSET(SECUESTRADOS!D$1,MATCH(B444,SECUESTRADOS!A$2:A1405,0),0)) ,0 ,  OFFSET(SECUESTRADOS!D$1,MATCH(B444,SECUESTRADOS!A$2:A1405,0),0)  )</f>
        <v>0</v>
      </c>
      <c r="O444" s="30"/>
      <c r="P444" s="17" t="str">
        <f t="shared" si="3"/>
        <v>Bono canon</v>
      </c>
      <c r="Q444" s="17" t="str">
        <f>IF(AND(A444=A443,B444=B443,C444=C443),"Repetido","")</f>
        <v/>
      </c>
      <c r="R444" s="31"/>
      <c r="S444" s="31"/>
      <c r="T444" s="31"/>
    </row>
    <row r="445" ht="15.0" customHeight="1">
      <c r="A445" s="18" t="s">
        <v>71</v>
      </c>
      <c r="B445" s="18">
        <v>1773.0</v>
      </c>
      <c r="C445" s="19">
        <v>1773.0</v>
      </c>
      <c r="D445" s="20" t="str">
        <f>IF(   ISERROR(OFFSET(PADRON!B$2,MATCH(C:C,PADRON!A$2:A1405,0)-1,0,1,1) )  ,  ,    OFFSET(PADRON!B$2,MATCH(C:C,PADRON!A$2:A1405,0)-1,0,1,1))</f>
        <v>GARIBALDI, JOSE LUIS</v>
      </c>
      <c r="E445" s="21">
        <v>45809.0</v>
      </c>
      <c r="F445" s="21">
        <v>45870.0</v>
      </c>
      <c r="G445" s="23" t="s">
        <v>39</v>
      </c>
      <c r="H445" s="24">
        <f>IF( ISERROR( OFFSET(   'Cuadro tarifario'!D$2  , MATCH(CONCATENATE(                 IF(F445&gt;Mes,OFFSET(NroCT!B$17, MATCH($F445,NroCT!$A$18:$A1405,0),0,1,1),Periodovigente)                                                                                                                     ,A445) ,'Cuadro tarifario'!A$2:A1405,0) -1 , 0 , 1 , 1) )   , 0  ,   OFFSET(   'Cuadro tarifario'!D$2  , MATCH(CONCATENATE( IF(F445&gt;Mes,OFFSET(NroCT!B$17, MATCH($F445,NroCT!$A$18:$A1405,0),0,1,1),Periodovigente) ,A445) ,'Cuadro tarifario'!A$2:A1405,0) -1 , 0 , 1 , 1))</f>
        <v>11000</v>
      </c>
      <c r="I445" s="106">
        <f t="shared" si="195"/>
        <v>2</v>
      </c>
      <c r="J445" s="107">
        <f t="shared" si="207"/>
        <v>22000</v>
      </c>
      <c r="K445" s="108">
        <f>IF(  AND(N445&gt;0,I445=0)          ,N445 ,                         IF(  IF( F445 ,  DAYS360(DATE(YEAR(F445),MONTH(F445),1),Mes)/30  ,  DAYS360(DATE(YEAR(E445),MONTH(E445),1),Mes)/30  )  &gt;  0 , IF(F445,   DAYS360(DATE(YEAR(F445),MONTH(F445),1),Mes)/30  ,  DAYS360(DATE(YEAR(E445),MONTH(E445),1),Mes)/30) , 0)       )</f>
        <v>0</v>
      </c>
      <c r="L445" s="109">
        <f t="shared" si="196"/>
        <v>0</v>
      </c>
      <c r="M445" s="110"/>
      <c r="N445" s="29">
        <f>IF( ISERROR(OFFSET(SECUESTRADOS!D$1,MATCH(B445,SECUESTRADOS!A$2:A1405,0),0)) ,0 ,  OFFSET(SECUESTRADOS!D$1,MATCH(B445,SECUESTRADOS!A$2:A1405,0),0)  )</f>
        <v>0</v>
      </c>
      <c r="O445" s="30"/>
      <c r="P445" s="17" t="str">
        <f t="shared" si="3"/>
        <v>.socio</v>
      </c>
      <c r="Q445" s="17" t="str">
        <f>IF(AND(A445=#REF!,B445=#REF!,C445=#REF!),"Repetido","")</f>
        <v>#REF!</v>
      </c>
      <c r="R445" s="31"/>
      <c r="S445" s="31"/>
      <c r="T445" s="31"/>
    </row>
    <row r="446" ht="15.0" customHeight="1">
      <c r="A446" s="18" t="s">
        <v>38</v>
      </c>
      <c r="B446" s="18">
        <v>1773.0</v>
      </c>
      <c r="C446" s="19">
        <v>1773.0</v>
      </c>
      <c r="D446" s="20" t="str">
        <f>IF(   ISERROR(OFFSET(PADRON!B$2,MATCH(C:C,PADRON!A$2:A1405,0)-1,0,1,1) )  ,  ,    OFFSET(PADRON!B$2,MATCH(C:C,PADRON!A$2:A1405,0)-1,0,1,1))</f>
        <v>GARIBALDI, JOSE LUIS</v>
      </c>
      <c r="E446" s="21">
        <v>45809.0</v>
      </c>
      <c r="F446" s="21">
        <v>45870.0</v>
      </c>
      <c r="G446" s="23" t="s">
        <v>39</v>
      </c>
      <c r="H446" s="24">
        <f>IF( ISERROR( OFFSET(   'Cuadro tarifario'!D$2  , MATCH(CONCATENATE(                 IF(F446&gt;Mes,OFFSET(NroCT!B$17, MATCH($F446,NroCT!$A$18:$A1405,0),0,1,1),Periodovigente)                                                                                                                     ,A446) ,'Cuadro tarifario'!A$2:A1405,0) -1 , 0 , 1 , 1) )   , 0  ,   OFFSET(   'Cuadro tarifario'!D$2  , MATCH(CONCATENATE( IF(F446&gt;Mes,OFFSET(NroCT!B$17, MATCH($F446,NroCT!$A$18:$A1405,0),0,1,1),Periodovigente) ,A446) ,'Cuadro tarifario'!A$2:A1405,0) -1 , 0 , 1 , 1))</f>
        <v>9000</v>
      </c>
      <c r="I446" s="106">
        <f t="shared" si="195"/>
        <v>2</v>
      </c>
      <c r="J446" s="107">
        <f t="shared" si="207"/>
        <v>18000</v>
      </c>
      <c r="K446" s="108">
        <f>IF(  AND(N446&gt;0,I446=0)          ,N446 ,                         IF(  IF( F446 ,  DAYS360(DATE(YEAR(F446),MONTH(F446),1),Mes)/30  ,  DAYS360(DATE(YEAR(E446),MONTH(E446),1),Mes)/30  )  &gt;  0 , IF(F446,   DAYS360(DATE(YEAR(F446),MONTH(F446),1),Mes)/30  ,  DAYS360(DATE(YEAR(E446),MONTH(E446),1),Mes)/30) , 0)       )</f>
        <v>0</v>
      </c>
      <c r="L446" s="109">
        <f t="shared" si="196"/>
        <v>0</v>
      </c>
      <c r="M446" s="110"/>
      <c r="N446" s="29">
        <f>IF( ISERROR(OFFSET(SECUESTRADOS!D$1,MATCH(B446,SECUESTRADOS!A$2:A1405,0),0)) ,0 ,  OFFSET(SECUESTRADOS!D$1,MATCH(B446,SECUESTRADOS!A$2:A1405,0),0)  )</f>
        <v>0</v>
      </c>
      <c r="O446" s="30"/>
      <c r="P446" s="17" t="str">
        <f t="shared" si="3"/>
        <v>Bono canon</v>
      </c>
      <c r="Q446" s="17" t="str">
        <f t="shared" ref="Q446:Q447" si="229">IF(AND(A446=A445,B446=B445,C446=C445),"Repetido","")</f>
        <v/>
      </c>
      <c r="R446" s="31"/>
      <c r="S446" s="31"/>
      <c r="T446" s="31"/>
    </row>
    <row r="447" ht="15.0" customHeight="1">
      <c r="A447" s="18" t="s">
        <v>82</v>
      </c>
      <c r="B447" s="18" t="s">
        <v>245</v>
      </c>
      <c r="C447" s="19">
        <v>1773.0</v>
      </c>
      <c r="D447" s="20" t="str">
        <f>IF(   ISERROR(OFFSET(PADRON!B$2,MATCH(C:C,PADRON!A$2:A1405,0)-1,0,1,1) )  ,  ,    OFFSET(PADRON!B$2,MATCH(C:C,PADRON!A$2:A1405,0)-1,0,1,1))</f>
        <v>GARIBALDI, JOSE LUIS</v>
      </c>
      <c r="E447" s="21">
        <v>45809.0</v>
      </c>
      <c r="F447" s="21">
        <v>45870.0</v>
      </c>
      <c r="G447" s="23" t="s">
        <v>39</v>
      </c>
      <c r="H447" s="24">
        <f>IF( ISERROR( OFFSET(   'Cuadro tarifario'!D$2  , MATCH(CONCATENATE(                 IF(F447&gt;Mes,OFFSET(NroCT!B$17, MATCH($F447,NroCT!$A$18:$A1405,0),0,1,1),Periodovigente)                                                                                                                     ,A447) ,'Cuadro tarifario'!A$2:A1405,0) -1 , 0 , 1 , 1) )   , 0  ,   OFFSET(   'Cuadro tarifario'!D$2  , MATCH(CONCATENATE( IF(F447&gt;Mes,OFFSET(NroCT!B$17, MATCH($F447,NroCT!$A$18:$A1405,0),0,1,1),Periodovigente) ,A447) ,'Cuadro tarifario'!A$2:A1405,0) -1 , 0 , 1 , 1))</f>
        <v>12000</v>
      </c>
      <c r="I447" s="106">
        <f t="shared" si="195"/>
        <v>2</v>
      </c>
      <c r="J447" s="107">
        <f t="shared" si="207"/>
        <v>24000</v>
      </c>
      <c r="K447" s="108">
        <f>IF(  AND(N447&gt;0,I447=0)          ,N447 ,                         IF(  IF( F447 ,  DAYS360(DATE(YEAR(F447),MONTH(F447),1),Mes)/30  ,  DAYS360(DATE(YEAR(E447),MONTH(E447),1),Mes)/30  )  &gt;  0 , IF(F447,   DAYS360(DATE(YEAR(F447),MONTH(F447),1),Mes)/30  ,  DAYS360(DATE(YEAR(E447),MONTH(E447),1),Mes)/30) , 0)       )</f>
        <v>0</v>
      </c>
      <c r="L447" s="109">
        <f t="shared" si="196"/>
        <v>0</v>
      </c>
      <c r="M447" s="110"/>
      <c r="N447" s="29">
        <f>IF( ISERROR(OFFSET(SECUESTRADOS!D$1,MATCH(B447,SECUESTRADOS!A$2:A1405,0),0)) ,0 ,  OFFSET(SECUESTRADOS!D$1,MATCH(B447,SECUESTRADOS!A$2:A1405,0),0)  )</f>
        <v>0</v>
      </c>
      <c r="O447" s="30"/>
      <c r="P447" s="17" t="str">
        <f t="shared" si="3"/>
        <v>cuna kayak</v>
      </c>
      <c r="Q447" s="17" t="str">
        <f t="shared" si="229"/>
        <v/>
      </c>
      <c r="R447" s="31"/>
      <c r="S447" s="31"/>
      <c r="T447" s="31"/>
    </row>
    <row r="448" ht="15.0" customHeight="1">
      <c r="A448" s="18" t="s">
        <v>71</v>
      </c>
      <c r="B448" s="18">
        <v>1774.0</v>
      </c>
      <c r="C448" s="19">
        <v>1774.0</v>
      </c>
      <c r="D448" s="20" t="str">
        <f>IF(   ISERROR(OFFSET(PADRON!B$2,MATCH(C:C,PADRON!A$2:A1405,0)-1,0,1,1) )  ,  ,    OFFSET(PADRON!B$2,MATCH(C:C,PADRON!A$2:A1405,0)-1,0,1,1))</f>
        <v>BIZET, NICOLAS</v>
      </c>
      <c r="E448" s="21">
        <v>45778.0</v>
      </c>
      <c r="F448" s="21">
        <v>45870.0</v>
      </c>
      <c r="G448" s="23" t="s">
        <v>39</v>
      </c>
      <c r="H448" s="24">
        <f>IF( ISERROR( OFFSET(   'Cuadro tarifario'!D$2  , MATCH(CONCATENATE(                 IF(F448&gt;Mes,OFFSET(NroCT!B$17, MATCH($F448,NroCT!$A$18:$A1405,0),0,1,1),Periodovigente)                                                                                                                     ,A448) ,'Cuadro tarifario'!A$2:A1405,0) -1 , 0 , 1 , 1) )   , 0  ,   OFFSET(   'Cuadro tarifario'!D$2  , MATCH(CONCATENATE( IF(F448&gt;Mes,OFFSET(NroCT!B$17, MATCH($F448,NroCT!$A$18:$A1405,0),0,1,1),Periodovigente) ,A448) ,'Cuadro tarifario'!A$2:A1405,0) -1 , 0 , 1 , 1))</f>
        <v>11000</v>
      </c>
      <c r="I448" s="106">
        <f t="shared" si="195"/>
        <v>3</v>
      </c>
      <c r="J448" s="107">
        <f t="shared" si="207"/>
        <v>33000</v>
      </c>
      <c r="K448" s="108">
        <f>IF(  AND(N448&gt;0,I448=0)          ,N448 ,                         IF(  IF( F448 ,  DAYS360(DATE(YEAR(F448),MONTH(F448),1),Mes)/30  ,  DAYS360(DATE(YEAR(E448),MONTH(E448),1),Mes)/30  )  &gt;  0 , IF(F448,   DAYS360(DATE(YEAR(F448),MONTH(F448),1),Mes)/30  ,  DAYS360(DATE(YEAR(E448),MONTH(E448),1),Mes)/30) , 0)       )</f>
        <v>0</v>
      </c>
      <c r="L448" s="109">
        <f t="shared" si="196"/>
        <v>0</v>
      </c>
      <c r="M448" s="110"/>
      <c r="N448" s="29">
        <f>IF( ISERROR(OFFSET(SECUESTRADOS!D$1,MATCH(B448,SECUESTRADOS!A$2:A1405,0),0)) ,0 ,  OFFSET(SECUESTRADOS!D$1,MATCH(B448,SECUESTRADOS!A$2:A1405,0),0)  )</f>
        <v>0</v>
      </c>
      <c r="O448" s="30"/>
      <c r="P448" s="17" t="str">
        <f t="shared" si="3"/>
        <v>.socio</v>
      </c>
      <c r="Q448" s="17" t="str">
        <f>IF(AND(A448=A446,B448=B446,C448=C446),"Repetido","")</f>
        <v/>
      </c>
      <c r="R448" s="31"/>
      <c r="S448" s="31"/>
      <c r="T448" s="31"/>
    </row>
    <row r="449" ht="15.0" customHeight="1">
      <c r="A449" s="18" t="s">
        <v>38</v>
      </c>
      <c r="B449" s="18">
        <v>1774.0</v>
      </c>
      <c r="C449" s="19">
        <v>1774.0</v>
      </c>
      <c r="D449" s="20" t="str">
        <f>IF(   ISERROR(OFFSET(PADRON!B$2,MATCH(C:C,PADRON!A$2:A1405,0)-1,0,1,1) )  ,  ,    OFFSET(PADRON!B$2,MATCH(C:C,PADRON!A$2:A1405,0)-1,0,1,1))</f>
        <v>BIZET, NICOLAS</v>
      </c>
      <c r="E449" s="21">
        <v>45778.0</v>
      </c>
      <c r="F449" s="21">
        <v>45870.0</v>
      </c>
      <c r="G449" s="23" t="s">
        <v>39</v>
      </c>
      <c r="H449" s="24">
        <f>IF( ISERROR( OFFSET(   'Cuadro tarifario'!D$2  , MATCH(CONCATENATE(                 IF(F449&gt;Mes,OFFSET(NroCT!B$17, MATCH($F449,NroCT!$A$18:$A1405,0),0,1,1),Periodovigente)                                                                                                                     ,A449) ,'Cuadro tarifario'!A$2:A1405,0) -1 , 0 , 1 , 1) )   , 0  ,   OFFSET(   'Cuadro tarifario'!D$2  , MATCH(CONCATENATE( IF(F449&gt;Mes,OFFSET(NroCT!B$17, MATCH($F449,NroCT!$A$18:$A1405,0),0,1,1),Periodovigente) ,A449) ,'Cuadro tarifario'!A$2:A1405,0) -1 , 0 , 1 , 1))</f>
        <v>9000</v>
      </c>
      <c r="I449" s="106">
        <f t="shared" si="195"/>
        <v>3</v>
      </c>
      <c r="J449" s="107">
        <f t="shared" si="207"/>
        <v>27000</v>
      </c>
      <c r="K449" s="108">
        <f>IF(  AND(N449&gt;0,I449=0)          ,N449 ,                         IF(  IF( F449 ,  DAYS360(DATE(YEAR(F449),MONTH(F449),1),Mes)/30  ,  DAYS360(DATE(YEAR(E449),MONTH(E449),1),Mes)/30  )  &gt;  0 , IF(F449,   DAYS360(DATE(YEAR(F449),MONTH(F449),1),Mes)/30  ,  DAYS360(DATE(YEAR(E449),MONTH(E449),1),Mes)/30) , 0)       )</f>
        <v>0</v>
      </c>
      <c r="L449" s="109">
        <f t="shared" si="196"/>
        <v>0</v>
      </c>
      <c r="M449" s="110"/>
      <c r="N449" s="29">
        <f>IF( ISERROR(OFFSET(SECUESTRADOS!D$1,MATCH(B449,SECUESTRADOS!A$2:A1405,0),0)) ,0 ,  OFFSET(SECUESTRADOS!D$1,MATCH(B449,SECUESTRADOS!A$2:A1405,0),0)  )</f>
        <v>0</v>
      </c>
      <c r="O449" s="30"/>
      <c r="P449" s="17" t="str">
        <f t="shared" si="3"/>
        <v>Bono canon</v>
      </c>
      <c r="Q449" s="17" t="str">
        <f t="shared" ref="Q449:Q450" si="230">IF(AND(A449=A448,B449=B448,C449=C448),"Repetido","")</f>
        <v/>
      </c>
      <c r="R449" s="31"/>
      <c r="S449" s="31"/>
      <c r="T449" s="31"/>
    </row>
    <row r="450" ht="15.0" customHeight="1">
      <c r="A450" s="18" t="s">
        <v>40</v>
      </c>
      <c r="B450" s="18" t="s">
        <v>246</v>
      </c>
      <c r="C450" s="19">
        <v>1774.0</v>
      </c>
      <c r="D450" s="20" t="str">
        <f>IF(   ISERROR(OFFSET(PADRON!B$2,MATCH(C:C,PADRON!A$2:A1405,0)-1,0,1,1) )  ,  ,    OFFSET(PADRON!B$2,MATCH(C:C,PADRON!A$2:A1405,0)-1,0,1,1))</f>
        <v>BIZET, NICOLAS</v>
      </c>
      <c r="E450" s="21">
        <v>45778.0</v>
      </c>
      <c r="F450" s="21">
        <v>45870.0</v>
      </c>
      <c r="G450" s="23" t="s">
        <v>39</v>
      </c>
      <c r="H450" s="24">
        <f>IF( ISERROR( OFFSET(   'Cuadro tarifario'!D$2  , MATCH(CONCATENATE(                 IF(F450&gt;Mes,OFFSET(NroCT!B$17, MATCH($F450,NroCT!$A$18:$A1405,0),0,1,1),Periodovigente)                                                                                                                     ,A450) ,'Cuadro tarifario'!A$2:A1405,0) -1 , 0 , 1 , 1) )   , 0  ,   OFFSET(   'Cuadro tarifario'!D$2  , MATCH(CONCATENATE( IF(F450&gt;Mes,OFFSET(NroCT!B$17, MATCH($F450,NroCT!$A$18:$A1405,0),0,1,1),Periodovigente) ,A450) ,'Cuadro tarifario'!A$2:A1405,0) -1 , 0 , 1 , 1))</f>
        <v>12000</v>
      </c>
      <c r="I450" s="106">
        <f t="shared" si="195"/>
        <v>3</v>
      </c>
      <c r="J450" s="107">
        <f t="shared" si="207"/>
        <v>36000</v>
      </c>
      <c r="K450" s="108">
        <f>IF(  AND(N450&gt;0,I450=0)          ,N450 ,                         IF(  IF( F450 ,  DAYS360(DATE(YEAR(F450),MONTH(F450),1),Mes)/30  ,  DAYS360(DATE(YEAR(E450),MONTH(E450),1),Mes)/30  )  &gt;  0 , IF(F450,   DAYS360(DATE(YEAR(F450),MONTH(F450),1),Mes)/30  ,  DAYS360(DATE(YEAR(E450),MONTH(E450),1),Mes)/30) , 0)       )</f>
        <v>0</v>
      </c>
      <c r="L450" s="109">
        <f t="shared" si="196"/>
        <v>0</v>
      </c>
      <c r="M450" s="110"/>
      <c r="N450" s="29">
        <f>IF( ISERROR(OFFSET(SECUESTRADOS!D$1,MATCH(B450,SECUESTRADOS!A$2:A1405,0),0)) ,0 ,  OFFSET(SECUESTRADOS!D$1,MATCH(B450,SECUESTRADOS!A$2:A1405,0),0)  )</f>
        <v>0</v>
      </c>
      <c r="O450" s="30"/>
      <c r="P450" s="17" t="str">
        <f t="shared" si="3"/>
        <v>cuna windsurf</v>
      </c>
      <c r="Q450" s="17" t="str">
        <f t="shared" si="230"/>
        <v/>
      </c>
      <c r="R450" s="31"/>
      <c r="S450" s="31"/>
      <c r="T450" s="31"/>
    </row>
    <row r="451" ht="15.0" customHeight="1">
      <c r="A451" s="18" t="s">
        <v>71</v>
      </c>
      <c r="B451" s="18">
        <v>1777.0</v>
      </c>
      <c r="C451" s="19">
        <v>1777.0</v>
      </c>
      <c r="D451" s="20" t="str">
        <f>IF(   ISERROR(OFFSET(PADRON!B$2,MATCH(C:C,PADRON!A$2:A1405,0)-1,0,1,1) )  ,  ,    OFFSET(PADRON!B$2,MATCH(C:C,PADRON!A$2:A1405,0)-1,0,1,1))</f>
        <v>SILVA, MA. FLORENCIA</v>
      </c>
      <c r="E451" s="21">
        <v>45839.0</v>
      </c>
      <c r="F451" s="21">
        <v>45870.0</v>
      </c>
      <c r="G451" s="23" t="s">
        <v>39</v>
      </c>
      <c r="H451" s="24">
        <f>IF( ISERROR( OFFSET(   'Cuadro tarifario'!D$2  , MATCH(CONCATENATE(                 IF(F451&gt;Mes,OFFSET(NroCT!B$17, MATCH($F451,NroCT!$A$18:$A1405,0),0,1,1),Periodovigente)                                                                                                                     ,A451) ,'Cuadro tarifario'!A$2:A1405,0) -1 , 0 , 1 , 1) )   , 0  ,   OFFSET(   'Cuadro tarifario'!D$2  , MATCH(CONCATENATE( IF(F451&gt;Mes,OFFSET(NroCT!B$17, MATCH($F451,NroCT!$A$18:$A1405,0),0,1,1),Periodovigente) ,A451) ,'Cuadro tarifario'!A$2:A1405,0) -1 , 0 , 1 , 1))</f>
        <v>11000</v>
      </c>
      <c r="I451" s="106">
        <f t="shared" si="195"/>
        <v>1</v>
      </c>
      <c r="J451" s="107">
        <f t="shared" si="207"/>
        <v>11000</v>
      </c>
      <c r="K451" s="108">
        <f>IF(  AND(N451&gt;0,I451=0)          ,N451 ,                         IF(  IF( F451 ,  DAYS360(DATE(YEAR(F451),MONTH(F451),1),Mes)/30  ,  DAYS360(DATE(YEAR(E451),MONTH(E451),1),Mes)/30  )  &gt;  0 , IF(F451,   DAYS360(DATE(YEAR(F451),MONTH(F451),1),Mes)/30  ,  DAYS360(DATE(YEAR(E451),MONTH(E451),1),Mes)/30) , 0)       )</f>
        <v>0</v>
      </c>
      <c r="L451" s="109">
        <f t="shared" si="196"/>
        <v>0</v>
      </c>
      <c r="M451" s="110"/>
      <c r="N451" s="29">
        <f>IF( ISERROR(OFFSET(SECUESTRADOS!D$1,MATCH(B451,SECUESTRADOS!A$2:A1405,0),0)) ,0 ,  OFFSET(SECUESTRADOS!D$1,MATCH(B451,SECUESTRADOS!A$2:A1405,0),0)  )</f>
        <v>0</v>
      </c>
      <c r="O451" s="30"/>
      <c r="P451" s="17" t="str">
        <f t="shared" si="3"/>
        <v>.socio</v>
      </c>
      <c r="Q451" s="17" t="str">
        <f>IF(AND(A451=#REF!,B451=#REF!,C451=#REF!),"Repetido","")</f>
        <v>#REF!</v>
      </c>
      <c r="R451" s="31"/>
      <c r="S451" s="31"/>
      <c r="T451" s="31"/>
    </row>
    <row r="452" ht="15.0" customHeight="1">
      <c r="A452" s="18" t="s">
        <v>38</v>
      </c>
      <c r="B452" s="18">
        <v>1777.0</v>
      </c>
      <c r="C452" s="19">
        <v>1777.0</v>
      </c>
      <c r="D452" s="20" t="str">
        <f>IF(   ISERROR(OFFSET(PADRON!B$2,MATCH(C:C,PADRON!A$2:A1405,0)-1,0,1,1) )  ,  ,    OFFSET(PADRON!B$2,MATCH(C:C,PADRON!A$2:A1405,0)-1,0,1,1))</f>
        <v>SILVA, MA. FLORENCIA</v>
      </c>
      <c r="E452" s="21">
        <v>45839.0</v>
      </c>
      <c r="F452" s="21">
        <v>45870.0</v>
      </c>
      <c r="G452" s="23" t="s">
        <v>39</v>
      </c>
      <c r="H452" s="24">
        <f>IF( ISERROR( OFFSET(   'Cuadro tarifario'!D$2  , MATCH(CONCATENATE(                 IF(F452&gt;Mes,OFFSET(NroCT!B$17, MATCH($F452,NroCT!$A$18:$A1405,0),0,1,1),Periodovigente)                                                                                                                     ,A452) ,'Cuadro tarifario'!A$2:A1405,0) -1 , 0 , 1 , 1) )   , 0  ,   OFFSET(   'Cuadro tarifario'!D$2  , MATCH(CONCATENATE( IF(F452&gt;Mes,OFFSET(NroCT!B$17, MATCH($F452,NroCT!$A$18:$A1405,0),0,1,1),Periodovigente) ,A452) ,'Cuadro tarifario'!A$2:A1405,0) -1 , 0 , 1 , 1))</f>
        <v>9000</v>
      </c>
      <c r="I452" s="106">
        <f t="shared" si="195"/>
        <v>1</v>
      </c>
      <c r="J452" s="107">
        <f t="shared" si="207"/>
        <v>9000</v>
      </c>
      <c r="K452" s="108">
        <f>IF(  AND(N452&gt;0,I452=0)          ,N452 ,                         IF(  IF( F452 ,  DAYS360(DATE(YEAR(F452),MONTH(F452),1),Mes)/30  ,  DAYS360(DATE(YEAR(E452),MONTH(E452),1),Mes)/30  )  &gt;  0 , IF(F452,   DAYS360(DATE(YEAR(F452),MONTH(F452),1),Mes)/30  ,  DAYS360(DATE(YEAR(E452),MONTH(E452),1),Mes)/30) , 0)       )</f>
        <v>0</v>
      </c>
      <c r="L452" s="109">
        <f t="shared" si="196"/>
        <v>0</v>
      </c>
      <c r="M452" s="110"/>
      <c r="N452" s="29">
        <f>IF( ISERROR(OFFSET(SECUESTRADOS!D$1,MATCH(B452,SECUESTRADOS!A$2:A1405,0),0)) ,0 ,  OFFSET(SECUESTRADOS!D$1,MATCH(B452,SECUESTRADOS!A$2:A1405,0),0)  )</f>
        <v>0</v>
      </c>
      <c r="O452" s="30"/>
      <c r="P452" s="17" t="str">
        <f t="shared" si="3"/>
        <v>Bono canon</v>
      </c>
      <c r="Q452" s="17" t="str">
        <f t="shared" ref="Q452:Q453" si="231">IF(AND(A452=A451,B452=B451,C452=C451),"Repetido","")</f>
        <v/>
      </c>
      <c r="R452" s="31"/>
      <c r="S452" s="31"/>
      <c r="T452" s="31"/>
    </row>
    <row r="453" ht="15.0" customHeight="1">
      <c r="A453" s="18" t="s">
        <v>82</v>
      </c>
      <c r="B453" s="18" t="s">
        <v>247</v>
      </c>
      <c r="C453" s="19">
        <v>1777.0</v>
      </c>
      <c r="D453" s="20" t="str">
        <f>IF(   ISERROR(OFFSET(PADRON!B$2,MATCH(C:C,PADRON!A$2:A1405,0)-1,0,1,1) )  ,  ,    OFFSET(PADRON!B$2,MATCH(C:C,PADRON!A$2:A1405,0)-1,0,1,1))</f>
        <v>SILVA, MA. FLORENCIA</v>
      </c>
      <c r="E453" s="21">
        <v>45839.0</v>
      </c>
      <c r="F453" s="21">
        <v>45870.0</v>
      </c>
      <c r="G453" s="23" t="s">
        <v>39</v>
      </c>
      <c r="H453" s="24">
        <f>IF( ISERROR( OFFSET(   'Cuadro tarifario'!D$2  , MATCH(CONCATENATE(                 IF(F453&gt;Mes,OFFSET(NroCT!B$17, MATCH($F453,NroCT!$A$18:$A1405,0),0,1,1),Periodovigente)                                                                                                                     ,A453) ,'Cuadro tarifario'!A$2:A1405,0) -1 , 0 , 1 , 1) )   , 0  ,   OFFSET(   'Cuadro tarifario'!D$2  , MATCH(CONCATENATE( IF(F453&gt;Mes,OFFSET(NroCT!B$17, MATCH($F453,NroCT!$A$18:$A1405,0),0,1,1),Periodovigente) ,A453) ,'Cuadro tarifario'!A$2:A1405,0) -1 , 0 , 1 , 1))</f>
        <v>12000</v>
      </c>
      <c r="I453" s="106">
        <f t="shared" si="195"/>
        <v>1</v>
      </c>
      <c r="J453" s="107">
        <f t="shared" si="207"/>
        <v>12000</v>
      </c>
      <c r="K453" s="108">
        <f>IF(  AND(N453&gt;0,I453=0)          ,N453 ,                         IF(  IF( F453 ,  DAYS360(DATE(YEAR(F453),MONTH(F453),1),Mes)/30  ,  DAYS360(DATE(YEAR(E453),MONTH(E453),1),Mes)/30  )  &gt;  0 , IF(F453,   DAYS360(DATE(YEAR(F453),MONTH(F453),1),Mes)/30  ,  DAYS360(DATE(YEAR(E453),MONTH(E453),1),Mes)/30) , 0)       )</f>
        <v>0</v>
      </c>
      <c r="L453" s="109">
        <f t="shared" si="196"/>
        <v>0</v>
      </c>
      <c r="M453" s="110"/>
      <c r="N453" s="29">
        <f>IF( ISERROR(OFFSET(SECUESTRADOS!D$1,MATCH(B453,SECUESTRADOS!A$2:A1405,0),0)) ,0 ,  OFFSET(SECUESTRADOS!D$1,MATCH(B453,SECUESTRADOS!A$2:A1405,0),0)  )</f>
        <v>0</v>
      </c>
      <c r="O453" s="30"/>
      <c r="P453" s="17" t="str">
        <f t="shared" si="3"/>
        <v>cuna kayak</v>
      </c>
      <c r="Q453" s="17" t="str">
        <f t="shared" si="231"/>
        <v/>
      </c>
      <c r="R453" s="31"/>
      <c r="S453" s="31"/>
      <c r="T453" s="31"/>
    </row>
    <row r="454" ht="15.0" customHeight="1">
      <c r="A454" s="18" t="s">
        <v>71</v>
      </c>
      <c r="B454" s="18">
        <v>1784.0</v>
      </c>
      <c r="C454" s="19">
        <v>1784.0</v>
      </c>
      <c r="D454" s="20" t="str">
        <f>IF(   ISERROR(OFFSET(PADRON!B$2,MATCH(C:C,PADRON!A$2:A1405,0)-1,0,1,1) )  ,  ,    OFFSET(PADRON!B$2,MATCH(C:C,PADRON!A$2:A1405,0)-1,0,1,1))</f>
        <v>LESCANO, FABIAN</v>
      </c>
      <c r="E454" s="21">
        <v>45809.0</v>
      </c>
      <c r="F454" s="21">
        <v>45870.0</v>
      </c>
      <c r="G454" s="23" t="s">
        <v>39</v>
      </c>
      <c r="H454" s="24">
        <f>IF( ISERROR( OFFSET(   'Cuadro tarifario'!D$2  , MATCH(CONCATENATE(                 IF(F454&gt;Mes,OFFSET(NroCT!B$17, MATCH($F454,NroCT!$A$18:$A1405,0),0,1,1),Periodovigente)                                                                                                                     ,A454) ,'Cuadro tarifario'!A$2:A1405,0) -1 , 0 , 1 , 1) )   , 0  ,   OFFSET(   'Cuadro tarifario'!D$2  , MATCH(CONCATENATE( IF(F454&gt;Mes,OFFSET(NroCT!B$17, MATCH($F454,NroCT!$A$18:$A1405,0),0,1,1),Periodovigente) ,A454) ,'Cuadro tarifario'!A$2:A1405,0) -1 , 0 , 1 , 1))</f>
        <v>11000</v>
      </c>
      <c r="I454" s="106">
        <f t="shared" si="195"/>
        <v>2</v>
      </c>
      <c r="J454" s="107">
        <f t="shared" si="207"/>
        <v>22000</v>
      </c>
      <c r="K454" s="108">
        <f>IF(  AND(N454&gt;0,I454=0)          ,N454 ,                         IF(  IF( F454 ,  DAYS360(DATE(YEAR(F454),MONTH(F454),1),Mes)/30  ,  DAYS360(DATE(YEAR(E454),MONTH(E454),1),Mes)/30  )  &gt;  0 , IF(F454,   DAYS360(DATE(YEAR(F454),MONTH(F454),1),Mes)/30  ,  DAYS360(DATE(YEAR(E454),MONTH(E454),1),Mes)/30) , 0)       )</f>
        <v>0</v>
      </c>
      <c r="L454" s="109">
        <f t="shared" si="196"/>
        <v>0</v>
      </c>
      <c r="M454" s="110"/>
      <c r="N454" s="29">
        <f>IF( ISERROR(OFFSET(SECUESTRADOS!D$1,MATCH(B454,SECUESTRADOS!A$2:A1405,0),0)) ,0 ,  OFFSET(SECUESTRADOS!D$1,MATCH(B454,SECUESTRADOS!A$2:A1405,0),0)  )</f>
        <v>0</v>
      </c>
      <c r="O454" s="30"/>
      <c r="P454" s="17" t="str">
        <f t="shared" si="3"/>
        <v>.socio</v>
      </c>
      <c r="Q454" s="17" t="str">
        <f>IF(AND(A454=#REF!,B454=#REF!,C454=#REF!),"Repetido","")</f>
        <v>#REF!</v>
      </c>
      <c r="R454" s="31"/>
      <c r="S454" s="31"/>
      <c r="T454" s="31"/>
    </row>
    <row r="455" ht="15.0" customHeight="1">
      <c r="A455" s="18" t="s">
        <v>38</v>
      </c>
      <c r="B455" s="18">
        <v>1784.0</v>
      </c>
      <c r="C455" s="19">
        <v>1784.0</v>
      </c>
      <c r="D455" s="20" t="str">
        <f>IF(   ISERROR(OFFSET(PADRON!B$2,MATCH(C:C,PADRON!A$2:A1405,0)-1,0,1,1) )  ,  ,    OFFSET(PADRON!B$2,MATCH(C:C,PADRON!A$2:A1405,0)-1,0,1,1))</f>
        <v>LESCANO, FABIAN</v>
      </c>
      <c r="E455" s="21">
        <v>45809.0</v>
      </c>
      <c r="F455" s="21">
        <v>45870.0</v>
      </c>
      <c r="G455" s="23" t="s">
        <v>39</v>
      </c>
      <c r="H455" s="24">
        <f>IF( ISERROR( OFFSET(   'Cuadro tarifario'!D$2  , MATCH(CONCATENATE(                 IF(F455&gt;Mes,OFFSET(NroCT!B$17, MATCH($F455,NroCT!$A$18:$A1405,0),0,1,1),Periodovigente)                                                                                                                     ,A455) ,'Cuadro tarifario'!A$2:A1405,0) -1 , 0 , 1 , 1) )   , 0  ,   OFFSET(   'Cuadro tarifario'!D$2  , MATCH(CONCATENATE( IF(F455&gt;Mes,OFFSET(NroCT!B$17, MATCH($F455,NroCT!$A$18:$A1405,0),0,1,1),Periodovigente) ,A455) ,'Cuadro tarifario'!A$2:A1405,0) -1 , 0 , 1 , 1))</f>
        <v>9000</v>
      </c>
      <c r="I455" s="106">
        <f t="shared" si="195"/>
        <v>2</v>
      </c>
      <c r="J455" s="107">
        <f t="shared" si="207"/>
        <v>18000</v>
      </c>
      <c r="K455" s="108">
        <f>IF(  AND(N455&gt;0,I455=0)          ,N455 ,                         IF(  IF( F455 ,  DAYS360(DATE(YEAR(F455),MONTH(F455),1),Mes)/30  ,  DAYS360(DATE(YEAR(E455),MONTH(E455),1),Mes)/30  )  &gt;  0 , IF(F455,   DAYS360(DATE(YEAR(F455),MONTH(F455),1),Mes)/30  ,  DAYS360(DATE(YEAR(E455),MONTH(E455),1),Mes)/30) , 0)       )</f>
        <v>0</v>
      </c>
      <c r="L455" s="109">
        <f t="shared" si="196"/>
        <v>0</v>
      </c>
      <c r="M455" s="110"/>
      <c r="N455" s="29">
        <f>IF( ISERROR(OFFSET(SECUESTRADOS!D$1,MATCH(B455,SECUESTRADOS!A$2:A1405,0),0)) ,0 ,  OFFSET(SECUESTRADOS!D$1,MATCH(B455,SECUESTRADOS!A$2:A1405,0),0)  )</f>
        <v>0</v>
      </c>
      <c r="O455" s="30"/>
      <c r="P455" s="17" t="str">
        <f t="shared" si="3"/>
        <v>Bono canon</v>
      </c>
      <c r="Q455" s="17" t="str">
        <f t="shared" ref="Q455:Q458" si="232">IF(AND(A455=A454,B455=B454,C455=C454),"Repetido","")</f>
        <v/>
      </c>
      <c r="R455" s="31"/>
      <c r="S455" s="31"/>
      <c r="T455" s="31"/>
    </row>
    <row r="456" ht="15.0" customHeight="1">
      <c r="A456" s="18" t="s">
        <v>40</v>
      </c>
      <c r="B456" s="18" t="s">
        <v>248</v>
      </c>
      <c r="C456" s="19">
        <v>1784.0</v>
      </c>
      <c r="D456" s="20" t="str">
        <f>IF(   ISERROR(OFFSET(PADRON!B$2,MATCH(C:C,PADRON!A$2:A1405,0)-1,0,1,1) )  ,  ,    OFFSET(PADRON!B$2,MATCH(C:C,PADRON!A$2:A1405,0)-1,0,1,1))</f>
        <v>LESCANO, FABIAN</v>
      </c>
      <c r="E456" s="21">
        <v>45809.0</v>
      </c>
      <c r="F456" s="21">
        <v>45870.0</v>
      </c>
      <c r="G456" s="23" t="s">
        <v>39</v>
      </c>
      <c r="H456" s="24">
        <f>IF( ISERROR( OFFSET(   'Cuadro tarifario'!D$2  , MATCH(CONCATENATE(                 IF(F456&gt;Mes,OFFSET(NroCT!B$17, MATCH($F456,NroCT!$A$18:$A1405,0),0,1,1),Periodovigente)                                                                                                                     ,A456) ,'Cuadro tarifario'!A$2:A1405,0) -1 , 0 , 1 , 1) )   , 0  ,   OFFSET(   'Cuadro tarifario'!D$2  , MATCH(CONCATENATE( IF(F456&gt;Mes,OFFSET(NroCT!B$17, MATCH($F456,NroCT!$A$18:$A1405,0),0,1,1),Periodovigente) ,A456) ,'Cuadro tarifario'!A$2:A1405,0) -1 , 0 , 1 , 1))</f>
        <v>12000</v>
      </c>
      <c r="I456" s="106">
        <f t="shared" si="195"/>
        <v>2</v>
      </c>
      <c r="J456" s="107">
        <f t="shared" si="207"/>
        <v>24000</v>
      </c>
      <c r="K456" s="108">
        <f>IF(  AND(N456&gt;0,I456=0)          ,N456 ,                         IF(  IF( F456 ,  DAYS360(DATE(YEAR(F456),MONTH(F456),1),Mes)/30  ,  DAYS360(DATE(YEAR(E456),MONTH(E456),1),Mes)/30  )  &gt;  0 , IF(F456,   DAYS360(DATE(YEAR(F456),MONTH(F456),1),Mes)/30  ,  DAYS360(DATE(YEAR(E456),MONTH(E456),1),Mes)/30) , 0)       )</f>
        <v>0</v>
      </c>
      <c r="L456" s="109">
        <f t="shared" si="196"/>
        <v>0</v>
      </c>
      <c r="M456" s="110"/>
      <c r="N456" s="29">
        <f>IF( ISERROR(OFFSET(SECUESTRADOS!D$1,MATCH(B456,SECUESTRADOS!A$2:A1405,0),0)) ,0 ,  OFFSET(SECUESTRADOS!D$1,MATCH(B456,SECUESTRADOS!A$2:A1405,0),0)  )</f>
        <v>0</v>
      </c>
      <c r="O456" s="30"/>
      <c r="P456" s="17" t="str">
        <f t="shared" si="3"/>
        <v>cuna windsurf</v>
      </c>
      <c r="Q456" s="17" t="str">
        <f t="shared" si="232"/>
        <v/>
      </c>
      <c r="R456" s="31"/>
      <c r="S456" s="31"/>
      <c r="T456" s="31"/>
    </row>
    <row r="457" ht="15.0" customHeight="1">
      <c r="A457" s="18" t="s">
        <v>42</v>
      </c>
      <c r="B457" s="18" t="s">
        <v>249</v>
      </c>
      <c r="C457" s="19">
        <v>1784.0</v>
      </c>
      <c r="D457" s="20" t="str">
        <f>IF(   ISERROR(OFFSET(PADRON!B$2,MATCH(C:C,PADRON!A$2:A1405,0)-1,0,1,1) )  ,  ,    OFFSET(PADRON!B$2,MATCH(C:C,PADRON!A$2:A1405,0)-1,0,1,1))</f>
        <v>LESCANO, FABIAN</v>
      </c>
      <c r="E457" s="21">
        <v>45992.0</v>
      </c>
      <c r="F457" s="21"/>
      <c r="G457" s="23" t="s">
        <v>56</v>
      </c>
      <c r="H457" s="24">
        <f>IF( ISERROR( OFFSET(   'Cuadro tarifario'!D$2  , MATCH(CONCATENATE(                 IF(F457&gt;Mes,OFFSET(NroCT!B$17, MATCH($F457,NroCT!$A$18:$A1405,0),0,1,1),Periodovigente)                                                                                                                     ,A457) ,'Cuadro tarifario'!A$2:A1405,0) -1 , 0 , 1 , 1) )   , 0  ,   OFFSET(   'Cuadro tarifario'!D$2  , MATCH(CONCATENATE( IF(F457&gt;Mes,OFFSET(NroCT!B$17, MATCH($F457,NroCT!$A$18:$A1405,0),0,1,1),Periodovigente) ,A457) ,'Cuadro tarifario'!A$2:A1405,0) -1 , 0 , 1 , 1))</f>
        <v>4000</v>
      </c>
      <c r="I457" s="106">
        <f t="shared" si="195"/>
        <v>0</v>
      </c>
      <c r="J457" s="107">
        <f t="shared" si="207"/>
        <v>0</v>
      </c>
      <c r="K457" s="108">
        <f>IF(  AND(N457&gt;0,I457=0)          ,N457 ,                         IF(  IF( F457 ,  DAYS360(DATE(YEAR(F457),MONTH(F457),1),Mes)/30  ,  DAYS360(DATE(YEAR(E457),MONTH(E457),1),Mes)/30  )  &gt;  0 , IF(F457,   DAYS360(DATE(YEAR(F457),MONTH(F457),1),Mes)/30  ,  DAYS360(DATE(YEAR(E457),MONTH(E457),1),Mes)/30) , 0)       )</f>
        <v>0</v>
      </c>
      <c r="L457" s="109">
        <f t="shared" si="196"/>
        <v>0</v>
      </c>
      <c r="M457" s="110"/>
      <c r="N457" s="29">
        <f>IF( ISERROR(OFFSET(SECUESTRADOS!D$1,MATCH(B457,SECUESTRADOS!A$2:A1405,0),0)) ,0 ,  OFFSET(SECUESTRADOS!D$1,MATCH(B457,SECUESTRADOS!A$2:A1405,0),0)  )</f>
        <v>0</v>
      </c>
      <c r="O457" s="30"/>
      <c r="P457" s="17" t="b">
        <f t="shared" si="3"/>
        <v>0</v>
      </c>
      <c r="Q457" s="17" t="str">
        <f t="shared" si="232"/>
        <v/>
      </c>
      <c r="R457" s="31"/>
      <c r="S457" s="31"/>
      <c r="T457" s="31"/>
    </row>
    <row r="458" ht="15.0" customHeight="1">
      <c r="A458" s="18" t="s">
        <v>50</v>
      </c>
      <c r="B458" s="18" t="s">
        <v>250</v>
      </c>
      <c r="C458" s="19">
        <v>1784.0</v>
      </c>
      <c r="D458" s="20" t="str">
        <f>IF(   ISERROR(OFFSET(PADRON!B$2,MATCH(C:C,PADRON!A$2:A1405,0)-1,0,1,1) )  ,  ,    OFFSET(PADRON!B$2,MATCH(C:C,PADRON!A$2:A1405,0)-1,0,1,1))</f>
        <v>LESCANO, FABIAN</v>
      </c>
      <c r="E458" s="21">
        <v>45992.0</v>
      </c>
      <c r="F458" s="21"/>
      <c r="G458" s="23" t="s">
        <v>56</v>
      </c>
      <c r="H458" s="24">
        <f>IF( ISERROR( OFFSET(   'Cuadro tarifario'!D$2  , MATCH(CONCATENATE(                 IF(F458&gt;Mes,OFFSET(NroCT!B$17, MATCH($F458,NroCT!$A$18:$A1405,0),0,1,1),Periodovigente)                                                                                                                     ,A458) ,'Cuadro tarifario'!A$2:A1405,0) -1 , 0 , 1 , 1) )   , 0  ,   OFFSET(   'Cuadro tarifario'!D$2  , MATCH(CONCATENATE( IF(F458&gt;Mes,OFFSET(NroCT!B$17, MATCH($F458,NroCT!$A$18:$A1405,0),0,1,1),Periodovigente) ,A458) ,'Cuadro tarifario'!A$2:A1405,0) -1 , 0 , 1 , 1))</f>
        <v>3600</v>
      </c>
      <c r="I458" s="106">
        <f t="shared" si="195"/>
        <v>0</v>
      </c>
      <c r="J458" s="107">
        <f t="shared" si="207"/>
        <v>0</v>
      </c>
      <c r="K458" s="108">
        <f>IF(  AND(N458&gt;0,I458=0)          ,N458 ,                         IF(  IF( F458 ,  DAYS360(DATE(YEAR(F458),MONTH(F458),1),Mes)/30  ,  DAYS360(DATE(YEAR(E458),MONTH(E458),1),Mes)/30  )  &gt;  0 , IF(F458,   DAYS360(DATE(YEAR(F458),MONTH(F458),1),Mes)/30  ,  DAYS360(DATE(YEAR(E458),MONTH(E458),1),Mes)/30) , 0)       )</f>
        <v>0</v>
      </c>
      <c r="L458" s="109">
        <f t="shared" si="196"/>
        <v>0</v>
      </c>
      <c r="M458" s="110"/>
      <c r="N458" s="29">
        <f>IF( ISERROR(OFFSET(SECUESTRADOS!D$1,MATCH(B458,SECUESTRADOS!A$2:A1405,0),0)) ,0 ,  OFFSET(SECUESTRADOS!D$1,MATCH(B458,SECUESTRADOS!A$2:A1405,0),0)  )</f>
        <v>0</v>
      </c>
      <c r="O458" s="30"/>
      <c r="P458" s="17" t="b">
        <f t="shared" si="3"/>
        <v>0</v>
      </c>
      <c r="Q458" s="17" t="str">
        <f t="shared" si="232"/>
        <v/>
      </c>
      <c r="R458" s="31"/>
      <c r="S458" s="31"/>
      <c r="T458" s="31"/>
    </row>
    <row r="459" ht="15.0" customHeight="1">
      <c r="A459" s="18" t="s">
        <v>71</v>
      </c>
      <c r="B459" s="18">
        <v>1785.0</v>
      </c>
      <c r="C459" s="19">
        <v>1785.0</v>
      </c>
      <c r="D459" s="20" t="str">
        <f>IF(   ISERROR(OFFSET(PADRON!B$2,MATCH(C:C,PADRON!A$2:A1405,0)-1,0,1,1) )  ,  ,    OFFSET(PADRON!B$2,MATCH(C:C,PADRON!A$2:A1405,0)-1,0,1,1))</f>
        <v>MANGANO, JORGELINA</v>
      </c>
      <c r="E459" s="21">
        <v>45809.0</v>
      </c>
      <c r="F459" s="21">
        <v>45992.0</v>
      </c>
      <c r="G459" s="23" t="s">
        <v>39</v>
      </c>
      <c r="H459" s="24">
        <f>IF( ISERROR( OFFSET(   'Cuadro tarifario'!D$2  , MATCH(CONCATENATE(                 IF(F459&gt;Mes,OFFSET(NroCT!B$17, MATCH($F459,NroCT!$A$18:$A1405,0),0,1,1),Periodovigente)                                                                                                                     ,A459) ,'Cuadro tarifario'!A$2:A1405,0) -1 , 0 , 1 , 1) )   , 0  ,   OFFSET(   'Cuadro tarifario'!D$2  , MATCH(CONCATENATE( IF(F459&gt;Mes,OFFSET(NroCT!B$17, MATCH($F459,NroCT!$A$18:$A1405,0),0,1,1),Periodovigente) ,A459) ,'Cuadro tarifario'!A$2:A1405,0) -1 , 0 , 1 , 1))</f>
        <v>11000</v>
      </c>
      <c r="I459" s="106">
        <f t="shared" si="195"/>
        <v>6</v>
      </c>
      <c r="J459" s="107">
        <f t="shared" si="207"/>
        <v>66000</v>
      </c>
      <c r="K459" s="108">
        <f>IF(  AND(N459&gt;0,I459=0)          ,N459 ,                         IF(  IF( F459 ,  DAYS360(DATE(YEAR(F459),MONTH(F459),1),Mes)/30  ,  DAYS360(DATE(YEAR(E459),MONTH(E459),1),Mes)/30  )  &gt;  0 , IF(F459,   DAYS360(DATE(YEAR(F459),MONTH(F459),1),Mes)/30  ,  DAYS360(DATE(YEAR(E459),MONTH(E459),1),Mes)/30) , 0)       )</f>
        <v>0</v>
      </c>
      <c r="L459" s="109">
        <f t="shared" si="196"/>
        <v>0</v>
      </c>
      <c r="M459" s="110"/>
      <c r="N459" s="29">
        <f>IF( ISERROR(OFFSET(SECUESTRADOS!D$1,MATCH(B459,SECUESTRADOS!A$2:A1405,0),0)) ,0 ,  OFFSET(SECUESTRADOS!D$1,MATCH(B459,SECUESTRADOS!A$2:A1405,0),0)  )</f>
        <v>0</v>
      </c>
      <c r="O459" s="30"/>
      <c r="P459" s="17" t="str">
        <f t="shared" si="3"/>
        <v>.socio</v>
      </c>
      <c r="Q459" s="17" t="str">
        <f>IF(AND(A459=A455,B459=B455,C459=C455),"Repetido","")</f>
        <v/>
      </c>
      <c r="R459" s="31"/>
      <c r="S459" s="31"/>
      <c r="T459" s="31"/>
    </row>
    <row r="460" ht="15.0" customHeight="1">
      <c r="A460" s="18" t="s">
        <v>38</v>
      </c>
      <c r="B460" s="18">
        <v>1785.0</v>
      </c>
      <c r="C460" s="19">
        <v>1785.0</v>
      </c>
      <c r="D460" s="20" t="str">
        <f>IF(   ISERROR(OFFSET(PADRON!B$2,MATCH(C:C,PADRON!A$2:A1405,0)-1,0,1,1) )  ,  ,    OFFSET(PADRON!B$2,MATCH(C:C,PADRON!A$2:A1405,0)-1,0,1,1))</f>
        <v>MANGANO, JORGELINA</v>
      </c>
      <c r="E460" s="21">
        <v>45809.0</v>
      </c>
      <c r="F460" s="21">
        <v>45992.0</v>
      </c>
      <c r="G460" s="23" t="s">
        <v>39</v>
      </c>
      <c r="H460" s="24">
        <f>IF( ISERROR( OFFSET(   'Cuadro tarifario'!D$2  , MATCH(CONCATENATE(                 IF(F460&gt;Mes,OFFSET(NroCT!B$17, MATCH($F460,NroCT!$A$18:$A1405,0),0,1,1),Periodovigente)                                                                                                                     ,A460) ,'Cuadro tarifario'!A$2:A1405,0) -1 , 0 , 1 , 1) )   , 0  ,   OFFSET(   'Cuadro tarifario'!D$2  , MATCH(CONCATENATE( IF(F460&gt;Mes,OFFSET(NroCT!B$17, MATCH($F460,NroCT!$A$18:$A1405,0),0,1,1),Periodovigente) ,A460) ,'Cuadro tarifario'!A$2:A1405,0) -1 , 0 , 1 , 1))</f>
        <v>9000</v>
      </c>
      <c r="I460" s="106">
        <f t="shared" si="195"/>
        <v>6</v>
      </c>
      <c r="J460" s="107">
        <f t="shared" si="207"/>
        <v>54000</v>
      </c>
      <c r="K460" s="108">
        <f>IF(  AND(N460&gt;0,I460=0)          ,N460 ,                         IF(  IF( F460 ,  DAYS360(DATE(YEAR(F460),MONTH(F460),1),Mes)/30  ,  DAYS360(DATE(YEAR(E460),MONTH(E460),1),Mes)/30  )  &gt;  0 , IF(F460,   DAYS360(DATE(YEAR(F460),MONTH(F460),1),Mes)/30  ,  DAYS360(DATE(YEAR(E460),MONTH(E460),1),Mes)/30) , 0)       )</f>
        <v>0</v>
      </c>
      <c r="L460" s="109">
        <f t="shared" si="196"/>
        <v>0</v>
      </c>
      <c r="M460" s="110"/>
      <c r="N460" s="29">
        <f>IF( ISERROR(OFFSET(SECUESTRADOS!D$1,MATCH(B460,SECUESTRADOS!A$2:A1405,0),0)) ,0 ,  OFFSET(SECUESTRADOS!D$1,MATCH(B460,SECUESTRADOS!A$2:A1405,0),0)  )</f>
        <v>0</v>
      </c>
      <c r="O460" s="30"/>
      <c r="P460" s="17" t="str">
        <f t="shared" si="3"/>
        <v>Bono canon</v>
      </c>
      <c r="Q460" s="17" t="str">
        <f>IF(AND(A460=A459,B460=B459,C460=C459),"Repetido","")</f>
        <v/>
      </c>
      <c r="R460" s="31"/>
      <c r="S460" s="31"/>
      <c r="T460" s="31"/>
    </row>
    <row r="461" ht="15.0" customHeight="1">
      <c r="A461" s="18" t="s">
        <v>71</v>
      </c>
      <c r="B461" s="18">
        <v>1791.0</v>
      </c>
      <c r="C461" s="19">
        <v>1791.0</v>
      </c>
      <c r="D461" s="20" t="str">
        <f>IF(   ISERROR(OFFSET(PADRON!B$2,MATCH(C:C,PADRON!A$2:A1405,0)-1,0,1,1) )  ,  ,    OFFSET(PADRON!B$2,MATCH(C:C,PADRON!A$2:A1405,0)-1,0,1,1))</f>
        <v>IRIGOYEN, ANDRÉS</v>
      </c>
      <c r="E461" s="21">
        <v>45839.0</v>
      </c>
      <c r="F461" s="58">
        <v>45870.0</v>
      </c>
      <c r="G461" s="23" t="s">
        <v>39</v>
      </c>
      <c r="H461" s="24">
        <f>IF( ISERROR( OFFSET(   'Cuadro tarifario'!D$2  , MATCH(CONCATENATE(                 IF(F461&gt;Mes,OFFSET(NroCT!B$17, MATCH($F461,NroCT!$A$18:$A1405,0),0,1,1),Periodovigente)                                                                                                                     ,A461) ,'Cuadro tarifario'!A$2:A1405,0) -1 , 0 , 1 , 1) )   , 0  ,   OFFSET(   'Cuadro tarifario'!D$2  , MATCH(CONCATENATE( IF(F461&gt;Mes,OFFSET(NroCT!B$17, MATCH($F461,NroCT!$A$18:$A1405,0),0,1,1),Periodovigente) ,A461) ,'Cuadro tarifario'!A$2:A1405,0) -1 , 0 , 1 , 1))</f>
        <v>11000</v>
      </c>
      <c r="I461" s="106">
        <f t="shared" si="195"/>
        <v>1</v>
      </c>
      <c r="J461" s="107">
        <f t="shared" si="207"/>
        <v>11000</v>
      </c>
      <c r="K461" s="108">
        <f>IF(  AND(N461&gt;0,I461=0)          ,N461 ,                         IF(  IF( F461 ,  DAYS360(DATE(YEAR(F461),MONTH(F461),1),Mes)/30  ,  DAYS360(DATE(YEAR(E461),MONTH(E461),1),Mes)/30  )  &gt;  0 , IF(F461,   DAYS360(DATE(YEAR(F461),MONTH(F461),1),Mes)/30  ,  DAYS360(DATE(YEAR(E461),MONTH(E461),1),Mes)/30) , 0)       )</f>
        <v>0</v>
      </c>
      <c r="L461" s="109">
        <f t="shared" si="196"/>
        <v>0</v>
      </c>
      <c r="M461" s="110"/>
      <c r="N461" s="29">
        <f>IF( ISERROR(OFFSET(SECUESTRADOS!D$1,MATCH(B461,SECUESTRADOS!A$2:A1405,0),0)) ,0 ,  OFFSET(SECUESTRADOS!D$1,MATCH(B461,SECUESTRADOS!A$2:A1405,0),0)  )</f>
        <v>0</v>
      </c>
      <c r="O461" s="30"/>
      <c r="P461" s="17" t="str">
        <f t="shared" si="3"/>
        <v>.socio</v>
      </c>
      <c r="Q461" s="17" t="str">
        <f>IF(AND(A461=#REF!,B461=#REF!,C461=#REF!),"Repetido","")</f>
        <v>#REF!</v>
      </c>
      <c r="R461" s="31"/>
      <c r="S461" s="31"/>
      <c r="T461" s="31"/>
    </row>
    <row r="462" ht="15.0" customHeight="1">
      <c r="A462" s="18" t="s">
        <v>38</v>
      </c>
      <c r="B462" s="18">
        <v>1791.0</v>
      </c>
      <c r="C462" s="19">
        <v>1791.0</v>
      </c>
      <c r="D462" s="20" t="str">
        <f>IF(   ISERROR(OFFSET(PADRON!B$2,MATCH(C:C,PADRON!A$2:A1405,0)-1,0,1,1) )  ,  ,    OFFSET(PADRON!B$2,MATCH(C:C,PADRON!A$2:A1405,0)-1,0,1,1))</f>
        <v>IRIGOYEN, ANDRÉS</v>
      </c>
      <c r="E462" s="21">
        <v>45839.0</v>
      </c>
      <c r="F462" s="58">
        <v>45870.0</v>
      </c>
      <c r="G462" s="23" t="s">
        <v>39</v>
      </c>
      <c r="H462" s="24">
        <f>IF( ISERROR( OFFSET(   'Cuadro tarifario'!D$2  , MATCH(CONCATENATE(                 IF(F462&gt;Mes,OFFSET(NroCT!B$17, MATCH($F462,NroCT!$A$18:$A1405,0),0,1,1),Periodovigente)                                                                                                                     ,A462) ,'Cuadro tarifario'!A$2:A1405,0) -1 , 0 , 1 , 1) )   , 0  ,   OFFSET(   'Cuadro tarifario'!D$2  , MATCH(CONCATENATE( IF(F462&gt;Mes,OFFSET(NroCT!B$17, MATCH($F462,NroCT!$A$18:$A1405,0),0,1,1),Periodovigente) ,A462) ,'Cuadro tarifario'!A$2:A1405,0) -1 , 0 , 1 , 1))</f>
        <v>9000</v>
      </c>
      <c r="I462" s="106">
        <f t="shared" si="195"/>
        <v>1</v>
      </c>
      <c r="J462" s="107">
        <f t="shared" si="207"/>
        <v>9000</v>
      </c>
      <c r="K462" s="108">
        <f>IF(  AND(N462&gt;0,I462=0)          ,N462 ,                         IF(  IF( F462 ,  DAYS360(DATE(YEAR(F462),MONTH(F462),1),Mes)/30  ,  DAYS360(DATE(YEAR(E462),MONTH(E462),1),Mes)/30  )  &gt;  0 , IF(F462,   DAYS360(DATE(YEAR(F462),MONTH(F462),1),Mes)/30  ,  DAYS360(DATE(YEAR(E462),MONTH(E462),1),Mes)/30) , 0)       )</f>
        <v>0</v>
      </c>
      <c r="L462" s="109">
        <f t="shared" si="196"/>
        <v>0</v>
      </c>
      <c r="M462" s="110"/>
      <c r="N462" s="29">
        <f>IF( ISERROR(OFFSET(SECUESTRADOS!D$1,MATCH(B462,SECUESTRADOS!A$2:A1405,0),0)) ,0 ,  OFFSET(SECUESTRADOS!D$1,MATCH(B462,SECUESTRADOS!A$2:A1405,0),0)  )</f>
        <v>0</v>
      </c>
      <c r="O462" s="30"/>
      <c r="P462" s="17" t="str">
        <f t="shared" si="3"/>
        <v>Bono canon</v>
      </c>
      <c r="Q462" s="17" t="str">
        <f>IF(AND(A462=A461,B462=B461,C462=C461),"Repetido","")</f>
        <v/>
      </c>
      <c r="R462" s="31"/>
      <c r="S462" s="31"/>
      <c r="T462" s="31"/>
    </row>
    <row r="463" ht="15.0" customHeight="1">
      <c r="A463" s="18" t="s">
        <v>71</v>
      </c>
      <c r="B463" s="18">
        <v>1800.0</v>
      </c>
      <c r="C463" s="19">
        <v>1800.0</v>
      </c>
      <c r="D463" s="20" t="str">
        <f>IF(   ISERROR(OFFSET(PADRON!B$2,MATCH(C:C,PADRON!A$2:A1405,0)-1,0,1,1) )  ,  ,    OFFSET(PADRON!B$2,MATCH(C:C,PADRON!A$2:A1405,0)-1,0,1,1))</f>
        <v>PAVLETIC, TATIANA</v>
      </c>
      <c r="E463" s="58">
        <v>45992.0</v>
      </c>
      <c r="F463" s="58"/>
      <c r="G463" s="59" t="s">
        <v>39</v>
      </c>
      <c r="H463" s="60">
        <f>IF( ISERROR( OFFSET(   'Cuadro tarifario'!D$2  , MATCH(CONCATENATE(                 IF(F463&gt;Mes,OFFSET(NroCT!B$17, MATCH($F463,NroCT!$A$18:$A1405,0),0,1,1),Periodovigente)                                                                                                                     ,A463) ,'Cuadro tarifario'!A$2:A1405,0) -1 , 0 , 1 , 1) )   , 0  ,   OFFSET(   'Cuadro tarifario'!D$2  , MATCH(CONCATENATE( IF(F463&gt;Mes,OFFSET(NroCT!B$17, MATCH($F463,NroCT!$A$18:$A1405,0),0,1,1),Periodovigente) ,A463) ,'Cuadro tarifario'!A$2:A1405,0) -1 , 0 , 1 , 1))</f>
        <v>11000</v>
      </c>
      <c r="I463" s="61">
        <f t="shared" si="195"/>
        <v>0</v>
      </c>
      <c r="J463" s="60">
        <f t="shared" si="207"/>
        <v>0</v>
      </c>
      <c r="K463" s="62">
        <f>IF(  AND(N463&gt;0,I463=0)          ,N463 ,                         IF(  IF( F463 ,  DAYS360(DATE(YEAR(F463),MONTH(F463),1),Mes)/30  ,  DAYS360(DATE(YEAR(E463),MONTH(E463),1),Mes)/30  )  &gt;  0 , IF(F463,   DAYS360(DATE(YEAR(F463),MONTH(F463),1),Mes)/30  ,  DAYS360(DATE(YEAR(E463),MONTH(E463),1),Mes)/30) , 0)       )</f>
        <v>0</v>
      </c>
      <c r="L463" s="63">
        <f t="shared" si="196"/>
        <v>0</v>
      </c>
      <c r="M463" s="129"/>
      <c r="N463" s="98">
        <f>IF( ISERROR(OFFSET(SECUESTRADOS!D$1,MATCH(B463,SECUESTRADOS!A$2:A1405,0),0)) ,0 ,  OFFSET(SECUESTRADOS!D$1,MATCH(B463,SECUESTRADOS!A$2:A1405,0),0)  )</f>
        <v>0</v>
      </c>
      <c r="O463" s="98"/>
      <c r="P463" s="98" t="b">
        <f t="shared" si="3"/>
        <v>0</v>
      </c>
      <c r="Q463" s="98" t="str">
        <f t="shared" ref="Q463:Q470" si="233">IF(AND(A463=#REF!,B463=#REF!,C463=#REF!),"Repetido","")</f>
        <v>#REF!</v>
      </c>
      <c r="R463" s="130"/>
      <c r="S463" s="130"/>
      <c r="T463" s="130"/>
    </row>
    <row r="464" ht="15.0" customHeight="1">
      <c r="A464" s="18" t="s">
        <v>38</v>
      </c>
      <c r="B464" s="18">
        <v>1800.0</v>
      </c>
      <c r="C464" s="19">
        <v>1800.0</v>
      </c>
      <c r="D464" s="20" t="str">
        <f>IF(   ISERROR(OFFSET(PADRON!B$2,MATCH(C:C,PADRON!A$2:A1405,0)-1,0,1,1) )  ,  ,    OFFSET(PADRON!B$2,MATCH(C:C,PADRON!A$2:A1405,0)-1,0,1,1))</f>
        <v>PAVLETIC, TATIANA</v>
      </c>
      <c r="E464" s="58">
        <v>45992.0</v>
      </c>
      <c r="F464" s="58"/>
      <c r="G464" s="59" t="s">
        <v>39</v>
      </c>
      <c r="H464" s="60">
        <f>IF( ISERROR( OFFSET(   'Cuadro tarifario'!D$2  , MATCH(CONCATENATE(                 IF(F464&gt;Mes,OFFSET(NroCT!B$17, MATCH($F464,NroCT!$A$18:$A1405,0),0,1,1),Periodovigente)                                                                                                                     ,A464) ,'Cuadro tarifario'!A$2:A1405,0) -1 , 0 , 1 , 1) )   , 0  ,   OFFSET(   'Cuadro tarifario'!D$2  , MATCH(CONCATENATE( IF(F464&gt;Mes,OFFSET(NroCT!B$17, MATCH($F464,NroCT!$A$18:$A1405,0),0,1,1),Periodovigente) ,A464) ,'Cuadro tarifario'!A$2:A1405,0) -1 , 0 , 1 , 1))</f>
        <v>9000</v>
      </c>
      <c r="I464" s="61">
        <f t="shared" si="195"/>
        <v>0</v>
      </c>
      <c r="J464" s="60">
        <f t="shared" si="207"/>
        <v>0</v>
      </c>
      <c r="K464" s="62">
        <f>IF(  AND(N464&gt;0,I464=0)          ,N464 ,                         IF(  IF( F464 ,  DAYS360(DATE(YEAR(F464),MONTH(F464),1),Mes)/30  ,  DAYS360(DATE(YEAR(E464),MONTH(E464),1),Mes)/30  )  &gt;  0 , IF(F464,   DAYS360(DATE(YEAR(F464),MONTH(F464),1),Mes)/30  ,  DAYS360(DATE(YEAR(E464),MONTH(E464),1),Mes)/30) , 0)       )</f>
        <v>0</v>
      </c>
      <c r="L464" s="63">
        <f t="shared" si="196"/>
        <v>0</v>
      </c>
      <c r="M464" s="129"/>
      <c r="N464" s="98">
        <f>IF( ISERROR(OFFSET(SECUESTRADOS!D$1,MATCH(B464,SECUESTRADOS!A$2:A1405,0),0)) ,0 ,  OFFSET(SECUESTRADOS!D$1,MATCH(B464,SECUESTRADOS!A$2:A1405,0),0)  )</f>
        <v>0</v>
      </c>
      <c r="O464" s="98"/>
      <c r="P464" s="98" t="b">
        <f t="shared" si="3"/>
        <v>0</v>
      </c>
      <c r="Q464" s="98" t="str">
        <f t="shared" si="233"/>
        <v>#REF!</v>
      </c>
      <c r="R464" s="130"/>
      <c r="S464" s="130"/>
      <c r="T464" s="130"/>
    </row>
    <row r="465" ht="15.0" customHeight="1">
      <c r="A465" s="18" t="s">
        <v>40</v>
      </c>
      <c r="B465" s="18" t="s">
        <v>251</v>
      </c>
      <c r="C465" s="19">
        <v>1800.0</v>
      </c>
      <c r="D465" s="20" t="str">
        <f>IF(   ISERROR(OFFSET(PADRON!B$2,MATCH(C:C,PADRON!A$2:A1405,0)-1,0,1,1) )  ,  ,    OFFSET(PADRON!B$2,MATCH(C:C,PADRON!A$2:A1405,0)-1,0,1,1))</f>
        <v>PAVLETIC, TATIANA</v>
      </c>
      <c r="E465" s="58">
        <v>45992.0</v>
      </c>
      <c r="F465" s="58"/>
      <c r="G465" s="59" t="s">
        <v>39</v>
      </c>
      <c r="H465" s="60">
        <f>IF( ISERROR( OFFSET(   'Cuadro tarifario'!D$2  , MATCH(CONCATENATE(                 IF(F465&gt;Mes,OFFSET(NroCT!B$17, MATCH($F465,NroCT!$A$18:$A1405,0),0,1,1),Periodovigente)                                                                                                                     ,A465) ,'Cuadro tarifario'!A$2:A1405,0) -1 , 0 , 1 , 1) )   , 0  ,   OFFSET(   'Cuadro tarifario'!D$2  , MATCH(CONCATENATE( IF(F465&gt;Mes,OFFSET(NroCT!B$17, MATCH($F465,NroCT!$A$18:$A1405,0),0,1,1),Periodovigente) ,A465) ,'Cuadro tarifario'!A$2:A1405,0) -1 , 0 , 1 , 1))</f>
        <v>12000</v>
      </c>
      <c r="I465" s="61">
        <f t="shared" si="195"/>
        <v>0</v>
      </c>
      <c r="J465" s="60">
        <f t="shared" si="207"/>
        <v>0</v>
      </c>
      <c r="K465" s="62">
        <f>IF(  AND(N465&gt;0,I465=0)          ,N465 ,                         IF(  IF( F465 ,  DAYS360(DATE(YEAR(F465),MONTH(F465),1),Mes)/30  ,  DAYS360(DATE(YEAR(E465),MONTH(E465),1),Mes)/30  )  &gt;  0 , IF(F465,   DAYS360(DATE(YEAR(F465),MONTH(F465),1),Mes)/30  ,  DAYS360(DATE(YEAR(E465),MONTH(E465),1),Mes)/30) , 0)       )</f>
        <v>0</v>
      </c>
      <c r="L465" s="63">
        <f t="shared" si="196"/>
        <v>0</v>
      </c>
      <c r="M465" s="129"/>
      <c r="N465" s="98">
        <f>IF( ISERROR(OFFSET(SECUESTRADOS!D$1,MATCH(B465,SECUESTRADOS!A$2:A1405,0),0)) ,0 ,  OFFSET(SECUESTRADOS!D$1,MATCH(B465,SECUESTRADOS!A$2:A1405,0),0)  )</f>
        <v>0</v>
      </c>
      <c r="O465" s="98"/>
      <c r="P465" s="98" t="b">
        <f t="shared" si="3"/>
        <v>0</v>
      </c>
      <c r="Q465" s="98" t="str">
        <f t="shared" si="233"/>
        <v>#REF!</v>
      </c>
      <c r="R465" s="130"/>
      <c r="S465" s="130"/>
      <c r="T465" s="130"/>
    </row>
    <row r="466" ht="15.0" customHeight="1">
      <c r="A466" s="18" t="s">
        <v>71</v>
      </c>
      <c r="B466" s="18">
        <v>1802.0</v>
      </c>
      <c r="C466" s="19">
        <v>1802.0</v>
      </c>
      <c r="D466" s="20" t="str">
        <f>IF(   ISERROR(OFFSET(PADRON!B$2,MATCH(C:C,PADRON!A$2:A1405,0)-1,0,1,1) )  ,  ,    OFFSET(PADRON!B$2,MATCH(C:C,PADRON!A$2:A1405,0)-1,0,1,1))</f>
        <v>MATENELLA, CATERINA</v>
      </c>
      <c r="E466" s="58">
        <v>45839.0</v>
      </c>
      <c r="F466" s="58">
        <v>45870.0</v>
      </c>
      <c r="G466" s="59" t="s">
        <v>39</v>
      </c>
      <c r="H466" s="60">
        <f>IF( ISERROR( OFFSET(   'Cuadro tarifario'!D$2  , MATCH(CONCATENATE(                 IF(F466&gt;Mes,OFFSET(NroCT!B$17, MATCH($F466,NroCT!$A$18:$A1405,0),0,1,1),Periodovigente)                                                                                                                     ,A466) ,'Cuadro tarifario'!A$2:A1405,0) -1 , 0 , 1 , 1) )   , 0  ,   OFFSET(   'Cuadro tarifario'!D$2  , MATCH(CONCATENATE( IF(F466&gt;Mes,OFFSET(NroCT!B$17, MATCH($F466,NroCT!$A$18:$A1405,0),0,1,1),Periodovigente) ,A466) ,'Cuadro tarifario'!A$2:A1405,0) -1 , 0 , 1 , 1))</f>
        <v>11000</v>
      </c>
      <c r="I466" s="61">
        <f t="shared" si="195"/>
        <v>1</v>
      </c>
      <c r="J466" s="60">
        <f t="shared" si="207"/>
        <v>11000</v>
      </c>
      <c r="K466" s="62">
        <f>IF(  AND(N466&gt;0,I466=0)          ,N466 ,                         IF(  IF( F466 ,  DAYS360(DATE(YEAR(F466),MONTH(F466),1),Mes)/30  ,  DAYS360(DATE(YEAR(E466),MONTH(E466),1),Mes)/30  )  &gt;  0 , IF(F466,   DAYS360(DATE(YEAR(F466),MONTH(F466),1),Mes)/30  ,  DAYS360(DATE(YEAR(E466),MONTH(E466),1),Mes)/30) , 0)       )</f>
        <v>0</v>
      </c>
      <c r="L466" s="63">
        <f t="shared" si="196"/>
        <v>0</v>
      </c>
      <c r="M466" s="129"/>
      <c r="N466" s="98">
        <f>IF( ISERROR(OFFSET(SECUESTRADOS!D$1,MATCH(B466,SECUESTRADOS!A$2:A1405,0),0)) ,0 ,  OFFSET(SECUESTRADOS!D$1,MATCH(B466,SECUESTRADOS!A$2:A1405,0),0)  )</f>
        <v>0</v>
      </c>
      <c r="O466" s="98"/>
      <c r="P466" s="98" t="str">
        <f t="shared" si="3"/>
        <v>.socio</v>
      </c>
      <c r="Q466" s="98" t="str">
        <f t="shared" si="233"/>
        <v>#REF!</v>
      </c>
      <c r="R466" s="130"/>
      <c r="S466" s="130"/>
      <c r="T466" s="130"/>
    </row>
    <row r="467" ht="15.0" customHeight="1">
      <c r="A467" s="18" t="s">
        <v>38</v>
      </c>
      <c r="B467" s="18">
        <v>1802.0</v>
      </c>
      <c r="C467" s="19">
        <v>1802.0</v>
      </c>
      <c r="D467" s="20" t="str">
        <f>IF(   ISERROR(OFFSET(PADRON!B$2,MATCH(C:C,PADRON!A$2:A1405,0)-1,0,1,1) )  ,  ,    OFFSET(PADRON!B$2,MATCH(C:C,PADRON!A$2:A1405,0)-1,0,1,1))</f>
        <v>MATENELLA, CATERINA</v>
      </c>
      <c r="E467" s="58">
        <v>45839.0</v>
      </c>
      <c r="F467" s="58">
        <v>45870.0</v>
      </c>
      <c r="G467" s="59" t="s">
        <v>39</v>
      </c>
      <c r="H467" s="60">
        <f>IF( ISERROR( OFFSET(   'Cuadro tarifario'!D$2  , MATCH(CONCATENATE(                 IF(F467&gt;Mes,OFFSET(NroCT!B$17, MATCH($F467,NroCT!$A$18:$A1405,0),0,1,1),Periodovigente)                                                                                                                     ,A467) ,'Cuadro tarifario'!A$2:A1405,0) -1 , 0 , 1 , 1) )   , 0  ,   OFFSET(   'Cuadro tarifario'!D$2  , MATCH(CONCATENATE( IF(F467&gt;Mes,OFFSET(NroCT!B$17, MATCH($F467,NroCT!$A$18:$A1405,0),0,1,1),Periodovigente) ,A467) ,'Cuadro tarifario'!A$2:A1405,0) -1 , 0 , 1 , 1))</f>
        <v>9000</v>
      </c>
      <c r="I467" s="61">
        <f t="shared" si="195"/>
        <v>1</v>
      </c>
      <c r="J467" s="60">
        <f t="shared" si="207"/>
        <v>9000</v>
      </c>
      <c r="K467" s="62">
        <f>IF(  AND(N467&gt;0,I467=0)          ,N467 ,                         IF(  IF( F467 ,  DAYS360(DATE(YEAR(F467),MONTH(F467),1),Mes)/30  ,  DAYS360(DATE(YEAR(E467),MONTH(E467),1),Mes)/30  )  &gt;  0 , IF(F467,   DAYS360(DATE(YEAR(F467),MONTH(F467),1),Mes)/30  ,  DAYS360(DATE(YEAR(E467),MONTH(E467),1),Mes)/30) , 0)       )</f>
        <v>0</v>
      </c>
      <c r="L467" s="63">
        <f t="shared" si="196"/>
        <v>0</v>
      </c>
      <c r="M467" s="129"/>
      <c r="N467" s="98">
        <f>IF( ISERROR(OFFSET(SECUESTRADOS!D$1,MATCH(B467,SECUESTRADOS!A$2:A1405,0),0)) ,0 ,  OFFSET(SECUESTRADOS!D$1,MATCH(B467,SECUESTRADOS!A$2:A1405,0),0)  )</f>
        <v>0</v>
      </c>
      <c r="O467" s="98"/>
      <c r="P467" s="98" t="str">
        <f t="shared" si="3"/>
        <v>Bono canon</v>
      </c>
      <c r="Q467" s="98" t="str">
        <f t="shared" si="233"/>
        <v>#REF!</v>
      </c>
      <c r="R467" s="130"/>
      <c r="S467" s="130"/>
      <c r="T467" s="130"/>
    </row>
    <row r="468" ht="15.0" customHeight="1">
      <c r="A468" s="18" t="s">
        <v>40</v>
      </c>
      <c r="B468" s="18" t="s">
        <v>252</v>
      </c>
      <c r="C468" s="19">
        <v>1802.0</v>
      </c>
      <c r="D468" s="20" t="str">
        <f>IF(   ISERROR(OFFSET(PADRON!B$2,MATCH(C:C,PADRON!A$2:A1405,0)-1,0,1,1) )  ,  ,    OFFSET(PADRON!B$2,MATCH(C:C,PADRON!A$2:A1405,0)-1,0,1,1))</f>
        <v>MATENELLA, CATERINA</v>
      </c>
      <c r="E468" s="58">
        <v>45839.0</v>
      </c>
      <c r="F468" s="58">
        <v>45870.0</v>
      </c>
      <c r="G468" s="59" t="s">
        <v>39</v>
      </c>
      <c r="H468" s="60">
        <f>IF( ISERROR( OFFSET(   'Cuadro tarifario'!D$2  , MATCH(CONCATENATE(                 IF(F468&gt;Mes,OFFSET(NroCT!B$17, MATCH($F468,NroCT!$A$18:$A1405,0),0,1,1),Periodovigente)                                                                                                                     ,A468) ,'Cuadro tarifario'!A$2:A1405,0) -1 , 0 , 1 , 1) )   , 0  ,   OFFSET(   'Cuadro tarifario'!D$2  , MATCH(CONCATENATE( IF(F468&gt;Mes,OFFSET(NroCT!B$17, MATCH($F468,NroCT!$A$18:$A1405,0),0,1,1),Periodovigente) ,A468) ,'Cuadro tarifario'!A$2:A1405,0) -1 , 0 , 1 , 1))</f>
        <v>12000</v>
      </c>
      <c r="I468" s="61">
        <f t="shared" si="195"/>
        <v>1</v>
      </c>
      <c r="J468" s="60">
        <f t="shared" si="207"/>
        <v>12000</v>
      </c>
      <c r="K468" s="62">
        <f>IF(  AND(N468&gt;0,I468=0)          ,N468 ,                         IF(  IF( F468 ,  DAYS360(DATE(YEAR(F468),MONTH(F468),1),Mes)/30  ,  DAYS360(DATE(YEAR(E468),MONTH(E468),1),Mes)/30  )  &gt;  0 , IF(F468,   DAYS360(DATE(YEAR(F468),MONTH(F468),1),Mes)/30  ,  DAYS360(DATE(YEAR(E468),MONTH(E468),1),Mes)/30) , 0)       )</f>
        <v>0</v>
      </c>
      <c r="L468" s="63">
        <f t="shared" si="196"/>
        <v>0</v>
      </c>
      <c r="M468" s="129"/>
      <c r="N468" s="98">
        <f>IF( ISERROR(OFFSET(SECUESTRADOS!D$1,MATCH(B468,SECUESTRADOS!A$2:A1405,0),0)) ,0 ,  OFFSET(SECUESTRADOS!D$1,MATCH(B468,SECUESTRADOS!A$2:A1405,0),0)  )</f>
        <v>0</v>
      </c>
      <c r="O468" s="98"/>
      <c r="P468" s="98" t="str">
        <f t="shared" si="3"/>
        <v>cuna windsurf</v>
      </c>
      <c r="Q468" s="98" t="str">
        <f t="shared" si="233"/>
        <v>#REF!</v>
      </c>
      <c r="R468" s="130"/>
      <c r="S468" s="130"/>
      <c r="T468" s="130"/>
    </row>
    <row r="469" ht="15.0" customHeight="1">
      <c r="A469" s="18" t="s">
        <v>71</v>
      </c>
      <c r="B469" s="18">
        <v>1809.0</v>
      </c>
      <c r="C469" s="19">
        <v>1809.0</v>
      </c>
      <c r="D469" s="20" t="str">
        <f>IF(   ISERROR(OFFSET(PADRON!B$2,MATCH(C:C,PADRON!A$2:A1405,0)-1,0,1,1) )  ,  ,    OFFSET(PADRON!B$2,MATCH(C:C,PADRON!A$2:A1405,0)-1,0,1,1))</f>
        <v>VENENATI, ILEANA</v>
      </c>
      <c r="E469" s="58">
        <v>45809.0</v>
      </c>
      <c r="F469" s="58">
        <v>45870.0</v>
      </c>
      <c r="G469" s="59" t="s">
        <v>39</v>
      </c>
      <c r="H469" s="60">
        <f>IF( ISERROR( OFFSET(   'Cuadro tarifario'!D$2  , MATCH(CONCATENATE(                 IF(F469&gt;Mes,OFFSET(NroCT!B$17, MATCH($F469,NroCT!$A$18:$A1405,0),0,1,1),Periodovigente)                                                                                                                     ,A469) ,'Cuadro tarifario'!A$2:A1405,0) -1 , 0 , 1 , 1) )   , 0  ,   OFFSET(   'Cuadro tarifario'!D$2  , MATCH(CONCATENATE( IF(F469&gt;Mes,OFFSET(NroCT!B$17, MATCH($F469,NroCT!$A$18:$A1405,0),0,1,1),Periodovigente) ,A469) ,'Cuadro tarifario'!A$2:A1405,0) -1 , 0 , 1 , 1))</f>
        <v>11000</v>
      </c>
      <c r="I469" s="61">
        <f t="shared" si="195"/>
        <v>2</v>
      </c>
      <c r="J469" s="60">
        <f t="shared" si="207"/>
        <v>22000</v>
      </c>
      <c r="K469" s="62">
        <f>IF(  AND(N469&gt;0,I469=0)          ,N469 ,                         IF(  IF( F469 ,  DAYS360(DATE(YEAR(F469),MONTH(F469),1),Mes)/30  ,  DAYS360(DATE(YEAR(E469),MONTH(E469),1),Mes)/30  )  &gt;  0 , IF(F469,   DAYS360(DATE(YEAR(F469),MONTH(F469),1),Mes)/30  ,  DAYS360(DATE(YEAR(E469),MONTH(E469),1),Mes)/30) , 0)       )</f>
        <v>0</v>
      </c>
      <c r="L469" s="63">
        <f t="shared" si="196"/>
        <v>0</v>
      </c>
      <c r="M469" s="129"/>
      <c r="N469" s="98">
        <f>IF( ISERROR(OFFSET(SECUESTRADOS!D$1,MATCH(B469,SECUESTRADOS!A$2:A1405,0),0)) ,0 ,  OFFSET(SECUESTRADOS!D$1,MATCH(B469,SECUESTRADOS!A$2:A1405,0),0)  )</f>
        <v>0</v>
      </c>
      <c r="O469" s="98"/>
      <c r="P469" s="98" t="str">
        <f t="shared" si="3"/>
        <v>.socio</v>
      </c>
      <c r="Q469" s="98" t="str">
        <f t="shared" si="233"/>
        <v>#REF!</v>
      </c>
      <c r="R469" s="130"/>
      <c r="S469" s="130"/>
      <c r="T469" s="130"/>
    </row>
    <row r="470" ht="15.0" customHeight="1">
      <c r="A470" s="18" t="s">
        <v>38</v>
      </c>
      <c r="B470" s="18">
        <v>1809.0</v>
      </c>
      <c r="C470" s="19">
        <v>1809.0</v>
      </c>
      <c r="D470" s="20" t="str">
        <f>IF(   ISERROR(OFFSET(PADRON!B$2,MATCH(C:C,PADRON!A$2:A1405,0)-1,0,1,1) )  ,  ,    OFFSET(PADRON!B$2,MATCH(C:C,PADRON!A$2:A1405,0)-1,0,1,1))</f>
        <v>VENENATI, ILEANA</v>
      </c>
      <c r="E470" s="58">
        <v>45809.0</v>
      </c>
      <c r="F470" s="58">
        <v>45870.0</v>
      </c>
      <c r="G470" s="59" t="s">
        <v>39</v>
      </c>
      <c r="H470" s="60">
        <f>IF( ISERROR( OFFSET(   'Cuadro tarifario'!D$2  , MATCH(CONCATENATE(                 IF(F470&gt;Mes,OFFSET(NroCT!B$17, MATCH($F470,NroCT!$A$18:$A1405,0),0,1,1),Periodovigente)                                                                                                                     ,A470) ,'Cuadro tarifario'!A$2:A1405,0) -1 , 0 , 1 , 1) )   , 0  ,   OFFSET(   'Cuadro tarifario'!D$2  , MATCH(CONCATENATE( IF(F470&gt;Mes,OFFSET(NroCT!B$17, MATCH($F470,NroCT!$A$18:$A1405,0),0,1,1),Periodovigente) ,A470) ,'Cuadro tarifario'!A$2:A1405,0) -1 , 0 , 1 , 1))</f>
        <v>9000</v>
      </c>
      <c r="I470" s="61">
        <f t="shared" si="195"/>
        <v>2</v>
      </c>
      <c r="J470" s="60">
        <f t="shared" si="207"/>
        <v>18000</v>
      </c>
      <c r="K470" s="62">
        <f>IF(  AND(N470&gt;0,I470=0)          ,N470 ,                         IF(  IF( F470 ,  DAYS360(DATE(YEAR(F470),MONTH(F470),1),Mes)/30  ,  DAYS360(DATE(YEAR(E470),MONTH(E470),1),Mes)/30  )  &gt;  0 , IF(F470,   DAYS360(DATE(YEAR(F470),MONTH(F470),1),Mes)/30  ,  DAYS360(DATE(YEAR(E470),MONTH(E470),1),Mes)/30) , 0)       )</f>
        <v>0</v>
      </c>
      <c r="L470" s="63">
        <f t="shared" si="196"/>
        <v>0</v>
      </c>
      <c r="M470" s="129"/>
      <c r="N470" s="98">
        <f>IF( ISERROR(OFFSET(SECUESTRADOS!D$1,MATCH(B470,SECUESTRADOS!A$2:A1405,0),0)) ,0 ,  OFFSET(SECUESTRADOS!D$1,MATCH(B470,SECUESTRADOS!A$2:A1405,0),0)  )</f>
        <v>0</v>
      </c>
      <c r="O470" s="98"/>
      <c r="P470" s="98" t="str">
        <f t="shared" si="3"/>
        <v>Bono canon</v>
      </c>
      <c r="Q470" s="98" t="str">
        <f t="shared" si="233"/>
        <v>#REF!</v>
      </c>
      <c r="R470" s="130"/>
      <c r="S470" s="130"/>
      <c r="T470" s="130"/>
    </row>
    <row r="471" ht="15.0" customHeight="1">
      <c r="A471" s="18" t="s">
        <v>71</v>
      </c>
      <c r="B471" s="18">
        <v>1818.0</v>
      </c>
      <c r="C471" s="19">
        <v>1818.0</v>
      </c>
      <c r="D471" s="20" t="str">
        <f>IF(   ISERROR(OFFSET(PADRON!B$2,MATCH(C:C,PADRON!A$2:A1405,0)-1,0,1,1) )  ,  ,    OFFSET(PADRON!B$2,MATCH(C:C,PADRON!A$2:A1405,0)-1,0,1,1))</f>
        <v>GIUSTI ,CLAUDIA</v>
      </c>
      <c r="E471" s="58">
        <v>45839.0</v>
      </c>
      <c r="F471" s="58">
        <v>45870.0</v>
      </c>
      <c r="G471" s="59" t="s">
        <v>39</v>
      </c>
      <c r="H471" s="60">
        <f>IF( ISERROR( OFFSET(   'Cuadro tarifario'!D$2  , MATCH(CONCATENATE(                 IF(F471&gt;Mes,OFFSET(NroCT!B$17, MATCH($F471,NroCT!$A$18:$A1405,0),0,1,1),Periodovigente)                                                                                                                     ,A471) ,'Cuadro tarifario'!A$2:A1405,0) -1 , 0 , 1 , 1) )   , 0  ,   OFFSET(   'Cuadro tarifario'!D$2  , MATCH(CONCATENATE( IF(F471&gt;Mes,OFFSET(NroCT!B$17, MATCH($F471,NroCT!$A$18:$A1405,0),0,1,1),Periodovigente) ,A471) ,'Cuadro tarifario'!A$2:A1405,0) -1 , 0 , 1 , 1))</f>
        <v>11000</v>
      </c>
      <c r="I471" s="61">
        <f t="shared" si="195"/>
        <v>1</v>
      </c>
      <c r="J471" s="60">
        <f t="shared" si="207"/>
        <v>11000</v>
      </c>
      <c r="K471" s="62">
        <f>IF(  AND(N471&gt;0,I471=0)          ,N471 ,                         IF(  IF( F471 ,  DAYS360(DATE(YEAR(F471),MONTH(F471),1),Mes)/30  ,  DAYS360(DATE(YEAR(E471),MONTH(E471),1),Mes)/30  )  &gt;  0 , IF(F471,   DAYS360(DATE(YEAR(F471),MONTH(F471),1),Mes)/30  ,  DAYS360(DATE(YEAR(E471),MONTH(E471),1),Mes)/30) , 0)       )</f>
        <v>0</v>
      </c>
      <c r="L471" s="63">
        <f t="shared" si="196"/>
        <v>0</v>
      </c>
      <c r="M471" s="129"/>
      <c r="N471" s="98">
        <f>IF( ISERROR(OFFSET(SECUESTRADOS!D$1,MATCH(B471,SECUESTRADOS!A$2:A1405,0),0)) ,0 ,  OFFSET(SECUESTRADOS!D$1,MATCH(B471,SECUESTRADOS!A$2:A1405,0),0)  )</f>
        <v>0</v>
      </c>
      <c r="O471" s="98"/>
      <c r="P471" s="98" t="str">
        <f t="shared" si="3"/>
        <v>.socio</v>
      </c>
      <c r="Q471" s="98" t="str">
        <f t="shared" ref="Q471:Q535" si="234">IF(AND(A471=#REF!,B471=#REF!,C471=#REF!),"Repetido","")</f>
        <v>#REF!</v>
      </c>
      <c r="R471" s="130"/>
      <c r="S471" s="130"/>
      <c r="T471" s="130"/>
    </row>
    <row r="472" ht="15.0" customHeight="1">
      <c r="A472" s="18" t="s">
        <v>38</v>
      </c>
      <c r="B472" s="18">
        <v>1818.0</v>
      </c>
      <c r="C472" s="19">
        <v>1818.0</v>
      </c>
      <c r="D472" s="20" t="str">
        <f>IF(   ISERROR(OFFSET(PADRON!B$2,MATCH(C:C,PADRON!A$2:A1405,0)-1,0,1,1) )  ,  ,    OFFSET(PADRON!B$2,MATCH(C:C,PADRON!A$2:A1405,0)-1,0,1,1))</f>
        <v>GIUSTI ,CLAUDIA</v>
      </c>
      <c r="E472" s="58">
        <v>45839.0</v>
      </c>
      <c r="F472" s="58">
        <v>45870.0</v>
      </c>
      <c r="G472" s="59" t="s">
        <v>39</v>
      </c>
      <c r="H472" s="60">
        <f>IF( ISERROR( OFFSET(   'Cuadro tarifario'!D$2  , MATCH(CONCATENATE(                 IF(F472&gt;Mes,OFFSET(NroCT!B$17, MATCH($F472,NroCT!$A$18:$A1405,0),0,1,1),Periodovigente)                                                                                                                     ,A472) ,'Cuadro tarifario'!A$2:A1405,0) -1 , 0 , 1 , 1) )   , 0  ,   OFFSET(   'Cuadro tarifario'!D$2  , MATCH(CONCATENATE( IF(F472&gt;Mes,OFFSET(NroCT!B$17, MATCH($F472,NroCT!$A$18:$A1405,0),0,1,1),Periodovigente) ,A472) ,'Cuadro tarifario'!A$2:A1405,0) -1 , 0 , 1 , 1))</f>
        <v>9000</v>
      </c>
      <c r="I472" s="61">
        <f t="shared" si="195"/>
        <v>1</v>
      </c>
      <c r="J472" s="60">
        <f t="shared" si="207"/>
        <v>9000</v>
      </c>
      <c r="K472" s="62">
        <f>IF(  AND(N472&gt;0,I472=0)          ,N472 ,                         IF(  IF( F472 ,  DAYS360(DATE(YEAR(F472),MONTH(F472),1),Mes)/30  ,  DAYS360(DATE(YEAR(E472),MONTH(E472),1),Mes)/30  )  &gt;  0 , IF(F472,   DAYS360(DATE(YEAR(F472),MONTH(F472),1),Mes)/30  ,  DAYS360(DATE(YEAR(E472),MONTH(E472),1),Mes)/30) , 0)       )</f>
        <v>0</v>
      </c>
      <c r="L472" s="63">
        <f t="shared" si="196"/>
        <v>0</v>
      </c>
      <c r="M472" s="129"/>
      <c r="N472" s="98">
        <f>IF( ISERROR(OFFSET(SECUESTRADOS!D$1,MATCH(B472,SECUESTRADOS!A$2:A1405,0),0)) ,0 ,  OFFSET(SECUESTRADOS!D$1,MATCH(B472,SECUESTRADOS!A$2:A1405,0),0)  )</f>
        <v>0</v>
      </c>
      <c r="O472" s="98"/>
      <c r="P472" s="98" t="str">
        <f t="shared" si="3"/>
        <v>Bono canon</v>
      </c>
      <c r="Q472" s="98" t="str">
        <f t="shared" si="234"/>
        <v>#REF!</v>
      </c>
      <c r="R472" s="130"/>
      <c r="S472" s="130"/>
      <c r="T472" s="130"/>
    </row>
    <row r="473" ht="15.0" customHeight="1">
      <c r="A473" s="18" t="s">
        <v>71</v>
      </c>
      <c r="B473" s="18">
        <v>1819.0</v>
      </c>
      <c r="C473" s="19">
        <v>1819.0</v>
      </c>
      <c r="D473" s="20" t="str">
        <f>IF(   ISERROR(OFFSET(PADRON!B$2,MATCH(C:C,PADRON!A$2:A1405,0)-1,0,1,1) )  ,  ,    OFFSET(PADRON!B$2,MATCH(C:C,PADRON!A$2:A1405,0)-1,0,1,1))</f>
        <v>NEGRI, VANESA GISELE</v>
      </c>
      <c r="E473" s="58">
        <v>45870.0</v>
      </c>
      <c r="F473" s="58"/>
      <c r="G473" s="59" t="s">
        <v>39</v>
      </c>
      <c r="H473" s="60">
        <f>IF( ISERROR( OFFSET(   'Cuadro tarifario'!D$2  , MATCH(CONCATENATE(                 IF(F473&gt;Mes,OFFSET(NroCT!B$17, MATCH($F473,NroCT!$A$18:$A1405,0),0,1,1),Periodovigente)                                                                                                                     ,A473) ,'Cuadro tarifario'!A$2:A1405,0) -1 , 0 , 1 , 1) )   , 0  ,   OFFSET(   'Cuadro tarifario'!D$2  , MATCH(CONCATENATE( IF(F473&gt;Mes,OFFSET(NroCT!B$17, MATCH($F473,NroCT!$A$18:$A1405,0),0,1,1),Periodovigente) ,A473) ,'Cuadro tarifario'!A$2:A1405,0) -1 , 0 , 1 , 1))</f>
        <v>11000</v>
      </c>
      <c r="I473" s="61">
        <f t="shared" si="195"/>
        <v>0</v>
      </c>
      <c r="J473" s="60">
        <f t="shared" si="207"/>
        <v>0</v>
      </c>
      <c r="K473" s="62">
        <f>IF(  AND(N473&gt;0,I473=0)          ,N473 ,                         IF(  IF( F473 ,  DAYS360(DATE(YEAR(F473),MONTH(F473),1),Mes)/30  ,  DAYS360(DATE(YEAR(E473),MONTH(E473),1),Mes)/30  )  &gt;  0 , IF(F473,   DAYS360(DATE(YEAR(F473),MONTH(F473),1),Mes)/30  ,  DAYS360(DATE(YEAR(E473),MONTH(E473),1),Mes)/30) , 0)       )</f>
        <v>0</v>
      </c>
      <c r="L473" s="63">
        <f t="shared" si="196"/>
        <v>0</v>
      </c>
      <c r="M473" s="129"/>
      <c r="N473" s="98">
        <f>IF( ISERROR(OFFSET(SECUESTRADOS!D$1,MATCH(B473,SECUESTRADOS!A$2:A1405,0),0)) ,0 ,  OFFSET(SECUESTRADOS!D$1,MATCH(B473,SECUESTRADOS!A$2:A1405,0),0)  )</f>
        <v>0</v>
      </c>
      <c r="O473" s="98"/>
      <c r="P473" s="98" t="b">
        <f t="shared" si="3"/>
        <v>0</v>
      </c>
      <c r="Q473" s="98" t="str">
        <f t="shared" si="234"/>
        <v>#REF!</v>
      </c>
      <c r="R473" s="130"/>
      <c r="S473" s="130"/>
      <c r="T473" s="130"/>
    </row>
    <row r="474" ht="15.0" customHeight="1">
      <c r="A474" s="18" t="s">
        <v>38</v>
      </c>
      <c r="B474" s="18">
        <v>1819.0</v>
      </c>
      <c r="C474" s="19">
        <v>1819.0</v>
      </c>
      <c r="D474" s="20" t="str">
        <f>IF(   ISERROR(OFFSET(PADRON!B$2,MATCH(C:C,PADRON!A$2:A1405,0)-1,0,1,1) )  ,  ,    OFFSET(PADRON!B$2,MATCH(C:C,PADRON!A$2:A1405,0)-1,0,1,1))</f>
        <v>NEGRI, VANESA GISELE</v>
      </c>
      <c r="E474" s="58">
        <v>45870.0</v>
      </c>
      <c r="F474" s="58"/>
      <c r="G474" s="59" t="s">
        <v>39</v>
      </c>
      <c r="H474" s="60">
        <f>IF( ISERROR( OFFSET(   'Cuadro tarifario'!D$2  , MATCH(CONCATENATE(                 IF(F474&gt;Mes,OFFSET(NroCT!B$17, MATCH($F474,NroCT!$A$18:$A1405,0),0,1,1),Periodovigente)                                                                                                                     ,A474) ,'Cuadro tarifario'!A$2:A1405,0) -1 , 0 , 1 , 1) )   , 0  ,   OFFSET(   'Cuadro tarifario'!D$2  , MATCH(CONCATENATE( IF(F474&gt;Mes,OFFSET(NroCT!B$17, MATCH($F474,NroCT!$A$18:$A1405,0),0,1,1),Periodovigente) ,A474) ,'Cuadro tarifario'!A$2:A1405,0) -1 , 0 , 1 , 1))</f>
        <v>9000</v>
      </c>
      <c r="I474" s="61">
        <f t="shared" si="195"/>
        <v>0</v>
      </c>
      <c r="J474" s="60">
        <f t="shared" si="207"/>
        <v>0</v>
      </c>
      <c r="K474" s="62">
        <f>IF(  AND(N474&gt;0,I474=0)          ,N474 ,                         IF(  IF( F474 ,  DAYS360(DATE(YEAR(F474),MONTH(F474),1),Mes)/30  ,  DAYS360(DATE(YEAR(E474),MONTH(E474),1),Mes)/30  )  &gt;  0 , IF(F474,   DAYS360(DATE(YEAR(F474),MONTH(F474),1),Mes)/30  ,  DAYS360(DATE(YEAR(E474),MONTH(E474),1),Mes)/30) , 0)       )</f>
        <v>0</v>
      </c>
      <c r="L474" s="63">
        <f t="shared" si="196"/>
        <v>0</v>
      </c>
      <c r="M474" s="129"/>
      <c r="N474" s="98">
        <f>IF( ISERROR(OFFSET(SECUESTRADOS!D$1,MATCH(B474,SECUESTRADOS!A$2:A1405,0),0)) ,0 ,  OFFSET(SECUESTRADOS!D$1,MATCH(B474,SECUESTRADOS!A$2:A1405,0),0)  )</f>
        <v>0</v>
      </c>
      <c r="O474" s="98"/>
      <c r="P474" s="98" t="b">
        <f t="shared" si="3"/>
        <v>0</v>
      </c>
      <c r="Q474" s="98" t="str">
        <f t="shared" si="234"/>
        <v>#REF!</v>
      </c>
      <c r="R474" s="130"/>
      <c r="S474" s="130"/>
      <c r="T474" s="130"/>
    </row>
    <row r="475" ht="15.0" customHeight="1">
      <c r="A475" s="18" t="s">
        <v>71</v>
      </c>
      <c r="B475" s="18">
        <v>1821.0</v>
      </c>
      <c r="C475" s="19">
        <v>1821.0</v>
      </c>
      <c r="D475" s="20" t="str">
        <f>IF(   ISERROR(OFFSET(PADRON!B$2,MATCH(C:C,PADRON!A$2:A1405,0)-1,0,1,1) )  ,  ,    OFFSET(PADRON!B$2,MATCH(C:C,PADRON!A$2:A1405,0)-1,0,1,1))</f>
        <v>LECOT, CECILIA</v>
      </c>
      <c r="E475" s="58">
        <v>45839.0</v>
      </c>
      <c r="F475" s="58">
        <v>45870.0</v>
      </c>
      <c r="G475" s="59" t="s">
        <v>39</v>
      </c>
      <c r="H475" s="60">
        <f>IF( ISERROR( OFFSET(   'Cuadro tarifario'!D$2  , MATCH(CONCATENATE(                 IF(F475&gt;Mes,OFFSET(NroCT!B$17, MATCH($F475,NroCT!$A$18:$A1405,0),0,1,1),Periodovigente)                                                                                                                     ,A475) ,'Cuadro tarifario'!A$2:A1405,0) -1 , 0 , 1 , 1) )   , 0  ,   OFFSET(   'Cuadro tarifario'!D$2  , MATCH(CONCATENATE( IF(F475&gt;Mes,OFFSET(NroCT!B$17, MATCH($F475,NroCT!$A$18:$A1405,0),0,1,1),Periodovigente) ,A475) ,'Cuadro tarifario'!A$2:A1405,0) -1 , 0 , 1 , 1))</f>
        <v>11000</v>
      </c>
      <c r="I475" s="61">
        <f t="shared" si="195"/>
        <v>1</v>
      </c>
      <c r="J475" s="60">
        <f t="shared" si="207"/>
        <v>11000</v>
      </c>
      <c r="K475" s="62">
        <f>IF(  AND(N475&gt;0,I475=0)          ,N475 ,                         IF(  IF( F475 ,  DAYS360(DATE(YEAR(F475),MONTH(F475),1),Mes)/30  ,  DAYS360(DATE(YEAR(E475),MONTH(E475),1),Mes)/30  )  &gt;  0 , IF(F475,   DAYS360(DATE(YEAR(F475),MONTH(F475),1),Mes)/30  ,  DAYS360(DATE(YEAR(E475),MONTH(E475),1),Mes)/30) , 0)       )</f>
        <v>0</v>
      </c>
      <c r="L475" s="63">
        <f t="shared" si="196"/>
        <v>0</v>
      </c>
      <c r="M475" s="129"/>
      <c r="N475" s="98">
        <f>IF( ISERROR(OFFSET(SECUESTRADOS!D$1,MATCH(B475,SECUESTRADOS!A$2:A1405,0),0)) ,0 ,  OFFSET(SECUESTRADOS!D$1,MATCH(B475,SECUESTRADOS!A$2:A1405,0),0)  )</f>
        <v>0</v>
      </c>
      <c r="O475" s="98"/>
      <c r="P475" s="98" t="str">
        <f t="shared" si="3"/>
        <v>.socio</v>
      </c>
      <c r="Q475" s="98" t="str">
        <f t="shared" si="234"/>
        <v>#REF!</v>
      </c>
      <c r="R475" s="130"/>
      <c r="S475" s="130"/>
      <c r="T475" s="130"/>
    </row>
    <row r="476" ht="15.0" customHeight="1">
      <c r="A476" s="18" t="s">
        <v>38</v>
      </c>
      <c r="B476" s="18">
        <v>1821.0</v>
      </c>
      <c r="C476" s="19">
        <v>1821.0</v>
      </c>
      <c r="D476" s="20" t="str">
        <f>IF(   ISERROR(OFFSET(PADRON!B$2,MATCH(C:C,PADRON!A$2:A1405,0)-1,0,1,1) )  ,  ,    OFFSET(PADRON!B$2,MATCH(C:C,PADRON!A$2:A1405,0)-1,0,1,1))</f>
        <v>LECOT, CECILIA</v>
      </c>
      <c r="E476" s="58">
        <v>45839.0</v>
      </c>
      <c r="F476" s="58">
        <v>45870.0</v>
      </c>
      <c r="G476" s="59" t="s">
        <v>39</v>
      </c>
      <c r="H476" s="60">
        <f>IF( ISERROR( OFFSET(   'Cuadro tarifario'!D$2  , MATCH(CONCATENATE(                 IF(F476&gt;Mes,OFFSET(NroCT!B$17, MATCH($F476,NroCT!$A$18:$A1405,0),0,1,1),Periodovigente)                                                                                                                     ,A476) ,'Cuadro tarifario'!A$2:A1405,0) -1 , 0 , 1 , 1) )   , 0  ,   OFFSET(   'Cuadro tarifario'!D$2  , MATCH(CONCATENATE( IF(F476&gt;Mes,OFFSET(NroCT!B$17, MATCH($F476,NroCT!$A$18:$A1405,0),0,1,1),Periodovigente) ,A476) ,'Cuadro tarifario'!A$2:A1405,0) -1 , 0 , 1 , 1))</f>
        <v>9000</v>
      </c>
      <c r="I476" s="61">
        <f t="shared" si="195"/>
        <v>1</v>
      </c>
      <c r="J476" s="60">
        <f t="shared" si="207"/>
        <v>9000</v>
      </c>
      <c r="K476" s="62">
        <f>IF(  AND(N476&gt;0,I476=0)          ,N476 ,                         IF(  IF( F476 ,  DAYS360(DATE(YEAR(F476),MONTH(F476),1),Mes)/30  ,  DAYS360(DATE(YEAR(E476),MONTH(E476),1),Mes)/30  )  &gt;  0 , IF(F476,   DAYS360(DATE(YEAR(F476),MONTH(F476),1),Mes)/30  ,  DAYS360(DATE(YEAR(E476),MONTH(E476),1),Mes)/30) , 0)       )</f>
        <v>0</v>
      </c>
      <c r="L476" s="63">
        <f t="shared" si="196"/>
        <v>0</v>
      </c>
      <c r="M476" s="129"/>
      <c r="N476" s="98">
        <f>IF( ISERROR(OFFSET(SECUESTRADOS!D$1,MATCH(B476,SECUESTRADOS!A$2:A1405,0),0)) ,0 ,  OFFSET(SECUESTRADOS!D$1,MATCH(B476,SECUESTRADOS!A$2:A1405,0),0)  )</f>
        <v>0</v>
      </c>
      <c r="O476" s="98"/>
      <c r="P476" s="98" t="str">
        <f t="shared" si="3"/>
        <v>Bono canon</v>
      </c>
      <c r="Q476" s="98" t="str">
        <f t="shared" si="234"/>
        <v>#REF!</v>
      </c>
      <c r="R476" s="130"/>
      <c r="S476" s="130"/>
      <c r="T476" s="130"/>
    </row>
    <row r="477" ht="15.0" customHeight="1">
      <c r="A477" s="18" t="s">
        <v>71</v>
      </c>
      <c r="B477" s="18">
        <v>1828.0</v>
      </c>
      <c r="C477" s="19">
        <v>1828.0</v>
      </c>
      <c r="D477" s="20" t="str">
        <f>IF(   ISERROR(OFFSET(PADRON!B$2,MATCH(C:C,PADRON!A$2:A1405,0)-1,0,1,1) )  ,  ,    OFFSET(PADRON!B$2,MATCH(C:C,PADRON!A$2:A1405,0)-1,0,1,1))</f>
        <v>MULLEN, WALDO</v>
      </c>
      <c r="E477" s="58">
        <v>45870.0</v>
      </c>
      <c r="F477" s="58">
        <v>45962.0</v>
      </c>
      <c r="G477" s="59" t="s">
        <v>39</v>
      </c>
      <c r="H477" s="60">
        <f>IF( ISERROR( OFFSET(   'Cuadro tarifario'!D$2  , MATCH(CONCATENATE(                 IF(F477&gt;Mes,OFFSET(NroCT!B$17, MATCH($F477,NroCT!$A$18:$A1405,0),0,1,1),Periodovigente)                                                                                                                     ,A477) ,'Cuadro tarifario'!A$2:A1405,0) -1 , 0 , 1 , 1) )   , 0  ,   OFFSET(   'Cuadro tarifario'!D$2  , MATCH(CONCATENATE( IF(F477&gt;Mes,OFFSET(NroCT!B$17, MATCH($F477,NroCT!$A$18:$A1405,0),0,1,1),Periodovigente) ,A477) ,'Cuadro tarifario'!A$2:A1405,0) -1 , 0 , 1 , 1))</f>
        <v>11000</v>
      </c>
      <c r="I477" s="61">
        <f t="shared" si="195"/>
        <v>3</v>
      </c>
      <c r="J477" s="60">
        <f t="shared" si="207"/>
        <v>33000</v>
      </c>
      <c r="K477" s="62">
        <f>IF(  AND(N477&gt;0,I477=0)          ,N477 ,                         IF(  IF( F477 ,  DAYS360(DATE(YEAR(F477),MONTH(F477),1),Mes)/30  ,  DAYS360(DATE(YEAR(E477),MONTH(E477),1),Mes)/30  )  &gt;  0 , IF(F477,   DAYS360(DATE(YEAR(F477),MONTH(F477),1),Mes)/30  ,  DAYS360(DATE(YEAR(E477),MONTH(E477),1),Mes)/30) , 0)       )</f>
        <v>0</v>
      </c>
      <c r="L477" s="63">
        <f t="shared" si="196"/>
        <v>0</v>
      </c>
      <c r="M477" s="129"/>
      <c r="N477" s="98">
        <f>IF( ISERROR(OFFSET(SECUESTRADOS!D$1,MATCH(B477,SECUESTRADOS!A$2:A1405,0),0)) ,0 ,  OFFSET(SECUESTRADOS!D$1,MATCH(B477,SECUESTRADOS!A$2:A1405,0),0)  )</f>
        <v>0</v>
      </c>
      <c r="O477" s="98"/>
      <c r="P477" s="98" t="str">
        <f t="shared" si="3"/>
        <v>.socio</v>
      </c>
      <c r="Q477" s="98" t="str">
        <f t="shared" si="234"/>
        <v>#REF!</v>
      </c>
      <c r="R477" s="130"/>
      <c r="S477" s="130"/>
      <c r="T477" s="130"/>
    </row>
    <row r="478" ht="15.0" customHeight="1">
      <c r="A478" s="18" t="s">
        <v>38</v>
      </c>
      <c r="B478" s="18">
        <v>1828.0</v>
      </c>
      <c r="C478" s="19">
        <v>1828.0</v>
      </c>
      <c r="D478" s="20" t="str">
        <f>IF(   ISERROR(OFFSET(PADRON!B$2,MATCH(C:C,PADRON!A$2:A1405,0)-1,0,1,1) )  ,  ,    OFFSET(PADRON!B$2,MATCH(C:C,PADRON!A$2:A1405,0)-1,0,1,1))</f>
        <v>MULLEN, WALDO</v>
      </c>
      <c r="E478" s="58">
        <v>45870.0</v>
      </c>
      <c r="F478" s="58">
        <v>45962.0</v>
      </c>
      <c r="G478" s="59" t="s">
        <v>39</v>
      </c>
      <c r="H478" s="60">
        <f>IF( ISERROR( OFFSET(   'Cuadro tarifario'!D$2  , MATCH(CONCATENATE(                 IF(F478&gt;Mes,OFFSET(NroCT!B$17, MATCH($F478,NroCT!$A$18:$A1405,0),0,1,1),Periodovigente)                                                                                                                     ,A478) ,'Cuadro tarifario'!A$2:A1405,0) -1 , 0 , 1 , 1) )   , 0  ,   OFFSET(   'Cuadro tarifario'!D$2  , MATCH(CONCATENATE( IF(F478&gt;Mes,OFFSET(NroCT!B$17, MATCH($F478,NroCT!$A$18:$A1405,0),0,1,1),Periodovigente) ,A478) ,'Cuadro tarifario'!A$2:A1405,0) -1 , 0 , 1 , 1))</f>
        <v>9000</v>
      </c>
      <c r="I478" s="61">
        <f t="shared" si="195"/>
        <v>3</v>
      </c>
      <c r="J478" s="60">
        <f t="shared" si="207"/>
        <v>27000</v>
      </c>
      <c r="K478" s="62">
        <f>IF(  AND(N478&gt;0,I478=0)          ,N478 ,                         IF(  IF( F478 ,  DAYS360(DATE(YEAR(F478),MONTH(F478),1),Mes)/30  ,  DAYS360(DATE(YEAR(E478),MONTH(E478),1),Mes)/30  )  &gt;  0 , IF(F478,   DAYS360(DATE(YEAR(F478),MONTH(F478),1),Mes)/30  ,  DAYS360(DATE(YEAR(E478),MONTH(E478),1),Mes)/30) , 0)       )</f>
        <v>0</v>
      </c>
      <c r="L478" s="63">
        <f t="shared" si="196"/>
        <v>0</v>
      </c>
      <c r="M478" s="129"/>
      <c r="N478" s="98">
        <f>IF( ISERROR(OFFSET(SECUESTRADOS!D$1,MATCH(B478,SECUESTRADOS!A$2:A1405,0),0)) ,0 ,  OFFSET(SECUESTRADOS!D$1,MATCH(B478,SECUESTRADOS!A$2:A1405,0),0)  )</f>
        <v>0</v>
      </c>
      <c r="O478" s="98"/>
      <c r="P478" s="98" t="str">
        <f t="shared" si="3"/>
        <v>Bono canon</v>
      </c>
      <c r="Q478" s="98" t="str">
        <f t="shared" si="234"/>
        <v>#REF!</v>
      </c>
      <c r="R478" s="130"/>
      <c r="S478" s="130"/>
      <c r="T478" s="130"/>
    </row>
    <row r="479" ht="15.0" customHeight="1">
      <c r="A479" s="18" t="s">
        <v>71</v>
      </c>
      <c r="B479" s="18">
        <v>1829.0</v>
      </c>
      <c r="C479" s="19">
        <v>1829.0</v>
      </c>
      <c r="D479" s="20" t="str">
        <f>IF(   ISERROR(OFFSET(PADRON!B$2,MATCH(C:C,PADRON!A$2:A1405,0)-1,0,1,1) )  ,  ,    OFFSET(PADRON!B$2,MATCH(C:C,PADRON!A$2:A1405,0)-1,0,1,1))</f>
        <v>TINTO, FLAVIO</v>
      </c>
      <c r="E479" s="58">
        <v>45839.0</v>
      </c>
      <c r="F479" s="58">
        <v>45870.0</v>
      </c>
      <c r="G479" s="59" t="s">
        <v>39</v>
      </c>
      <c r="H479" s="60">
        <f>IF( ISERROR( OFFSET(   'Cuadro tarifario'!D$2  , MATCH(CONCATENATE(                 IF(F479&gt;Mes,OFFSET(NroCT!B$17, MATCH($F479,NroCT!$A$18:$A1405,0),0,1,1),Periodovigente)                                                                                                                     ,A479) ,'Cuadro tarifario'!A$2:A1405,0) -1 , 0 , 1 , 1) )   , 0  ,   OFFSET(   'Cuadro tarifario'!D$2  , MATCH(CONCATENATE( IF(F479&gt;Mes,OFFSET(NroCT!B$17, MATCH($F479,NroCT!$A$18:$A1405,0),0,1,1),Periodovigente) ,A479) ,'Cuadro tarifario'!A$2:A1405,0) -1 , 0 , 1 , 1))</f>
        <v>11000</v>
      </c>
      <c r="I479" s="61">
        <f t="shared" si="195"/>
        <v>1</v>
      </c>
      <c r="J479" s="60">
        <f t="shared" si="207"/>
        <v>11000</v>
      </c>
      <c r="K479" s="62">
        <f>IF(  AND(N479&gt;0,I479=0)          ,N479 ,                         IF(  IF( F479 ,  DAYS360(DATE(YEAR(F479),MONTH(F479),1),Mes)/30  ,  DAYS360(DATE(YEAR(E479),MONTH(E479),1),Mes)/30  )  &gt;  0 , IF(F479,   DAYS360(DATE(YEAR(F479),MONTH(F479),1),Mes)/30  ,  DAYS360(DATE(YEAR(E479),MONTH(E479),1),Mes)/30) , 0)       )</f>
        <v>0</v>
      </c>
      <c r="L479" s="63">
        <f t="shared" si="196"/>
        <v>0</v>
      </c>
      <c r="M479" s="129"/>
      <c r="N479" s="98">
        <f>IF( ISERROR(OFFSET(SECUESTRADOS!D$1,MATCH(B479,SECUESTRADOS!A$2:A1405,0),0)) ,0 ,  OFFSET(SECUESTRADOS!D$1,MATCH(B479,SECUESTRADOS!A$2:A1405,0),0)  )</f>
        <v>0</v>
      </c>
      <c r="O479" s="98"/>
      <c r="P479" s="98" t="str">
        <f t="shared" si="3"/>
        <v>.socio</v>
      </c>
      <c r="Q479" s="98" t="str">
        <f t="shared" si="234"/>
        <v>#REF!</v>
      </c>
      <c r="R479" s="130"/>
      <c r="S479" s="130"/>
      <c r="T479" s="130"/>
    </row>
    <row r="480" ht="15.0" customHeight="1">
      <c r="A480" s="18" t="s">
        <v>38</v>
      </c>
      <c r="B480" s="18">
        <v>1829.0</v>
      </c>
      <c r="C480" s="19">
        <v>1829.0</v>
      </c>
      <c r="D480" s="20" t="str">
        <f>IF(   ISERROR(OFFSET(PADRON!B$2,MATCH(C:C,PADRON!A$2:A1405,0)-1,0,1,1) )  ,  ,    OFFSET(PADRON!B$2,MATCH(C:C,PADRON!A$2:A1405,0)-1,0,1,1))</f>
        <v>TINTO, FLAVIO</v>
      </c>
      <c r="E480" s="58">
        <v>45839.0</v>
      </c>
      <c r="F480" s="58">
        <v>45870.0</v>
      </c>
      <c r="G480" s="59" t="s">
        <v>39</v>
      </c>
      <c r="H480" s="60">
        <f>IF( ISERROR( OFFSET(   'Cuadro tarifario'!D$2  , MATCH(CONCATENATE(                 IF(F480&gt;Mes,OFFSET(NroCT!B$17, MATCH($F480,NroCT!$A$18:$A1405,0),0,1,1),Periodovigente)                                                                                                                     ,A480) ,'Cuadro tarifario'!A$2:A1405,0) -1 , 0 , 1 , 1) )   , 0  ,   OFFSET(   'Cuadro tarifario'!D$2  , MATCH(CONCATENATE( IF(F480&gt;Mes,OFFSET(NroCT!B$17, MATCH($F480,NroCT!$A$18:$A1405,0),0,1,1),Periodovigente) ,A480) ,'Cuadro tarifario'!A$2:A1405,0) -1 , 0 , 1 , 1))</f>
        <v>9000</v>
      </c>
      <c r="I480" s="61">
        <f t="shared" si="195"/>
        <v>1</v>
      </c>
      <c r="J480" s="60">
        <f t="shared" si="207"/>
        <v>9000</v>
      </c>
      <c r="K480" s="62">
        <f>IF(  AND(N480&gt;0,I480=0)          ,N480 ,                         IF(  IF( F480 ,  DAYS360(DATE(YEAR(F480),MONTH(F480),1),Mes)/30  ,  DAYS360(DATE(YEAR(E480),MONTH(E480),1),Mes)/30  )  &gt;  0 , IF(F480,   DAYS360(DATE(YEAR(F480),MONTH(F480),1),Mes)/30  ,  DAYS360(DATE(YEAR(E480),MONTH(E480),1),Mes)/30) , 0)       )</f>
        <v>0</v>
      </c>
      <c r="L480" s="63">
        <f t="shared" si="196"/>
        <v>0</v>
      </c>
      <c r="M480" s="129"/>
      <c r="N480" s="98">
        <f>IF( ISERROR(OFFSET(SECUESTRADOS!D$1,MATCH(B480,SECUESTRADOS!A$2:A1405,0),0)) ,0 ,  OFFSET(SECUESTRADOS!D$1,MATCH(B480,SECUESTRADOS!A$2:A1405,0),0)  )</f>
        <v>0</v>
      </c>
      <c r="O480" s="98"/>
      <c r="P480" s="98" t="str">
        <f t="shared" si="3"/>
        <v>Bono canon</v>
      </c>
      <c r="Q480" s="98" t="str">
        <f t="shared" si="234"/>
        <v>#REF!</v>
      </c>
      <c r="R480" s="130"/>
      <c r="S480" s="130"/>
      <c r="T480" s="130"/>
    </row>
    <row r="481" ht="15.0" customHeight="1">
      <c r="A481" s="18" t="s">
        <v>40</v>
      </c>
      <c r="B481" s="18" t="s">
        <v>253</v>
      </c>
      <c r="C481" s="19">
        <v>1829.0</v>
      </c>
      <c r="D481" s="20" t="str">
        <f>IF(   ISERROR(OFFSET(PADRON!B$2,MATCH(C:C,PADRON!A$2:A1405,0)-1,0,1,1) )  ,  ,    OFFSET(PADRON!B$2,MATCH(C:C,PADRON!A$2:A1405,0)-1,0,1,1))</f>
        <v>TINTO, FLAVIO</v>
      </c>
      <c r="E481" s="58">
        <v>45839.0</v>
      </c>
      <c r="F481" s="58">
        <v>45870.0</v>
      </c>
      <c r="G481" s="59" t="s">
        <v>39</v>
      </c>
      <c r="H481" s="60">
        <f>IF( ISERROR( OFFSET(   'Cuadro tarifario'!D$2  , MATCH(CONCATENATE(                 IF(F481&gt;Mes,OFFSET(NroCT!B$17, MATCH($F481,NroCT!$A$18:$A1405,0),0,1,1),Periodovigente)                                                                                                                     ,A481) ,'Cuadro tarifario'!A$2:A1405,0) -1 , 0 , 1 , 1) )   , 0  ,   OFFSET(   'Cuadro tarifario'!D$2  , MATCH(CONCATENATE( IF(F481&gt;Mes,OFFSET(NroCT!B$17, MATCH($F481,NroCT!$A$18:$A1405,0),0,1,1),Periodovigente) ,A481) ,'Cuadro tarifario'!A$2:A1405,0) -1 , 0 , 1 , 1))</f>
        <v>12000</v>
      </c>
      <c r="I481" s="61">
        <f t="shared" si="195"/>
        <v>1</v>
      </c>
      <c r="J481" s="60">
        <f t="shared" si="207"/>
        <v>12000</v>
      </c>
      <c r="K481" s="62">
        <f>IF(  AND(N481&gt;0,I481=0)          ,N481 ,                         IF(  IF( F481 ,  DAYS360(DATE(YEAR(F481),MONTH(F481),1),Mes)/30  ,  DAYS360(DATE(YEAR(E481),MONTH(E481),1),Mes)/30  )  &gt;  0 , IF(F481,   DAYS360(DATE(YEAR(F481),MONTH(F481),1),Mes)/30  ,  DAYS360(DATE(YEAR(E481),MONTH(E481),1),Mes)/30) , 0)       )</f>
        <v>0</v>
      </c>
      <c r="L481" s="63">
        <f t="shared" si="196"/>
        <v>0</v>
      </c>
      <c r="M481" s="129"/>
      <c r="N481" s="98">
        <f>IF( ISERROR(OFFSET(SECUESTRADOS!D$1,MATCH(B481,SECUESTRADOS!A$2:A1405,0),0)) ,0 ,  OFFSET(SECUESTRADOS!D$1,MATCH(B481,SECUESTRADOS!A$2:A1405,0),0)  )</f>
        <v>0</v>
      </c>
      <c r="O481" s="98"/>
      <c r="P481" s="98" t="str">
        <f t="shared" si="3"/>
        <v>cuna windsurf</v>
      </c>
      <c r="Q481" s="98" t="str">
        <f t="shared" si="234"/>
        <v>#REF!</v>
      </c>
      <c r="R481" s="130"/>
      <c r="S481" s="130"/>
      <c r="T481" s="130"/>
    </row>
    <row r="482" ht="15.0" customHeight="1">
      <c r="A482" s="18" t="s">
        <v>71</v>
      </c>
      <c r="B482" s="18">
        <v>1830.0</v>
      </c>
      <c r="C482" s="19">
        <v>1830.0</v>
      </c>
      <c r="D482" s="20" t="str">
        <f>IF(   ISERROR(OFFSET(PADRON!B$2,MATCH(C:C,PADRON!A$2:A1405,0)-1,0,1,1) )  ,  ,    OFFSET(PADRON!B$2,MATCH(C:C,PADRON!A$2:A1405,0)-1,0,1,1))</f>
        <v>MAREGA, GUSTAVO</v>
      </c>
      <c r="E482" s="58">
        <v>45839.0</v>
      </c>
      <c r="F482" s="58">
        <v>45870.0</v>
      </c>
      <c r="G482" s="59" t="s">
        <v>39</v>
      </c>
      <c r="H482" s="60">
        <f>IF( ISERROR( OFFSET(   'Cuadro tarifario'!D$2  , MATCH(CONCATENATE(                 IF(F482&gt;Mes,OFFSET(NroCT!B$17, MATCH($F482,NroCT!$A$18:$A1405,0),0,1,1),Periodovigente)                                                                                                                     ,A482) ,'Cuadro tarifario'!A$2:A1405,0) -1 , 0 , 1 , 1) )   , 0  ,   OFFSET(   'Cuadro tarifario'!D$2  , MATCH(CONCATENATE( IF(F482&gt;Mes,OFFSET(NroCT!B$17, MATCH($F482,NroCT!$A$18:$A1405,0),0,1,1),Periodovigente) ,A482) ,'Cuadro tarifario'!A$2:A1405,0) -1 , 0 , 1 , 1))</f>
        <v>11000</v>
      </c>
      <c r="I482" s="61">
        <f t="shared" si="195"/>
        <v>1</v>
      </c>
      <c r="J482" s="60">
        <f t="shared" si="207"/>
        <v>11000</v>
      </c>
      <c r="K482" s="62">
        <f>IF(  AND(N482&gt;0,I482=0)          ,N482 ,                         IF(  IF( F482 ,  DAYS360(DATE(YEAR(F482),MONTH(F482),1),Mes)/30  ,  DAYS360(DATE(YEAR(E482),MONTH(E482),1),Mes)/30  )  &gt;  0 , IF(F482,   DAYS360(DATE(YEAR(F482),MONTH(F482),1),Mes)/30  ,  DAYS360(DATE(YEAR(E482),MONTH(E482),1),Mes)/30) , 0)       )</f>
        <v>0</v>
      </c>
      <c r="L482" s="63">
        <f t="shared" si="196"/>
        <v>0</v>
      </c>
      <c r="M482" s="129"/>
      <c r="N482" s="98">
        <f>IF( ISERROR(OFFSET(SECUESTRADOS!D$1,MATCH(B482,SECUESTRADOS!A$2:A1405,0),0)) ,0 ,  OFFSET(SECUESTRADOS!D$1,MATCH(B482,SECUESTRADOS!A$2:A1405,0),0)  )</f>
        <v>0</v>
      </c>
      <c r="O482" s="98"/>
      <c r="P482" s="98" t="str">
        <f t="shared" si="3"/>
        <v>.socio</v>
      </c>
      <c r="Q482" s="98" t="str">
        <f t="shared" si="234"/>
        <v>#REF!</v>
      </c>
      <c r="R482" s="130"/>
      <c r="S482" s="130"/>
      <c r="T482" s="130"/>
    </row>
    <row r="483" ht="15.0" customHeight="1">
      <c r="A483" s="18" t="s">
        <v>38</v>
      </c>
      <c r="B483" s="18">
        <v>1830.0</v>
      </c>
      <c r="C483" s="19">
        <v>1830.0</v>
      </c>
      <c r="D483" s="20" t="str">
        <f>IF(   ISERROR(OFFSET(PADRON!B$2,MATCH(C:C,PADRON!A$2:A1405,0)-1,0,1,1) )  ,  ,    OFFSET(PADRON!B$2,MATCH(C:C,PADRON!A$2:A1405,0)-1,0,1,1))</f>
        <v>MAREGA, GUSTAVO</v>
      </c>
      <c r="E483" s="58">
        <v>45839.0</v>
      </c>
      <c r="F483" s="58">
        <v>45870.0</v>
      </c>
      <c r="G483" s="59" t="s">
        <v>39</v>
      </c>
      <c r="H483" s="60">
        <f>IF( ISERROR( OFFSET(   'Cuadro tarifario'!D$2  , MATCH(CONCATENATE(                 IF(F483&gt;Mes,OFFSET(NroCT!B$17, MATCH($F483,NroCT!$A$18:$A1405,0),0,1,1),Periodovigente)                                                                                                                     ,A483) ,'Cuadro tarifario'!A$2:A1405,0) -1 , 0 , 1 , 1) )   , 0  ,   OFFSET(   'Cuadro tarifario'!D$2  , MATCH(CONCATENATE( IF(F483&gt;Mes,OFFSET(NroCT!B$17, MATCH($F483,NroCT!$A$18:$A1405,0),0,1,1),Periodovigente) ,A483) ,'Cuadro tarifario'!A$2:A1405,0) -1 , 0 , 1 , 1))</f>
        <v>9000</v>
      </c>
      <c r="I483" s="61">
        <f t="shared" si="195"/>
        <v>1</v>
      </c>
      <c r="J483" s="60">
        <f t="shared" si="207"/>
        <v>9000</v>
      </c>
      <c r="K483" s="62">
        <f>IF(  AND(N483&gt;0,I483=0)          ,N483 ,                         IF(  IF( F483 ,  DAYS360(DATE(YEAR(F483),MONTH(F483),1),Mes)/30  ,  DAYS360(DATE(YEAR(E483),MONTH(E483),1),Mes)/30  )  &gt;  0 , IF(F483,   DAYS360(DATE(YEAR(F483),MONTH(F483),1),Mes)/30  ,  DAYS360(DATE(YEAR(E483),MONTH(E483),1),Mes)/30) , 0)       )</f>
        <v>0</v>
      </c>
      <c r="L483" s="63">
        <f t="shared" si="196"/>
        <v>0</v>
      </c>
      <c r="M483" s="129"/>
      <c r="N483" s="98">
        <f>IF( ISERROR(OFFSET(SECUESTRADOS!D$1,MATCH(B483,SECUESTRADOS!A$2:A1405,0),0)) ,0 ,  OFFSET(SECUESTRADOS!D$1,MATCH(B483,SECUESTRADOS!A$2:A1405,0),0)  )</f>
        <v>0</v>
      </c>
      <c r="O483" s="98"/>
      <c r="P483" s="98" t="str">
        <f t="shared" si="3"/>
        <v>Bono canon</v>
      </c>
      <c r="Q483" s="98" t="str">
        <f t="shared" si="234"/>
        <v>#REF!</v>
      </c>
      <c r="R483" s="130"/>
      <c r="S483" s="130"/>
      <c r="T483" s="130"/>
    </row>
    <row r="484" ht="15.0" customHeight="1">
      <c r="A484" s="18" t="s">
        <v>71</v>
      </c>
      <c r="B484" s="18">
        <v>1831.0</v>
      </c>
      <c r="C484" s="19">
        <v>1831.0</v>
      </c>
      <c r="D484" s="20" t="str">
        <f>IF(   ISERROR(OFFSET(PADRON!B$2,MATCH(C:C,PADRON!A$2:A1405,0)-1,0,1,1) )  ,  ,    OFFSET(PADRON!B$2,MATCH(C:C,PADRON!A$2:A1405,0)-1,0,1,1))</f>
        <v>RAMON, MARIA SUSANA</v>
      </c>
      <c r="E484" s="58">
        <v>45839.0</v>
      </c>
      <c r="F484" s="58">
        <v>45870.0</v>
      </c>
      <c r="G484" s="59" t="s">
        <v>39</v>
      </c>
      <c r="H484" s="60">
        <f>IF( ISERROR( OFFSET(   'Cuadro tarifario'!D$2  , MATCH(CONCATENATE(                 IF(F484&gt;Mes,OFFSET(NroCT!B$17, MATCH($F484,NroCT!$A$18:$A1405,0),0,1,1),Periodovigente)                                                                                                                     ,A484) ,'Cuadro tarifario'!A$2:A1405,0) -1 , 0 , 1 , 1) )   , 0  ,   OFFSET(   'Cuadro tarifario'!D$2  , MATCH(CONCATENATE( IF(F484&gt;Mes,OFFSET(NroCT!B$17, MATCH($F484,NroCT!$A$18:$A1405,0),0,1,1),Periodovigente) ,A484) ,'Cuadro tarifario'!A$2:A1405,0) -1 , 0 , 1 , 1))</f>
        <v>11000</v>
      </c>
      <c r="I484" s="61">
        <f t="shared" si="195"/>
        <v>1</v>
      </c>
      <c r="J484" s="60">
        <f t="shared" si="207"/>
        <v>11000</v>
      </c>
      <c r="K484" s="62">
        <f>IF(  AND(N484&gt;0,I484=0)          ,N484 ,                         IF(  IF( F484 ,  DAYS360(DATE(YEAR(F484),MONTH(F484),1),Mes)/30  ,  DAYS360(DATE(YEAR(E484),MONTH(E484),1),Mes)/30  )  &gt;  0 , IF(F484,   DAYS360(DATE(YEAR(F484),MONTH(F484),1),Mes)/30  ,  DAYS360(DATE(YEAR(E484),MONTH(E484),1),Mes)/30) , 0)       )</f>
        <v>0</v>
      </c>
      <c r="L484" s="63">
        <f t="shared" si="196"/>
        <v>0</v>
      </c>
      <c r="M484" s="129"/>
      <c r="N484" s="98">
        <f>IF( ISERROR(OFFSET(SECUESTRADOS!D$1,MATCH(B484,SECUESTRADOS!A$2:A1405,0),0)) ,0 ,  OFFSET(SECUESTRADOS!D$1,MATCH(B484,SECUESTRADOS!A$2:A1405,0),0)  )</f>
        <v>0</v>
      </c>
      <c r="O484" s="98"/>
      <c r="P484" s="98" t="str">
        <f t="shared" si="3"/>
        <v>.socio</v>
      </c>
      <c r="Q484" s="98" t="str">
        <f t="shared" si="234"/>
        <v>#REF!</v>
      </c>
      <c r="R484" s="130"/>
      <c r="S484" s="130"/>
      <c r="T484" s="130"/>
    </row>
    <row r="485" ht="15.0" customHeight="1">
      <c r="A485" s="18" t="s">
        <v>38</v>
      </c>
      <c r="B485" s="18">
        <v>1831.0</v>
      </c>
      <c r="C485" s="19">
        <v>1831.0</v>
      </c>
      <c r="D485" s="20" t="str">
        <f>IF(   ISERROR(OFFSET(PADRON!B$2,MATCH(C:C,PADRON!A$2:A1405,0)-1,0,1,1) )  ,  ,    OFFSET(PADRON!B$2,MATCH(C:C,PADRON!A$2:A1405,0)-1,0,1,1))</f>
        <v>RAMON, MARIA SUSANA</v>
      </c>
      <c r="E485" s="58">
        <v>45839.0</v>
      </c>
      <c r="F485" s="58">
        <v>45870.0</v>
      </c>
      <c r="G485" s="59" t="s">
        <v>39</v>
      </c>
      <c r="H485" s="60">
        <f>IF( ISERROR( OFFSET(   'Cuadro tarifario'!D$2  , MATCH(CONCATENATE(                 IF(F485&gt;Mes,OFFSET(NroCT!B$17, MATCH($F485,NroCT!$A$18:$A1405,0),0,1,1),Periodovigente)                                                                                                                     ,A485) ,'Cuadro tarifario'!A$2:A1405,0) -1 , 0 , 1 , 1) )   , 0  ,   OFFSET(   'Cuadro tarifario'!D$2  , MATCH(CONCATENATE( IF(F485&gt;Mes,OFFSET(NroCT!B$17, MATCH($F485,NroCT!$A$18:$A1405,0),0,1,1),Periodovigente) ,A485) ,'Cuadro tarifario'!A$2:A1405,0) -1 , 0 , 1 , 1))</f>
        <v>9000</v>
      </c>
      <c r="I485" s="61">
        <f t="shared" si="195"/>
        <v>1</v>
      </c>
      <c r="J485" s="60">
        <f t="shared" si="207"/>
        <v>9000</v>
      </c>
      <c r="K485" s="62">
        <f>IF(  AND(N485&gt;0,I485=0)          ,N485 ,                         IF(  IF( F485 ,  DAYS360(DATE(YEAR(F485),MONTH(F485),1),Mes)/30  ,  DAYS360(DATE(YEAR(E485),MONTH(E485),1),Mes)/30  )  &gt;  0 , IF(F485,   DAYS360(DATE(YEAR(F485),MONTH(F485),1),Mes)/30  ,  DAYS360(DATE(YEAR(E485),MONTH(E485),1),Mes)/30) , 0)       )</f>
        <v>0</v>
      </c>
      <c r="L485" s="63">
        <f t="shared" si="196"/>
        <v>0</v>
      </c>
      <c r="M485" s="129"/>
      <c r="N485" s="98">
        <f>IF( ISERROR(OFFSET(SECUESTRADOS!D$1,MATCH(B485,SECUESTRADOS!A$2:A1405,0),0)) ,0 ,  OFFSET(SECUESTRADOS!D$1,MATCH(B485,SECUESTRADOS!A$2:A1405,0),0)  )</f>
        <v>0</v>
      </c>
      <c r="O485" s="98"/>
      <c r="P485" s="98" t="str">
        <f t="shared" si="3"/>
        <v>Bono canon</v>
      </c>
      <c r="Q485" s="98" t="str">
        <f t="shared" si="234"/>
        <v>#REF!</v>
      </c>
      <c r="R485" s="130"/>
      <c r="S485" s="130"/>
      <c r="T485" s="130"/>
    </row>
    <row r="486" ht="15.0" customHeight="1">
      <c r="A486" s="18" t="s">
        <v>71</v>
      </c>
      <c r="B486" s="18">
        <v>1834.0</v>
      </c>
      <c r="C486" s="19">
        <v>1834.0</v>
      </c>
      <c r="D486" s="20" t="str">
        <f>IF(   ISERROR(OFFSET(PADRON!B$2,MATCH(C:C,PADRON!A$2:A1405,0)-1,0,1,1) )  ,  ,    OFFSET(PADRON!B$2,MATCH(C:C,PADRON!A$2:A1405,0)-1,0,1,1))</f>
        <v>RAMOS DELGADO, MARISA</v>
      </c>
      <c r="E486" s="58">
        <v>45839.0</v>
      </c>
      <c r="F486" s="58">
        <v>45870.0</v>
      </c>
      <c r="G486" s="59" t="s">
        <v>39</v>
      </c>
      <c r="H486" s="60">
        <f>IF( ISERROR( OFFSET(   'Cuadro tarifario'!D$2  , MATCH(CONCATENATE(                 IF(F486&gt;Mes,OFFSET(NroCT!B$17, MATCH($F486,NroCT!$A$18:$A1405,0),0,1,1),Periodovigente)                                                                                                                     ,A486) ,'Cuadro tarifario'!A$2:A1405,0) -1 , 0 , 1 , 1) )   , 0  ,   OFFSET(   'Cuadro tarifario'!D$2  , MATCH(CONCATENATE( IF(F486&gt;Mes,OFFSET(NroCT!B$17, MATCH($F486,NroCT!$A$18:$A1405,0),0,1,1),Periodovigente) ,A486) ,'Cuadro tarifario'!A$2:A1405,0) -1 , 0 , 1 , 1))</f>
        <v>11000</v>
      </c>
      <c r="I486" s="61">
        <f t="shared" si="195"/>
        <v>1</v>
      </c>
      <c r="J486" s="60">
        <f t="shared" si="207"/>
        <v>11000</v>
      </c>
      <c r="K486" s="62">
        <f>IF(  AND(N486&gt;0,I486=0)          ,N486 ,                         IF(  IF( F486 ,  DAYS360(DATE(YEAR(F486),MONTH(F486),1),Mes)/30  ,  DAYS360(DATE(YEAR(E486),MONTH(E486),1),Mes)/30  )  &gt;  0 , IF(F486,   DAYS360(DATE(YEAR(F486),MONTH(F486),1),Mes)/30  ,  DAYS360(DATE(YEAR(E486),MONTH(E486),1),Mes)/30) , 0)       )</f>
        <v>0</v>
      </c>
      <c r="L486" s="63">
        <f t="shared" si="196"/>
        <v>0</v>
      </c>
      <c r="M486" s="131"/>
      <c r="N486" s="98">
        <f>IF( ISERROR(OFFSET(SECUESTRADOS!D$1,MATCH(B486,SECUESTRADOS!A$2:A1405,0),0)) ,0 ,  OFFSET(SECUESTRADOS!D$1,MATCH(B486,SECUESTRADOS!A$2:A1405,0),0)  )</f>
        <v>0</v>
      </c>
      <c r="O486" s="98"/>
      <c r="P486" s="98" t="str">
        <f t="shared" si="3"/>
        <v>.socio</v>
      </c>
      <c r="Q486" s="98" t="str">
        <f t="shared" si="234"/>
        <v>#REF!</v>
      </c>
      <c r="R486" s="130"/>
      <c r="S486" s="130"/>
      <c r="T486" s="130"/>
    </row>
    <row r="487" ht="15.0" customHeight="1">
      <c r="A487" s="18" t="s">
        <v>38</v>
      </c>
      <c r="B487" s="18">
        <v>1834.0</v>
      </c>
      <c r="C487" s="19">
        <v>1834.0</v>
      </c>
      <c r="D487" s="20" t="str">
        <f>IF(   ISERROR(OFFSET(PADRON!B$2,MATCH(C:C,PADRON!A$2:A1405,0)-1,0,1,1) )  ,  ,    OFFSET(PADRON!B$2,MATCH(C:C,PADRON!A$2:A1405,0)-1,0,1,1))</f>
        <v>RAMOS DELGADO, MARISA</v>
      </c>
      <c r="E487" s="58">
        <v>45839.0</v>
      </c>
      <c r="F487" s="58">
        <v>45870.0</v>
      </c>
      <c r="G487" s="128" t="s">
        <v>39</v>
      </c>
      <c r="H487" s="60">
        <f>IF( ISERROR( OFFSET(   'Cuadro tarifario'!D$2  , MATCH(CONCATENATE(                 IF(F487&gt;Mes,OFFSET(NroCT!B$17, MATCH($F487,NroCT!$A$18:$A1405,0),0,1,1),Periodovigente)                                                                                                                     ,A487) ,'Cuadro tarifario'!A$2:A1405,0) -1 , 0 , 1 , 1) )   , 0  ,   OFFSET(   'Cuadro tarifario'!D$2  , MATCH(CONCATENATE( IF(F487&gt;Mes,OFFSET(NroCT!B$17, MATCH($F487,NroCT!$A$18:$A1405,0),0,1,1),Periodovigente) ,A487) ,'Cuadro tarifario'!A$2:A1405,0) -1 , 0 , 1 , 1))</f>
        <v>9000</v>
      </c>
      <c r="I487" s="61">
        <f t="shared" si="195"/>
        <v>1</v>
      </c>
      <c r="J487" s="60">
        <f t="shared" si="207"/>
        <v>9000</v>
      </c>
      <c r="K487" s="62">
        <f>IF(  AND(N487&gt;0,I487=0)          ,N487 ,                         IF(  IF( F487 ,  DAYS360(DATE(YEAR(F487),MONTH(F487),1),Mes)/30  ,  DAYS360(DATE(YEAR(E487),MONTH(E487),1),Mes)/30  )  &gt;  0 , IF(F487,   DAYS360(DATE(YEAR(F487),MONTH(F487),1),Mes)/30  ,  DAYS360(DATE(YEAR(E487),MONTH(E487),1),Mes)/30) , 0)       )</f>
        <v>0</v>
      </c>
      <c r="L487" s="63">
        <f t="shared" si="196"/>
        <v>0</v>
      </c>
      <c r="M487" s="129"/>
      <c r="N487" s="98">
        <f>IF( ISERROR(OFFSET(SECUESTRADOS!D$1,MATCH(B487,SECUESTRADOS!A$2:A1405,0),0)) ,0 ,  OFFSET(SECUESTRADOS!D$1,MATCH(B487,SECUESTRADOS!A$2:A1405,0),0)  )</f>
        <v>0</v>
      </c>
      <c r="O487" s="98"/>
      <c r="P487" s="98" t="str">
        <f t="shared" si="3"/>
        <v>Bono canon</v>
      </c>
      <c r="Q487" s="98" t="str">
        <f t="shared" si="234"/>
        <v>#REF!</v>
      </c>
      <c r="R487" s="130"/>
      <c r="S487" s="130"/>
      <c r="T487" s="130"/>
    </row>
    <row r="488" ht="15.0" customHeight="1">
      <c r="A488" s="18" t="s">
        <v>71</v>
      </c>
      <c r="B488" s="18">
        <v>1836.0</v>
      </c>
      <c r="C488" s="19">
        <v>1836.0</v>
      </c>
      <c r="D488" s="20" t="str">
        <f>IF(   ISERROR(OFFSET(PADRON!B$2,MATCH(C:C,PADRON!A$2:A1405,0)-1,0,1,1) )  ,  ,    OFFSET(PADRON!B$2,MATCH(C:C,PADRON!A$2:A1405,0)-1,0,1,1))</f>
        <v>GARCIA DE LA MATA, LUIS</v>
      </c>
      <c r="E488" s="58">
        <v>45839.0</v>
      </c>
      <c r="F488" s="58">
        <v>45870.0</v>
      </c>
      <c r="G488" s="59" t="s">
        <v>39</v>
      </c>
      <c r="H488" s="60">
        <f>IF( ISERROR( OFFSET(   'Cuadro tarifario'!D$2  , MATCH(CONCATENATE(                 IF(F488&gt;Mes,OFFSET(NroCT!B$17, MATCH($F488,NroCT!$A$18:$A1405,0),0,1,1),Periodovigente)                                                                                                                     ,A488) ,'Cuadro tarifario'!A$2:A1405,0) -1 , 0 , 1 , 1) )   , 0  ,   OFFSET(   'Cuadro tarifario'!D$2  , MATCH(CONCATENATE( IF(F488&gt;Mes,OFFSET(NroCT!B$17, MATCH($F488,NroCT!$A$18:$A1405,0),0,1,1),Periodovigente) ,A488) ,'Cuadro tarifario'!A$2:A1405,0) -1 , 0 , 1 , 1))</f>
        <v>11000</v>
      </c>
      <c r="I488" s="61">
        <f t="shared" si="195"/>
        <v>1</v>
      </c>
      <c r="J488" s="60">
        <f t="shared" si="207"/>
        <v>11000</v>
      </c>
      <c r="K488" s="62">
        <f>IF(  AND(N488&gt;0,I488=0)          ,N488 ,                         IF(  IF( F488 ,  DAYS360(DATE(YEAR(F488),MONTH(F488),1),Mes)/30  ,  DAYS360(DATE(YEAR(E488),MONTH(E488),1),Mes)/30  )  &gt;  0 , IF(F488,   DAYS360(DATE(YEAR(F488),MONTH(F488),1),Mes)/30  ,  DAYS360(DATE(YEAR(E488),MONTH(E488),1),Mes)/30) , 0)       )</f>
        <v>0</v>
      </c>
      <c r="L488" s="63">
        <f t="shared" si="196"/>
        <v>0</v>
      </c>
      <c r="M488" s="129"/>
      <c r="N488" s="98">
        <f>IF( ISERROR(OFFSET(SECUESTRADOS!D$1,MATCH(B488,SECUESTRADOS!A$2:A1405,0),0)) ,0 ,  OFFSET(SECUESTRADOS!D$1,MATCH(B488,SECUESTRADOS!A$2:A1405,0),0)  )</f>
        <v>0</v>
      </c>
      <c r="O488" s="98"/>
      <c r="P488" s="98" t="str">
        <f t="shared" si="3"/>
        <v>.socio</v>
      </c>
      <c r="Q488" s="98" t="str">
        <f t="shared" si="234"/>
        <v>#REF!</v>
      </c>
      <c r="R488" s="130"/>
      <c r="S488" s="130"/>
      <c r="T488" s="130"/>
    </row>
    <row r="489" ht="15.0" customHeight="1">
      <c r="A489" s="18" t="s">
        <v>38</v>
      </c>
      <c r="B489" s="18">
        <v>1836.0</v>
      </c>
      <c r="C489" s="19">
        <v>1836.0</v>
      </c>
      <c r="D489" s="20" t="str">
        <f>IF(   ISERROR(OFFSET(PADRON!B$2,MATCH(C:C,PADRON!A$2:A1405,0)-1,0,1,1) )  ,  ,    OFFSET(PADRON!B$2,MATCH(C:C,PADRON!A$2:A1405,0)-1,0,1,1))</f>
        <v>GARCIA DE LA MATA, LUIS</v>
      </c>
      <c r="E489" s="58">
        <v>45839.0</v>
      </c>
      <c r="F489" s="58">
        <v>45870.0</v>
      </c>
      <c r="G489" s="59" t="s">
        <v>39</v>
      </c>
      <c r="H489" s="60">
        <f>IF( ISERROR( OFFSET(   'Cuadro tarifario'!D$2  , MATCH(CONCATENATE(                 IF(F489&gt;Mes,OFFSET(NroCT!B$17, MATCH($F489,NroCT!$A$18:$A1405,0),0,1,1),Periodovigente)                                                                                                                     ,A489) ,'Cuadro tarifario'!A$2:A1405,0) -1 , 0 , 1 , 1) )   , 0  ,   OFFSET(   'Cuadro tarifario'!D$2  , MATCH(CONCATENATE( IF(F489&gt;Mes,OFFSET(NroCT!B$17, MATCH($F489,NroCT!$A$18:$A1405,0),0,1,1),Periodovigente) ,A489) ,'Cuadro tarifario'!A$2:A1405,0) -1 , 0 , 1 , 1))</f>
        <v>9000</v>
      </c>
      <c r="I489" s="61">
        <f t="shared" si="195"/>
        <v>1</v>
      </c>
      <c r="J489" s="60">
        <f t="shared" si="207"/>
        <v>9000</v>
      </c>
      <c r="K489" s="62">
        <f>IF(  AND(N489&gt;0,I489=0)          ,N489 ,                         IF(  IF( F489 ,  DAYS360(DATE(YEAR(F489),MONTH(F489),1),Mes)/30  ,  DAYS360(DATE(YEAR(E489),MONTH(E489),1),Mes)/30  )  &gt;  0 , IF(F489,   DAYS360(DATE(YEAR(F489),MONTH(F489),1),Mes)/30  ,  DAYS360(DATE(YEAR(E489),MONTH(E489),1),Mes)/30) , 0)       )</f>
        <v>0</v>
      </c>
      <c r="L489" s="63">
        <f t="shared" si="196"/>
        <v>0</v>
      </c>
      <c r="M489" s="129"/>
      <c r="N489" s="98">
        <f>IF( ISERROR(OFFSET(SECUESTRADOS!D$1,MATCH(B489,SECUESTRADOS!A$2:A1405,0),0)) ,0 ,  OFFSET(SECUESTRADOS!D$1,MATCH(B489,SECUESTRADOS!A$2:A1405,0),0)  )</f>
        <v>0</v>
      </c>
      <c r="O489" s="98"/>
      <c r="P489" s="98" t="str">
        <f t="shared" si="3"/>
        <v>Bono canon</v>
      </c>
      <c r="Q489" s="98" t="str">
        <f t="shared" si="234"/>
        <v>#REF!</v>
      </c>
      <c r="R489" s="130"/>
      <c r="S489" s="130"/>
      <c r="T489" s="130"/>
    </row>
    <row r="490" ht="15.0" customHeight="1">
      <c r="A490" s="18" t="s">
        <v>40</v>
      </c>
      <c r="B490" s="18" t="s">
        <v>254</v>
      </c>
      <c r="C490" s="19">
        <v>1836.0</v>
      </c>
      <c r="D490" s="20" t="str">
        <f>IF(   ISERROR(OFFSET(PADRON!B$2,MATCH(C:C,PADRON!A$2:A1405,0)-1,0,1,1) )  ,  ,    OFFSET(PADRON!B$2,MATCH(C:C,PADRON!A$2:A1405,0)-1,0,1,1))</f>
        <v>GARCIA DE LA MATA, LUIS</v>
      </c>
      <c r="E490" s="58">
        <v>45839.0</v>
      </c>
      <c r="F490" s="58">
        <v>45870.0</v>
      </c>
      <c r="G490" s="59" t="s">
        <v>39</v>
      </c>
      <c r="H490" s="60">
        <f>IF( ISERROR( OFFSET(   'Cuadro tarifario'!D$2  , MATCH(CONCATENATE(                 IF(F490&gt;Mes,OFFSET(NroCT!B$17, MATCH($F490,NroCT!$A$18:$A1405,0),0,1,1),Periodovigente)                                                                                                                     ,A490) ,'Cuadro tarifario'!A$2:A1405,0) -1 , 0 , 1 , 1) )   , 0  ,   OFFSET(   'Cuadro tarifario'!D$2  , MATCH(CONCATENATE( IF(F490&gt;Mes,OFFSET(NroCT!B$17, MATCH($F490,NroCT!$A$18:$A1405,0),0,1,1),Periodovigente) ,A490) ,'Cuadro tarifario'!A$2:A1405,0) -1 , 0 , 1 , 1))</f>
        <v>12000</v>
      </c>
      <c r="I490" s="61">
        <f t="shared" si="195"/>
        <v>1</v>
      </c>
      <c r="J490" s="60">
        <f t="shared" si="207"/>
        <v>12000</v>
      </c>
      <c r="K490" s="62">
        <f>IF(  AND(N490&gt;0,I490=0)          ,N490 ,                         IF(  IF( F490 ,  DAYS360(DATE(YEAR(F490),MONTH(F490),1),Mes)/30  ,  DAYS360(DATE(YEAR(E490),MONTH(E490),1),Mes)/30  )  &gt;  0 , IF(F490,   DAYS360(DATE(YEAR(F490),MONTH(F490),1),Mes)/30  ,  DAYS360(DATE(YEAR(E490),MONTH(E490),1),Mes)/30) , 0)       )</f>
        <v>0</v>
      </c>
      <c r="L490" s="63">
        <f t="shared" si="196"/>
        <v>0</v>
      </c>
      <c r="M490" s="129"/>
      <c r="N490" s="98">
        <f>IF( ISERROR(OFFSET(SECUESTRADOS!D$1,MATCH(B490,SECUESTRADOS!A$2:A1405,0),0)) ,0 ,  OFFSET(SECUESTRADOS!D$1,MATCH(B490,SECUESTRADOS!A$2:A1405,0),0)  )</f>
        <v>0</v>
      </c>
      <c r="O490" s="98"/>
      <c r="P490" s="98" t="str">
        <f t="shared" si="3"/>
        <v>cuna windsurf</v>
      </c>
      <c r="Q490" s="98" t="str">
        <f t="shared" si="234"/>
        <v>#REF!</v>
      </c>
      <c r="R490" s="130"/>
      <c r="S490" s="130"/>
      <c r="T490" s="130"/>
    </row>
    <row r="491" ht="15.0" customHeight="1">
      <c r="A491" s="18" t="s">
        <v>71</v>
      </c>
      <c r="B491" s="18">
        <v>1837.0</v>
      </c>
      <c r="C491" s="19">
        <v>1837.0</v>
      </c>
      <c r="D491" s="20" t="str">
        <f>IF(   ISERROR(OFFSET(PADRON!B$2,MATCH(C:C,PADRON!A$2:A1405,0)-1,0,1,1) )  ,  ,    OFFSET(PADRON!B$2,MATCH(C:C,PADRON!A$2:A1405,0)-1,0,1,1))</f>
        <v>ALMADA, GUILLERMO MARTIN</v>
      </c>
      <c r="E491" s="58">
        <v>45839.0</v>
      </c>
      <c r="F491" s="58">
        <v>45870.0</v>
      </c>
      <c r="G491" s="59" t="s">
        <v>39</v>
      </c>
      <c r="H491" s="60">
        <f>IF( ISERROR( OFFSET(   'Cuadro tarifario'!D$2  , MATCH(CONCATENATE(                 IF(F491&gt;Mes,OFFSET(NroCT!B$17, MATCH($F491,NroCT!$A$18:$A1405,0),0,1,1),Periodovigente)                                                                                                                     ,A491) ,'Cuadro tarifario'!A$2:A1405,0) -1 , 0 , 1 , 1) )   , 0  ,   OFFSET(   'Cuadro tarifario'!D$2  , MATCH(CONCATENATE( IF(F491&gt;Mes,OFFSET(NroCT!B$17, MATCH($F491,NroCT!$A$18:$A1405,0),0,1,1),Periodovigente) ,A491) ,'Cuadro tarifario'!A$2:A1405,0) -1 , 0 , 1 , 1))</f>
        <v>11000</v>
      </c>
      <c r="I491" s="61">
        <f t="shared" si="195"/>
        <v>1</v>
      </c>
      <c r="J491" s="60">
        <f t="shared" si="207"/>
        <v>11000</v>
      </c>
      <c r="K491" s="62">
        <f>IF(  AND(N491&gt;0,I491=0)          ,N491 ,                         IF(  IF( F491 ,  DAYS360(DATE(YEAR(F491),MONTH(F491),1),Mes)/30  ,  DAYS360(DATE(YEAR(E491),MONTH(E491),1),Mes)/30  )  &gt;  0 , IF(F491,   DAYS360(DATE(YEAR(F491),MONTH(F491),1),Mes)/30  ,  DAYS360(DATE(YEAR(E491),MONTH(E491),1),Mes)/30) , 0)       )</f>
        <v>0</v>
      </c>
      <c r="L491" s="63">
        <f t="shared" si="196"/>
        <v>0</v>
      </c>
      <c r="M491" s="129"/>
      <c r="N491" s="98">
        <f>IF( ISERROR(OFFSET(SECUESTRADOS!D$1,MATCH(B491,SECUESTRADOS!A$2:A1405,0),0)) ,0 ,  OFFSET(SECUESTRADOS!D$1,MATCH(B491,SECUESTRADOS!A$2:A1405,0),0)  )</f>
        <v>0</v>
      </c>
      <c r="O491" s="98"/>
      <c r="P491" s="98" t="str">
        <f t="shared" si="3"/>
        <v>.socio</v>
      </c>
      <c r="Q491" s="98" t="str">
        <f t="shared" si="234"/>
        <v>#REF!</v>
      </c>
      <c r="R491" s="130"/>
      <c r="S491" s="130"/>
      <c r="T491" s="130"/>
    </row>
    <row r="492" ht="15.0" customHeight="1">
      <c r="A492" s="18" t="s">
        <v>38</v>
      </c>
      <c r="B492" s="18">
        <v>1837.0</v>
      </c>
      <c r="C492" s="19">
        <v>1837.0</v>
      </c>
      <c r="D492" s="20" t="str">
        <f>IF(   ISERROR(OFFSET(PADRON!B$2,MATCH(C:C,PADRON!A$2:A1405,0)-1,0,1,1) )  ,  ,    OFFSET(PADRON!B$2,MATCH(C:C,PADRON!A$2:A1405,0)-1,0,1,1))</f>
        <v>ALMADA, GUILLERMO MARTIN</v>
      </c>
      <c r="E492" s="58">
        <v>45839.0</v>
      </c>
      <c r="F492" s="58">
        <v>45870.0</v>
      </c>
      <c r="G492" s="59" t="s">
        <v>39</v>
      </c>
      <c r="H492" s="60">
        <f>IF( ISERROR( OFFSET(   'Cuadro tarifario'!D$2  , MATCH(CONCATENATE(                 IF(F492&gt;Mes,OFFSET(NroCT!B$17, MATCH($F492,NroCT!$A$18:$A1405,0),0,1,1),Periodovigente)                                                                                                                     ,A492) ,'Cuadro tarifario'!A$2:A1405,0) -1 , 0 , 1 , 1) )   , 0  ,   OFFSET(   'Cuadro tarifario'!D$2  , MATCH(CONCATENATE( IF(F492&gt;Mes,OFFSET(NroCT!B$17, MATCH($F492,NroCT!$A$18:$A1405,0),0,1,1),Periodovigente) ,A492) ,'Cuadro tarifario'!A$2:A1405,0) -1 , 0 , 1 , 1))</f>
        <v>9000</v>
      </c>
      <c r="I492" s="61">
        <f t="shared" si="195"/>
        <v>1</v>
      </c>
      <c r="J492" s="60">
        <f t="shared" si="207"/>
        <v>9000</v>
      </c>
      <c r="K492" s="62">
        <f>IF(  AND(N492&gt;0,I492=0)          ,N492 ,                         IF(  IF( F492 ,  DAYS360(DATE(YEAR(F492),MONTH(F492),1),Mes)/30  ,  DAYS360(DATE(YEAR(E492),MONTH(E492),1),Mes)/30  )  &gt;  0 , IF(F492,   DAYS360(DATE(YEAR(F492),MONTH(F492),1),Mes)/30  ,  DAYS360(DATE(YEAR(E492),MONTH(E492),1),Mes)/30) , 0)       )</f>
        <v>0</v>
      </c>
      <c r="L492" s="63">
        <f t="shared" si="196"/>
        <v>0</v>
      </c>
      <c r="M492" s="129"/>
      <c r="N492" s="98">
        <f>IF( ISERROR(OFFSET(SECUESTRADOS!D$1,MATCH(B492,SECUESTRADOS!A$2:A1405,0),0)) ,0 ,  OFFSET(SECUESTRADOS!D$1,MATCH(B492,SECUESTRADOS!A$2:A1405,0),0)  )</f>
        <v>0</v>
      </c>
      <c r="O492" s="98"/>
      <c r="P492" s="98" t="str">
        <f t="shared" si="3"/>
        <v>Bono canon</v>
      </c>
      <c r="Q492" s="98" t="str">
        <f t="shared" si="234"/>
        <v>#REF!</v>
      </c>
      <c r="R492" s="130"/>
      <c r="S492" s="130"/>
      <c r="T492" s="130"/>
    </row>
    <row r="493" ht="15.0" customHeight="1">
      <c r="A493" s="18" t="s">
        <v>40</v>
      </c>
      <c r="B493" s="18" t="s">
        <v>255</v>
      </c>
      <c r="C493" s="19">
        <v>1837.0</v>
      </c>
      <c r="D493" s="20" t="str">
        <f>IF(   ISERROR(OFFSET(PADRON!B$2,MATCH(C:C,PADRON!A$2:A1405,0)-1,0,1,1) )  ,  ,    OFFSET(PADRON!B$2,MATCH(C:C,PADRON!A$2:A1405,0)-1,0,1,1))</f>
        <v>ALMADA, GUILLERMO MARTIN</v>
      </c>
      <c r="E493" s="58">
        <v>45839.0</v>
      </c>
      <c r="F493" s="58">
        <v>45870.0</v>
      </c>
      <c r="G493" s="59" t="s">
        <v>39</v>
      </c>
      <c r="H493" s="60">
        <f>IF( ISERROR( OFFSET(   'Cuadro tarifario'!D$2  , MATCH(CONCATENATE(                 IF(F493&gt;Mes,OFFSET(NroCT!B$17, MATCH($F493,NroCT!$A$18:$A1405,0),0,1,1),Periodovigente)                                                                                                                     ,A493) ,'Cuadro tarifario'!A$2:A1405,0) -1 , 0 , 1 , 1) )   , 0  ,   OFFSET(   'Cuadro tarifario'!D$2  , MATCH(CONCATENATE( IF(F493&gt;Mes,OFFSET(NroCT!B$17, MATCH($F493,NroCT!$A$18:$A1405,0),0,1,1),Periodovigente) ,A493) ,'Cuadro tarifario'!A$2:A1405,0) -1 , 0 , 1 , 1))</f>
        <v>12000</v>
      </c>
      <c r="I493" s="61">
        <f t="shared" si="195"/>
        <v>1</v>
      </c>
      <c r="J493" s="60">
        <f t="shared" si="207"/>
        <v>12000</v>
      </c>
      <c r="K493" s="62">
        <f>IF(  AND(N493&gt;0,I493=0)          ,N493 ,                         IF(  IF( F493 ,  DAYS360(DATE(YEAR(F493),MONTH(F493),1),Mes)/30  ,  DAYS360(DATE(YEAR(E493),MONTH(E493),1),Mes)/30  )  &gt;  0 , IF(F493,   DAYS360(DATE(YEAR(F493),MONTH(F493),1),Mes)/30  ,  DAYS360(DATE(YEAR(E493),MONTH(E493),1),Mes)/30) , 0)       )</f>
        <v>0</v>
      </c>
      <c r="L493" s="63">
        <f t="shared" si="196"/>
        <v>0</v>
      </c>
      <c r="M493" s="129"/>
      <c r="N493" s="98">
        <f>IF( ISERROR(OFFSET(SECUESTRADOS!D$1,MATCH(B493,SECUESTRADOS!A$2:A1405,0),0)) ,0 ,  OFFSET(SECUESTRADOS!D$1,MATCH(B493,SECUESTRADOS!A$2:A1405,0),0)  )</f>
        <v>0</v>
      </c>
      <c r="O493" s="98"/>
      <c r="P493" s="98" t="str">
        <f t="shared" si="3"/>
        <v>cuna windsurf</v>
      </c>
      <c r="Q493" s="98" t="str">
        <f t="shared" si="234"/>
        <v>#REF!</v>
      </c>
      <c r="R493" s="130"/>
      <c r="S493" s="130"/>
      <c r="T493" s="130"/>
    </row>
    <row r="494" ht="15.0" customHeight="1">
      <c r="A494" s="18" t="s">
        <v>42</v>
      </c>
      <c r="B494" s="18" t="s">
        <v>256</v>
      </c>
      <c r="C494" s="19">
        <v>1837.0</v>
      </c>
      <c r="D494" s="20" t="str">
        <f>IF(   ISERROR(OFFSET(PADRON!B$2,MATCH(C:C,PADRON!A$2:A1405,0)-1,0,1,1) )  ,  ,    OFFSET(PADRON!B$2,MATCH(C:C,PADRON!A$2:A1405,0)-1,0,1,1))</f>
        <v>ALMADA, GUILLERMO MARTIN</v>
      </c>
      <c r="E494" s="58">
        <v>45992.0</v>
      </c>
      <c r="F494" s="58"/>
      <c r="G494" s="59" t="s">
        <v>39</v>
      </c>
      <c r="H494" s="60">
        <f>IF( ISERROR( OFFSET(   'Cuadro tarifario'!D$2  , MATCH(CONCATENATE(                 IF(F494&gt;Mes,OFFSET(NroCT!B$17, MATCH($F494,NroCT!$A$18:$A1405,0),0,1,1),Periodovigente)                                                                                                                     ,A494) ,'Cuadro tarifario'!A$2:A1405,0) -1 , 0 , 1 , 1) )   , 0  ,   OFFSET(   'Cuadro tarifario'!D$2  , MATCH(CONCATENATE( IF(F494&gt;Mes,OFFSET(NroCT!B$17, MATCH($F494,NroCT!$A$18:$A1405,0),0,1,1),Periodovigente) ,A494) ,'Cuadro tarifario'!A$2:A1405,0) -1 , 0 , 1 , 1))</f>
        <v>4000</v>
      </c>
      <c r="I494" s="61">
        <f t="shared" si="195"/>
        <v>0</v>
      </c>
      <c r="J494" s="60">
        <f t="shared" si="207"/>
        <v>0</v>
      </c>
      <c r="K494" s="62">
        <f>IF(  AND(N494&gt;0,I494=0)          ,N494 ,                         IF(  IF( F494 ,  DAYS360(DATE(YEAR(F494),MONTH(F494),1),Mes)/30  ,  DAYS360(DATE(YEAR(E494),MONTH(E494),1),Mes)/30  )  &gt;  0 , IF(F494,   DAYS360(DATE(YEAR(F494),MONTH(F494),1),Mes)/30  ,  DAYS360(DATE(YEAR(E494),MONTH(E494),1),Mes)/30) , 0)       )</f>
        <v>0</v>
      </c>
      <c r="L494" s="63">
        <f t="shared" si="196"/>
        <v>0</v>
      </c>
      <c r="M494" s="129"/>
      <c r="N494" s="98">
        <f>IF( ISERROR(OFFSET(SECUESTRADOS!D$1,MATCH(B494,SECUESTRADOS!A$2:A1405,0),0)) ,0 ,  OFFSET(SECUESTRADOS!D$1,MATCH(B494,SECUESTRADOS!A$2:A1405,0),0)  )</f>
        <v>0</v>
      </c>
      <c r="O494" s="98"/>
      <c r="P494" s="98" t="b">
        <f t="shared" si="3"/>
        <v>0</v>
      </c>
      <c r="Q494" s="98" t="str">
        <f t="shared" si="234"/>
        <v>#REF!</v>
      </c>
      <c r="R494" s="130"/>
      <c r="S494" s="130"/>
      <c r="T494" s="130"/>
    </row>
    <row r="495" ht="21.75" customHeight="1">
      <c r="A495" s="18" t="s">
        <v>50</v>
      </c>
      <c r="B495" s="18" t="s">
        <v>257</v>
      </c>
      <c r="C495" s="19">
        <v>1837.0</v>
      </c>
      <c r="D495" s="20" t="str">
        <f>IF(   ISERROR(OFFSET(PADRON!B$2,MATCH(C:C,PADRON!A$2:A1405,0)-1,0,1,1) )  ,  ,    OFFSET(PADRON!B$2,MATCH(C:C,PADRON!A$2:A1405,0)-1,0,1,1))</f>
        <v>ALMADA, GUILLERMO MARTIN</v>
      </c>
      <c r="E495" s="58">
        <v>45992.0</v>
      </c>
      <c r="F495" s="58"/>
      <c r="G495" s="59" t="s">
        <v>39</v>
      </c>
      <c r="H495" s="60">
        <f>IF( ISERROR( OFFSET(   'Cuadro tarifario'!D$2  , MATCH(CONCATENATE(                 IF(F495&gt;Mes,OFFSET(NroCT!B$17, MATCH($F495,NroCT!$A$18:$A1405,0),0,1,1),Periodovigente)                                                                                                                     ,A495) ,'Cuadro tarifario'!A$2:A1405,0) -1 , 0 , 1 , 1) )   , 0  ,   OFFSET(   'Cuadro tarifario'!D$2  , MATCH(CONCATENATE( IF(F495&gt;Mes,OFFSET(NroCT!B$17, MATCH($F495,NroCT!$A$18:$A1405,0),0,1,1),Periodovigente) ,A495) ,'Cuadro tarifario'!A$2:A1405,0) -1 , 0 , 1 , 1))</f>
        <v>3600</v>
      </c>
      <c r="I495" s="61">
        <f t="shared" si="195"/>
        <v>0</v>
      </c>
      <c r="J495" s="60">
        <f t="shared" si="207"/>
        <v>0</v>
      </c>
      <c r="K495" s="62">
        <f>IF(  AND(N495&gt;0,I495=0)          ,N495 ,                         IF(  IF( F495 ,  DAYS360(DATE(YEAR(F495),MONTH(F495),1),Mes)/30  ,  DAYS360(DATE(YEAR(E495),MONTH(E495),1),Mes)/30  )  &gt;  0 , IF(F495,   DAYS360(DATE(YEAR(F495),MONTH(F495),1),Mes)/30  ,  DAYS360(DATE(YEAR(E495),MONTH(E495),1),Mes)/30) , 0)       )</f>
        <v>0</v>
      </c>
      <c r="L495" s="63">
        <f t="shared" si="196"/>
        <v>0</v>
      </c>
      <c r="M495" s="129"/>
      <c r="N495" s="98">
        <f>IF( ISERROR(OFFSET(SECUESTRADOS!D$1,MATCH(B495,SECUESTRADOS!A$2:A1405,0),0)) ,0 ,  OFFSET(SECUESTRADOS!D$1,MATCH(B495,SECUESTRADOS!A$2:A1405,0),0)  )</f>
        <v>0</v>
      </c>
      <c r="O495" s="98"/>
      <c r="P495" s="98" t="b">
        <f t="shared" si="3"/>
        <v>0</v>
      </c>
      <c r="Q495" s="98" t="str">
        <f t="shared" si="234"/>
        <v>#REF!</v>
      </c>
      <c r="R495" s="130"/>
      <c r="S495" s="130"/>
      <c r="T495" s="130"/>
    </row>
    <row r="496" ht="15.0" customHeight="1">
      <c r="A496" s="18" t="s">
        <v>71</v>
      </c>
      <c r="B496" s="116">
        <v>1840.0</v>
      </c>
      <c r="C496" s="19">
        <v>1840.0</v>
      </c>
      <c r="D496" s="20" t="str">
        <f>IF(   ISERROR(OFFSET(PADRON!B$2,MATCH(C:C,PADRON!A$2:A1405,0)-1,0,1,1) )  ,  ,    OFFSET(PADRON!B$2,MATCH(C:C,PADRON!A$2:A1405,0)-1,0,1,1))</f>
        <v>GALVAN, MA. LUZ</v>
      </c>
      <c r="E496" s="58">
        <v>45839.0</v>
      </c>
      <c r="F496" s="58">
        <v>45870.0</v>
      </c>
      <c r="G496" s="60" t="s">
        <v>39</v>
      </c>
      <c r="H496" s="60">
        <f>IF( ISERROR( OFFSET(   'Cuadro tarifario'!D$2  , MATCH(CONCATENATE(                 IF(F496&gt;Mes,OFFSET(NroCT!B$17, MATCH($F496,NroCT!$A$18:$A1405,0),0,1,1),Periodovigente)                                                                                                                     ,A496) ,'Cuadro tarifario'!A$2:A1405,0) -1 , 0 , 1 , 1) )   , 0  ,   OFFSET(   'Cuadro tarifario'!D$2  , MATCH(CONCATENATE( IF(F496&gt;Mes,OFFSET(NroCT!B$17, MATCH($F496,NroCT!$A$18:$A1405,0),0,1,1),Periodovigente) ,A496) ,'Cuadro tarifario'!A$2:A1405,0) -1 , 0 , 1 , 1))</f>
        <v>11000</v>
      </c>
      <c r="I496" s="61">
        <f t="shared" si="195"/>
        <v>1</v>
      </c>
      <c r="J496" s="60">
        <f t="shared" si="207"/>
        <v>11000</v>
      </c>
      <c r="K496" s="62">
        <f>IF(  AND(N496&gt;0,I496=0)          ,N496 ,                         IF(  IF( F496 ,  DAYS360(DATE(YEAR(F496),MONTH(F496),1),Mes)/30  ,  DAYS360(DATE(YEAR(E496),MONTH(E496),1),Mes)/30  )  &gt;  0 , IF(F496,   DAYS360(DATE(YEAR(F496),MONTH(F496),1),Mes)/30  ,  DAYS360(DATE(YEAR(E496),MONTH(E496),1),Mes)/30) , 0)       )</f>
        <v>0</v>
      </c>
      <c r="L496" s="63">
        <f t="shared" si="196"/>
        <v>0</v>
      </c>
      <c r="M496" s="129"/>
      <c r="N496" s="132">
        <f>IF( ISERROR(OFFSET(SECUESTRADOS!D$1,MATCH(B496,SECUESTRADOS!A$2:A1405,0),0)) ,0 ,  OFFSET(SECUESTRADOS!D$1,MATCH(B496,SECUESTRADOS!A$2:A1405,0),0)  )</f>
        <v>0</v>
      </c>
      <c r="O496" s="98"/>
      <c r="P496" s="99" t="str">
        <f t="shared" si="3"/>
        <v>.socio</v>
      </c>
      <c r="Q496" s="99" t="str">
        <f t="shared" si="234"/>
        <v>#REF!</v>
      </c>
      <c r="R496" s="31"/>
      <c r="S496" s="31"/>
      <c r="T496" s="31"/>
    </row>
    <row r="497" ht="15.0" customHeight="1">
      <c r="A497" s="17" t="s">
        <v>38</v>
      </c>
      <c r="B497" s="116">
        <v>1840.0</v>
      </c>
      <c r="C497" s="19">
        <v>1840.0</v>
      </c>
      <c r="D497" s="20" t="str">
        <f>IF(   ISERROR(OFFSET(PADRON!B$2,MATCH(C:C,PADRON!A$2:A1405,0)-1,0,1,1) )  ,  ,    OFFSET(PADRON!B$2,MATCH(C:C,PADRON!A$2:A1405,0)-1,0,1,1))</f>
        <v>GALVAN, MA. LUZ</v>
      </c>
      <c r="E497" s="58">
        <v>45839.0</v>
      </c>
      <c r="F497" s="58">
        <v>45870.0</v>
      </c>
      <c r="G497" s="60" t="s">
        <v>39</v>
      </c>
      <c r="H497" s="60">
        <f>IF( ISERROR( OFFSET(   'Cuadro tarifario'!D$2  , MATCH(CONCATENATE(                 IF(F497&gt;Mes,OFFSET(NroCT!B$17, MATCH($F497,NroCT!$A$18:$A1405,0),0,1,1),Periodovigente)                                                                                                                     ,A497) ,'Cuadro tarifario'!A$2:A1405,0) -1 , 0 , 1 , 1) )   , 0  ,   OFFSET(   'Cuadro tarifario'!D$2  , MATCH(CONCATENATE( IF(F497&gt;Mes,OFFSET(NroCT!B$17, MATCH($F497,NroCT!$A$18:$A1405,0),0,1,1),Periodovigente) ,A497) ,'Cuadro tarifario'!A$2:A1405,0) -1 , 0 , 1 , 1))</f>
        <v>9000</v>
      </c>
      <c r="I497" s="61">
        <f t="shared" si="195"/>
        <v>1</v>
      </c>
      <c r="J497" s="60">
        <f t="shared" si="207"/>
        <v>9000</v>
      </c>
      <c r="K497" s="62">
        <f>IF(  AND(N497&gt;0,I497=0)          ,N497 ,                         IF(  IF( F497 ,  DAYS360(DATE(YEAR(F497),MONTH(F497),1),Mes)/30  ,  DAYS360(DATE(YEAR(E497),MONTH(E497),1),Mes)/30  )  &gt;  0 , IF(F497,   DAYS360(DATE(YEAR(F497),MONTH(F497),1),Mes)/30  ,  DAYS360(DATE(YEAR(E497),MONTH(E497),1),Mes)/30) , 0)       )</f>
        <v>0</v>
      </c>
      <c r="L497" s="63">
        <f t="shared" si="196"/>
        <v>0</v>
      </c>
      <c r="M497" s="129"/>
      <c r="N497" s="132">
        <f>IF( ISERROR(OFFSET(SECUESTRADOS!D$1,MATCH(B497,SECUESTRADOS!A$2:A1405,0),0)) ,0 ,  OFFSET(SECUESTRADOS!D$1,MATCH(B497,SECUESTRADOS!A$2:A1405,0),0)  )</f>
        <v>0</v>
      </c>
      <c r="O497" s="98"/>
      <c r="P497" s="99" t="str">
        <f t="shared" si="3"/>
        <v>Bono canon</v>
      </c>
      <c r="Q497" s="99" t="str">
        <f t="shared" si="234"/>
        <v>#REF!</v>
      </c>
      <c r="R497" s="31"/>
      <c r="S497" s="31"/>
      <c r="T497" s="31"/>
    </row>
    <row r="498" ht="15.0" customHeight="1">
      <c r="A498" s="18" t="s">
        <v>40</v>
      </c>
      <c r="B498" s="116" t="s">
        <v>258</v>
      </c>
      <c r="C498" s="19">
        <v>1840.0</v>
      </c>
      <c r="D498" s="20" t="str">
        <f>IF(   ISERROR(OFFSET(PADRON!B$2,MATCH(C:C,PADRON!A$2:A1405,0)-1,0,1,1) )  ,  ,    OFFSET(PADRON!B$2,MATCH(C:C,PADRON!A$2:A1405,0)-1,0,1,1))</f>
        <v>GALVAN, MA. LUZ</v>
      </c>
      <c r="E498" s="58">
        <v>45839.0</v>
      </c>
      <c r="F498" s="58">
        <v>45870.0</v>
      </c>
      <c r="G498" s="60" t="s">
        <v>39</v>
      </c>
      <c r="H498" s="60">
        <f>IF( ISERROR( OFFSET(   'Cuadro tarifario'!D$2  , MATCH(CONCATENATE(                 IF(F498&gt;Mes,OFFSET(NroCT!B$17, MATCH($F498,NroCT!$A$18:$A1405,0),0,1,1),Periodovigente)                                                                                                                     ,A498) ,'Cuadro tarifario'!A$2:A1405,0) -1 , 0 , 1 , 1) )   , 0  ,   OFFSET(   'Cuadro tarifario'!D$2  , MATCH(CONCATENATE( IF(F498&gt;Mes,OFFSET(NroCT!B$17, MATCH($F498,NroCT!$A$18:$A1405,0),0,1,1),Periodovigente) ,A498) ,'Cuadro tarifario'!A$2:A1405,0) -1 , 0 , 1 , 1))</f>
        <v>12000</v>
      </c>
      <c r="I498" s="61">
        <f t="shared" si="195"/>
        <v>1</v>
      </c>
      <c r="J498" s="60">
        <f t="shared" si="207"/>
        <v>12000</v>
      </c>
      <c r="K498" s="62">
        <f>IF(  AND(N498&gt;0,I498=0)          ,N498 ,                         IF(  IF( F498 ,  DAYS360(DATE(YEAR(F498),MONTH(F498),1),Mes)/30  ,  DAYS360(DATE(YEAR(E498),MONTH(E498),1),Mes)/30  )  &gt;  0 , IF(F498,   DAYS360(DATE(YEAR(F498),MONTH(F498),1),Mes)/30  ,  DAYS360(DATE(YEAR(E498),MONTH(E498),1),Mes)/30) , 0)       )</f>
        <v>0</v>
      </c>
      <c r="L498" s="63">
        <f t="shared" si="196"/>
        <v>0</v>
      </c>
      <c r="M498" s="129"/>
      <c r="N498" s="132">
        <f>IF( ISERROR(OFFSET(SECUESTRADOS!D$1,MATCH(B498,SECUESTRADOS!A$2:A1405,0),0)) ,0 ,  OFFSET(SECUESTRADOS!D$1,MATCH(B498,SECUESTRADOS!A$2:A1405,0),0)  )</f>
        <v>0</v>
      </c>
      <c r="O498" s="98"/>
      <c r="P498" s="99" t="str">
        <f t="shared" si="3"/>
        <v>cuna windsurf</v>
      </c>
      <c r="Q498" s="99" t="str">
        <f t="shared" si="234"/>
        <v>#REF!</v>
      </c>
      <c r="R498" s="31"/>
      <c r="S498" s="31"/>
      <c r="T498" s="31"/>
    </row>
    <row r="499" ht="15.0" customHeight="1">
      <c r="A499" s="18" t="s">
        <v>40</v>
      </c>
      <c r="B499" s="116" t="s">
        <v>259</v>
      </c>
      <c r="C499" s="19">
        <v>1840.0</v>
      </c>
      <c r="D499" s="20" t="str">
        <f>IF(   ISERROR(OFFSET(PADRON!B$2,MATCH(C:C,PADRON!A$2:A1405,0)-1,0,1,1) )  ,  ,    OFFSET(PADRON!B$2,MATCH(C:C,PADRON!A$2:A1405,0)-1,0,1,1))</f>
        <v>GALVAN, MA. LUZ</v>
      </c>
      <c r="E499" s="58">
        <v>45839.0</v>
      </c>
      <c r="F499" s="58">
        <v>45870.0</v>
      </c>
      <c r="G499" s="60" t="s">
        <v>39</v>
      </c>
      <c r="H499" s="60">
        <f>IF( ISERROR( OFFSET(   'Cuadro tarifario'!D$2  , MATCH(CONCATENATE(                 IF(F499&gt;Mes,OFFSET(NroCT!B$17, MATCH($F499,NroCT!$A$18:$A1405,0),0,1,1),Periodovigente)                                                                                                                     ,A499) ,'Cuadro tarifario'!A$2:A1405,0) -1 , 0 , 1 , 1) )   , 0  ,   OFFSET(   'Cuadro tarifario'!D$2  , MATCH(CONCATENATE( IF(F499&gt;Mes,OFFSET(NroCT!B$17, MATCH($F499,NroCT!$A$18:$A1405,0),0,1,1),Periodovigente) ,A499) ,'Cuadro tarifario'!A$2:A1405,0) -1 , 0 , 1 , 1))</f>
        <v>12000</v>
      </c>
      <c r="I499" s="61">
        <f t="shared" si="195"/>
        <v>1</v>
      </c>
      <c r="J499" s="60">
        <f t="shared" si="207"/>
        <v>12000</v>
      </c>
      <c r="K499" s="62">
        <f>IF(  AND(N499&gt;0,I499=0)          ,N499 ,                         IF(  IF( F499 ,  DAYS360(DATE(YEAR(F499),MONTH(F499),1),Mes)/30  ,  DAYS360(DATE(YEAR(E499),MONTH(E499),1),Mes)/30  )  &gt;  0 , IF(F499,   DAYS360(DATE(YEAR(F499),MONTH(F499),1),Mes)/30  ,  DAYS360(DATE(YEAR(E499),MONTH(E499),1),Mes)/30) , 0)       )</f>
        <v>0</v>
      </c>
      <c r="L499" s="63">
        <f t="shared" si="196"/>
        <v>0</v>
      </c>
      <c r="M499" s="129"/>
      <c r="N499" s="132">
        <f>IF( ISERROR(OFFSET(SECUESTRADOS!D$1,MATCH(B499,SECUESTRADOS!A$2:A1405,0),0)) ,0 ,  OFFSET(SECUESTRADOS!D$1,MATCH(B499,SECUESTRADOS!A$2:A1405,0),0)  )</f>
        <v>0</v>
      </c>
      <c r="O499" s="98"/>
      <c r="P499" s="99" t="str">
        <f t="shared" si="3"/>
        <v>cuna windsurf</v>
      </c>
      <c r="Q499" s="99" t="str">
        <f t="shared" si="234"/>
        <v>#REF!</v>
      </c>
      <c r="R499" s="31"/>
      <c r="S499" s="31"/>
      <c r="T499" s="31"/>
    </row>
    <row r="500" ht="15.0" customHeight="1">
      <c r="A500" s="18" t="s">
        <v>42</v>
      </c>
      <c r="B500" s="116" t="s">
        <v>260</v>
      </c>
      <c r="C500" s="19">
        <v>1840.0</v>
      </c>
      <c r="D500" s="20" t="str">
        <f>IF(   ISERROR(OFFSET(PADRON!B$2,MATCH(C:C,PADRON!A$2:A1405,0)-1,0,1,1) )  ,  ,    OFFSET(PADRON!B$2,MATCH(C:C,PADRON!A$2:A1405,0)-1,0,1,1))</f>
        <v>GALVAN, MA. LUZ</v>
      </c>
      <c r="E500" s="58">
        <v>45992.0</v>
      </c>
      <c r="F500" s="58"/>
      <c r="G500" s="60" t="s">
        <v>39</v>
      </c>
      <c r="H500" s="60">
        <f>IF( ISERROR( OFFSET(   'Cuadro tarifario'!D$2  , MATCH(CONCATENATE(                 IF(F500&gt;Mes,OFFSET(NroCT!B$17, MATCH($F500,NroCT!$A$18:$A1405,0),0,1,1),Periodovigente)                                                                                                                     ,A500) ,'Cuadro tarifario'!A$2:A1405,0) -1 , 0 , 1 , 1) )   , 0  ,   OFFSET(   'Cuadro tarifario'!D$2  , MATCH(CONCATENATE( IF(F500&gt;Mes,OFFSET(NroCT!B$17, MATCH($F500,NroCT!$A$18:$A1405,0),0,1,1),Periodovigente) ,A500) ,'Cuadro tarifario'!A$2:A1405,0) -1 , 0 , 1 , 1))</f>
        <v>4000</v>
      </c>
      <c r="I500" s="61">
        <f t="shared" si="195"/>
        <v>0</v>
      </c>
      <c r="J500" s="60">
        <f t="shared" si="207"/>
        <v>0</v>
      </c>
      <c r="K500" s="62">
        <f>IF(  AND(N500&gt;0,I500=0)          ,N500 ,                         IF(  IF( F500 ,  DAYS360(DATE(YEAR(F500),MONTH(F500),1),Mes)/30  ,  DAYS360(DATE(YEAR(E500),MONTH(E500),1),Mes)/30  )  &gt;  0 , IF(F500,   DAYS360(DATE(YEAR(F500),MONTH(F500),1),Mes)/30  ,  DAYS360(DATE(YEAR(E500),MONTH(E500),1),Mes)/30) , 0)       )</f>
        <v>0</v>
      </c>
      <c r="L500" s="63">
        <f t="shared" si="196"/>
        <v>0</v>
      </c>
      <c r="M500" s="129"/>
      <c r="N500" s="132">
        <f>IF( ISERROR(OFFSET(SECUESTRADOS!D$1,MATCH(B500,SECUESTRADOS!A$2:A1405,0),0)) ,0 ,  OFFSET(SECUESTRADOS!D$1,MATCH(B500,SECUESTRADOS!A$2:A1405,0),0)  )</f>
        <v>0</v>
      </c>
      <c r="O500" s="98"/>
      <c r="P500" s="99" t="b">
        <f t="shared" si="3"/>
        <v>0</v>
      </c>
      <c r="Q500" s="99" t="str">
        <f t="shared" si="234"/>
        <v>#REF!</v>
      </c>
      <c r="R500" s="31"/>
      <c r="S500" s="31"/>
      <c r="T500" s="31"/>
    </row>
    <row r="501" ht="15.0" customHeight="1">
      <c r="A501" s="18" t="s">
        <v>71</v>
      </c>
      <c r="B501" s="116">
        <v>1844.0</v>
      </c>
      <c r="C501" s="19">
        <v>1844.0</v>
      </c>
      <c r="D501" s="20" t="str">
        <f>IF(   ISERROR(OFFSET(PADRON!B$2,MATCH(C:C,PADRON!A$2:A1405,0)-1,0,1,1) )  ,  ,    OFFSET(PADRON!B$2,MATCH(C:C,PADRON!A$2:A1405,0)-1,0,1,1))</f>
        <v>ONZARI, GUSTAVO</v>
      </c>
      <c r="E501" s="58">
        <v>45778.0</v>
      </c>
      <c r="F501" s="133">
        <v>45870.0</v>
      </c>
      <c r="G501" s="59" t="s">
        <v>39</v>
      </c>
      <c r="H501" s="60">
        <f>IF( ISERROR( OFFSET(   'Cuadro tarifario'!D$2  , MATCH(CONCATENATE(                 IF(F501&gt;Mes,OFFSET(NroCT!B$17, MATCH($F501,NroCT!$A$18:$A1405,0),0,1,1),Periodovigente)                                                                                                                     ,A501) ,'Cuadro tarifario'!A$2:A1405,0) -1 , 0 , 1 , 1) )   , 0  ,   OFFSET(   'Cuadro tarifario'!D$2  , MATCH(CONCATENATE( IF(F501&gt;Mes,OFFSET(NroCT!B$17, MATCH($F501,NroCT!$A$18:$A1405,0),0,1,1),Periodovigente) ,A501) ,'Cuadro tarifario'!A$2:A1405,0) -1 , 0 , 1 , 1))</f>
        <v>11000</v>
      </c>
      <c r="I501" s="61">
        <f t="shared" si="195"/>
        <v>3</v>
      </c>
      <c r="J501" s="60">
        <f t="shared" si="207"/>
        <v>33000</v>
      </c>
      <c r="K501" s="62">
        <f>IF(  AND(N501&gt;0,I501=0)          ,N501 ,                         IF(  IF( F501 ,  DAYS360(DATE(YEAR(F501),MONTH(F501),1),Mes)/30  ,  DAYS360(DATE(YEAR(E501),MONTH(E501),1),Mes)/30  )  &gt;  0 , IF(F501,   DAYS360(DATE(YEAR(F501),MONTH(F501),1),Mes)/30  ,  DAYS360(DATE(YEAR(E501),MONTH(E501),1),Mes)/30) , 0)       )</f>
        <v>0</v>
      </c>
      <c r="L501" s="63">
        <f t="shared" si="196"/>
        <v>0</v>
      </c>
      <c r="M501" s="129"/>
      <c r="N501" s="98">
        <f>IF( ISERROR(OFFSET(SECUESTRADOS!D$1,MATCH(B501,SECUESTRADOS!A$2:A1405,0),0)) ,0 ,  OFFSET(SECUESTRADOS!D$1,MATCH(B501,SECUESTRADOS!A$2:A1405,0),0)  )</f>
        <v>0</v>
      </c>
      <c r="O501" s="98"/>
      <c r="P501" s="98" t="str">
        <f t="shared" si="3"/>
        <v>.socio</v>
      </c>
      <c r="Q501" s="98" t="str">
        <f t="shared" si="234"/>
        <v>#REF!</v>
      </c>
      <c r="R501" s="130"/>
      <c r="S501" s="130"/>
      <c r="T501" s="130"/>
    </row>
    <row r="502" ht="15.0" customHeight="1">
      <c r="A502" s="18" t="s">
        <v>38</v>
      </c>
      <c r="B502" s="116">
        <v>1844.0</v>
      </c>
      <c r="C502" s="19">
        <v>1844.0</v>
      </c>
      <c r="D502" s="20" t="str">
        <f>IF(   ISERROR(OFFSET(PADRON!B$2,MATCH(C:C,PADRON!A$2:A1405,0)-1,0,1,1) )  ,  ,    OFFSET(PADRON!B$2,MATCH(C:C,PADRON!A$2:A1405,0)-1,0,1,1))</f>
        <v>ONZARI, GUSTAVO</v>
      </c>
      <c r="E502" s="58">
        <v>45778.0</v>
      </c>
      <c r="F502" s="133">
        <v>45870.0</v>
      </c>
      <c r="G502" s="59" t="s">
        <v>39</v>
      </c>
      <c r="H502" s="60">
        <f>IF( ISERROR( OFFSET(   'Cuadro tarifario'!D$2  , MATCH(CONCATENATE(                 IF(F502&gt;Mes,OFFSET(NroCT!B$17, MATCH($F502,NroCT!$A$18:$A1405,0),0,1,1),Periodovigente)                                                                                                                     ,A502) ,'Cuadro tarifario'!A$2:A1405,0) -1 , 0 , 1 , 1) )   , 0  ,   OFFSET(   'Cuadro tarifario'!D$2  , MATCH(CONCATENATE( IF(F502&gt;Mes,OFFSET(NroCT!B$17, MATCH($F502,NroCT!$A$18:$A1405,0),0,1,1),Periodovigente) ,A502) ,'Cuadro tarifario'!A$2:A1405,0) -1 , 0 , 1 , 1))</f>
        <v>9000</v>
      </c>
      <c r="I502" s="61">
        <f t="shared" si="195"/>
        <v>3</v>
      </c>
      <c r="J502" s="60">
        <f t="shared" si="207"/>
        <v>27000</v>
      </c>
      <c r="K502" s="62">
        <f>IF(  AND(N502&gt;0,I502=0)          ,N502 ,                         IF(  IF( F502 ,  DAYS360(DATE(YEAR(F502),MONTH(F502),1),Mes)/30  ,  DAYS360(DATE(YEAR(E502),MONTH(E502),1),Mes)/30  )  &gt;  0 , IF(F502,   DAYS360(DATE(YEAR(F502),MONTH(F502),1),Mes)/30  ,  DAYS360(DATE(YEAR(E502),MONTH(E502),1),Mes)/30) , 0)       )</f>
        <v>0</v>
      </c>
      <c r="L502" s="63">
        <f t="shared" si="196"/>
        <v>0</v>
      </c>
      <c r="M502" s="129"/>
      <c r="N502" s="132">
        <f>IF( ISERROR(OFFSET(SECUESTRADOS!D$1,MATCH(B502,SECUESTRADOS!A$2:A1405,0),0)) ,0 ,  OFFSET(SECUESTRADOS!D$1,MATCH(B502,SECUESTRADOS!A$2:A1405,0),0)  )</f>
        <v>0</v>
      </c>
      <c r="O502" s="98"/>
      <c r="P502" s="99" t="str">
        <f t="shared" si="3"/>
        <v>Bono canon</v>
      </c>
      <c r="Q502" s="99" t="str">
        <f t="shared" si="234"/>
        <v>#REF!</v>
      </c>
      <c r="R502" s="31"/>
      <c r="S502" s="31"/>
      <c r="T502" s="31"/>
    </row>
    <row r="503" ht="15.0" customHeight="1">
      <c r="A503" s="18" t="s">
        <v>40</v>
      </c>
      <c r="B503" s="116" t="s">
        <v>261</v>
      </c>
      <c r="C503" s="19">
        <v>1844.0</v>
      </c>
      <c r="D503" s="20" t="str">
        <f>IF(   ISERROR(OFFSET(PADRON!B$2,MATCH(C:C,PADRON!A$2:A1405,0)-1,0,1,1) )  ,  ,    OFFSET(PADRON!B$2,MATCH(C:C,PADRON!A$2:A1405,0)-1,0,1,1))</f>
        <v>ONZARI, GUSTAVO</v>
      </c>
      <c r="E503" s="58">
        <v>45778.0</v>
      </c>
      <c r="F503" s="133">
        <v>45870.0</v>
      </c>
      <c r="G503" s="59" t="s">
        <v>39</v>
      </c>
      <c r="H503" s="60">
        <f>IF( ISERROR( OFFSET(   'Cuadro tarifario'!D$2  , MATCH(CONCATENATE(                 IF(F503&gt;Mes,OFFSET(NroCT!B$17, MATCH($F503,NroCT!$A$18:$A1405,0),0,1,1),Periodovigente)                                                                                                                     ,A503) ,'Cuadro tarifario'!A$2:A1405,0) -1 , 0 , 1 , 1) )   , 0  ,   OFFSET(   'Cuadro tarifario'!D$2  , MATCH(CONCATENATE( IF(F503&gt;Mes,OFFSET(NroCT!B$17, MATCH($F503,NroCT!$A$18:$A1405,0),0,1,1),Periodovigente) ,A503) ,'Cuadro tarifario'!A$2:A1405,0) -1 , 0 , 1 , 1))</f>
        <v>12000</v>
      </c>
      <c r="I503" s="61">
        <f t="shared" si="195"/>
        <v>3</v>
      </c>
      <c r="J503" s="60">
        <f t="shared" si="207"/>
        <v>36000</v>
      </c>
      <c r="K503" s="62">
        <f>IF(  AND(N503&gt;0,I503=0)          ,N503 ,                         IF(  IF( F503 ,  DAYS360(DATE(YEAR(F503),MONTH(F503),1),Mes)/30  ,  DAYS360(DATE(YEAR(E503),MONTH(E503),1),Mes)/30  )  &gt;  0 , IF(F503,   DAYS360(DATE(YEAR(F503),MONTH(F503),1),Mes)/30  ,  DAYS360(DATE(YEAR(E503),MONTH(E503),1),Mes)/30) , 0)       )</f>
        <v>0</v>
      </c>
      <c r="L503" s="63">
        <f t="shared" si="196"/>
        <v>0</v>
      </c>
      <c r="M503" s="129"/>
      <c r="N503" s="132">
        <f>IF( ISERROR(OFFSET(SECUESTRADOS!D$1,MATCH(B503,SECUESTRADOS!A$2:A1405,0),0)) ,0 ,  OFFSET(SECUESTRADOS!D$1,MATCH(B503,SECUESTRADOS!A$2:A1405,0),0)  )</f>
        <v>0</v>
      </c>
      <c r="O503" s="98"/>
      <c r="P503" s="99" t="str">
        <f t="shared" si="3"/>
        <v>cuna windsurf</v>
      </c>
      <c r="Q503" s="99" t="str">
        <f t="shared" si="234"/>
        <v>#REF!</v>
      </c>
      <c r="R503" s="31"/>
      <c r="S503" s="31"/>
      <c r="T503" s="31"/>
    </row>
    <row r="504" ht="15.0" customHeight="1">
      <c r="A504" s="18" t="s">
        <v>71</v>
      </c>
      <c r="B504" s="116">
        <v>1846.0</v>
      </c>
      <c r="C504" s="19">
        <v>1846.0</v>
      </c>
      <c r="D504" s="20" t="str">
        <f>IF(   ISERROR(OFFSET(PADRON!B$2,MATCH(C:C,PADRON!A$2:A1405,0)-1,0,1,1) )  ,  ,    OFFSET(PADRON!B$2,MATCH(C:C,PADRON!A$2:A1405,0)-1,0,1,1))</f>
        <v>SPHAR, JORGE</v>
      </c>
      <c r="E504" s="58">
        <v>45839.0</v>
      </c>
      <c r="F504" s="133">
        <v>45870.0</v>
      </c>
      <c r="G504" s="60" t="s">
        <v>39</v>
      </c>
      <c r="H504" s="60">
        <f>IF( ISERROR( OFFSET(   'Cuadro tarifario'!D$2  , MATCH(CONCATENATE(                 IF(F504&gt;Mes,OFFSET(NroCT!B$17, MATCH($F504,NroCT!$A$18:$A1405,0),0,1,1),Periodovigente)                                                                                                                     ,A504) ,'Cuadro tarifario'!A$2:A1405,0) -1 , 0 , 1 , 1) )   , 0  ,   OFFSET(   'Cuadro tarifario'!D$2  , MATCH(CONCATENATE( IF(F504&gt;Mes,OFFSET(NroCT!B$17, MATCH($F504,NroCT!$A$18:$A1405,0),0,1,1),Periodovigente) ,A504) ,'Cuadro tarifario'!A$2:A1405,0) -1 , 0 , 1 , 1))</f>
        <v>11000</v>
      </c>
      <c r="I504" s="61">
        <f t="shared" si="195"/>
        <v>1</v>
      </c>
      <c r="J504" s="60">
        <f t="shared" si="207"/>
        <v>11000</v>
      </c>
      <c r="K504" s="62">
        <f>IF(  AND(N504&gt;0,I504=0)          ,N504 ,                         IF(  IF( F504 ,  DAYS360(DATE(YEAR(F504),MONTH(F504),1),Mes)/30  ,  DAYS360(DATE(YEAR(E504),MONTH(E504),1),Mes)/30  )  &gt;  0 , IF(F504,   DAYS360(DATE(YEAR(F504),MONTH(F504),1),Mes)/30  ,  DAYS360(DATE(YEAR(E504),MONTH(E504),1),Mes)/30) , 0)       )</f>
        <v>0</v>
      </c>
      <c r="L504" s="63">
        <f t="shared" si="196"/>
        <v>0</v>
      </c>
      <c r="M504" s="129"/>
      <c r="N504" s="132">
        <f>IF( ISERROR(OFFSET(SECUESTRADOS!D$1,MATCH(B504,SECUESTRADOS!A$2:A1405,0),0)) ,0 ,  OFFSET(SECUESTRADOS!D$1,MATCH(B504,SECUESTRADOS!A$2:A1405,0),0)  )</f>
        <v>0</v>
      </c>
      <c r="O504" s="98"/>
      <c r="P504" s="99" t="str">
        <f t="shared" si="3"/>
        <v>.socio</v>
      </c>
      <c r="Q504" s="99" t="str">
        <f t="shared" si="234"/>
        <v>#REF!</v>
      </c>
      <c r="R504" s="31"/>
      <c r="S504" s="31"/>
      <c r="T504" s="31"/>
    </row>
    <row r="505" ht="15.0" customHeight="1">
      <c r="A505" s="18" t="s">
        <v>38</v>
      </c>
      <c r="B505" s="116">
        <v>1846.0</v>
      </c>
      <c r="C505" s="19">
        <v>1846.0</v>
      </c>
      <c r="D505" s="20" t="str">
        <f>IF(   ISERROR(OFFSET(PADRON!B$2,MATCH(C:C,PADRON!A$2:A1405,0)-1,0,1,1) )  ,  ,    OFFSET(PADRON!B$2,MATCH(C:C,PADRON!A$2:A1405,0)-1,0,1,1))</f>
        <v>SPHAR, JORGE</v>
      </c>
      <c r="E505" s="58">
        <v>45839.0</v>
      </c>
      <c r="F505" s="134">
        <v>45870.0</v>
      </c>
      <c r="G505" s="60" t="s">
        <v>39</v>
      </c>
      <c r="H505" s="60">
        <f>IF( ISERROR( OFFSET(   'Cuadro tarifario'!D$2  , MATCH(CONCATENATE(                 IF(F505&gt;Mes,OFFSET(NroCT!B$17, MATCH($F505,NroCT!$A$18:$A1405,0),0,1,1),Periodovigente)                                                                                                                     ,A505) ,'Cuadro tarifario'!A$2:A1405,0) -1 , 0 , 1 , 1) )   , 0  ,   OFFSET(   'Cuadro tarifario'!D$2  , MATCH(CONCATENATE( IF(F505&gt;Mes,OFFSET(NroCT!B$17, MATCH($F505,NroCT!$A$18:$A1405,0),0,1,1),Periodovigente) ,A505) ,'Cuadro tarifario'!A$2:A1405,0) -1 , 0 , 1 , 1))</f>
        <v>9000</v>
      </c>
      <c r="I505" s="61">
        <f t="shared" si="195"/>
        <v>1</v>
      </c>
      <c r="J505" s="60">
        <f t="shared" si="207"/>
        <v>9000</v>
      </c>
      <c r="K505" s="62">
        <f>IF(  AND(N505&gt;0,I505=0)          ,N505 ,                         IF(  IF( F505 ,  DAYS360(DATE(YEAR(F505),MONTH(F505),1),Mes)/30  ,  DAYS360(DATE(YEAR(E505),MONTH(E505),1),Mes)/30  )  &gt;  0 , IF(F505,   DAYS360(DATE(YEAR(F505),MONTH(F505),1),Mes)/30  ,  DAYS360(DATE(YEAR(E505),MONTH(E505),1),Mes)/30) , 0)       )</f>
        <v>0</v>
      </c>
      <c r="L505" s="63">
        <f t="shared" si="196"/>
        <v>0</v>
      </c>
      <c r="M505" s="129"/>
      <c r="N505" s="98">
        <f>IF( ISERROR(OFFSET(SECUESTRADOS!D$1,MATCH(B505,SECUESTRADOS!A$2:A1405,0),0)) ,0 ,  OFFSET(SECUESTRADOS!D$1,MATCH(B505,SECUESTRADOS!A$2:A1405,0),0)  )</f>
        <v>0</v>
      </c>
      <c r="O505" s="98"/>
      <c r="P505" s="98" t="str">
        <f t="shared" si="3"/>
        <v>Bono canon</v>
      </c>
      <c r="Q505" s="98" t="str">
        <f t="shared" si="234"/>
        <v>#REF!</v>
      </c>
      <c r="R505" s="130"/>
      <c r="S505" s="130"/>
      <c r="T505" s="130"/>
    </row>
    <row r="506" ht="15.0" customHeight="1">
      <c r="A506" s="18" t="s">
        <v>40</v>
      </c>
      <c r="B506" s="116" t="s">
        <v>262</v>
      </c>
      <c r="C506" s="19">
        <v>1846.0</v>
      </c>
      <c r="D506" s="20" t="str">
        <f>IF(   ISERROR(OFFSET(PADRON!B$2,MATCH(C:C,PADRON!A$2:A1405,0)-1,0,1,1) )  ,  ,    OFFSET(PADRON!B$2,MATCH(C:C,PADRON!A$2:A1405,0)-1,0,1,1))</f>
        <v>SPHAR, JORGE</v>
      </c>
      <c r="E506" s="58">
        <v>45839.0</v>
      </c>
      <c r="F506" s="134">
        <v>45870.0</v>
      </c>
      <c r="G506" s="60" t="s">
        <v>39</v>
      </c>
      <c r="H506" s="60">
        <f>IF( ISERROR( OFFSET(   'Cuadro tarifario'!D$2  , MATCH(CONCATENATE(                 IF(F506&gt;Mes,OFFSET(NroCT!B$17, MATCH($F506,NroCT!$A$18:$A1405,0),0,1,1),Periodovigente)                                                                                                                     ,A506) ,'Cuadro tarifario'!A$2:A1405,0) -1 , 0 , 1 , 1) )   , 0  ,   OFFSET(   'Cuadro tarifario'!D$2  , MATCH(CONCATENATE( IF(F506&gt;Mes,OFFSET(NroCT!B$17, MATCH($F506,NroCT!$A$18:$A1405,0),0,1,1),Periodovigente) ,A506) ,'Cuadro tarifario'!A$2:A1405,0) -1 , 0 , 1 , 1))</f>
        <v>12000</v>
      </c>
      <c r="I506" s="61">
        <f t="shared" si="195"/>
        <v>1</v>
      </c>
      <c r="J506" s="60">
        <f t="shared" si="207"/>
        <v>12000</v>
      </c>
      <c r="K506" s="62">
        <f>IF(  AND(N506&gt;0,I506=0)          ,N506 ,                         IF(  IF( F506 ,  DAYS360(DATE(YEAR(F506),MONTH(F506),1),Mes)/30  ,  DAYS360(DATE(YEAR(E506),MONTH(E506),1),Mes)/30  )  &gt;  0 , IF(F506,   DAYS360(DATE(YEAR(F506),MONTH(F506),1),Mes)/30  ,  DAYS360(DATE(YEAR(E506),MONTH(E506),1),Mes)/30) , 0)       )</f>
        <v>0</v>
      </c>
      <c r="L506" s="63">
        <f t="shared" si="196"/>
        <v>0</v>
      </c>
      <c r="M506" s="129"/>
      <c r="N506" s="98">
        <f>IF( ISERROR(OFFSET(SECUESTRADOS!D$1,MATCH(B506,SECUESTRADOS!A$2:A1405,0),0)) ,0 ,  OFFSET(SECUESTRADOS!D$1,MATCH(B506,SECUESTRADOS!A$2:A1405,0),0)  )</f>
        <v>0</v>
      </c>
      <c r="O506" s="98"/>
      <c r="P506" s="98" t="str">
        <f t="shared" si="3"/>
        <v>cuna windsurf</v>
      </c>
      <c r="Q506" s="98" t="str">
        <f t="shared" si="234"/>
        <v>#REF!</v>
      </c>
      <c r="R506" s="130"/>
      <c r="S506" s="130"/>
      <c r="T506" s="130"/>
    </row>
    <row r="507" ht="15.0" customHeight="1">
      <c r="A507" s="18" t="s">
        <v>71</v>
      </c>
      <c r="B507" s="116">
        <v>1856.0</v>
      </c>
      <c r="C507" s="19">
        <v>1856.0</v>
      </c>
      <c r="D507" s="20" t="str">
        <f>IF(   ISERROR(OFFSET(PADRON!B$2,MATCH(C:C,PADRON!A$2:A1405,0)-1,0,1,1) )  ,  ,    OFFSET(PADRON!B$2,MATCH(C:C,PADRON!A$2:A1405,0)-1,0,1,1))</f>
        <v>HERNANDEZ, MAXIMILIANO</v>
      </c>
      <c r="E507" s="58">
        <v>45839.0</v>
      </c>
      <c r="F507" s="134">
        <v>45870.0</v>
      </c>
      <c r="G507" s="60" t="s">
        <v>39</v>
      </c>
      <c r="H507" s="60">
        <f>IF( ISERROR( OFFSET(   'Cuadro tarifario'!D$2  , MATCH(CONCATENATE(                 IF(F507&gt;Mes,OFFSET(NroCT!B$17, MATCH($F507,NroCT!$A$18:$A1405,0),0,1,1),Periodovigente)                                                                                                                     ,A507) ,'Cuadro tarifario'!A$2:A1405,0) -1 , 0 , 1 , 1) )   , 0  ,   OFFSET(   'Cuadro tarifario'!D$2  , MATCH(CONCATENATE( IF(F507&gt;Mes,OFFSET(NroCT!B$17, MATCH($F507,NroCT!$A$18:$A1405,0),0,1,1),Periodovigente) ,A507) ,'Cuadro tarifario'!A$2:A1405,0) -1 , 0 , 1 , 1))</f>
        <v>11000</v>
      </c>
      <c r="I507" s="61">
        <f t="shared" si="195"/>
        <v>1</v>
      </c>
      <c r="J507" s="60">
        <f t="shared" si="207"/>
        <v>11000</v>
      </c>
      <c r="K507" s="62">
        <f>IF(  AND(N507&gt;0,I507=0)          ,N507 ,                         IF(  IF( F507 ,  DAYS360(DATE(YEAR(F507),MONTH(F507),1),Mes)/30  ,  DAYS360(DATE(YEAR(E507),MONTH(E507),1),Mes)/30  )  &gt;  0 , IF(F507,   DAYS360(DATE(YEAR(F507),MONTH(F507),1),Mes)/30  ,  DAYS360(DATE(YEAR(E507),MONTH(E507),1),Mes)/30) , 0)       )</f>
        <v>0</v>
      </c>
      <c r="L507" s="63">
        <f t="shared" si="196"/>
        <v>0</v>
      </c>
      <c r="M507" s="129"/>
      <c r="N507" s="98">
        <f>IF( ISERROR(OFFSET(SECUESTRADOS!D$1,MATCH(B507,SECUESTRADOS!A$2:A1405,0),0)) ,0 ,  OFFSET(SECUESTRADOS!D$1,MATCH(B507,SECUESTRADOS!A$2:A1405,0),0)  )</f>
        <v>0</v>
      </c>
      <c r="O507" s="98"/>
      <c r="P507" s="98" t="str">
        <f t="shared" si="3"/>
        <v>.socio</v>
      </c>
      <c r="Q507" s="98" t="str">
        <f t="shared" si="234"/>
        <v>#REF!</v>
      </c>
      <c r="R507" s="130"/>
      <c r="S507" s="130"/>
      <c r="T507" s="130"/>
    </row>
    <row r="508" ht="15.0" customHeight="1">
      <c r="A508" s="18" t="s">
        <v>38</v>
      </c>
      <c r="B508" s="116">
        <v>1856.0</v>
      </c>
      <c r="C508" s="19">
        <v>1856.0</v>
      </c>
      <c r="D508" s="20" t="str">
        <f>IF(   ISERROR(OFFSET(PADRON!B$2,MATCH(C:C,PADRON!A$2:A1405,0)-1,0,1,1) )  ,  ,    OFFSET(PADRON!B$2,MATCH(C:C,PADRON!A$2:A1405,0)-1,0,1,1))</f>
        <v>HERNANDEZ, MAXIMILIANO</v>
      </c>
      <c r="E508" s="58">
        <v>45839.0</v>
      </c>
      <c r="F508" s="134">
        <v>45870.0</v>
      </c>
      <c r="G508" s="60" t="s">
        <v>39</v>
      </c>
      <c r="H508" s="60">
        <f>IF( ISERROR( OFFSET(   'Cuadro tarifario'!D$2  , MATCH(CONCATENATE(                 IF(F508&gt;Mes,OFFSET(NroCT!B$17, MATCH($F508,NroCT!$A$18:$A1405,0),0,1,1),Periodovigente)                                                                                                                     ,A508) ,'Cuadro tarifario'!A$2:A1405,0) -1 , 0 , 1 , 1) )   , 0  ,   OFFSET(   'Cuadro tarifario'!D$2  , MATCH(CONCATENATE( IF(F508&gt;Mes,OFFSET(NroCT!B$17, MATCH($F508,NroCT!$A$18:$A1405,0),0,1,1),Periodovigente) ,A508) ,'Cuadro tarifario'!A$2:A1405,0) -1 , 0 , 1 , 1))</f>
        <v>9000</v>
      </c>
      <c r="I508" s="61">
        <f t="shared" si="195"/>
        <v>1</v>
      </c>
      <c r="J508" s="60">
        <f t="shared" si="207"/>
        <v>9000</v>
      </c>
      <c r="K508" s="62">
        <f>IF(  AND(N508&gt;0,I508=0)          ,N508 ,                         IF(  IF( F508 ,  DAYS360(DATE(YEAR(F508),MONTH(F508),1),Mes)/30  ,  DAYS360(DATE(YEAR(E508),MONTH(E508),1),Mes)/30  )  &gt;  0 , IF(F508,   DAYS360(DATE(YEAR(F508),MONTH(F508),1),Mes)/30  ,  DAYS360(DATE(YEAR(E508),MONTH(E508),1),Mes)/30) , 0)       )</f>
        <v>0</v>
      </c>
      <c r="L508" s="63">
        <f t="shared" si="196"/>
        <v>0</v>
      </c>
      <c r="M508" s="129"/>
      <c r="N508" s="98">
        <f>IF( ISERROR(OFFSET(SECUESTRADOS!D$1,MATCH(B508,SECUESTRADOS!A$2:A1405,0),0)) ,0 ,  OFFSET(SECUESTRADOS!D$1,MATCH(B508,SECUESTRADOS!A$2:A1405,0),0)  )</f>
        <v>0</v>
      </c>
      <c r="O508" s="98"/>
      <c r="P508" s="98" t="str">
        <f t="shared" si="3"/>
        <v>Bono canon</v>
      </c>
      <c r="Q508" s="98" t="str">
        <f t="shared" si="234"/>
        <v>#REF!</v>
      </c>
      <c r="R508" s="130"/>
      <c r="S508" s="130"/>
      <c r="T508" s="130"/>
    </row>
    <row r="509" ht="15.0" customHeight="1">
      <c r="A509" s="18" t="s">
        <v>48</v>
      </c>
      <c r="B509" s="116" t="s">
        <v>263</v>
      </c>
      <c r="C509" s="19">
        <v>1856.0</v>
      </c>
      <c r="D509" s="20" t="str">
        <f>IF(   ISERROR(OFFSET(PADRON!B$2,MATCH(C:C,PADRON!A$2:A1405,0)-1,0,1,1) )  ,  ,    OFFSET(PADRON!B$2,MATCH(C:C,PADRON!A$2:A1405,0)-1,0,1,1))</f>
        <v>HERNANDEZ, MAXIMILIANO</v>
      </c>
      <c r="E509" s="58">
        <v>45839.0</v>
      </c>
      <c r="F509" s="134">
        <v>45870.0</v>
      </c>
      <c r="G509" s="60" t="s">
        <v>39</v>
      </c>
      <c r="H509" s="60">
        <f>IF( ISERROR( OFFSET(   'Cuadro tarifario'!D$2  , MATCH(CONCATENATE(                 IF(F509&gt;Mes,OFFSET(NroCT!B$17, MATCH($F509,NroCT!$A$18:$A1405,0),0,1,1),Periodovigente)                                                                                                                     ,A509) ,'Cuadro tarifario'!A$2:A1405,0) -1 , 0 , 1 , 1) )   , 0  ,   OFFSET(   'Cuadro tarifario'!D$2  , MATCH(CONCATENATE( IF(F509&gt;Mes,OFFSET(NroCT!B$17, MATCH($F509,NroCT!$A$18:$A1405,0),0,1,1),Periodovigente) ,A509) ,'Cuadro tarifario'!A$2:A1405,0) -1 , 0 , 1 , 1))</f>
        <v>12000</v>
      </c>
      <c r="I509" s="61">
        <f t="shared" si="195"/>
        <v>1</v>
      </c>
      <c r="J509" s="60">
        <f t="shared" si="207"/>
        <v>12000</v>
      </c>
      <c r="K509" s="62">
        <f>IF(  AND(N509&gt;0,I509=0)          ,N509 ,                         IF(  IF( F509 ,  DAYS360(DATE(YEAR(F509),MONTH(F509),1),Mes)/30  ,  DAYS360(DATE(YEAR(E509),MONTH(E509),1),Mes)/30  )  &gt;  0 , IF(F509,   DAYS360(DATE(YEAR(F509),MONTH(F509),1),Mes)/30  ,  DAYS360(DATE(YEAR(E509),MONTH(E509),1),Mes)/30) , 0)       )</f>
        <v>0</v>
      </c>
      <c r="L509" s="63">
        <f t="shared" si="196"/>
        <v>0</v>
      </c>
      <c r="M509" s="129"/>
      <c r="N509" s="98">
        <f>IF( ISERROR(OFFSET(SECUESTRADOS!D$1,MATCH(B509,SECUESTRADOS!A$2:A1405,0),0)) ,0 ,  OFFSET(SECUESTRADOS!D$1,MATCH(B509,SECUESTRADOS!A$2:A1405,0),0)  )</f>
        <v>0</v>
      </c>
      <c r="O509" s="98"/>
      <c r="P509" s="98" t="str">
        <f t="shared" si="3"/>
        <v>velero</v>
      </c>
      <c r="Q509" s="98" t="str">
        <f t="shared" si="234"/>
        <v>#REF!</v>
      </c>
      <c r="R509" s="130"/>
      <c r="S509" s="130"/>
      <c r="T509" s="130"/>
    </row>
    <row r="510" ht="15.0" customHeight="1">
      <c r="A510" s="18" t="s">
        <v>50</v>
      </c>
      <c r="B510" s="116" t="s">
        <v>150</v>
      </c>
      <c r="C510" s="19">
        <v>1856.0</v>
      </c>
      <c r="D510" s="20" t="str">
        <f>IF(   ISERROR(OFFSET(PADRON!B$2,MATCH(C:C,PADRON!A$2:A1405,0)-1,0,1,1) )  ,  ,    OFFSET(PADRON!B$2,MATCH(C:C,PADRON!A$2:A1405,0)-1,0,1,1))</f>
        <v>HERNANDEZ, MAXIMILIANO</v>
      </c>
      <c r="E510" s="58">
        <v>45992.0</v>
      </c>
      <c r="F510" s="134"/>
      <c r="G510" s="60" t="s">
        <v>39</v>
      </c>
      <c r="H510" s="60">
        <f>IF( ISERROR( OFFSET(   'Cuadro tarifario'!D$2  , MATCH(CONCATENATE(                 IF(F510&gt;Mes,OFFSET(NroCT!B$17, MATCH($F510,NroCT!$A$18:$A1405,0),0,1,1),Periodovigente)                                                                                                                     ,A510) ,'Cuadro tarifario'!A$2:A1405,0) -1 , 0 , 1 , 1) )   , 0  ,   OFFSET(   'Cuadro tarifario'!D$2  , MATCH(CONCATENATE( IF(F510&gt;Mes,OFFSET(NroCT!B$17, MATCH($F510,NroCT!$A$18:$A1405,0),0,1,1),Periodovigente) ,A510) ,'Cuadro tarifario'!A$2:A1405,0) -1 , 0 , 1 , 1))</f>
        <v>3600</v>
      </c>
      <c r="I510" s="61">
        <f t="shared" si="195"/>
        <v>0</v>
      </c>
      <c r="J510" s="60">
        <f t="shared" si="207"/>
        <v>0</v>
      </c>
      <c r="K510" s="62">
        <f>IF(  AND(N510&gt;0,I510=0)          ,N510 ,                         IF(  IF( F510 ,  DAYS360(DATE(YEAR(F510),MONTH(F510),1),Mes)/30  ,  DAYS360(DATE(YEAR(E510),MONTH(E510),1),Mes)/30  )  &gt;  0 , IF(F510,   DAYS360(DATE(YEAR(F510),MONTH(F510),1),Mes)/30  ,  DAYS360(DATE(YEAR(E510),MONTH(E510),1),Mes)/30) , 0)       )</f>
        <v>0</v>
      </c>
      <c r="L510" s="63">
        <f t="shared" si="196"/>
        <v>0</v>
      </c>
      <c r="M510" s="129"/>
      <c r="N510" s="98">
        <f>IF( ISERROR(OFFSET(SECUESTRADOS!D$1,MATCH(B510,SECUESTRADOS!A$2:A1405,0),0)) ,0 ,  OFFSET(SECUESTRADOS!D$1,MATCH(B510,SECUESTRADOS!A$2:A1405,0),0)  )</f>
        <v>0</v>
      </c>
      <c r="O510" s="98"/>
      <c r="P510" s="98" t="b">
        <f t="shared" si="3"/>
        <v>0</v>
      </c>
      <c r="Q510" s="98" t="str">
        <f t="shared" si="234"/>
        <v>#REF!</v>
      </c>
      <c r="R510" s="130"/>
      <c r="S510" s="130"/>
      <c r="T510" s="130"/>
    </row>
    <row r="511" ht="15.0" customHeight="1">
      <c r="A511" s="18" t="s">
        <v>71</v>
      </c>
      <c r="B511" s="116">
        <v>1858.0</v>
      </c>
      <c r="C511" s="19">
        <v>1858.0</v>
      </c>
      <c r="D511" s="20" t="str">
        <f>IF(   ISERROR(OFFSET(PADRON!B$2,MATCH(C:C,PADRON!A$2:A1405,0)-1,0,1,1) )  ,  ,    OFFSET(PADRON!B$2,MATCH(C:C,PADRON!A$2:A1405,0)-1,0,1,1))</f>
        <v>MIRENDA LOPEZ, LAURA</v>
      </c>
      <c r="E511" s="58">
        <v>45839.0</v>
      </c>
      <c r="F511" s="134">
        <v>45870.0</v>
      </c>
      <c r="G511" s="59" t="s">
        <v>56</v>
      </c>
      <c r="H511" s="60">
        <f>IF( ISERROR( OFFSET(   'Cuadro tarifario'!D$2  , MATCH(CONCATENATE(                 IF(F511&gt;Mes,OFFSET(NroCT!B$17, MATCH($F511,NroCT!$A$18:$A1405,0),0,1,1),Periodovigente)                                                                                                                     ,A511) ,'Cuadro tarifario'!A$2:A1405,0) -1 , 0 , 1 , 1) )   , 0  ,   OFFSET(   'Cuadro tarifario'!D$2  , MATCH(CONCATENATE( IF(F511&gt;Mes,OFFSET(NroCT!B$17, MATCH($F511,NroCT!$A$18:$A1405,0),0,1,1),Periodovigente) ,A511) ,'Cuadro tarifario'!A$2:A1405,0) -1 , 0 , 1 , 1))</f>
        <v>11000</v>
      </c>
      <c r="I511" s="61">
        <f t="shared" si="195"/>
        <v>1</v>
      </c>
      <c r="J511" s="60">
        <f t="shared" si="207"/>
        <v>11000</v>
      </c>
      <c r="K511" s="62">
        <f>IF(  AND(N511&gt;0,I511=0)          ,N511 ,                         IF(  IF( F511 ,  DAYS360(DATE(YEAR(F511),MONTH(F511),1),Mes)/30  ,  DAYS360(DATE(YEAR(E511),MONTH(E511),1),Mes)/30  )  &gt;  0 , IF(F511,   DAYS360(DATE(YEAR(F511),MONTH(F511),1),Mes)/30  ,  DAYS360(DATE(YEAR(E511),MONTH(E511),1),Mes)/30) , 0)       )</f>
        <v>0</v>
      </c>
      <c r="L511" s="63">
        <f t="shared" si="196"/>
        <v>0</v>
      </c>
      <c r="M511" s="129"/>
      <c r="N511" s="98">
        <f>IF( ISERROR(OFFSET(SECUESTRADOS!D$1,MATCH(B511,SECUESTRADOS!A$2:A1405,0),0)) ,0 ,  OFFSET(SECUESTRADOS!D$1,MATCH(B511,SECUESTRADOS!A$2:A1405,0),0)  )</f>
        <v>0</v>
      </c>
      <c r="O511" s="98"/>
      <c r="P511" s="98" t="str">
        <f t="shared" si="3"/>
        <v>.socio</v>
      </c>
      <c r="Q511" s="98" t="str">
        <f t="shared" si="234"/>
        <v>#REF!</v>
      </c>
      <c r="R511" s="130"/>
      <c r="S511" s="130"/>
      <c r="T511" s="130"/>
    </row>
    <row r="512" ht="15.0" customHeight="1">
      <c r="A512" s="18" t="s">
        <v>38</v>
      </c>
      <c r="B512" s="116">
        <v>1858.0</v>
      </c>
      <c r="C512" s="19">
        <v>1858.0</v>
      </c>
      <c r="D512" s="20" t="str">
        <f>IF(   ISERROR(OFFSET(PADRON!B$2,MATCH(C:C,PADRON!A$2:A1405,0)-1,0,1,1) )  ,  ,    OFFSET(PADRON!B$2,MATCH(C:C,PADRON!A$2:A1405,0)-1,0,1,1))</f>
        <v>MIRENDA LOPEZ, LAURA</v>
      </c>
      <c r="E512" s="58">
        <v>45839.0</v>
      </c>
      <c r="F512" s="134">
        <v>45870.0</v>
      </c>
      <c r="G512" s="128" t="s">
        <v>56</v>
      </c>
      <c r="H512" s="60">
        <f>IF( ISERROR( OFFSET(   'Cuadro tarifario'!D$2  , MATCH(CONCATENATE(                 IF(F512&gt;Mes,OFFSET(NroCT!B$17, MATCH($F512,NroCT!$A$18:$A1405,0),0,1,1),Periodovigente)                                                                                                                     ,A512) ,'Cuadro tarifario'!A$2:A1405,0) -1 , 0 , 1 , 1) )   , 0  ,   OFFSET(   'Cuadro tarifario'!D$2  , MATCH(CONCATENATE( IF(F512&gt;Mes,OFFSET(NroCT!B$17, MATCH($F512,NroCT!$A$18:$A1405,0),0,1,1),Periodovigente) ,A512) ,'Cuadro tarifario'!A$2:A1405,0) -1 , 0 , 1 , 1))</f>
        <v>9000</v>
      </c>
      <c r="I512" s="61">
        <f t="shared" si="195"/>
        <v>1</v>
      </c>
      <c r="J512" s="60">
        <f t="shared" si="207"/>
        <v>9000</v>
      </c>
      <c r="K512" s="62">
        <f>IF(  AND(N512&gt;0,I512=0)          ,N512 ,                         IF(  IF( F512 ,  DAYS360(DATE(YEAR(F512),MONTH(F512),1),Mes)/30  ,  DAYS360(DATE(YEAR(E512),MONTH(E512),1),Mes)/30  )  &gt;  0 , IF(F512,   DAYS360(DATE(YEAR(F512),MONTH(F512),1),Mes)/30  ,  DAYS360(DATE(YEAR(E512),MONTH(E512),1),Mes)/30) , 0)       )</f>
        <v>0</v>
      </c>
      <c r="L512" s="63">
        <f t="shared" si="196"/>
        <v>0</v>
      </c>
      <c r="M512" s="129"/>
      <c r="N512" s="98">
        <f>IF( ISERROR(OFFSET(SECUESTRADOS!D$1,MATCH(B512,SECUESTRADOS!A$2:A1405,0),0)) ,0 ,  OFFSET(SECUESTRADOS!D$1,MATCH(B512,SECUESTRADOS!A$2:A1405,0),0)  )</f>
        <v>0</v>
      </c>
      <c r="O512" s="98"/>
      <c r="P512" s="98" t="str">
        <f t="shared" si="3"/>
        <v>Bono canon</v>
      </c>
      <c r="Q512" s="98" t="str">
        <f t="shared" si="234"/>
        <v>#REF!</v>
      </c>
      <c r="R512" s="130"/>
      <c r="S512" s="130"/>
      <c r="T512" s="130"/>
    </row>
    <row r="513" ht="15.0" customHeight="1">
      <c r="A513" s="18" t="s">
        <v>71</v>
      </c>
      <c r="B513" s="116">
        <v>1859.0</v>
      </c>
      <c r="C513" s="19">
        <v>1859.0</v>
      </c>
      <c r="D513" s="20" t="str">
        <f>IF(   ISERROR(OFFSET(PADRON!B$2,MATCH(C:C,PADRON!A$2:A1405,0)-1,0,1,1) )  ,  ,    OFFSET(PADRON!B$2,MATCH(C:C,PADRON!A$2:A1405,0)-1,0,1,1))</f>
        <v>CALVELO, MARIA JULIETA</v>
      </c>
      <c r="E513" s="58">
        <v>45839.0</v>
      </c>
      <c r="F513" s="134">
        <v>45870.0</v>
      </c>
      <c r="G513" s="60" t="s">
        <v>39</v>
      </c>
      <c r="H513" s="60">
        <f>IF( ISERROR( OFFSET(   'Cuadro tarifario'!D$2  , MATCH(CONCATENATE(                 IF(F513&gt;Mes,OFFSET(NroCT!B$17, MATCH($F513,NroCT!$A$18:$A1405,0),0,1,1),Periodovigente)                                                                                                                     ,A513) ,'Cuadro tarifario'!A$2:A1405,0) -1 , 0 , 1 , 1) )   , 0  ,   OFFSET(   'Cuadro tarifario'!D$2  , MATCH(CONCATENATE( IF(F513&gt;Mes,OFFSET(NroCT!B$17, MATCH($F513,NroCT!$A$18:$A1405,0),0,1,1),Periodovigente) ,A513) ,'Cuadro tarifario'!A$2:A1405,0) -1 , 0 , 1 , 1))</f>
        <v>11000</v>
      </c>
      <c r="I513" s="61">
        <f t="shared" si="195"/>
        <v>1</v>
      </c>
      <c r="J513" s="60">
        <f t="shared" si="207"/>
        <v>11000</v>
      </c>
      <c r="K513" s="62">
        <f>IF(  AND(N513&gt;0,I513=0)          ,N513 ,                         IF(  IF( F513 ,  DAYS360(DATE(YEAR(F513),MONTH(F513),1),Mes)/30  ,  DAYS360(DATE(YEAR(E513),MONTH(E513),1),Mes)/30  )  &gt;  0 , IF(F513,   DAYS360(DATE(YEAR(F513),MONTH(F513),1),Mes)/30  ,  DAYS360(DATE(YEAR(E513),MONTH(E513),1),Mes)/30) , 0)       )</f>
        <v>0</v>
      </c>
      <c r="L513" s="63">
        <f t="shared" si="196"/>
        <v>0</v>
      </c>
      <c r="M513" s="129"/>
      <c r="N513" s="98">
        <f>IF( ISERROR(OFFSET(SECUESTRADOS!D$1,MATCH(B513,SECUESTRADOS!A$2:A1405,0),0)) ,0 ,  OFFSET(SECUESTRADOS!D$1,MATCH(B513,SECUESTRADOS!A$2:A1405,0),0)  )</f>
        <v>0</v>
      </c>
      <c r="O513" s="98"/>
      <c r="P513" s="98" t="str">
        <f t="shared" si="3"/>
        <v>.socio</v>
      </c>
      <c r="Q513" s="98" t="str">
        <f t="shared" si="234"/>
        <v>#REF!</v>
      </c>
      <c r="R513" s="130"/>
      <c r="S513" s="130"/>
      <c r="T513" s="130"/>
    </row>
    <row r="514" ht="15.0" customHeight="1">
      <c r="A514" s="18" t="s">
        <v>38</v>
      </c>
      <c r="B514" s="116">
        <v>1859.0</v>
      </c>
      <c r="C514" s="19">
        <v>1859.0</v>
      </c>
      <c r="D514" s="20" t="str">
        <f>IF(   ISERROR(OFFSET(PADRON!B$2,MATCH(C:C,PADRON!A$2:A1405,0)-1,0,1,1) )  ,  ,    OFFSET(PADRON!B$2,MATCH(C:C,PADRON!A$2:A1405,0)-1,0,1,1))</f>
        <v>CALVELO, MARIA JULIETA</v>
      </c>
      <c r="E514" s="58">
        <v>45839.0</v>
      </c>
      <c r="F514" s="134">
        <v>45870.0</v>
      </c>
      <c r="G514" s="60" t="s">
        <v>39</v>
      </c>
      <c r="H514" s="60">
        <f>IF( ISERROR( OFFSET(   'Cuadro tarifario'!D$2  , MATCH(CONCATENATE(                 IF(F514&gt;Mes,OFFSET(NroCT!B$17, MATCH($F514,NroCT!$A$18:$A1405,0),0,1,1),Periodovigente)                                                                                                                     ,A514) ,'Cuadro tarifario'!A$2:A1405,0) -1 , 0 , 1 , 1) )   , 0  ,   OFFSET(   'Cuadro tarifario'!D$2  , MATCH(CONCATENATE( IF(F514&gt;Mes,OFFSET(NroCT!B$17, MATCH($F514,NroCT!$A$18:$A1405,0),0,1,1),Periodovigente) ,A514) ,'Cuadro tarifario'!A$2:A1405,0) -1 , 0 , 1 , 1))</f>
        <v>9000</v>
      </c>
      <c r="I514" s="61">
        <f t="shared" si="195"/>
        <v>1</v>
      </c>
      <c r="J514" s="60">
        <f t="shared" si="207"/>
        <v>9000</v>
      </c>
      <c r="K514" s="62">
        <f>IF(  AND(N514&gt;0,I514=0)          ,N514 ,                         IF(  IF( F514 ,  DAYS360(DATE(YEAR(F514),MONTH(F514),1),Mes)/30  ,  DAYS360(DATE(YEAR(E514),MONTH(E514),1),Mes)/30  )  &gt;  0 , IF(F514,   DAYS360(DATE(YEAR(F514),MONTH(F514),1),Mes)/30  ,  DAYS360(DATE(YEAR(E514),MONTH(E514),1),Mes)/30) , 0)       )</f>
        <v>0</v>
      </c>
      <c r="L514" s="63">
        <f t="shared" si="196"/>
        <v>0</v>
      </c>
      <c r="M514" s="129"/>
      <c r="N514" s="98">
        <f>IF( ISERROR(OFFSET(SECUESTRADOS!D$1,MATCH(B514,SECUESTRADOS!A$2:A1405,0),0)) ,0 ,  OFFSET(SECUESTRADOS!D$1,MATCH(B514,SECUESTRADOS!A$2:A1405,0),0)  )</f>
        <v>0</v>
      </c>
      <c r="O514" s="98"/>
      <c r="P514" s="98" t="str">
        <f t="shared" si="3"/>
        <v>Bono canon</v>
      </c>
      <c r="Q514" s="98" t="str">
        <f t="shared" si="234"/>
        <v>#REF!</v>
      </c>
      <c r="R514" s="130"/>
      <c r="S514" s="130"/>
      <c r="T514" s="130"/>
    </row>
    <row r="515" ht="15.0" customHeight="1">
      <c r="A515" s="18" t="s">
        <v>40</v>
      </c>
      <c r="B515" s="116" t="s">
        <v>264</v>
      </c>
      <c r="C515" s="19">
        <v>1859.0</v>
      </c>
      <c r="D515" s="20" t="str">
        <f>IF(   ISERROR(OFFSET(PADRON!B$2,MATCH(C:C,PADRON!A$2:A1405,0)-1,0,1,1) )  ,  ,    OFFSET(PADRON!B$2,MATCH(C:C,PADRON!A$2:A1405,0)-1,0,1,1))</f>
        <v>CALVELO, MARIA JULIETA</v>
      </c>
      <c r="E515" s="58">
        <v>45839.0</v>
      </c>
      <c r="F515" s="134">
        <v>45870.0</v>
      </c>
      <c r="G515" s="60" t="s">
        <v>39</v>
      </c>
      <c r="H515" s="60">
        <f>IF( ISERROR( OFFSET(   'Cuadro tarifario'!D$2  , MATCH(CONCATENATE(                 IF(F515&gt;Mes,OFFSET(NroCT!B$17, MATCH($F515,NroCT!$A$18:$A1405,0),0,1,1),Periodovigente)                                                                                                                     ,A515) ,'Cuadro tarifario'!A$2:A1405,0) -1 , 0 , 1 , 1) )   , 0  ,   OFFSET(   'Cuadro tarifario'!D$2  , MATCH(CONCATENATE( IF(F515&gt;Mes,OFFSET(NroCT!B$17, MATCH($F515,NroCT!$A$18:$A1405,0),0,1,1),Periodovigente) ,A515) ,'Cuadro tarifario'!A$2:A1405,0) -1 , 0 , 1 , 1))</f>
        <v>12000</v>
      </c>
      <c r="I515" s="61">
        <f t="shared" si="195"/>
        <v>1</v>
      </c>
      <c r="J515" s="60">
        <f t="shared" si="207"/>
        <v>12000</v>
      </c>
      <c r="K515" s="62">
        <f>IF(  AND(N515&gt;0,I515=0)          ,N515 ,                         IF(  IF( F515 ,  DAYS360(DATE(YEAR(F515),MONTH(F515),1),Mes)/30  ,  DAYS360(DATE(YEAR(E515),MONTH(E515),1),Mes)/30  )  &gt;  0 , IF(F515,   DAYS360(DATE(YEAR(F515),MONTH(F515),1),Mes)/30  ,  DAYS360(DATE(YEAR(E515),MONTH(E515),1),Mes)/30) , 0)       )</f>
        <v>0</v>
      </c>
      <c r="L515" s="63">
        <f t="shared" si="196"/>
        <v>0</v>
      </c>
      <c r="M515" s="129"/>
      <c r="N515" s="98">
        <f>IF( ISERROR(OFFSET(SECUESTRADOS!D$1,MATCH(B515,SECUESTRADOS!A$2:A1405,0),0)) ,0 ,  OFFSET(SECUESTRADOS!D$1,MATCH(B515,SECUESTRADOS!A$2:A1405,0),0)  )</f>
        <v>0</v>
      </c>
      <c r="O515" s="98"/>
      <c r="P515" s="98" t="str">
        <f t="shared" si="3"/>
        <v>cuna windsurf</v>
      </c>
      <c r="Q515" s="98" t="str">
        <f t="shared" si="234"/>
        <v>#REF!</v>
      </c>
      <c r="R515" s="130"/>
      <c r="S515" s="130"/>
      <c r="T515" s="130"/>
    </row>
    <row r="516" ht="15.0" customHeight="1">
      <c r="A516" s="18" t="s">
        <v>71</v>
      </c>
      <c r="B516" s="116">
        <v>1863.0</v>
      </c>
      <c r="C516" s="19">
        <v>1863.0</v>
      </c>
      <c r="D516" s="20" t="str">
        <f>IF(   ISERROR(OFFSET(PADRON!B$2,MATCH(C:C,PADRON!A$2:A1405,0)-1,0,1,1) )  ,  ,    OFFSET(PADRON!B$2,MATCH(C:C,PADRON!A$2:A1405,0)-1,0,1,1))</f>
        <v>QUINTEROS, MARIO</v>
      </c>
      <c r="E516" s="58">
        <v>45839.0</v>
      </c>
      <c r="F516" s="134">
        <v>45870.0</v>
      </c>
      <c r="G516" s="59" t="s">
        <v>39</v>
      </c>
      <c r="H516" s="60">
        <f>IF( ISERROR( OFFSET(   'Cuadro tarifario'!D$2  , MATCH(CONCATENATE(                 IF(F516&gt;Mes,OFFSET(NroCT!B$17, MATCH($F516,NroCT!$A$18:$A1405,0),0,1,1),Periodovigente)                                                                                                                     ,A516) ,'Cuadro tarifario'!A$2:A1405,0) -1 , 0 , 1 , 1) )   , 0  ,   OFFSET(   'Cuadro tarifario'!D$2  , MATCH(CONCATENATE( IF(F516&gt;Mes,OFFSET(NroCT!B$17, MATCH($F516,NroCT!$A$18:$A1405,0),0,1,1),Periodovigente) ,A516) ,'Cuadro tarifario'!A$2:A1405,0) -1 , 0 , 1 , 1))</f>
        <v>11000</v>
      </c>
      <c r="I516" s="61">
        <f t="shared" si="195"/>
        <v>1</v>
      </c>
      <c r="J516" s="60">
        <f t="shared" si="207"/>
        <v>11000</v>
      </c>
      <c r="K516" s="62">
        <f>IF(  AND(N516&gt;0,I516=0)          ,N516 ,                         IF(  IF( F516 ,  DAYS360(DATE(YEAR(F516),MONTH(F516),1),Mes)/30  ,  DAYS360(DATE(YEAR(E516),MONTH(E516),1),Mes)/30  )  &gt;  0 , IF(F516,   DAYS360(DATE(YEAR(F516),MONTH(F516),1),Mes)/30  ,  DAYS360(DATE(YEAR(E516),MONTH(E516),1),Mes)/30) , 0)       )</f>
        <v>0</v>
      </c>
      <c r="L516" s="63">
        <f t="shared" si="196"/>
        <v>0</v>
      </c>
      <c r="M516" s="129"/>
      <c r="N516" s="98">
        <f>IF( ISERROR(OFFSET(SECUESTRADOS!D$1,MATCH(B516,SECUESTRADOS!A$2:A1405,0),0)) ,0 ,  OFFSET(SECUESTRADOS!D$1,MATCH(B516,SECUESTRADOS!A$2:A1405,0),0)  )</f>
        <v>0</v>
      </c>
      <c r="O516" s="98"/>
      <c r="P516" s="98" t="str">
        <f t="shared" si="3"/>
        <v>.socio</v>
      </c>
      <c r="Q516" s="98" t="str">
        <f t="shared" si="234"/>
        <v>#REF!</v>
      </c>
      <c r="R516" s="130"/>
      <c r="S516" s="130"/>
      <c r="T516" s="130"/>
    </row>
    <row r="517" ht="15.0" customHeight="1">
      <c r="A517" s="18" t="s">
        <v>38</v>
      </c>
      <c r="B517" s="116">
        <v>1863.0</v>
      </c>
      <c r="C517" s="19">
        <v>1863.0</v>
      </c>
      <c r="D517" s="20" t="str">
        <f>IF(   ISERROR(OFFSET(PADRON!B$2,MATCH(C:C,PADRON!A$2:A1405,0)-1,0,1,1) )  ,  ,    OFFSET(PADRON!B$2,MATCH(C:C,PADRON!A$2:A1405,0)-1,0,1,1))</f>
        <v>QUINTEROS, MARIO</v>
      </c>
      <c r="E517" s="58">
        <v>45839.0</v>
      </c>
      <c r="F517" s="134">
        <v>45870.0</v>
      </c>
      <c r="G517" s="59" t="s">
        <v>39</v>
      </c>
      <c r="H517" s="60">
        <f>IF( ISERROR( OFFSET(   'Cuadro tarifario'!D$2  , MATCH(CONCATENATE(                 IF(F517&gt;Mes,OFFSET(NroCT!B$17, MATCH($F517,NroCT!$A$18:$A1405,0),0,1,1),Periodovigente)                                                                                                                     ,A517) ,'Cuadro tarifario'!A$2:A1405,0) -1 , 0 , 1 , 1) )   , 0  ,   OFFSET(   'Cuadro tarifario'!D$2  , MATCH(CONCATENATE( IF(F517&gt;Mes,OFFSET(NroCT!B$17, MATCH($F517,NroCT!$A$18:$A1405,0),0,1,1),Periodovigente) ,A517) ,'Cuadro tarifario'!A$2:A1405,0) -1 , 0 , 1 , 1))</f>
        <v>9000</v>
      </c>
      <c r="I517" s="61">
        <f t="shared" si="195"/>
        <v>1</v>
      </c>
      <c r="J517" s="60">
        <f t="shared" si="207"/>
        <v>9000</v>
      </c>
      <c r="K517" s="62">
        <f>IF(  AND(N517&gt;0,I517=0)          ,N517 ,                         IF(  IF( F517 ,  DAYS360(DATE(YEAR(F517),MONTH(F517),1),Mes)/30  ,  DAYS360(DATE(YEAR(E517),MONTH(E517),1),Mes)/30  )  &gt;  0 , IF(F517,   DAYS360(DATE(YEAR(F517),MONTH(F517),1),Mes)/30  ,  DAYS360(DATE(YEAR(E517),MONTH(E517),1),Mes)/30) , 0)       )</f>
        <v>0</v>
      </c>
      <c r="L517" s="63">
        <f t="shared" si="196"/>
        <v>0</v>
      </c>
      <c r="M517" s="129"/>
      <c r="N517" s="98">
        <f>IF( ISERROR(OFFSET(SECUESTRADOS!D$1,MATCH(B517,SECUESTRADOS!A$2:A1405,0),0)) ,0 ,  OFFSET(SECUESTRADOS!D$1,MATCH(B517,SECUESTRADOS!A$2:A1405,0),0)  )</f>
        <v>0</v>
      </c>
      <c r="O517" s="98"/>
      <c r="P517" s="98" t="str">
        <f t="shared" si="3"/>
        <v>Bono canon</v>
      </c>
      <c r="Q517" s="98" t="str">
        <f t="shared" si="234"/>
        <v>#REF!</v>
      </c>
      <c r="R517" s="130"/>
      <c r="S517" s="130"/>
      <c r="T517" s="130"/>
    </row>
    <row r="518" ht="15.0" customHeight="1">
      <c r="A518" s="18" t="s">
        <v>82</v>
      </c>
      <c r="B518" s="116" t="s">
        <v>265</v>
      </c>
      <c r="C518" s="19">
        <v>1863.0</v>
      </c>
      <c r="D518" s="20" t="str">
        <f>IF(   ISERROR(OFFSET(PADRON!B$2,MATCH(C:C,PADRON!A$2:A1405,0)-1,0,1,1) )  ,  ,    OFFSET(PADRON!B$2,MATCH(C:C,PADRON!A$2:A1405,0)-1,0,1,1))</f>
        <v>QUINTEROS, MARIO</v>
      </c>
      <c r="E518" s="58">
        <v>45839.0</v>
      </c>
      <c r="F518" s="134">
        <v>45870.0</v>
      </c>
      <c r="G518" s="59" t="s">
        <v>39</v>
      </c>
      <c r="H518" s="60">
        <f>IF( ISERROR( OFFSET(   'Cuadro tarifario'!D$2  , MATCH(CONCATENATE(                 IF(F518&gt;Mes,OFFSET(NroCT!B$17, MATCH($F518,NroCT!$A$18:$A1405,0),0,1,1),Periodovigente)                                                                                                                     ,A518) ,'Cuadro tarifario'!A$2:A1405,0) -1 , 0 , 1 , 1) )   , 0  ,   OFFSET(   'Cuadro tarifario'!D$2  , MATCH(CONCATENATE( IF(F518&gt;Mes,OFFSET(NroCT!B$17, MATCH($F518,NroCT!$A$18:$A1405,0),0,1,1),Periodovigente) ,A518) ,'Cuadro tarifario'!A$2:A1405,0) -1 , 0 , 1 , 1))</f>
        <v>12000</v>
      </c>
      <c r="I518" s="61">
        <f t="shared" si="195"/>
        <v>1</v>
      </c>
      <c r="J518" s="60">
        <f t="shared" si="207"/>
        <v>12000</v>
      </c>
      <c r="K518" s="62">
        <f>IF(  AND(N518&gt;0,I518=0)          ,N518 ,                         IF(  IF( F518 ,  DAYS360(DATE(YEAR(F518),MONTH(F518),1),Mes)/30  ,  DAYS360(DATE(YEAR(E518),MONTH(E518),1),Mes)/30  )  &gt;  0 , IF(F518,   DAYS360(DATE(YEAR(F518),MONTH(F518),1),Mes)/30  ,  DAYS360(DATE(YEAR(E518),MONTH(E518),1),Mes)/30) , 0)       )</f>
        <v>0</v>
      </c>
      <c r="L518" s="63">
        <f t="shared" si="196"/>
        <v>0</v>
      </c>
      <c r="M518" s="129"/>
      <c r="N518" s="98">
        <f>IF( ISERROR(OFFSET(SECUESTRADOS!D$1,MATCH(B518,SECUESTRADOS!A$2:A1405,0),0)) ,0 ,  OFFSET(SECUESTRADOS!D$1,MATCH(B518,SECUESTRADOS!A$2:A1405,0),0)  )</f>
        <v>0</v>
      </c>
      <c r="O518" s="98"/>
      <c r="P518" s="98" t="str">
        <f t="shared" si="3"/>
        <v>cuna kayak</v>
      </c>
      <c r="Q518" s="98" t="str">
        <f t="shared" si="234"/>
        <v>#REF!</v>
      </c>
      <c r="R518" s="130"/>
      <c r="S518" s="130"/>
      <c r="T518" s="130"/>
    </row>
    <row r="519" ht="15.0" customHeight="1">
      <c r="A519" s="18" t="s">
        <v>82</v>
      </c>
      <c r="B519" s="116" t="s">
        <v>266</v>
      </c>
      <c r="C519" s="19">
        <v>1863.0</v>
      </c>
      <c r="D519" s="20" t="str">
        <f>IF(   ISERROR(OFFSET(PADRON!B$2,MATCH(C:C,PADRON!A$2:A1405,0)-1,0,1,1) )  ,  ,    OFFSET(PADRON!B$2,MATCH(C:C,PADRON!A$2:A1405,0)-1,0,1,1))</f>
        <v>QUINTEROS, MARIO</v>
      </c>
      <c r="E519" s="58">
        <v>45839.0</v>
      </c>
      <c r="F519" s="134">
        <v>45870.0</v>
      </c>
      <c r="G519" s="59" t="s">
        <v>39</v>
      </c>
      <c r="H519" s="60">
        <f>IF( ISERROR( OFFSET(   'Cuadro tarifario'!D$2  , MATCH(CONCATENATE(                 IF(F519&gt;Mes,OFFSET(NroCT!B$17, MATCH($F519,NroCT!$A$18:$A1405,0),0,1,1),Periodovigente)                                                                                                                     ,A519) ,'Cuadro tarifario'!A$2:A1405,0) -1 , 0 , 1 , 1) )   , 0  ,   OFFSET(   'Cuadro tarifario'!D$2  , MATCH(CONCATENATE( IF(F519&gt;Mes,OFFSET(NroCT!B$17, MATCH($F519,NroCT!$A$18:$A1405,0),0,1,1),Periodovigente) ,A519) ,'Cuadro tarifario'!A$2:A1405,0) -1 , 0 , 1 , 1))</f>
        <v>12000</v>
      </c>
      <c r="I519" s="61">
        <f t="shared" si="195"/>
        <v>1</v>
      </c>
      <c r="J519" s="60">
        <f t="shared" si="207"/>
        <v>12000</v>
      </c>
      <c r="K519" s="62">
        <f>IF(  AND(N519&gt;0,I519=0)          ,N519 ,                         IF(  IF( F519 ,  DAYS360(DATE(YEAR(F519),MONTH(F519),1),Mes)/30  ,  DAYS360(DATE(YEAR(E519),MONTH(E519),1),Mes)/30  )  &gt;  0 , IF(F519,   DAYS360(DATE(YEAR(F519),MONTH(F519),1),Mes)/30  ,  DAYS360(DATE(YEAR(E519),MONTH(E519),1),Mes)/30) , 0)       )</f>
        <v>0</v>
      </c>
      <c r="L519" s="63">
        <f t="shared" si="196"/>
        <v>0</v>
      </c>
      <c r="M519" s="129"/>
      <c r="N519" s="98">
        <f>IF( ISERROR(OFFSET(SECUESTRADOS!D$1,MATCH(B519,SECUESTRADOS!A$2:A1405,0),0)) ,0 ,  OFFSET(SECUESTRADOS!D$1,MATCH(B519,SECUESTRADOS!A$2:A1405,0),0)  )</f>
        <v>0</v>
      </c>
      <c r="O519" s="98"/>
      <c r="P519" s="98" t="str">
        <f t="shared" si="3"/>
        <v>cuna kayak</v>
      </c>
      <c r="Q519" s="98" t="str">
        <f t="shared" si="234"/>
        <v>#REF!</v>
      </c>
      <c r="R519" s="130"/>
      <c r="S519" s="130"/>
      <c r="T519" s="130"/>
    </row>
    <row r="520" ht="15.0" customHeight="1">
      <c r="A520" s="18" t="s">
        <v>52</v>
      </c>
      <c r="B520" s="116" t="s">
        <v>267</v>
      </c>
      <c r="C520" s="19">
        <v>1863.0</v>
      </c>
      <c r="D520" s="20" t="str">
        <f>IF(   ISERROR(OFFSET(PADRON!B$2,MATCH(C:C,PADRON!A$2:A1405,0)-1,0,1,1) )  ,  ,    OFFSET(PADRON!B$2,MATCH(C:C,PADRON!A$2:A1405,0)-1,0,1,1))</f>
        <v>QUINTEROS, MARIO</v>
      </c>
      <c r="E520" s="58">
        <v>45992.0</v>
      </c>
      <c r="F520" s="134"/>
      <c r="G520" s="59" t="s">
        <v>39</v>
      </c>
      <c r="H520" s="60">
        <f>IF( ISERROR( OFFSET(   'Cuadro tarifario'!D$2  , MATCH(CONCATENATE(                 IF(F520&gt;Mes,OFFSET(NroCT!B$17, MATCH($F520,NroCT!$A$18:$A1405,0),0,1,1),Periodovigente)                                                                                                                     ,A520) ,'Cuadro tarifario'!A$2:A1405,0) -1 , 0 , 1 , 1) )   , 0  ,   OFFSET(   'Cuadro tarifario'!D$2  , MATCH(CONCATENATE( IF(F520&gt;Mes,OFFSET(NroCT!B$17, MATCH($F520,NroCT!$A$18:$A1405,0),0,1,1),Periodovigente) ,A520) ,'Cuadro tarifario'!A$2:A1405,0) -1 , 0 , 1 , 1))</f>
        <v>4000</v>
      </c>
      <c r="I520" s="61">
        <f t="shared" si="195"/>
        <v>0</v>
      </c>
      <c r="J520" s="60">
        <f t="shared" si="207"/>
        <v>0</v>
      </c>
      <c r="K520" s="62">
        <f>IF(  AND(N520&gt;0,I520=0)          ,N520 ,                         IF(  IF( F520 ,  DAYS360(DATE(YEAR(F520),MONTH(F520),1),Mes)/30  ,  DAYS360(DATE(YEAR(E520),MONTH(E520),1),Mes)/30  )  &gt;  0 , IF(F520,   DAYS360(DATE(YEAR(F520),MONTH(F520),1),Mes)/30  ,  DAYS360(DATE(YEAR(E520),MONTH(E520),1),Mes)/30) , 0)       )</f>
        <v>0</v>
      </c>
      <c r="L520" s="63">
        <f t="shared" si="196"/>
        <v>0</v>
      </c>
      <c r="M520" s="129"/>
      <c r="N520" s="98">
        <f>IF( ISERROR(OFFSET(SECUESTRADOS!D$1,MATCH(B520,SECUESTRADOS!A$2:A1405,0),0)) ,0 ,  OFFSET(SECUESTRADOS!D$1,MATCH(B520,SECUESTRADOS!A$2:A1405,0),0)  )</f>
        <v>0</v>
      </c>
      <c r="O520" s="98"/>
      <c r="P520" s="98" t="b">
        <f t="shared" si="3"/>
        <v>0</v>
      </c>
      <c r="Q520" s="98" t="str">
        <f t="shared" si="234"/>
        <v>#REF!</v>
      </c>
      <c r="R520" s="130"/>
      <c r="S520" s="130"/>
      <c r="T520" s="130"/>
    </row>
    <row r="521" ht="15.0" customHeight="1">
      <c r="A521" s="18" t="s">
        <v>42</v>
      </c>
      <c r="B521" s="116" t="s">
        <v>268</v>
      </c>
      <c r="C521" s="19">
        <v>1863.0</v>
      </c>
      <c r="D521" s="20" t="str">
        <f>IF(   ISERROR(OFFSET(PADRON!B$2,MATCH(C:C,PADRON!A$2:A1405,0)-1,0,1,1) )  ,  ,    OFFSET(PADRON!B$2,MATCH(C:C,PADRON!A$2:A1405,0)-1,0,1,1))</f>
        <v>QUINTEROS, MARIO</v>
      </c>
      <c r="E521" s="58">
        <v>45992.0</v>
      </c>
      <c r="F521" s="134"/>
      <c r="G521" s="59" t="s">
        <v>39</v>
      </c>
      <c r="H521" s="60">
        <f>IF( ISERROR( OFFSET(   'Cuadro tarifario'!D$2  , MATCH(CONCATENATE(                 IF(F521&gt;Mes,OFFSET(NroCT!B$17, MATCH($F521,NroCT!$A$18:$A1405,0),0,1,1),Periodovigente)                                                                                                                     ,A521) ,'Cuadro tarifario'!A$2:A1405,0) -1 , 0 , 1 , 1) )   , 0  ,   OFFSET(   'Cuadro tarifario'!D$2  , MATCH(CONCATENATE( IF(F521&gt;Mes,OFFSET(NroCT!B$17, MATCH($F521,NroCT!$A$18:$A1405,0),0,1,1),Periodovigente) ,A521) ,'Cuadro tarifario'!A$2:A1405,0) -1 , 0 , 1 , 1))</f>
        <v>4000</v>
      </c>
      <c r="I521" s="61">
        <f t="shared" si="195"/>
        <v>0</v>
      </c>
      <c r="J521" s="60">
        <f t="shared" si="207"/>
        <v>0</v>
      </c>
      <c r="K521" s="62">
        <f>IF(  AND(N521&gt;0,I521=0)          ,N521 ,                         IF(  IF( F521 ,  DAYS360(DATE(YEAR(F521),MONTH(F521),1),Mes)/30  ,  DAYS360(DATE(YEAR(E521),MONTH(E521),1),Mes)/30  )  &gt;  0 , IF(F521,   DAYS360(DATE(YEAR(F521),MONTH(F521),1),Mes)/30  ,  DAYS360(DATE(YEAR(E521),MONTH(E521),1),Mes)/30) , 0)       )</f>
        <v>0</v>
      </c>
      <c r="L521" s="63">
        <f t="shared" si="196"/>
        <v>0</v>
      </c>
      <c r="M521" s="129"/>
      <c r="N521" s="98">
        <f>IF( ISERROR(OFFSET(SECUESTRADOS!D$1,MATCH(B521,SECUESTRADOS!A$2:A1405,0),0)) ,0 ,  OFFSET(SECUESTRADOS!D$1,MATCH(B521,SECUESTRADOS!A$2:A1405,0),0)  )</f>
        <v>0</v>
      </c>
      <c r="O521" s="98"/>
      <c r="P521" s="98" t="b">
        <f t="shared" si="3"/>
        <v>0</v>
      </c>
      <c r="Q521" s="98" t="str">
        <f t="shared" si="234"/>
        <v>#REF!</v>
      </c>
      <c r="R521" s="130"/>
      <c r="S521" s="130"/>
      <c r="T521" s="130"/>
    </row>
    <row r="522" ht="15.0" customHeight="1">
      <c r="A522" s="18" t="s">
        <v>71</v>
      </c>
      <c r="B522" s="116">
        <v>1868.0</v>
      </c>
      <c r="C522" s="19">
        <v>1868.0</v>
      </c>
      <c r="D522" s="20" t="str">
        <f>IF(   ISERROR(OFFSET(PADRON!B$2,MATCH(C:C,PADRON!A$2:A1405,0)-1,0,1,1) )  ,  ,    OFFSET(PADRON!B$2,MATCH(C:C,PADRON!A$2:A1405,0)-1,0,1,1))</f>
        <v>PAVLETIC, CAMILA</v>
      </c>
      <c r="E522" s="58">
        <v>45809.0</v>
      </c>
      <c r="F522" s="134">
        <v>45870.0</v>
      </c>
      <c r="G522" s="59" t="s">
        <v>39</v>
      </c>
      <c r="H522" s="60">
        <f>IF( ISERROR( OFFSET(   'Cuadro tarifario'!D$2  , MATCH(CONCATENATE(                 IF(F522&gt;Mes,OFFSET(NroCT!B$17, MATCH($F522,NroCT!$A$18:$A1405,0),0,1,1),Periodovigente)                                                                                                                     ,A522) ,'Cuadro tarifario'!A$2:A1405,0) -1 , 0 , 1 , 1) )   , 0  ,   OFFSET(   'Cuadro tarifario'!D$2  , MATCH(CONCATENATE( IF(F522&gt;Mes,OFFSET(NroCT!B$17, MATCH($F522,NroCT!$A$18:$A1405,0),0,1,1),Periodovigente) ,A522) ,'Cuadro tarifario'!A$2:A1405,0) -1 , 0 , 1 , 1))</f>
        <v>11000</v>
      </c>
      <c r="I522" s="61">
        <f t="shared" si="195"/>
        <v>2</v>
      </c>
      <c r="J522" s="60">
        <f t="shared" si="207"/>
        <v>22000</v>
      </c>
      <c r="K522" s="62">
        <f>IF(  AND(N522&gt;0,I522=0)          ,N522 ,                         IF(  IF( F522 ,  DAYS360(DATE(YEAR(F522),MONTH(F522),1),Mes)/30  ,  DAYS360(DATE(YEAR(E522),MONTH(E522),1),Mes)/30  )  &gt;  0 , IF(F522,   DAYS360(DATE(YEAR(F522),MONTH(F522),1),Mes)/30  ,  DAYS360(DATE(YEAR(E522),MONTH(E522),1),Mes)/30) , 0)       )</f>
        <v>0</v>
      </c>
      <c r="L522" s="63">
        <f t="shared" si="196"/>
        <v>0</v>
      </c>
      <c r="M522" s="129"/>
      <c r="N522" s="98">
        <f>IF( ISERROR(OFFSET(SECUESTRADOS!D$1,MATCH(B522,SECUESTRADOS!A$2:A1405,0),0)) ,0 ,  OFFSET(SECUESTRADOS!D$1,MATCH(B522,SECUESTRADOS!A$2:A1405,0),0)  )</f>
        <v>0</v>
      </c>
      <c r="O522" s="98"/>
      <c r="P522" s="98" t="str">
        <f t="shared" si="3"/>
        <v>.socio</v>
      </c>
      <c r="Q522" s="98" t="str">
        <f t="shared" si="234"/>
        <v>#REF!</v>
      </c>
      <c r="R522" s="130"/>
      <c r="S522" s="130"/>
      <c r="T522" s="130"/>
    </row>
    <row r="523" ht="15.0" customHeight="1">
      <c r="A523" s="18" t="s">
        <v>38</v>
      </c>
      <c r="B523" s="116">
        <v>1868.0</v>
      </c>
      <c r="C523" s="19">
        <v>1868.0</v>
      </c>
      <c r="D523" s="20" t="str">
        <f>IF(   ISERROR(OFFSET(PADRON!B$2,MATCH(C:C,PADRON!A$2:A1405,0)-1,0,1,1) )  ,  ,    OFFSET(PADRON!B$2,MATCH(C:C,PADRON!A$2:A1405,0)-1,0,1,1))</f>
        <v>PAVLETIC, CAMILA</v>
      </c>
      <c r="E523" s="58">
        <v>45809.0</v>
      </c>
      <c r="F523" s="134">
        <v>45870.0</v>
      </c>
      <c r="G523" s="59" t="s">
        <v>39</v>
      </c>
      <c r="H523" s="60">
        <f>IF( ISERROR( OFFSET(   'Cuadro tarifario'!D$2  , MATCH(CONCATENATE(                 IF(F523&gt;Mes,OFFSET(NroCT!B$17, MATCH($F523,NroCT!$A$18:$A1405,0),0,1,1),Periodovigente)                                                                                                                     ,A523) ,'Cuadro tarifario'!A$2:A1405,0) -1 , 0 , 1 , 1) )   , 0  ,   OFFSET(   'Cuadro tarifario'!D$2  , MATCH(CONCATENATE( IF(F523&gt;Mes,OFFSET(NroCT!B$17, MATCH($F523,NroCT!$A$18:$A1405,0),0,1,1),Periodovigente) ,A523) ,'Cuadro tarifario'!A$2:A1405,0) -1 , 0 , 1 , 1))</f>
        <v>9000</v>
      </c>
      <c r="I523" s="61">
        <f t="shared" si="195"/>
        <v>2</v>
      </c>
      <c r="J523" s="60">
        <f t="shared" si="207"/>
        <v>18000</v>
      </c>
      <c r="K523" s="62">
        <f>IF(  AND(N523&gt;0,I523=0)          ,N523 ,                         IF(  IF( F523 ,  DAYS360(DATE(YEAR(F523),MONTH(F523),1),Mes)/30  ,  DAYS360(DATE(YEAR(E523),MONTH(E523),1),Mes)/30  )  &gt;  0 , IF(F523,   DAYS360(DATE(YEAR(F523),MONTH(F523),1),Mes)/30  ,  DAYS360(DATE(YEAR(E523),MONTH(E523),1),Mes)/30) , 0)       )</f>
        <v>0</v>
      </c>
      <c r="L523" s="63">
        <f t="shared" si="196"/>
        <v>0</v>
      </c>
      <c r="M523" s="129"/>
      <c r="N523" s="98">
        <f>IF( ISERROR(OFFSET(SECUESTRADOS!D$1,MATCH(B523,SECUESTRADOS!A$2:A1405,0),0)) ,0 ,  OFFSET(SECUESTRADOS!D$1,MATCH(B523,SECUESTRADOS!A$2:A1405,0),0)  )</f>
        <v>0</v>
      </c>
      <c r="O523" s="98"/>
      <c r="P523" s="98" t="str">
        <f t="shared" si="3"/>
        <v>Bono canon</v>
      </c>
      <c r="Q523" s="98" t="str">
        <f t="shared" si="234"/>
        <v>#REF!</v>
      </c>
      <c r="R523" s="130"/>
      <c r="S523" s="130"/>
      <c r="T523" s="130"/>
    </row>
    <row r="524" ht="15.0" customHeight="1">
      <c r="A524" s="18" t="s">
        <v>40</v>
      </c>
      <c r="B524" s="116" t="s">
        <v>269</v>
      </c>
      <c r="C524" s="19">
        <v>1868.0</v>
      </c>
      <c r="D524" s="20" t="str">
        <f>IF(   ISERROR(OFFSET(PADRON!B$2,MATCH(C:C,PADRON!A$2:A1405,0)-1,0,1,1) )  ,  ,    OFFSET(PADRON!B$2,MATCH(C:C,PADRON!A$2:A1405,0)-1,0,1,1))</f>
        <v>PAVLETIC, CAMILA</v>
      </c>
      <c r="E524" s="58">
        <v>45809.0</v>
      </c>
      <c r="F524" s="134">
        <v>45870.0</v>
      </c>
      <c r="G524" s="59" t="s">
        <v>39</v>
      </c>
      <c r="H524" s="60">
        <f>IF( ISERROR( OFFSET(   'Cuadro tarifario'!D$2  , MATCH(CONCATENATE(                 IF(F524&gt;Mes,OFFSET(NroCT!B$17, MATCH($F524,NroCT!$A$18:$A1405,0),0,1,1),Periodovigente)                                                                                                                     ,A524) ,'Cuadro tarifario'!A$2:A1405,0) -1 , 0 , 1 , 1) )   , 0  ,   OFFSET(   'Cuadro tarifario'!D$2  , MATCH(CONCATENATE( IF(F524&gt;Mes,OFFSET(NroCT!B$17, MATCH($F524,NroCT!$A$18:$A1405,0),0,1,1),Periodovigente) ,A524) ,'Cuadro tarifario'!A$2:A1405,0) -1 , 0 , 1 , 1))</f>
        <v>12000</v>
      </c>
      <c r="I524" s="61">
        <f t="shared" si="195"/>
        <v>2</v>
      </c>
      <c r="J524" s="60">
        <f t="shared" si="207"/>
        <v>24000</v>
      </c>
      <c r="K524" s="62">
        <f>IF(  AND(N524&gt;0,I524=0)          ,N524 ,                         IF(  IF( F524 ,  DAYS360(DATE(YEAR(F524),MONTH(F524),1),Mes)/30  ,  DAYS360(DATE(YEAR(E524),MONTH(E524),1),Mes)/30  )  &gt;  0 , IF(F524,   DAYS360(DATE(YEAR(F524),MONTH(F524),1),Mes)/30  ,  DAYS360(DATE(YEAR(E524),MONTH(E524),1),Mes)/30) , 0)       )</f>
        <v>0</v>
      </c>
      <c r="L524" s="63">
        <f t="shared" si="196"/>
        <v>0</v>
      </c>
      <c r="M524" s="129"/>
      <c r="N524" s="98">
        <f>IF( ISERROR(OFFSET(SECUESTRADOS!D$1,MATCH(B524,SECUESTRADOS!A$2:A1405,0),0)) ,0 ,  OFFSET(SECUESTRADOS!D$1,MATCH(B524,SECUESTRADOS!A$2:A1405,0),0)  )</f>
        <v>0</v>
      </c>
      <c r="O524" s="98"/>
      <c r="P524" s="98" t="str">
        <f t="shared" si="3"/>
        <v>cuna windsurf</v>
      </c>
      <c r="Q524" s="98" t="str">
        <f t="shared" si="234"/>
        <v>#REF!</v>
      </c>
      <c r="R524" s="130"/>
      <c r="S524" s="130"/>
      <c r="T524" s="130"/>
    </row>
    <row r="525" ht="15.0" customHeight="1">
      <c r="A525" s="18" t="s">
        <v>71</v>
      </c>
      <c r="B525" s="116">
        <v>1869.0</v>
      </c>
      <c r="C525" s="19">
        <v>1869.0</v>
      </c>
      <c r="D525" s="20" t="str">
        <f>IF(   ISERROR(OFFSET(PADRON!B$2,MATCH(C:C,PADRON!A$2:A1405,0)-1,0,1,1) )  ,  ,    OFFSET(PADRON!B$2,MATCH(C:C,PADRON!A$2:A1405,0)-1,0,1,1))</f>
        <v>DALCEGGIO, MARTIN</v>
      </c>
      <c r="E525" s="58">
        <v>45839.0</v>
      </c>
      <c r="F525" s="134">
        <v>45870.0</v>
      </c>
      <c r="G525" s="60" t="s">
        <v>39</v>
      </c>
      <c r="H525" s="60">
        <f>IF( ISERROR( OFFSET(   'Cuadro tarifario'!D$2  , MATCH(CONCATENATE(                 IF(F525&gt;Mes,OFFSET(NroCT!B$17, MATCH($F525,NroCT!$A$18:$A1405,0),0,1,1),Periodovigente)                                                                                                                     ,A525) ,'Cuadro tarifario'!A$2:A1405,0) -1 , 0 , 1 , 1) )   , 0  ,   OFFSET(   'Cuadro tarifario'!D$2  , MATCH(CONCATENATE( IF(F525&gt;Mes,OFFSET(NroCT!B$17, MATCH($F525,NroCT!$A$18:$A1405,0),0,1,1),Periodovigente) ,A525) ,'Cuadro tarifario'!A$2:A1405,0) -1 , 0 , 1 , 1))</f>
        <v>11000</v>
      </c>
      <c r="I525" s="61">
        <f t="shared" si="195"/>
        <v>1</v>
      </c>
      <c r="J525" s="60">
        <f t="shared" si="207"/>
        <v>11000</v>
      </c>
      <c r="K525" s="62">
        <f>IF(  AND(N525&gt;0,I525=0)          ,N525 ,                         IF(  IF( F525 ,  DAYS360(DATE(YEAR(F525),MONTH(F525),1),Mes)/30  ,  DAYS360(DATE(YEAR(E525),MONTH(E525),1),Mes)/30  )  &gt;  0 , IF(F525,   DAYS360(DATE(YEAR(F525),MONTH(F525),1),Mes)/30  ,  DAYS360(DATE(YEAR(E525),MONTH(E525),1),Mes)/30) , 0)       )</f>
        <v>0</v>
      </c>
      <c r="L525" s="63">
        <f t="shared" si="196"/>
        <v>0</v>
      </c>
      <c r="M525" s="129"/>
      <c r="N525" s="98">
        <f>IF( ISERROR(OFFSET(SECUESTRADOS!D$1,MATCH(B525,SECUESTRADOS!A$2:A1405,0),0)) ,0 ,  OFFSET(SECUESTRADOS!D$1,MATCH(B525,SECUESTRADOS!A$2:A1405,0),0)  )</f>
        <v>0</v>
      </c>
      <c r="O525" s="98"/>
      <c r="P525" s="98" t="str">
        <f t="shared" si="3"/>
        <v>.socio</v>
      </c>
      <c r="Q525" s="98" t="str">
        <f t="shared" si="234"/>
        <v>#REF!</v>
      </c>
      <c r="R525" s="130"/>
      <c r="S525" s="130"/>
      <c r="T525" s="130"/>
    </row>
    <row r="526" ht="15.0" customHeight="1">
      <c r="A526" s="18" t="s">
        <v>38</v>
      </c>
      <c r="B526" s="116">
        <v>1869.0</v>
      </c>
      <c r="C526" s="19">
        <v>1869.0</v>
      </c>
      <c r="D526" s="20" t="str">
        <f>IF(   ISERROR(OFFSET(PADRON!B$2,MATCH(C:C,PADRON!A$2:A1405,0)-1,0,1,1) )  ,  ,    OFFSET(PADRON!B$2,MATCH(C:C,PADRON!A$2:A1405,0)-1,0,1,1))</f>
        <v>DALCEGGIO, MARTIN</v>
      </c>
      <c r="E526" s="58">
        <v>45839.0</v>
      </c>
      <c r="F526" s="134">
        <v>45870.0</v>
      </c>
      <c r="G526" s="60" t="s">
        <v>39</v>
      </c>
      <c r="H526" s="60">
        <f>IF( ISERROR( OFFSET(   'Cuadro tarifario'!D$2  , MATCH(CONCATENATE(                 IF(F526&gt;Mes,OFFSET(NroCT!B$17, MATCH($F526,NroCT!$A$18:$A1405,0),0,1,1),Periodovigente)                                                                                                                     ,A526) ,'Cuadro tarifario'!A$2:A1405,0) -1 , 0 , 1 , 1) )   , 0  ,   OFFSET(   'Cuadro tarifario'!D$2  , MATCH(CONCATENATE( IF(F526&gt;Mes,OFFSET(NroCT!B$17, MATCH($F526,NroCT!$A$18:$A1405,0),0,1,1),Periodovigente) ,A526) ,'Cuadro tarifario'!A$2:A1405,0) -1 , 0 , 1 , 1))</f>
        <v>9000</v>
      </c>
      <c r="I526" s="61">
        <f t="shared" si="195"/>
        <v>1</v>
      </c>
      <c r="J526" s="60">
        <f t="shared" si="207"/>
        <v>9000</v>
      </c>
      <c r="K526" s="62">
        <f>IF(  AND(N526&gt;0,I526=0)          ,N526 ,                         IF(  IF( F526 ,  DAYS360(DATE(YEAR(F526),MONTH(F526),1),Mes)/30  ,  DAYS360(DATE(YEAR(E526),MONTH(E526),1),Mes)/30  )  &gt;  0 , IF(F526,   DAYS360(DATE(YEAR(F526),MONTH(F526),1),Mes)/30  ,  DAYS360(DATE(YEAR(E526),MONTH(E526),1),Mes)/30) , 0)       )</f>
        <v>0</v>
      </c>
      <c r="L526" s="63">
        <f t="shared" si="196"/>
        <v>0</v>
      </c>
      <c r="M526" s="129"/>
      <c r="N526" s="98">
        <f>IF( ISERROR(OFFSET(SECUESTRADOS!D$1,MATCH(B526,SECUESTRADOS!A$2:A1405,0),0)) ,0 ,  OFFSET(SECUESTRADOS!D$1,MATCH(B526,SECUESTRADOS!A$2:A1405,0),0)  )</f>
        <v>0</v>
      </c>
      <c r="O526" s="98"/>
      <c r="P526" s="98" t="str">
        <f t="shared" si="3"/>
        <v>Bono canon</v>
      </c>
      <c r="Q526" s="98" t="str">
        <f t="shared" si="234"/>
        <v>#REF!</v>
      </c>
      <c r="R526" s="130"/>
      <c r="S526" s="130"/>
      <c r="T526" s="130"/>
    </row>
    <row r="527" ht="15.0" customHeight="1">
      <c r="A527" s="18" t="s">
        <v>40</v>
      </c>
      <c r="B527" s="116" t="s">
        <v>270</v>
      </c>
      <c r="C527" s="19">
        <v>1869.0</v>
      </c>
      <c r="D527" s="20" t="str">
        <f>IF(   ISERROR(OFFSET(PADRON!B$2,MATCH(C:C,PADRON!A$2:A1405,0)-1,0,1,1) )  ,  ,    OFFSET(PADRON!B$2,MATCH(C:C,PADRON!A$2:A1405,0)-1,0,1,1))</f>
        <v>DALCEGGIO, MARTIN</v>
      </c>
      <c r="E527" s="58">
        <v>45839.0</v>
      </c>
      <c r="F527" s="134">
        <v>45870.0</v>
      </c>
      <c r="G527" s="60" t="s">
        <v>39</v>
      </c>
      <c r="H527" s="60">
        <f>IF( ISERROR( OFFSET(   'Cuadro tarifario'!D$2  , MATCH(CONCATENATE(                 IF(F527&gt;Mes,OFFSET(NroCT!B$17, MATCH($F527,NroCT!$A$18:$A1405,0),0,1,1),Periodovigente)                                                                                                                     ,A527) ,'Cuadro tarifario'!A$2:A1405,0) -1 , 0 , 1 , 1) )   , 0  ,   OFFSET(   'Cuadro tarifario'!D$2  , MATCH(CONCATENATE( IF(F527&gt;Mes,OFFSET(NroCT!B$17, MATCH($F527,NroCT!$A$18:$A1405,0),0,1,1),Periodovigente) ,A527) ,'Cuadro tarifario'!A$2:A1405,0) -1 , 0 , 1 , 1))</f>
        <v>12000</v>
      </c>
      <c r="I527" s="61">
        <f t="shared" si="195"/>
        <v>1</v>
      </c>
      <c r="J527" s="60">
        <f t="shared" si="207"/>
        <v>12000</v>
      </c>
      <c r="K527" s="62">
        <f>IF(  AND(N527&gt;0,I527=0)          ,N527 ,                         IF(  IF( F527 ,  DAYS360(DATE(YEAR(F527),MONTH(F527),1),Mes)/30  ,  DAYS360(DATE(YEAR(E527),MONTH(E527),1),Mes)/30  )  &gt;  0 , IF(F527,   DAYS360(DATE(YEAR(F527),MONTH(F527),1),Mes)/30  ,  DAYS360(DATE(YEAR(E527),MONTH(E527),1),Mes)/30) , 0)       )</f>
        <v>0</v>
      </c>
      <c r="L527" s="63">
        <f t="shared" si="196"/>
        <v>0</v>
      </c>
      <c r="M527" s="129"/>
      <c r="N527" s="98">
        <f>IF( ISERROR(OFFSET(SECUESTRADOS!D$1,MATCH(B527,SECUESTRADOS!A$2:A1405,0),0)) ,0 ,  OFFSET(SECUESTRADOS!D$1,MATCH(B527,SECUESTRADOS!A$2:A1405,0),0)  )</f>
        <v>0</v>
      </c>
      <c r="O527" s="98"/>
      <c r="P527" s="98" t="str">
        <f t="shared" si="3"/>
        <v>cuna windsurf</v>
      </c>
      <c r="Q527" s="98" t="str">
        <f t="shared" si="234"/>
        <v>#REF!</v>
      </c>
      <c r="R527" s="130"/>
      <c r="S527" s="130"/>
      <c r="T527" s="130"/>
    </row>
    <row r="528" ht="15.0" customHeight="1">
      <c r="A528" s="18" t="s">
        <v>38</v>
      </c>
      <c r="B528" s="116">
        <v>1870.0</v>
      </c>
      <c r="C528" s="19">
        <v>1870.0</v>
      </c>
      <c r="D528" s="20" t="str">
        <f>IF(   ISERROR(OFFSET(PADRON!B$2,MATCH(C:C,PADRON!A$2:A1405,0)-1,0,1,1) )  ,  ,    OFFSET(PADRON!B$2,MATCH(C:C,PADRON!A$2:A1405,0)-1,0,1,1))</f>
        <v>DEMONTE, GISEL</v>
      </c>
      <c r="E528" s="58">
        <v>45839.0</v>
      </c>
      <c r="F528" s="134">
        <v>45870.0</v>
      </c>
      <c r="G528" s="60" t="s">
        <v>39</v>
      </c>
      <c r="H528" s="60">
        <f>IF( ISERROR( OFFSET(   'Cuadro tarifario'!D$2  , MATCH(CONCATENATE(                 IF(F528&gt;Mes,OFFSET(NroCT!B$17, MATCH($F528,NroCT!$A$18:$A1405,0),0,1,1),Periodovigente)                                                                                                                     ,A528) ,'Cuadro tarifario'!A$2:A1405,0) -1 , 0 , 1 , 1) )   , 0  ,   OFFSET(   'Cuadro tarifario'!D$2  , MATCH(CONCATENATE( IF(F528&gt;Mes,OFFSET(NroCT!B$17, MATCH($F528,NroCT!$A$18:$A1405,0),0,1,1),Periodovigente) ,A528) ,'Cuadro tarifario'!A$2:A1405,0) -1 , 0 , 1 , 1))</f>
        <v>9000</v>
      </c>
      <c r="I528" s="61">
        <f t="shared" si="195"/>
        <v>1</v>
      </c>
      <c r="J528" s="60">
        <f t="shared" si="207"/>
        <v>9000</v>
      </c>
      <c r="K528" s="62">
        <f>IF(  AND(N528&gt;0,I528=0)          ,N528 ,                         IF(  IF( F528 ,  DAYS360(DATE(YEAR(F528),MONTH(F528),1),Mes)/30  ,  DAYS360(DATE(YEAR(E528),MONTH(E528),1),Mes)/30  )  &gt;  0 , IF(F528,   DAYS360(DATE(YEAR(F528),MONTH(F528),1),Mes)/30  ,  DAYS360(DATE(YEAR(E528),MONTH(E528),1),Mes)/30) , 0)       )</f>
        <v>0</v>
      </c>
      <c r="L528" s="63">
        <f t="shared" si="196"/>
        <v>0</v>
      </c>
      <c r="M528" s="129"/>
      <c r="N528" s="98">
        <f>IF( ISERROR(OFFSET(SECUESTRADOS!D$1,MATCH(B528,SECUESTRADOS!A$2:A1405,0),0)) ,0 ,  OFFSET(SECUESTRADOS!D$1,MATCH(B528,SECUESTRADOS!A$2:A1405,0),0)  )</f>
        <v>0</v>
      </c>
      <c r="O528" s="98"/>
      <c r="P528" s="98" t="str">
        <f t="shared" si="3"/>
        <v>Bono canon</v>
      </c>
      <c r="Q528" s="98" t="str">
        <f t="shared" si="234"/>
        <v>#REF!</v>
      </c>
      <c r="R528" s="130"/>
      <c r="S528" s="130"/>
      <c r="T528" s="130"/>
    </row>
    <row r="529" ht="15.0" customHeight="1">
      <c r="A529" s="18" t="s">
        <v>38</v>
      </c>
      <c r="B529" s="18">
        <v>1870.0</v>
      </c>
      <c r="C529" s="19">
        <v>1870.0</v>
      </c>
      <c r="D529" s="20" t="str">
        <f>IF(   ISERROR(OFFSET(PADRON!B$2,MATCH(C:C,PADRON!A$2:A1405,0)-1,0,1,1) )  ,  ,    OFFSET(PADRON!B$2,MATCH(C:C,PADRON!A$2:A1405,0)-1,0,1,1))</f>
        <v>DEMONTE, GISEL</v>
      </c>
      <c r="E529" s="58">
        <v>45839.0</v>
      </c>
      <c r="F529" s="134">
        <v>45870.0</v>
      </c>
      <c r="G529" s="60" t="s">
        <v>39</v>
      </c>
      <c r="H529" s="60">
        <f>IF( ISERROR( OFFSET(   'Cuadro tarifario'!D$2  , MATCH(CONCATENATE(                 IF(F529&gt;Mes,OFFSET(NroCT!B$17, MATCH($F529,NroCT!$A$18:$A1405,0),0,1,1),Periodovigente)                                                                                                                     ,A529) ,'Cuadro tarifario'!A$2:A1405,0) -1 , 0 , 1 , 1) )   , 0  ,   OFFSET(   'Cuadro tarifario'!D$2  , MATCH(CONCATENATE( IF(F529&gt;Mes,OFFSET(NroCT!B$17, MATCH($F529,NroCT!$A$18:$A1405,0),0,1,1),Periodovigente) ,A529) ,'Cuadro tarifario'!A$2:A1405,0) -1 , 0 , 1 , 1))</f>
        <v>9000</v>
      </c>
      <c r="I529" s="61">
        <f t="shared" si="195"/>
        <v>1</v>
      </c>
      <c r="J529" s="60">
        <f t="shared" si="207"/>
        <v>9000</v>
      </c>
      <c r="K529" s="62">
        <f>IF(  AND(N529&gt;0,I529=0)          ,N529 ,                         IF(  IF( F529 ,  DAYS360(DATE(YEAR(F529),MONTH(F529),1),Mes)/30  ,  DAYS360(DATE(YEAR(E529),MONTH(E529),1),Mes)/30  )  &gt;  0 , IF(F529,   DAYS360(DATE(YEAR(F529),MONTH(F529),1),Mes)/30  ,  DAYS360(DATE(YEAR(E529),MONTH(E529),1),Mes)/30) , 0)       )</f>
        <v>0</v>
      </c>
      <c r="L529" s="63">
        <f t="shared" si="196"/>
        <v>0</v>
      </c>
      <c r="M529" s="129"/>
      <c r="N529" s="98">
        <f>IF( ISERROR(OFFSET(SECUESTRADOS!D$1,MATCH(B529,SECUESTRADOS!A$2:A1405,0),0)) ,0 ,  OFFSET(SECUESTRADOS!D$1,MATCH(B529,SECUESTRADOS!A$2:A1405,0),0)  )</f>
        <v>0</v>
      </c>
      <c r="O529" s="98"/>
      <c r="P529" s="98" t="str">
        <f t="shared" si="3"/>
        <v>Bono canon</v>
      </c>
      <c r="Q529" s="98" t="str">
        <f t="shared" si="234"/>
        <v>#REF!</v>
      </c>
      <c r="R529" s="130"/>
      <c r="S529" s="130"/>
      <c r="T529" s="130"/>
    </row>
    <row r="530" ht="15.0" customHeight="1">
      <c r="A530" s="18" t="s">
        <v>71</v>
      </c>
      <c r="B530" s="18">
        <v>1871.0</v>
      </c>
      <c r="C530" s="19">
        <v>1871.0</v>
      </c>
      <c r="D530" s="20" t="str">
        <f>IF(   ISERROR(OFFSET(PADRON!B$2,MATCH(C:C,PADRON!A$2:A1405,0)-1,0,1,1) )  ,  ,    OFFSET(PADRON!B$2,MATCH(C:C,PADRON!A$2:A1405,0)-1,0,1,1))</f>
        <v>CONDE, CLAUDIO</v>
      </c>
      <c r="E530" s="58">
        <v>45992.0</v>
      </c>
      <c r="F530" s="134"/>
      <c r="G530" s="59" t="s">
        <v>39</v>
      </c>
      <c r="H530" s="60">
        <f>IF( ISERROR( OFFSET(   'Cuadro tarifario'!D$2  , MATCH(CONCATENATE(                 IF(F530&gt;Mes,OFFSET(NroCT!B$17, MATCH($F530,NroCT!$A$18:$A1405,0),0,1,1),Periodovigente)                                                                                                                     ,A530) ,'Cuadro tarifario'!A$2:A1405,0) -1 , 0 , 1 , 1) )   , 0  ,   OFFSET(   'Cuadro tarifario'!D$2  , MATCH(CONCATENATE( IF(F530&gt;Mes,OFFSET(NroCT!B$17, MATCH($F530,NroCT!$A$18:$A1405,0),0,1,1),Periodovigente) ,A530) ,'Cuadro tarifario'!A$2:A1405,0) -1 , 0 , 1 , 1))</f>
        <v>11000</v>
      </c>
      <c r="I530" s="61">
        <f t="shared" si="195"/>
        <v>0</v>
      </c>
      <c r="J530" s="60">
        <f t="shared" si="207"/>
        <v>0</v>
      </c>
      <c r="K530" s="62">
        <f>IF(  AND(N530&gt;0,I530=0)          ,N530 ,                         IF(  IF( F530 ,  DAYS360(DATE(YEAR(F530),MONTH(F530),1),Mes)/30  ,  DAYS360(DATE(YEAR(E530),MONTH(E530),1),Mes)/30  )  &gt;  0 , IF(F530,   DAYS360(DATE(YEAR(F530),MONTH(F530),1),Mes)/30  ,  DAYS360(DATE(YEAR(E530),MONTH(E530),1),Mes)/30) , 0)       )</f>
        <v>0</v>
      </c>
      <c r="L530" s="63">
        <f t="shared" si="196"/>
        <v>0</v>
      </c>
      <c r="M530" s="129"/>
      <c r="N530" s="98">
        <f>IF( ISERROR(OFFSET(SECUESTRADOS!D$1,MATCH(B530,SECUESTRADOS!A$2:A1405,0),0)) ,0 ,  OFFSET(SECUESTRADOS!D$1,MATCH(B530,SECUESTRADOS!A$2:A1405,0),0)  )</f>
        <v>0</v>
      </c>
      <c r="O530" s="98"/>
      <c r="P530" s="98" t="b">
        <f t="shared" si="3"/>
        <v>0</v>
      </c>
      <c r="Q530" s="98" t="str">
        <f t="shared" si="234"/>
        <v>#REF!</v>
      </c>
      <c r="R530" s="130"/>
      <c r="S530" s="130"/>
      <c r="T530" s="130"/>
    </row>
    <row r="531" ht="15.0" customHeight="1">
      <c r="A531" s="18" t="s">
        <v>38</v>
      </c>
      <c r="B531" s="18">
        <v>1871.0</v>
      </c>
      <c r="C531" s="19">
        <v>1871.0</v>
      </c>
      <c r="D531" s="57" t="str">
        <f>IF(   ISERROR(OFFSET(PADRON!B$2,MATCH(C:C,PADRON!A$2:A1405,0)-1,0,1,1) )  ,  ,    OFFSET(PADRON!B$2,MATCH(C:C,PADRON!A$2:A1405,0)-1,0,1,1))</f>
        <v>CONDE, CLAUDIO</v>
      </c>
      <c r="E531" s="58">
        <v>45992.0</v>
      </c>
      <c r="F531" s="133"/>
      <c r="G531" s="59" t="s">
        <v>39</v>
      </c>
      <c r="H531" s="60">
        <f>IF( ISERROR( OFFSET(   'Cuadro tarifario'!D$2  , MATCH(CONCATENATE(                 IF(F531&gt;Mes,OFFSET(NroCT!B$17, MATCH($F531,NroCT!$A$18:$A1405,0),0,1,1),Periodovigente)                                                                                                                     ,A531) ,'Cuadro tarifario'!A$2:A1405,0) -1 , 0 , 1 , 1) )   , 0  ,   OFFSET(   'Cuadro tarifario'!D$2  , MATCH(CONCATENATE( IF(F531&gt;Mes,OFFSET(NroCT!B$17, MATCH($F531,NroCT!$A$18:$A1405,0),0,1,1),Periodovigente) ,A531) ,'Cuadro tarifario'!A$2:A1405,0) -1 , 0 , 1 , 1))</f>
        <v>9000</v>
      </c>
      <c r="I531" s="135">
        <f t="shared" si="195"/>
        <v>0</v>
      </c>
      <c r="J531" s="60">
        <f t="shared" si="207"/>
        <v>0</v>
      </c>
      <c r="K531" s="136">
        <f>IF(  AND(N531&gt;0,I531=0)          ,N531 ,                         IF(  IF( F531 ,  DAYS360(DATE(YEAR(F531),MONTH(F531),1),Mes)/30  ,  DAYS360(DATE(YEAR(E531),MONTH(E531),1),Mes)/30  )  &gt;  0 , IF(F531,   DAYS360(DATE(YEAR(F531),MONTH(F531),1),Mes)/30  ,  DAYS360(DATE(YEAR(E531),MONTH(E531),1),Mes)/30) , 0)       )</f>
        <v>0</v>
      </c>
      <c r="L531" s="137">
        <f t="shared" si="196"/>
        <v>0</v>
      </c>
      <c r="M531" s="129"/>
      <c r="N531" s="98">
        <f>IF( ISERROR(OFFSET(SECUESTRADOS!D$1,MATCH(B531,SECUESTRADOS!A$2:A1405,0),0)) ,0 ,  OFFSET(SECUESTRADOS!D$1,MATCH(B531,SECUESTRADOS!A$2:A1405,0),0)  )</f>
        <v>0</v>
      </c>
      <c r="O531" s="98"/>
      <c r="P531" s="98" t="b">
        <f t="shared" si="3"/>
        <v>0</v>
      </c>
      <c r="Q531" s="98" t="str">
        <f t="shared" si="234"/>
        <v>#REF!</v>
      </c>
      <c r="R531" s="130"/>
      <c r="S531" s="130"/>
      <c r="T531" s="130"/>
    </row>
    <row r="532" ht="15.0" customHeight="1">
      <c r="A532" s="18" t="s">
        <v>40</v>
      </c>
      <c r="B532" s="18" t="s">
        <v>271</v>
      </c>
      <c r="C532" s="19">
        <v>1871.0</v>
      </c>
      <c r="D532" s="57" t="str">
        <f>IF(   ISERROR(OFFSET(PADRON!B$2,MATCH(C:C,PADRON!A$2:A1405,0)-1,0,1,1) )  ,  ,    OFFSET(PADRON!B$2,MATCH(C:C,PADRON!A$2:A1405,0)-1,0,1,1))</f>
        <v>CONDE, CLAUDIO</v>
      </c>
      <c r="E532" s="58">
        <v>45992.0</v>
      </c>
      <c r="F532" s="133"/>
      <c r="G532" s="59" t="s">
        <v>39</v>
      </c>
      <c r="H532" s="60">
        <f>IF( ISERROR( OFFSET(   'Cuadro tarifario'!D$2  , MATCH(CONCATENATE(                 IF(F532&gt;Mes,OFFSET(NroCT!B$17, MATCH($F532,NroCT!$A$18:$A1405,0),0,1,1),Periodovigente)                                                                                                                     ,A532) ,'Cuadro tarifario'!A$2:A1405,0) -1 , 0 , 1 , 1) )   , 0  ,   OFFSET(   'Cuadro tarifario'!D$2  , MATCH(CONCATENATE( IF(F532&gt;Mes,OFFSET(NroCT!B$17, MATCH($F532,NroCT!$A$18:$A1405,0),0,1,1),Periodovigente) ,A532) ,'Cuadro tarifario'!A$2:A1405,0) -1 , 0 , 1 , 1))</f>
        <v>12000</v>
      </c>
      <c r="I532" s="135">
        <f t="shared" si="195"/>
        <v>0</v>
      </c>
      <c r="J532" s="60">
        <f t="shared" si="207"/>
        <v>0</v>
      </c>
      <c r="K532" s="136">
        <f>IF(  AND(N532&gt;0,I532=0)          ,N532 ,                         IF(  IF( F532 ,  DAYS360(DATE(YEAR(F532),MONTH(F532),1),Mes)/30  ,  DAYS360(DATE(YEAR(E532),MONTH(E532),1),Mes)/30  )  &gt;  0 , IF(F532,   DAYS360(DATE(YEAR(F532),MONTH(F532),1),Mes)/30  ,  DAYS360(DATE(YEAR(E532),MONTH(E532),1),Mes)/30) , 0)       )</f>
        <v>0</v>
      </c>
      <c r="L532" s="137">
        <f t="shared" si="196"/>
        <v>0</v>
      </c>
      <c r="M532" s="129"/>
      <c r="N532" s="98">
        <f>IF( ISERROR(OFFSET(SECUESTRADOS!D$1,MATCH(B532,SECUESTRADOS!A$2:A1405,0),0)) ,0 ,  OFFSET(SECUESTRADOS!D$1,MATCH(B532,SECUESTRADOS!A$2:A1405,0),0)  )</f>
        <v>0</v>
      </c>
      <c r="O532" s="98"/>
      <c r="P532" s="98" t="b">
        <f t="shared" si="3"/>
        <v>0</v>
      </c>
      <c r="Q532" s="98" t="str">
        <f t="shared" si="234"/>
        <v>#REF!</v>
      </c>
      <c r="R532" s="130"/>
      <c r="S532" s="130"/>
      <c r="T532" s="130"/>
    </row>
    <row r="533" ht="15.0" customHeight="1">
      <c r="A533" s="18" t="s">
        <v>40</v>
      </c>
      <c r="B533" s="18" t="s">
        <v>272</v>
      </c>
      <c r="C533" s="19">
        <v>1871.0</v>
      </c>
      <c r="D533" s="57" t="str">
        <f>IF(   ISERROR(OFFSET(PADRON!B$2,MATCH(C:C,PADRON!A$2:A1405,0)-1,0,1,1) )  ,  ,    OFFSET(PADRON!B$2,MATCH(C:C,PADRON!A$2:A1405,0)-1,0,1,1))</f>
        <v>CONDE, CLAUDIO</v>
      </c>
      <c r="E533" s="58">
        <v>45992.0</v>
      </c>
      <c r="F533" s="133"/>
      <c r="G533" s="59" t="s">
        <v>39</v>
      </c>
      <c r="H533" s="60">
        <f>IF( ISERROR( OFFSET(   'Cuadro tarifario'!D$2  , MATCH(CONCATENATE(                 IF(F533&gt;Mes,OFFSET(NroCT!B$17, MATCH($F533,NroCT!$A$18:$A1405,0),0,1,1),Periodovigente)                                                                                                                     ,A533) ,'Cuadro tarifario'!A$2:A1405,0) -1 , 0 , 1 , 1) )   , 0  ,   OFFSET(   'Cuadro tarifario'!D$2  , MATCH(CONCATENATE( IF(F533&gt;Mes,OFFSET(NroCT!B$17, MATCH($F533,NroCT!$A$18:$A1405,0),0,1,1),Periodovigente) ,A533) ,'Cuadro tarifario'!A$2:A1405,0) -1 , 0 , 1 , 1))</f>
        <v>12000</v>
      </c>
      <c r="I533" s="135">
        <f t="shared" si="195"/>
        <v>0</v>
      </c>
      <c r="J533" s="60">
        <f t="shared" si="207"/>
        <v>0</v>
      </c>
      <c r="K533" s="136">
        <f>IF(  AND(N533&gt;0,I533=0)          ,N533 ,                         IF(  IF( F533 ,  DAYS360(DATE(YEAR(F533),MONTH(F533),1),Mes)/30  ,  DAYS360(DATE(YEAR(E533),MONTH(E533),1),Mes)/30  )  &gt;  0 , IF(F533,   DAYS360(DATE(YEAR(F533),MONTH(F533),1),Mes)/30  ,  DAYS360(DATE(YEAR(E533),MONTH(E533),1),Mes)/30) , 0)       )</f>
        <v>0</v>
      </c>
      <c r="L533" s="137">
        <f t="shared" si="196"/>
        <v>0</v>
      </c>
      <c r="M533" s="129"/>
      <c r="N533" s="98">
        <f>IF( ISERROR(OFFSET(SECUESTRADOS!D$1,MATCH(B533,SECUESTRADOS!A$2:A1405,0),0)) ,0 ,  OFFSET(SECUESTRADOS!D$1,MATCH(B533,SECUESTRADOS!A$2:A1405,0),0)  )</f>
        <v>0</v>
      </c>
      <c r="O533" s="98"/>
      <c r="P533" s="98" t="b">
        <f t="shared" si="3"/>
        <v>0</v>
      </c>
      <c r="Q533" s="98" t="str">
        <f t="shared" si="234"/>
        <v>#REF!</v>
      </c>
      <c r="R533" s="130"/>
      <c r="S533" s="130"/>
      <c r="T533" s="130"/>
    </row>
    <row r="534" ht="15.0" customHeight="1">
      <c r="A534" s="18" t="s">
        <v>71</v>
      </c>
      <c r="B534" s="18">
        <v>1872.0</v>
      </c>
      <c r="C534" s="19">
        <v>1872.0</v>
      </c>
      <c r="D534" s="57" t="str">
        <f>IF(   ISERROR(OFFSET(PADRON!B$2,MATCH(C:C,PADRON!A$2:A1405,0)-1,0,1,1) )  ,  ,    OFFSET(PADRON!B$2,MATCH(C:C,PADRON!A$2:A1405,0)-1,0,1,1))</f>
        <v>MAGNANO, NATALIA</v>
      </c>
      <c r="E534" s="58">
        <v>45992.0</v>
      </c>
      <c r="F534" s="133"/>
      <c r="G534" s="59" t="s">
        <v>39</v>
      </c>
      <c r="H534" s="60">
        <f>IF( ISERROR( OFFSET(   'Cuadro tarifario'!D$2  , MATCH(CONCATENATE(                 IF(F534&gt;Mes,OFFSET(NroCT!B$17, MATCH($F534,NroCT!$A$18:$A1405,0),0,1,1),Periodovigente)                                                                                                                     ,A534) ,'Cuadro tarifario'!A$2:A1405,0) -1 , 0 , 1 , 1) )   , 0  ,   OFFSET(   'Cuadro tarifario'!D$2  , MATCH(CONCATENATE( IF(F534&gt;Mes,OFFSET(NroCT!B$17, MATCH($F534,NroCT!$A$18:$A1405,0),0,1,1),Periodovigente) ,A534) ,'Cuadro tarifario'!A$2:A1405,0) -1 , 0 , 1 , 1))</f>
        <v>11000</v>
      </c>
      <c r="I534" s="135">
        <f t="shared" si="195"/>
        <v>0</v>
      </c>
      <c r="J534" s="60">
        <f t="shared" si="207"/>
        <v>0</v>
      </c>
      <c r="K534" s="136">
        <f>IF(  AND(N534&gt;0,I534=0)          ,N534 ,                         IF(  IF( F534 ,  DAYS360(DATE(YEAR(F534),MONTH(F534),1),Mes)/30  ,  DAYS360(DATE(YEAR(E534),MONTH(E534),1),Mes)/30  )  &gt;  0 , IF(F534,   DAYS360(DATE(YEAR(F534),MONTH(F534),1),Mes)/30  ,  DAYS360(DATE(YEAR(E534),MONTH(E534),1),Mes)/30) , 0)       )</f>
        <v>0</v>
      </c>
      <c r="L534" s="137">
        <f t="shared" si="196"/>
        <v>0</v>
      </c>
      <c r="M534" s="129"/>
      <c r="N534" s="98">
        <f>IF( ISERROR(OFFSET(SECUESTRADOS!D$1,MATCH(B534,SECUESTRADOS!A$2:A1405,0),0)) ,0 ,  OFFSET(SECUESTRADOS!D$1,MATCH(B534,SECUESTRADOS!A$2:A1405,0),0)  )</f>
        <v>0</v>
      </c>
      <c r="O534" s="98"/>
      <c r="P534" s="98" t="b">
        <f t="shared" si="3"/>
        <v>0</v>
      </c>
      <c r="Q534" s="98" t="str">
        <f t="shared" si="234"/>
        <v>#REF!</v>
      </c>
      <c r="R534" s="130"/>
      <c r="S534" s="130"/>
      <c r="T534" s="130"/>
    </row>
    <row r="535" ht="15.0" customHeight="1">
      <c r="A535" s="18" t="s">
        <v>38</v>
      </c>
      <c r="B535" s="18">
        <v>1872.0</v>
      </c>
      <c r="C535" s="19">
        <v>1872.0</v>
      </c>
      <c r="D535" s="57" t="str">
        <f>IF(   ISERROR(OFFSET(PADRON!B$2,MATCH(C:C,PADRON!A$2:A1405,0)-1,0,1,1) )  ,  ,    OFFSET(PADRON!B$2,MATCH(C:C,PADRON!A$2:A1405,0)-1,0,1,1))</f>
        <v>MAGNANO, NATALIA</v>
      </c>
      <c r="E535" s="58">
        <v>45992.0</v>
      </c>
      <c r="F535" s="133"/>
      <c r="G535" s="59" t="s">
        <v>39</v>
      </c>
      <c r="H535" s="60">
        <f>IF( ISERROR( OFFSET(   'Cuadro tarifario'!D$2  , MATCH(CONCATENATE(                 IF(F535&gt;Mes,OFFSET(NroCT!B$17, MATCH($F535,NroCT!$A$18:$A1405,0),0,1,1),Periodovigente)                                                                                                                     ,A535) ,'Cuadro tarifario'!A$2:A1405,0) -1 , 0 , 1 , 1) )   , 0  ,   OFFSET(   'Cuadro tarifario'!D$2  , MATCH(CONCATENATE( IF(F535&gt;Mes,OFFSET(NroCT!B$17, MATCH($F535,NroCT!$A$18:$A1405,0),0,1,1),Periodovigente) ,A535) ,'Cuadro tarifario'!A$2:A1405,0) -1 , 0 , 1 , 1))</f>
        <v>9000</v>
      </c>
      <c r="I535" s="135">
        <f t="shared" si="195"/>
        <v>0</v>
      </c>
      <c r="J535" s="60">
        <f t="shared" si="207"/>
        <v>0</v>
      </c>
      <c r="K535" s="136">
        <f>IF(  AND(N535&gt;0,I535=0)          ,N535 ,                         IF(  IF( F535 ,  DAYS360(DATE(YEAR(F535),MONTH(F535),1),Mes)/30  ,  DAYS360(DATE(YEAR(E535),MONTH(E535),1),Mes)/30  )  &gt;  0 , IF(F535,   DAYS360(DATE(YEAR(F535),MONTH(F535),1),Mes)/30  ,  DAYS360(DATE(YEAR(E535),MONTH(E535),1),Mes)/30) , 0)       )</f>
        <v>0</v>
      </c>
      <c r="L535" s="137">
        <f t="shared" si="196"/>
        <v>0</v>
      </c>
      <c r="M535" s="129"/>
      <c r="N535" s="98">
        <f>IF( ISERROR(OFFSET(SECUESTRADOS!D$1,MATCH(B535,SECUESTRADOS!A$2:A1405,0),0)) ,0 ,  OFFSET(SECUESTRADOS!D$1,MATCH(B535,SECUESTRADOS!A$2:A1405,0),0)  )</f>
        <v>0</v>
      </c>
      <c r="O535" s="98"/>
      <c r="P535" s="98" t="b">
        <f t="shared" si="3"/>
        <v>0</v>
      </c>
      <c r="Q535" s="98" t="str">
        <f t="shared" si="234"/>
        <v>#REF!</v>
      </c>
      <c r="R535" s="130"/>
      <c r="S535" s="130"/>
      <c r="T535" s="130"/>
    </row>
    <row r="536" ht="15.0" customHeight="1">
      <c r="A536" s="18" t="s">
        <v>71</v>
      </c>
      <c r="B536" s="18">
        <v>1886.0</v>
      </c>
      <c r="C536" s="19">
        <v>1886.0</v>
      </c>
      <c r="D536" s="57" t="str">
        <f>IF(   ISERROR(OFFSET(PADRON!B$2,MATCH(C:C,PADRON!A$2:A1405,0)-1,0,1,1) )  ,  ,    OFFSET(PADRON!B$2,MATCH(C:C,PADRON!A$2:A1405,0)-1,0,1,1))</f>
        <v>VILLAMAYOR, ALEJANDRO</v>
      </c>
      <c r="E536" s="58">
        <v>45839.0</v>
      </c>
      <c r="F536" s="133">
        <v>45870.0</v>
      </c>
      <c r="G536" s="59" t="s">
        <v>39</v>
      </c>
      <c r="H536" s="60">
        <f>IF( ISERROR( OFFSET(   'Cuadro tarifario'!D$2  , MATCH(CONCATENATE(                 IF(F536&gt;Mes,OFFSET(NroCT!B$17, MATCH($F536,NroCT!$A$18:$A1405,0),0,1,1),Periodovigente)                                                                                                                     ,A536) ,'Cuadro tarifario'!A$2:A1405,0) -1 , 0 , 1 , 1) )   , 0  ,   OFFSET(   'Cuadro tarifario'!D$2  , MATCH(CONCATENATE( IF(F536&gt;Mes,OFFSET(NroCT!B$17, MATCH($F536,NroCT!$A$18:$A1405,0),0,1,1),Periodovigente) ,A536) ,'Cuadro tarifario'!A$2:A1405,0) -1 , 0 , 1 , 1))</f>
        <v>11000</v>
      </c>
      <c r="I536" s="135">
        <f t="shared" si="195"/>
        <v>1</v>
      </c>
      <c r="J536" s="138">
        <f t="shared" si="207"/>
        <v>11000</v>
      </c>
      <c r="K536" s="136">
        <f>IF(  AND(N536&gt;0,I536=0)          ,N536 ,                         IF(  IF( F536 ,  DAYS360(DATE(YEAR(F536),MONTH(F536),1),Mes)/30  ,  DAYS360(DATE(YEAR(E536),MONTH(E536),1),Mes)/30  )  &gt;  0 , IF(F536,   DAYS360(DATE(YEAR(F536),MONTH(F536),1),Mes)/30  ,  DAYS360(DATE(YEAR(E536),MONTH(E536),1),Mes)/30) , 0)       )</f>
        <v>0</v>
      </c>
      <c r="L536" s="137">
        <f t="shared" si="196"/>
        <v>0</v>
      </c>
      <c r="M536" s="129"/>
      <c r="N536" s="130"/>
      <c r="O536" s="130"/>
      <c r="P536" s="130"/>
      <c r="Q536" s="130"/>
      <c r="R536" s="130"/>
      <c r="S536" s="130"/>
      <c r="T536" s="130"/>
    </row>
    <row r="537" ht="15.0" customHeight="1">
      <c r="A537" s="18" t="s">
        <v>38</v>
      </c>
      <c r="B537" s="18">
        <v>1886.0</v>
      </c>
      <c r="C537" s="19">
        <v>1886.0</v>
      </c>
      <c r="D537" s="57" t="str">
        <f>IF(   ISERROR(OFFSET(PADRON!B$2,MATCH(C:C,PADRON!A$2:A1405,0)-1,0,1,1) )  ,  ,    OFFSET(PADRON!B$2,MATCH(C:C,PADRON!A$2:A1405,0)-1,0,1,1))</f>
        <v>VILLAMAYOR, ALEJANDRO</v>
      </c>
      <c r="E537" s="58">
        <v>45839.0</v>
      </c>
      <c r="F537" s="133">
        <v>45870.0</v>
      </c>
      <c r="G537" s="59" t="s">
        <v>39</v>
      </c>
      <c r="H537" s="60">
        <f>IF( ISERROR( OFFSET(   'Cuadro tarifario'!D$2  , MATCH(CONCATENATE(                 IF(F537&gt;Mes,OFFSET(NroCT!B$17, MATCH($F537,NroCT!$A$18:$A1405,0),0,1,1),Periodovigente)                                                                                                                     ,A537) ,'Cuadro tarifario'!A$2:A1405,0) -1 , 0 , 1 , 1) )   , 0  ,   OFFSET(   'Cuadro tarifario'!D$2  , MATCH(CONCATENATE( IF(F537&gt;Mes,OFFSET(NroCT!B$17, MATCH($F537,NroCT!$A$18:$A1405,0),0,1,1),Periodovigente) ,A537) ,'Cuadro tarifario'!A$2:A1405,0) -1 , 0 , 1 , 1))</f>
        <v>9000</v>
      </c>
      <c r="I537" s="135">
        <f t="shared" si="195"/>
        <v>1</v>
      </c>
      <c r="J537" s="138">
        <f t="shared" si="207"/>
        <v>9000</v>
      </c>
      <c r="K537" s="136">
        <f>IF(  AND(N537&gt;0,I537=0)          ,N537 ,                         IF(  IF( F537 ,  DAYS360(DATE(YEAR(F537),MONTH(F537),1),Mes)/30  ,  DAYS360(DATE(YEAR(E537),MONTH(E537),1),Mes)/30  )  &gt;  0 , IF(F537,   DAYS360(DATE(YEAR(F537),MONTH(F537),1),Mes)/30  ,  DAYS360(DATE(YEAR(E537),MONTH(E537),1),Mes)/30) , 0)       )</f>
        <v>0</v>
      </c>
      <c r="L537" s="137">
        <f t="shared" si="196"/>
        <v>0</v>
      </c>
      <c r="M537" s="129"/>
      <c r="N537" s="130"/>
      <c r="O537" s="130"/>
      <c r="P537" s="130"/>
      <c r="Q537" s="130"/>
      <c r="R537" s="130"/>
      <c r="S537" s="130"/>
      <c r="T537" s="130"/>
    </row>
    <row r="538" ht="15.0" customHeight="1">
      <c r="A538" s="18" t="s">
        <v>40</v>
      </c>
      <c r="B538" s="18" t="s">
        <v>273</v>
      </c>
      <c r="C538" s="19">
        <v>1886.0</v>
      </c>
      <c r="D538" s="57" t="str">
        <f>IF(   ISERROR(OFFSET(PADRON!B$2,MATCH(C:C,PADRON!A$2:A1405,0)-1,0,1,1) )  ,  ,    OFFSET(PADRON!B$2,MATCH(C:C,PADRON!A$2:A1405,0)-1,0,1,1))</f>
        <v>VILLAMAYOR, ALEJANDRO</v>
      </c>
      <c r="E538" s="58">
        <v>45839.0</v>
      </c>
      <c r="F538" s="133">
        <v>45870.0</v>
      </c>
      <c r="G538" s="59" t="s">
        <v>39</v>
      </c>
      <c r="H538" s="60">
        <f>IF( ISERROR( OFFSET(   'Cuadro tarifario'!D$2  , MATCH(CONCATENATE(                 IF(F538&gt;Mes,OFFSET(NroCT!B$17, MATCH($F538,NroCT!$A$18:$A1405,0),0,1,1),Periodovigente)                                                                                                                     ,A538) ,'Cuadro tarifario'!A$2:A1405,0) -1 , 0 , 1 , 1) )   , 0  ,   OFFSET(   'Cuadro tarifario'!D$2  , MATCH(CONCATENATE( IF(F538&gt;Mes,OFFSET(NroCT!B$17, MATCH($F538,NroCT!$A$18:$A1405,0),0,1,1),Periodovigente) ,A538) ,'Cuadro tarifario'!A$2:A1405,0) -1 , 0 , 1 , 1))</f>
        <v>12000</v>
      </c>
      <c r="I538" s="135">
        <f t="shared" si="195"/>
        <v>1</v>
      </c>
      <c r="J538" s="138"/>
      <c r="K538" s="136">
        <f>IF(  AND(N538&gt;0,I538=0)          ,N538 ,                         IF(  IF( F538 ,  DAYS360(DATE(YEAR(F538),MONTH(F538),1),Mes)/30  ,  DAYS360(DATE(YEAR(E538),MONTH(E538),1),Mes)/30  )  &gt;  0 , IF(F538,   DAYS360(DATE(YEAR(F538),MONTH(F538),1),Mes)/30  ,  DAYS360(DATE(YEAR(E538),MONTH(E538),1),Mes)/30) , 0)       )</f>
        <v>0</v>
      </c>
      <c r="L538" s="137">
        <f t="shared" si="196"/>
        <v>0</v>
      </c>
      <c r="M538" s="131" t="s">
        <v>88</v>
      </c>
      <c r="N538" s="130"/>
      <c r="O538" s="130"/>
      <c r="P538" s="130"/>
      <c r="Q538" s="130"/>
      <c r="R538" s="130"/>
      <c r="S538" s="130"/>
      <c r="T538" s="130"/>
    </row>
    <row r="539" ht="15.0" customHeight="1">
      <c r="A539" s="18" t="s">
        <v>274</v>
      </c>
      <c r="B539" s="18" t="s">
        <v>275</v>
      </c>
      <c r="C539" s="19">
        <v>1886.0</v>
      </c>
      <c r="D539" s="57" t="str">
        <f>IF(   ISERROR(OFFSET(PADRON!B$2,MATCH(C:C,PADRON!A$2:A1405,0)-1,0,1,1) )  ,  ,    OFFSET(PADRON!B$2,MATCH(C:C,PADRON!A$2:A1405,0)-1,0,1,1))</f>
        <v>VILLAMAYOR, ALEJANDRO</v>
      </c>
      <c r="E539" s="58">
        <v>45992.0</v>
      </c>
      <c r="F539" s="133"/>
      <c r="G539" s="59" t="s">
        <v>39</v>
      </c>
      <c r="H539" s="60">
        <f>IF( ISERROR( OFFSET(   'Cuadro tarifario'!D$2  , MATCH(CONCATENATE(                 IF(F539&gt;Mes,OFFSET(NroCT!B$17, MATCH($F539,NroCT!$A$18:$A1405,0),0,1,1),Periodovigente)                                                                                                                     ,A539) ,'Cuadro tarifario'!A$2:A1405,0) -1 , 0 , 1 , 1) )   , 0  ,   OFFSET(   'Cuadro tarifario'!D$2  , MATCH(CONCATENATE( IF(F539&gt;Mes,OFFSET(NroCT!B$17, MATCH($F539,NroCT!$A$18:$A1405,0),0,1,1),Periodovigente) ,A539) ,'Cuadro tarifario'!A$2:A1405,0) -1 , 0 , 1 , 1))</f>
        <v>3600</v>
      </c>
      <c r="I539" s="135">
        <f t="shared" si="195"/>
        <v>0</v>
      </c>
      <c r="J539" s="138">
        <f t="shared" ref="J539:J1056" si="235">I539*H539</f>
        <v>0</v>
      </c>
      <c r="K539" s="136">
        <f>IF(  AND(N539&gt;0,I539=0)          ,N539 ,                         IF(  IF( F539 ,  DAYS360(DATE(YEAR(F539),MONTH(F539),1),Mes)/30  ,  DAYS360(DATE(YEAR(E539),MONTH(E539),1),Mes)/30  )  &gt;  0 , IF(F539,   DAYS360(DATE(YEAR(F539),MONTH(F539),1),Mes)/30  ,  DAYS360(DATE(YEAR(E539),MONTH(E539),1),Mes)/30) , 0)       )</f>
        <v>0</v>
      </c>
      <c r="L539" s="137">
        <f t="shared" si="196"/>
        <v>0</v>
      </c>
      <c r="M539" s="129"/>
      <c r="N539" s="130"/>
      <c r="O539" s="130"/>
      <c r="P539" s="130"/>
      <c r="Q539" s="130"/>
      <c r="R539" s="130"/>
      <c r="S539" s="130"/>
      <c r="T539" s="130"/>
    </row>
    <row r="540" ht="15.0" customHeight="1">
      <c r="A540" s="18" t="s">
        <v>71</v>
      </c>
      <c r="B540" s="18">
        <v>1887.0</v>
      </c>
      <c r="C540" s="19">
        <v>1887.0</v>
      </c>
      <c r="D540" s="57" t="str">
        <f>IF(   ISERROR(OFFSET(PADRON!B$2,MATCH(C:C,PADRON!A$2:A1405,0)-1,0,1,1) )  ,  ,    OFFSET(PADRON!B$2,MATCH(C:C,PADRON!A$2:A1405,0)-1,0,1,1))</f>
        <v>BARRIOS, LUCRECIA</v>
      </c>
      <c r="E540" s="58">
        <v>45839.0</v>
      </c>
      <c r="F540" s="133">
        <v>45870.0</v>
      </c>
      <c r="G540" s="59" t="s">
        <v>39</v>
      </c>
      <c r="H540" s="60">
        <f>IF( ISERROR( OFFSET(   'Cuadro tarifario'!D$2  , MATCH(CONCATENATE(                 IF(F540&gt;Mes,OFFSET(NroCT!B$17, MATCH($F540,NroCT!$A$18:$A1405,0),0,1,1),Periodovigente)                                                                                                                     ,A540) ,'Cuadro tarifario'!A$2:A1405,0) -1 , 0 , 1 , 1) )   , 0  ,   OFFSET(   'Cuadro tarifario'!D$2  , MATCH(CONCATENATE( IF(F540&gt;Mes,OFFSET(NroCT!B$17, MATCH($F540,NroCT!$A$18:$A1405,0),0,1,1),Periodovigente) ,A540) ,'Cuadro tarifario'!A$2:A1405,0) -1 , 0 , 1 , 1))</f>
        <v>11000</v>
      </c>
      <c r="I540" s="135">
        <f t="shared" si="195"/>
        <v>1</v>
      </c>
      <c r="J540" s="138">
        <f t="shared" si="235"/>
        <v>11000</v>
      </c>
      <c r="K540" s="136">
        <f>IF(  AND(N540&gt;0,I540=0)          ,N540 ,                         IF(  IF( F540 ,  DAYS360(DATE(YEAR(F540),MONTH(F540),1),Mes)/30  ,  DAYS360(DATE(YEAR(E540),MONTH(E540),1),Mes)/30  )  &gt;  0 , IF(F540,   DAYS360(DATE(YEAR(F540),MONTH(F540),1),Mes)/30  ,  DAYS360(DATE(YEAR(E540),MONTH(E540),1),Mes)/30) , 0)       )</f>
        <v>0</v>
      </c>
      <c r="L540" s="137">
        <f t="shared" si="196"/>
        <v>0</v>
      </c>
      <c r="M540" s="129"/>
      <c r="N540" s="130"/>
      <c r="O540" s="130"/>
      <c r="P540" s="130"/>
      <c r="Q540" s="130"/>
      <c r="R540" s="130"/>
      <c r="S540" s="130"/>
      <c r="T540" s="130"/>
    </row>
    <row r="541" ht="15.0" customHeight="1">
      <c r="A541" s="18" t="s">
        <v>38</v>
      </c>
      <c r="B541" s="18">
        <v>1887.0</v>
      </c>
      <c r="C541" s="19">
        <v>1887.0</v>
      </c>
      <c r="D541" s="57" t="str">
        <f>IF(   ISERROR(OFFSET(PADRON!B$2,MATCH(C:C,PADRON!A$2:A1405,0)-1,0,1,1) )  ,  ,    OFFSET(PADRON!B$2,MATCH(C:C,PADRON!A$2:A1405,0)-1,0,1,1))</f>
        <v>BARRIOS, LUCRECIA</v>
      </c>
      <c r="E541" s="58">
        <v>45839.0</v>
      </c>
      <c r="F541" s="133">
        <v>45870.0</v>
      </c>
      <c r="G541" s="59" t="s">
        <v>39</v>
      </c>
      <c r="H541" s="60">
        <f>IF( ISERROR( OFFSET(   'Cuadro tarifario'!D$2  , MATCH(CONCATENATE(                 IF(F541&gt;Mes,OFFSET(NroCT!B$17, MATCH($F541,NroCT!$A$18:$A1405,0),0,1,1),Periodovigente)                                                                                                                     ,A541) ,'Cuadro tarifario'!A$2:A1405,0) -1 , 0 , 1 , 1) )   , 0  ,   OFFSET(   'Cuadro tarifario'!D$2  , MATCH(CONCATENATE( IF(F541&gt;Mes,OFFSET(NroCT!B$17, MATCH($F541,NroCT!$A$18:$A1405,0),0,1,1),Periodovigente) ,A541) ,'Cuadro tarifario'!A$2:A1405,0) -1 , 0 , 1 , 1))</f>
        <v>9000</v>
      </c>
      <c r="I541" s="135">
        <f t="shared" si="195"/>
        <v>1</v>
      </c>
      <c r="J541" s="138">
        <f t="shared" si="235"/>
        <v>9000</v>
      </c>
      <c r="K541" s="136">
        <f>IF(  AND(N541&gt;0,I541=0)          ,N541 ,                         IF(  IF( F541 ,  DAYS360(DATE(YEAR(F541),MONTH(F541),1),Mes)/30  ,  DAYS360(DATE(YEAR(E541),MONTH(E541),1),Mes)/30  )  &gt;  0 , IF(F541,   DAYS360(DATE(YEAR(F541),MONTH(F541),1),Mes)/30  ,  DAYS360(DATE(YEAR(E541),MONTH(E541),1),Mes)/30) , 0)       )</f>
        <v>0</v>
      </c>
      <c r="L541" s="137">
        <f t="shared" si="196"/>
        <v>0</v>
      </c>
      <c r="M541" s="129"/>
      <c r="N541" s="130"/>
      <c r="O541" s="130"/>
      <c r="P541" s="130"/>
      <c r="Q541" s="130"/>
      <c r="R541" s="130"/>
      <c r="S541" s="130"/>
      <c r="T541" s="130"/>
    </row>
    <row r="542" ht="15.0" customHeight="1">
      <c r="A542" s="18" t="s">
        <v>82</v>
      </c>
      <c r="B542" s="18" t="s">
        <v>276</v>
      </c>
      <c r="C542" s="19">
        <v>1887.0</v>
      </c>
      <c r="D542" s="57" t="str">
        <f>IF(   ISERROR(OFFSET(PADRON!B$2,MATCH(C:C,PADRON!A$2:A1405,0)-1,0,1,1) )  ,  ,    OFFSET(PADRON!B$2,MATCH(C:C,PADRON!A$2:A1405,0)-1,0,1,1))</f>
        <v>BARRIOS, LUCRECIA</v>
      </c>
      <c r="E542" s="58">
        <v>45839.0</v>
      </c>
      <c r="F542" s="133">
        <v>45870.0</v>
      </c>
      <c r="G542" s="59" t="s">
        <v>39</v>
      </c>
      <c r="H542" s="60">
        <f>IF( ISERROR( OFFSET(   'Cuadro tarifario'!D$2  , MATCH(CONCATENATE(                 IF(F542&gt;Mes,OFFSET(NroCT!B$17, MATCH($F542,NroCT!$A$18:$A1405,0),0,1,1),Periodovigente)                                                                                                                     ,A542) ,'Cuadro tarifario'!A$2:A1405,0) -1 , 0 , 1 , 1) )   , 0  ,   OFFSET(   'Cuadro tarifario'!D$2  , MATCH(CONCATENATE( IF(F542&gt;Mes,OFFSET(NroCT!B$17, MATCH($F542,NroCT!$A$18:$A1405,0),0,1,1),Periodovigente) ,A542) ,'Cuadro tarifario'!A$2:A1405,0) -1 , 0 , 1 , 1))</f>
        <v>12000</v>
      </c>
      <c r="I542" s="135">
        <f t="shared" si="195"/>
        <v>1</v>
      </c>
      <c r="J542" s="138">
        <f t="shared" si="235"/>
        <v>12000</v>
      </c>
      <c r="K542" s="136">
        <f>IF(  AND(N542&gt;0,I542=0)          ,N542 ,                         IF(  IF( F542 ,  DAYS360(DATE(YEAR(F542),MONTH(F542),1),Mes)/30  ,  DAYS360(DATE(YEAR(E542),MONTH(E542),1),Mes)/30  )  &gt;  0 , IF(F542,   DAYS360(DATE(YEAR(F542),MONTH(F542),1),Mes)/30  ,  DAYS360(DATE(YEAR(E542),MONTH(E542),1),Mes)/30) , 0)       )</f>
        <v>0</v>
      </c>
      <c r="L542" s="137">
        <f t="shared" si="196"/>
        <v>0</v>
      </c>
      <c r="M542" s="129"/>
      <c r="N542" s="130"/>
      <c r="O542" s="130"/>
      <c r="P542" s="130"/>
      <c r="Q542" s="130"/>
      <c r="R542" s="130"/>
      <c r="S542" s="130"/>
      <c r="T542" s="130"/>
    </row>
    <row r="543" ht="15.0" customHeight="1">
      <c r="A543" s="18" t="s">
        <v>71</v>
      </c>
      <c r="B543" s="18">
        <v>1888.0</v>
      </c>
      <c r="C543" s="19">
        <v>1888.0</v>
      </c>
      <c r="D543" s="57" t="str">
        <f>IF(   ISERROR(OFFSET(PADRON!B$2,MATCH(C:C,PADRON!A$2:A1405,0)-1,0,1,1) )  ,  ,    OFFSET(PADRON!B$2,MATCH(C:C,PADRON!A$2:A1405,0)-1,0,1,1))</f>
        <v>SEIJO, RUBEN</v>
      </c>
      <c r="E543" s="58">
        <v>45839.0</v>
      </c>
      <c r="F543" s="133">
        <v>45870.0</v>
      </c>
      <c r="G543" s="59" t="s">
        <v>39</v>
      </c>
      <c r="H543" s="60">
        <f>IF( ISERROR( OFFSET(   'Cuadro tarifario'!D$2  , MATCH(CONCATENATE(                 IF(F543&gt;Mes,OFFSET(NroCT!B$17, MATCH($F543,NroCT!$A$18:$A1405,0),0,1,1),Periodovigente)                                                                                                                     ,A543) ,'Cuadro tarifario'!A$2:A1405,0) -1 , 0 , 1 , 1) )   , 0  ,   OFFSET(   'Cuadro tarifario'!D$2  , MATCH(CONCATENATE( IF(F543&gt;Mes,OFFSET(NroCT!B$17, MATCH($F543,NroCT!$A$18:$A1405,0),0,1,1),Periodovigente) ,A543) ,'Cuadro tarifario'!A$2:A1405,0) -1 , 0 , 1 , 1))</f>
        <v>11000</v>
      </c>
      <c r="I543" s="135">
        <f t="shared" si="195"/>
        <v>1</v>
      </c>
      <c r="J543" s="138">
        <f t="shared" si="235"/>
        <v>11000</v>
      </c>
      <c r="K543" s="136">
        <f>IF(  AND(N543&gt;0,I543=0)          ,N543 ,                         IF(  IF( F543 ,  DAYS360(DATE(YEAR(F543),MONTH(F543),1),Mes)/30  ,  DAYS360(DATE(YEAR(E543),MONTH(E543),1),Mes)/30  )  &gt;  0 , IF(F543,   DAYS360(DATE(YEAR(F543),MONTH(F543),1),Mes)/30  ,  DAYS360(DATE(YEAR(E543),MONTH(E543),1),Mes)/30) , 0)       )</f>
        <v>0</v>
      </c>
      <c r="L543" s="137">
        <f t="shared" si="196"/>
        <v>0</v>
      </c>
      <c r="M543" s="129"/>
      <c r="N543" s="130"/>
      <c r="O543" s="130"/>
      <c r="P543" s="130"/>
      <c r="Q543" s="130"/>
      <c r="R543" s="130"/>
      <c r="S543" s="130"/>
      <c r="T543" s="130"/>
    </row>
    <row r="544" ht="15.0" customHeight="1">
      <c r="A544" s="18" t="s">
        <v>38</v>
      </c>
      <c r="B544" s="18">
        <v>1888.0</v>
      </c>
      <c r="C544" s="19">
        <v>1888.0</v>
      </c>
      <c r="D544" s="57" t="str">
        <f>IF(   ISERROR(OFFSET(PADRON!B$2,MATCH(C:C,PADRON!A$2:A1405,0)-1,0,1,1) )  ,  ,    OFFSET(PADRON!B$2,MATCH(C:C,PADRON!A$2:A1405,0)-1,0,1,1))</f>
        <v>SEIJO, RUBEN</v>
      </c>
      <c r="E544" s="58">
        <v>45839.0</v>
      </c>
      <c r="F544" s="133">
        <v>45870.0</v>
      </c>
      <c r="G544" s="59" t="s">
        <v>39</v>
      </c>
      <c r="H544" s="60">
        <f>IF( ISERROR( OFFSET(   'Cuadro tarifario'!D$2  , MATCH(CONCATENATE(                 IF(F544&gt;Mes,OFFSET(NroCT!B$17, MATCH($F544,NroCT!$A$18:$A1405,0),0,1,1),Periodovigente)                                                                                                                     ,A544) ,'Cuadro tarifario'!A$2:A1405,0) -1 , 0 , 1 , 1) )   , 0  ,   OFFSET(   'Cuadro tarifario'!D$2  , MATCH(CONCATENATE( IF(F544&gt;Mes,OFFSET(NroCT!B$17, MATCH($F544,NroCT!$A$18:$A1405,0),0,1,1),Periodovigente) ,A544) ,'Cuadro tarifario'!A$2:A1405,0) -1 , 0 , 1 , 1))</f>
        <v>9000</v>
      </c>
      <c r="I544" s="135">
        <f t="shared" si="195"/>
        <v>1</v>
      </c>
      <c r="J544" s="138">
        <f t="shared" si="235"/>
        <v>9000</v>
      </c>
      <c r="K544" s="136">
        <f>IF(  AND(N544&gt;0,I544=0)          ,N544 ,                         IF(  IF( F544 ,  DAYS360(DATE(YEAR(F544),MONTH(F544),1),Mes)/30  ,  DAYS360(DATE(YEAR(E544),MONTH(E544),1),Mes)/30  )  &gt;  0 , IF(F544,   DAYS360(DATE(YEAR(F544),MONTH(F544),1),Mes)/30  ,  DAYS360(DATE(YEAR(E544),MONTH(E544),1),Mes)/30) , 0)       )</f>
        <v>0</v>
      </c>
      <c r="L544" s="137">
        <f t="shared" si="196"/>
        <v>0</v>
      </c>
      <c r="M544" s="129"/>
      <c r="N544" s="130"/>
      <c r="O544" s="130"/>
      <c r="P544" s="130"/>
      <c r="Q544" s="130"/>
      <c r="R544" s="130"/>
      <c r="S544" s="130"/>
      <c r="T544" s="130"/>
    </row>
    <row r="545" ht="15.0" customHeight="1">
      <c r="A545" s="18" t="s">
        <v>71</v>
      </c>
      <c r="B545" s="18">
        <v>1890.0</v>
      </c>
      <c r="C545" s="19">
        <v>1890.0</v>
      </c>
      <c r="D545" s="57" t="str">
        <f>IF(   ISERROR(OFFSET(PADRON!B$2,MATCH(C:C,PADRON!A$2:A1405,0)-1,0,1,1) )  ,  ,    OFFSET(PADRON!B$2,MATCH(C:C,PADRON!A$2:A1405,0)-1,0,1,1))</f>
        <v>SANCHEZ TURI, LUIS ALEJANDRO</v>
      </c>
      <c r="E545" s="58">
        <v>45839.0</v>
      </c>
      <c r="F545" s="133">
        <v>45870.0</v>
      </c>
      <c r="G545" s="59" t="s">
        <v>39</v>
      </c>
      <c r="H545" s="60">
        <f>IF( ISERROR( OFFSET(   'Cuadro tarifario'!D$2  , MATCH(CONCATENATE(                 IF(F545&gt;Mes,OFFSET(NroCT!B$17, MATCH($F545,NroCT!$A$18:$A1405,0),0,1,1),Periodovigente)                                                                                                                     ,A545) ,'Cuadro tarifario'!A$2:A1405,0) -1 , 0 , 1 , 1) )   , 0  ,   OFFSET(   'Cuadro tarifario'!D$2  , MATCH(CONCATENATE( IF(F545&gt;Mes,OFFSET(NroCT!B$17, MATCH($F545,NroCT!$A$18:$A1405,0),0,1,1),Periodovigente) ,A545) ,'Cuadro tarifario'!A$2:A1405,0) -1 , 0 , 1 , 1))</f>
        <v>11000</v>
      </c>
      <c r="I545" s="135">
        <f t="shared" si="195"/>
        <v>1</v>
      </c>
      <c r="J545" s="138">
        <f t="shared" si="235"/>
        <v>11000</v>
      </c>
      <c r="K545" s="136">
        <f>IF(  AND(N545&gt;0,I545=0)          ,N545 ,                         IF(  IF( F545 ,  DAYS360(DATE(YEAR(F545),MONTH(F545),1),Mes)/30  ,  DAYS360(DATE(YEAR(E545),MONTH(E545),1),Mes)/30  )  &gt;  0 , IF(F545,   DAYS360(DATE(YEAR(F545),MONTH(F545),1),Mes)/30  ,  DAYS360(DATE(YEAR(E545),MONTH(E545),1),Mes)/30) , 0)       )</f>
        <v>0</v>
      </c>
      <c r="L545" s="137">
        <f t="shared" si="196"/>
        <v>0</v>
      </c>
      <c r="M545" s="129"/>
      <c r="N545" s="130"/>
      <c r="O545" s="130"/>
      <c r="P545" s="130"/>
      <c r="Q545" s="130"/>
      <c r="R545" s="130"/>
      <c r="S545" s="130"/>
      <c r="T545" s="130"/>
    </row>
    <row r="546" ht="15.0" customHeight="1">
      <c r="A546" s="18" t="s">
        <v>38</v>
      </c>
      <c r="B546" s="18">
        <v>1890.0</v>
      </c>
      <c r="C546" s="19">
        <v>1890.0</v>
      </c>
      <c r="D546" s="57" t="str">
        <f>IF(   ISERROR(OFFSET(PADRON!B$2,MATCH(C:C,PADRON!A$2:A1405,0)-1,0,1,1) )  ,  ,    OFFSET(PADRON!B$2,MATCH(C:C,PADRON!A$2:A1405,0)-1,0,1,1))</f>
        <v>SANCHEZ TURI, LUIS ALEJANDRO</v>
      </c>
      <c r="E546" s="58">
        <v>45839.0</v>
      </c>
      <c r="F546" s="133">
        <v>45870.0</v>
      </c>
      <c r="G546" s="59" t="s">
        <v>39</v>
      </c>
      <c r="H546" s="60">
        <f>IF( ISERROR( OFFSET(   'Cuadro tarifario'!D$2  , MATCH(CONCATENATE(                 IF(F546&gt;Mes,OFFSET(NroCT!B$17, MATCH($F546,NroCT!$A$18:$A1405,0),0,1,1),Periodovigente)                                                                                                                     ,A546) ,'Cuadro tarifario'!A$2:A1405,0) -1 , 0 , 1 , 1) )   , 0  ,   OFFSET(   'Cuadro tarifario'!D$2  , MATCH(CONCATENATE( IF(F546&gt;Mes,OFFSET(NroCT!B$17, MATCH($F546,NroCT!$A$18:$A1405,0),0,1,1),Periodovigente) ,A546) ,'Cuadro tarifario'!A$2:A1405,0) -1 , 0 , 1 , 1))</f>
        <v>9000</v>
      </c>
      <c r="I546" s="135">
        <f t="shared" si="195"/>
        <v>1</v>
      </c>
      <c r="J546" s="138">
        <f t="shared" si="235"/>
        <v>9000</v>
      </c>
      <c r="K546" s="136">
        <f>IF(  AND(N546&gt;0,I546=0)          ,N546 ,                         IF(  IF( F546 ,  DAYS360(DATE(YEAR(F546),MONTH(F546),1),Mes)/30  ,  DAYS360(DATE(YEAR(E546),MONTH(E546),1),Mes)/30  )  &gt;  0 , IF(F546,   DAYS360(DATE(YEAR(F546),MONTH(F546),1),Mes)/30  ,  DAYS360(DATE(YEAR(E546),MONTH(E546),1),Mes)/30) , 0)       )</f>
        <v>0</v>
      </c>
      <c r="L546" s="137">
        <f t="shared" si="196"/>
        <v>0</v>
      </c>
      <c r="M546" s="129"/>
      <c r="N546" s="130"/>
      <c r="O546" s="130"/>
      <c r="P546" s="130"/>
      <c r="Q546" s="130"/>
      <c r="R546" s="130"/>
      <c r="S546" s="130"/>
      <c r="T546" s="130"/>
    </row>
    <row r="547" ht="15.0" customHeight="1">
      <c r="A547" s="18" t="s">
        <v>40</v>
      </c>
      <c r="B547" s="18" t="s">
        <v>277</v>
      </c>
      <c r="C547" s="19">
        <v>1890.0</v>
      </c>
      <c r="D547" s="57" t="str">
        <f>IF(   ISERROR(OFFSET(PADRON!B$2,MATCH(C:C,PADRON!A$2:A1405,0)-1,0,1,1) )  ,  ,    OFFSET(PADRON!B$2,MATCH(C:C,PADRON!A$2:A1405,0)-1,0,1,1))</f>
        <v>SANCHEZ TURI, LUIS ALEJANDRO</v>
      </c>
      <c r="E547" s="58">
        <v>45839.0</v>
      </c>
      <c r="F547" s="133">
        <v>45870.0</v>
      </c>
      <c r="G547" s="59" t="s">
        <v>39</v>
      </c>
      <c r="H547" s="60">
        <f>IF( ISERROR( OFFSET(   'Cuadro tarifario'!D$2  , MATCH(CONCATENATE(                 IF(F547&gt;Mes,OFFSET(NroCT!B$17, MATCH($F547,NroCT!$A$18:$A1405,0),0,1,1),Periodovigente)                                                                                                                     ,A547) ,'Cuadro tarifario'!A$2:A1405,0) -1 , 0 , 1 , 1) )   , 0  ,   OFFSET(   'Cuadro tarifario'!D$2  , MATCH(CONCATENATE( IF(F547&gt;Mes,OFFSET(NroCT!B$17, MATCH($F547,NroCT!$A$18:$A1405,0),0,1,1),Periodovigente) ,A547) ,'Cuadro tarifario'!A$2:A1405,0) -1 , 0 , 1 , 1))</f>
        <v>12000</v>
      </c>
      <c r="I547" s="135">
        <f t="shared" si="195"/>
        <v>1</v>
      </c>
      <c r="J547" s="138">
        <f t="shared" si="235"/>
        <v>12000</v>
      </c>
      <c r="K547" s="136">
        <f>IF(  AND(N547&gt;0,I547=0)          ,N547 ,                         IF(  IF( F547 ,  DAYS360(DATE(YEAR(F547),MONTH(F547),1),Mes)/30  ,  DAYS360(DATE(YEAR(E547),MONTH(E547),1),Mes)/30  )  &gt;  0 , IF(F547,   DAYS360(DATE(YEAR(F547),MONTH(F547),1),Mes)/30  ,  DAYS360(DATE(YEAR(E547),MONTH(E547),1),Mes)/30) , 0)       )</f>
        <v>0</v>
      </c>
      <c r="L547" s="137">
        <f t="shared" si="196"/>
        <v>0</v>
      </c>
      <c r="M547" s="129"/>
      <c r="N547" s="130"/>
      <c r="O547" s="130"/>
      <c r="P547" s="130"/>
      <c r="Q547" s="130"/>
      <c r="R547" s="130"/>
      <c r="S547" s="130"/>
      <c r="T547" s="130"/>
    </row>
    <row r="548" ht="15.0" customHeight="1">
      <c r="A548" s="18" t="s">
        <v>71</v>
      </c>
      <c r="B548" s="18">
        <v>1891.0</v>
      </c>
      <c r="C548" s="19">
        <v>1891.0</v>
      </c>
      <c r="D548" s="57" t="str">
        <f>IF(   ISERROR(OFFSET(PADRON!B$2,MATCH(C:C,PADRON!A$2:A1405,0)-1,0,1,1) )  ,  ,    OFFSET(PADRON!B$2,MATCH(C:C,PADRON!A$2:A1405,0)-1,0,1,1))</f>
        <v>SANCHEZ TURI,ROXANA</v>
      </c>
      <c r="E548" s="58">
        <v>45839.0</v>
      </c>
      <c r="F548" s="133"/>
      <c r="G548" s="59" t="s">
        <v>39</v>
      </c>
      <c r="H548" s="60">
        <f>IF( ISERROR( OFFSET(   'Cuadro tarifario'!D$2  , MATCH(CONCATENATE(                 IF(F548&gt;Mes,OFFSET(NroCT!B$17, MATCH($F548,NroCT!$A$18:$A1405,0),0,1,1),Periodovigente)                                                                                                                     ,A548) ,'Cuadro tarifario'!A$2:A1405,0) -1 , 0 , 1 , 1) )   , 0  ,   OFFSET(   'Cuadro tarifario'!D$2  , MATCH(CONCATENATE( IF(F548&gt;Mes,OFFSET(NroCT!B$17, MATCH($F548,NroCT!$A$18:$A1405,0),0,1,1),Periodovigente) ,A548) ,'Cuadro tarifario'!A$2:A1405,0) -1 , 0 , 1 , 1))</f>
        <v>11000</v>
      </c>
      <c r="I548" s="135">
        <f t="shared" si="195"/>
        <v>0</v>
      </c>
      <c r="J548" s="138">
        <f t="shared" si="235"/>
        <v>0</v>
      </c>
      <c r="K548" s="136">
        <f>IF(  AND(N548&gt;0,I548=0)          ,N548 ,                         IF(  IF( F548 ,  DAYS360(DATE(YEAR(F548),MONTH(F548),1),Mes)/30  ,  DAYS360(DATE(YEAR(E548),MONTH(E548),1),Mes)/30  )  &gt;  0 , IF(F548,   DAYS360(DATE(YEAR(F548),MONTH(F548),1),Mes)/30  ,  DAYS360(DATE(YEAR(E548),MONTH(E548),1),Mes)/30) , 0)       )</f>
        <v>1</v>
      </c>
      <c r="L548" s="137">
        <f t="shared" si="196"/>
        <v>11000</v>
      </c>
      <c r="M548" s="129"/>
      <c r="N548" s="130"/>
      <c r="O548" s="130"/>
      <c r="P548" s="130"/>
      <c r="Q548" s="130"/>
      <c r="R548" s="130"/>
      <c r="S548" s="130"/>
      <c r="T548" s="130"/>
    </row>
    <row r="549" ht="15.0" customHeight="1">
      <c r="A549" s="18" t="s">
        <v>38</v>
      </c>
      <c r="B549" s="18">
        <v>1891.0</v>
      </c>
      <c r="C549" s="19">
        <v>1891.0</v>
      </c>
      <c r="D549" s="57" t="str">
        <f>IF(   ISERROR(OFFSET(PADRON!B$2,MATCH(C:C,PADRON!A$2:A1405,0)-1,0,1,1) )  ,  ,    OFFSET(PADRON!B$2,MATCH(C:C,PADRON!A$2:A1405,0)-1,0,1,1))</f>
        <v>SANCHEZ TURI,ROXANA</v>
      </c>
      <c r="E549" s="58">
        <v>45839.0</v>
      </c>
      <c r="F549" s="133"/>
      <c r="G549" s="59" t="s">
        <v>39</v>
      </c>
      <c r="H549" s="60">
        <f>IF( ISERROR( OFFSET(   'Cuadro tarifario'!D$2  , MATCH(CONCATENATE(                 IF(F549&gt;Mes,OFFSET(NroCT!B$17, MATCH($F549,NroCT!$A$18:$A1405,0),0,1,1),Periodovigente)                                                                                                                     ,A549) ,'Cuadro tarifario'!A$2:A1405,0) -1 , 0 , 1 , 1) )   , 0  ,   OFFSET(   'Cuadro tarifario'!D$2  , MATCH(CONCATENATE( IF(F549&gt;Mes,OFFSET(NroCT!B$17, MATCH($F549,NroCT!$A$18:$A1405,0),0,1,1),Periodovigente) ,A549) ,'Cuadro tarifario'!A$2:A1405,0) -1 , 0 , 1 , 1))</f>
        <v>9000</v>
      </c>
      <c r="I549" s="135">
        <f t="shared" si="195"/>
        <v>0</v>
      </c>
      <c r="J549" s="138">
        <f t="shared" si="235"/>
        <v>0</v>
      </c>
      <c r="K549" s="136">
        <f>IF(  AND(N549&gt;0,I549=0)          ,N549 ,                         IF(  IF( F549 ,  DAYS360(DATE(YEAR(F549),MONTH(F549),1),Mes)/30  ,  DAYS360(DATE(YEAR(E549),MONTH(E549),1),Mes)/30  )  &gt;  0 , IF(F549,   DAYS360(DATE(YEAR(F549),MONTH(F549),1),Mes)/30  ,  DAYS360(DATE(YEAR(E549),MONTH(E549),1),Mes)/30) , 0)       )</f>
        <v>1</v>
      </c>
      <c r="L549" s="137">
        <f t="shared" si="196"/>
        <v>9000</v>
      </c>
      <c r="M549" s="129"/>
      <c r="N549" s="130"/>
      <c r="O549" s="130"/>
      <c r="P549" s="130"/>
      <c r="Q549" s="130"/>
      <c r="R549" s="130"/>
      <c r="S549" s="130"/>
      <c r="T549" s="130"/>
    </row>
    <row r="550" ht="15.0" customHeight="1">
      <c r="A550" s="18" t="s">
        <v>71</v>
      </c>
      <c r="B550" s="18">
        <v>1892.0</v>
      </c>
      <c r="C550" s="19">
        <v>1892.0</v>
      </c>
      <c r="D550" s="57" t="str">
        <f>IF(   ISERROR(OFFSET(PADRON!B$2,MATCH(C:C,PADRON!A$2:A1405,0)-1,0,1,1) )  ,  ,    OFFSET(PADRON!B$2,MATCH(C:C,PADRON!A$2:A1405,0)-1,0,1,1))</f>
        <v>GOMEZ MARIA EUGENIA</v>
      </c>
      <c r="E550" s="58">
        <v>45839.0</v>
      </c>
      <c r="F550" s="133">
        <v>45870.0</v>
      </c>
      <c r="G550" s="59" t="s">
        <v>39</v>
      </c>
      <c r="H550" s="60">
        <f>IF( ISERROR( OFFSET(   'Cuadro tarifario'!D$2  , MATCH(CONCATENATE(                 IF(F550&gt;Mes,OFFSET(NroCT!B$17, MATCH($F550,NroCT!$A$18:$A1405,0),0,1,1),Periodovigente)                                                                                                                     ,A550) ,'Cuadro tarifario'!A$2:A1405,0) -1 , 0 , 1 , 1) )   , 0  ,   OFFSET(   'Cuadro tarifario'!D$2  , MATCH(CONCATENATE( IF(F550&gt;Mes,OFFSET(NroCT!B$17, MATCH($F550,NroCT!$A$18:$A1405,0),0,1,1),Periodovigente) ,A550) ,'Cuadro tarifario'!A$2:A1405,0) -1 , 0 , 1 , 1))</f>
        <v>11000</v>
      </c>
      <c r="I550" s="135">
        <f t="shared" si="195"/>
        <v>1</v>
      </c>
      <c r="J550" s="138">
        <f t="shared" si="235"/>
        <v>11000</v>
      </c>
      <c r="K550" s="136">
        <f>IF(  AND(N550&gt;0,I550=0)          ,N550 ,                         IF(  IF( F550 ,  DAYS360(DATE(YEAR(F550),MONTH(F550),1),Mes)/30  ,  DAYS360(DATE(YEAR(E550),MONTH(E550),1),Mes)/30  )  &gt;  0 , IF(F550,   DAYS360(DATE(YEAR(F550),MONTH(F550),1),Mes)/30  ,  DAYS360(DATE(YEAR(E550),MONTH(E550),1),Mes)/30) , 0)       )</f>
        <v>0</v>
      </c>
      <c r="L550" s="137">
        <f t="shared" si="196"/>
        <v>0</v>
      </c>
      <c r="M550" s="129"/>
      <c r="N550" s="130"/>
      <c r="O550" s="130"/>
      <c r="P550" s="130"/>
      <c r="Q550" s="130"/>
      <c r="R550" s="130"/>
      <c r="S550" s="130"/>
      <c r="T550" s="130"/>
    </row>
    <row r="551" ht="14.25" customHeight="1">
      <c r="A551" s="18" t="s">
        <v>38</v>
      </c>
      <c r="B551" s="18">
        <v>1892.0</v>
      </c>
      <c r="C551" s="19">
        <v>1892.0</v>
      </c>
      <c r="D551" s="57" t="str">
        <f>IF(   ISERROR(OFFSET(PADRON!B$2,MATCH(C:C,PADRON!A$2:A1405,0)-1,0,1,1) )  ,  ,    OFFSET(PADRON!B$2,MATCH(C:C,PADRON!A$2:A1405,0)-1,0,1,1))</f>
        <v>GOMEZ MARIA EUGENIA</v>
      </c>
      <c r="E551" s="58">
        <v>45839.0</v>
      </c>
      <c r="F551" s="133">
        <v>45870.0</v>
      </c>
      <c r="G551" s="59" t="s">
        <v>39</v>
      </c>
      <c r="H551" s="60">
        <f>IF( ISERROR( OFFSET(   'Cuadro tarifario'!D$2  , MATCH(CONCATENATE(                 IF(F551&gt;Mes,OFFSET(NroCT!B$17, MATCH($F551,NroCT!$A$18:$A1405,0),0,1,1),Periodovigente)                                                                                                                     ,A551) ,'Cuadro tarifario'!A$2:A1405,0) -1 , 0 , 1 , 1) )   , 0  ,   OFFSET(   'Cuadro tarifario'!D$2  , MATCH(CONCATENATE( IF(F551&gt;Mes,OFFSET(NroCT!B$17, MATCH($F551,NroCT!$A$18:$A1405,0),0,1,1),Periodovigente) ,A551) ,'Cuadro tarifario'!A$2:A1405,0) -1 , 0 , 1 , 1))</f>
        <v>9000</v>
      </c>
      <c r="I551" s="135">
        <f t="shared" si="195"/>
        <v>1</v>
      </c>
      <c r="J551" s="138">
        <f t="shared" si="235"/>
        <v>9000</v>
      </c>
      <c r="K551" s="136">
        <f>IF(  AND(N551&gt;0,I551=0)          ,N551 ,                         IF(  IF( F551 ,  DAYS360(DATE(YEAR(F551),MONTH(F551),1),Mes)/30  ,  DAYS360(DATE(YEAR(E551),MONTH(E551),1),Mes)/30  )  &gt;  0 , IF(F551,   DAYS360(DATE(YEAR(F551),MONTH(F551),1),Mes)/30  ,  DAYS360(DATE(YEAR(E551),MONTH(E551),1),Mes)/30) , 0)       )</f>
        <v>0</v>
      </c>
      <c r="L551" s="137">
        <f t="shared" si="196"/>
        <v>0</v>
      </c>
      <c r="M551" s="129"/>
      <c r="N551" s="130"/>
      <c r="O551" s="130"/>
      <c r="P551" s="130"/>
      <c r="Q551" s="130"/>
      <c r="R551" s="130"/>
      <c r="S551" s="130"/>
      <c r="T551" s="130"/>
    </row>
    <row r="552" ht="15.0" customHeight="1">
      <c r="A552" s="18" t="s">
        <v>40</v>
      </c>
      <c r="B552" s="18" t="s">
        <v>278</v>
      </c>
      <c r="C552" s="19">
        <v>1892.0</v>
      </c>
      <c r="D552" s="57" t="str">
        <f>IF(   ISERROR(OFFSET(PADRON!B$2,MATCH(C:C,PADRON!A$2:A1405,0)-1,0,1,1) )  ,  ,    OFFSET(PADRON!B$2,MATCH(C:C,PADRON!A$2:A1405,0)-1,0,1,1))</f>
        <v>GOMEZ MARIA EUGENIA</v>
      </c>
      <c r="E552" s="58">
        <v>45839.0</v>
      </c>
      <c r="F552" s="133">
        <v>45870.0</v>
      </c>
      <c r="G552" s="59" t="s">
        <v>39</v>
      </c>
      <c r="H552" s="60">
        <f>IF( ISERROR( OFFSET(   'Cuadro tarifario'!D$2  , MATCH(CONCATENATE(                 IF(F552&gt;Mes,OFFSET(NroCT!B$17, MATCH($F552,NroCT!$A$18:$A1405,0),0,1,1),Periodovigente)                                                                                                                     ,A552) ,'Cuadro tarifario'!A$2:A1405,0) -1 , 0 , 1 , 1) )   , 0  ,   OFFSET(   'Cuadro tarifario'!D$2  , MATCH(CONCATENATE( IF(F552&gt;Mes,OFFSET(NroCT!B$17, MATCH($F552,NroCT!$A$18:$A1405,0),0,1,1),Periodovigente) ,A552) ,'Cuadro tarifario'!A$2:A1405,0) -1 , 0 , 1 , 1))</f>
        <v>12000</v>
      </c>
      <c r="I552" s="135">
        <f t="shared" si="195"/>
        <v>1</v>
      </c>
      <c r="J552" s="138">
        <f t="shared" si="235"/>
        <v>12000</v>
      </c>
      <c r="K552" s="136">
        <f>IF(  AND(N552&gt;0,I552=0)          ,N552 ,                         IF(  IF( F552 ,  DAYS360(DATE(YEAR(F552),MONTH(F552),1),Mes)/30  ,  DAYS360(DATE(YEAR(E552),MONTH(E552),1),Mes)/30  )  &gt;  0 , IF(F552,   DAYS360(DATE(YEAR(F552),MONTH(F552),1),Mes)/30  ,  DAYS360(DATE(YEAR(E552),MONTH(E552),1),Mes)/30) , 0)       )</f>
        <v>0</v>
      </c>
      <c r="L552" s="137">
        <f t="shared" si="196"/>
        <v>0</v>
      </c>
      <c r="M552" s="129"/>
      <c r="N552" s="130"/>
      <c r="O552" s="130"/>
      <c r="P552" s="130"/>
      <c r="Q552" s="130"/>
      <c r="R552" s="130"/>
      <c r="S552" s="130"/>
      <c r="T552" s="130"/>
    </row>
    <row r="553" ht="15.0" customHeight="1">
      <c r="A553" s="18" t="s">
        <v>71</v>
      </c>
      <c r="B553" s="18">
        <v>1893.0</v>
      </c>
      <c r="C553" s="19">
        <v>1893.0</v>
      </c>
      <c r="D553" s="57" t="str">
        <f>IF(   ISERROR(OFFSET(PADRON!B$2,MATCH(C:C,PADRON!A$2:A1405,0)-1,0,1,1) )  ,  ,    OFFSET(PADRON!B$2,MATCH(C:C,PADRON!A$2:A1405,0)-1,0,1,1))</f>
        <v>AYALA, RUBEN</v>
      </c>
      <c r="E553" s="58">
        <v>45839.0</v>
      </c>
      <c r="F553" s="133">
        <v>45870.0</v>
      </c>
      <c r="G553" s="59" t="s">
        <v>39</v>
      </c>
      <c r="H553" s="60">
        <f>IF( ISERROR( OFFSET(   'Cuadro tarifario'!D$2  , MATCH(CONCATENATE(                 IF(F553&gt;Mes,OFFSET(NroCT!B$17, MATCH($F553,NroCT!$A$18:$A1405,0),0,1,1),Periodovigente)                                                                                                                     ,A553) ,'Cuadro tarifario'!A$2:A1405,0) -1 , 0 , 1 , 1) )   , 0  ,   OFFSET(   'Cuadro tarifario'!D$2  , MATCH(CONCATENATE( IF(F553&gt;Mes,OFFSET(NroCT!B$17, MATCH($F553,NroCT!$A$18:$A1405,0),0,1,1),Periodovigente) ,A553) ,'Cuadro tarifario'!A$2:A1405,0) -1 , 0 , 1 , 1))</f>
        <v>11000</v>
      </c>
      <c r="I553" s="135">
        <f t="shared" si="195"/>
        <v>1</v>
      </c>
      <c r="J553" s="138">
        <f t="shared" si="235"/>
        <v>11000</v>
      </c>
      <c r="K553" s="136">
        <f>IF(  AND(N553&gt;0,I553=0)          ,N553 ,                         IF(  IF( F553 ,  DAYS360(DATE(YEAR(F553),MONTH(F553),1),Mes)/30  ,  DAYS360(DATE(YEAR(E553),MONTH(E553),1),Mes)/30  )  &gt;  0 , IF(F553,   DAYS360(DATE(YEAR(F553),MONTH(F553),1),Mes)/30  ,  DAYS360(DATE(YEAR(E553),MONTH(E553),1),Mes)/30) , 0)       )</f>
        <v>0</v>
      </c>
      <c r="L553" s="137">
        <f t="shared" si="196"/>
        <v>0</v>
      </c>
      <c r="M553" s="129"/>
      <c r="N553" s="130"/>
      <c r="O553" s="130"/>
      <c r="P553" s="130"/>
      <c r="Q553" s="130"/>
      <c r="R553" s="130"/>
      <c r="S553" s="130"/>
      <c r="T553" s="130"/>
    </row>
    <row r="554" ht="15.0" customHeight="1">
      <c r="A554" s="18" t="s">
        <v>38</v>
      </c>
      <c r="B554" s="18">
        <v>1893.0</v>
      </c>
      <c r="C554" s="19">
        <v>1893.0</v>
      </c>
      <c r="D554" s="57" t="str">
        <f>IF(   ISERROR(OFFSET(PADRON!B$2,MATCH(C:C,PADRON!A$2:A1405,0)-1,0,1,1) )  ,  ,    OFFSET(PADRON!B$2,MATCH(C:C,PADRON!A$2:A1405,0)-1,0,1,1))</f>
        <v>AYALA, RUBEN</v>
      </c>
      <c r="E554" s="58">
        <v>45839.0</v>
      </c>
      <c r="F554" s="133">
        <v>45870.0</v>
      </c>
      <c r="G554" s="59" t="s">
        <v>39</v>
      </c>
      <c r="H554" s="60">
        <f>IF( ISERROR( OFFSET(   'Cuadro tarifario'!D$2  , MATCH(CONCATENATE(                 IF(F554&gt;Mes,OFFSET(NroCT!B$17, MATCH($F554,NroCT!$A$18:$A1405,0),0,1,1),Periodovigente)                                                                                                                     ,A554) ,'Cuadro tarifario'!A$2:A1405,0) -1 , 0 , 1 , 1) )   , 0  ,   OFFSET(   'Cuadro tarifario'!D$2  , MATCH(CONCATENATE( IF(F554&gt;Mes,OFFSET(NroCT!B$17, MATCH($F554,NroCT!$A$18:$A1405,0),0,1,1),Periodovigente) ,A554) ,'Cuadro tarifario'!A$2:A1405,0) -1 , 0 , 1 , 1))</f>
        <v>9000</v>
      </c>
      <c r="I554" s="135">
        <f t="shared" si="195"/>
        <v>1</v>
      </c>
      <c r="J554" s="138">
        <f t="shared" si="235"/>
        <v>9000</v>
      </c>
      <c r="K554" s="136">
        <f>IF(  AND(N554&gt;0,I554=0)          ,N554 ,                         IF(  IF( F554 ,  DAYS360(DATE(YEAR(F554),MONTH(F554),1),Mes)/30  ,  DAYS360(DATE(YEAR(E554),MONTH(E554),1),Mes)/30  )  &gt;  0 , IF(F554,   DAYS360(DATE(YEAR(F554),MONTH(F554),1),Mes)/30  ,  DAYS360(DATE(YEAR(E554),MONTH(E554),1),Mes)/30) , 0)       )</f>
        <v>0</v>
      </c>
      <c r="L554" s="137">
        <f t="shared" si="196"/>
        <v>0</v>
      </c>
      <c r="M554" s="129"/>
      <c r="N554" s="130"/>
      <c r="O554" s="130"/>
      <c r="P554" s="130"/>
      <c r="Q554" s="130"/>
      <c r="R554" s="130"/>
      <c r="S554" s="130"/>
      <c r="T554" s="130"/>
    </row>
    <row r="555" ht="15.0" customHeight="1">
      <c r="A555" s="18" t="s">
        <v>40</v>
      </c>
      <c r="B555" s="18" t="s">
        <v>279</v>
      </c>
      <c r="C555" s="19">
        <v>1893.0</v>
      </c>
      <c r="D555" s="57" t="str">
        <f>IF(   ISERROR(OFFSET(PADRON!B$2,MATCH(C:C,PADRON!A$2:A1405,0)-1,0,1,1) )  ,  ,    OFFSET(PADRON!B$2,MATCH(C:C,PADRON!A$2:A1405,0)-1,0,1,1))</f>
        <v>AYALA, RUBEN</v>
      </c>
      <c r="E555" s="58">
        <v>45839.0</v>
      </c>
      <c r="F555" s="133">
        <v>45870.0</v>
      </c>
      <c r="G555" s="59" t="s">
        <v>39</v>
      </c>
      <c r="H555" s="60">
        <f>IF( ISERROR( OFFSET(   'Cuadro tarifario'!D$2  , MATCH(CONCATENATE(                 IF(F555&gt;Mes,OFFSET(NroCT!B$17, MATCH($F555,NroCT!$A$18:$A1405,0),0,1,1),Periodovigente)                                                                                                                     ,A555) ,'Cuadro tarifario'!A$2:A1405,0) -1 , 0 , 1 , 1) )   , 0  ,   OFFSET(   'Cuadro tarifario'!D$2  , MATCH(CONCATENATE( IF(F555&gt;Mes,OFFSET(NroCT!B$17, MATCH($F555,NroCT!$A$18:$A1405,0),0,1,1),Periodovigente) ,A555) ,'Cuadro tarifario'!A$2:A1405,0) -1 , 0 , 1 , 1))</f>
        <v>12000</v>
      </c>
      <c r="I555" s="135">
        <f t="shared" si="195"/>
        <v>1</v>
      </c>
      <c r="J555" s="138">
        <f t="shared" si="235"/>
        <v>12000</v>
      </c>
      <c r="K555" s="136">
        <f>IF(  AND(N555&gt;0,I555=0)          ,N555 ,                         IF(  IF( F555 ,  DAYS360(DATE(YEAR(F555),MONTH(F555),1),Mes)/30  ,  DAYS360(DATE(YEAR(E555),MONTH(E555),1),Mes)/30  )  &gt;  0 , IF(F555,   DAYS360(DATE(YEAR(F555),MONTH(F555),1),Mes)/30  ,  DAYS360(DATE(YEAR(E555),MONTH(E555),1),Mes)/30) , 0)       )</f>
        <v>0</v>
      </c>
      <c r="L555" s="137">
        <f t="shared" si="196"/>
        <v>0</v>
      </c>
      <c r="M555" s="129"/>
      <c r="N555" s="130"/>
      <c r="O555" s="130"/>
      <c r="P555" s="130"/>
      <c r="Q555" s="130"/>
      <c r="R555" s="130"/>
      <c r="S555" s="130"/>
      <c r="T555" s="130"/>
    </row>
    <row r="556" ht="15.0" customHeight="1">
      <c r="A556" s="18" t="s">
        <v>71</v>
      </c>
      <c r="B556" s="18">
        <v>1894.0</v>
      </c>
      <c r="C556" s="19">
        <v>1894.0</v>
      </c>
      <c r="D556" s="57" t="str">
        <f>IF(   ISERROR(OFFSET(PADRON!B$2,MATCH(C:C,PADRON!A$2:A1405,0)-1,0,1,1) )  ,  ,    OFFSET(PADRON!B$2,MATCH(C:C,PADRON!A$2:A1405,0)-1,0,1,1))</f>
        <v>MAS JAVIER IGNACIO</v>
      </c>
      <c r="E556" s="58">
        <v>45839.0</v>
      </c>
      <c r="F556" s="133">
        <v>45870.0</v>
      </c>
      <c r="G556" s="59" t="s">
        <v>39</v>
      </c>
      <c r="H556" s="60">
        <f>IF( ISERROR( OFFSET(   'Cuadro tarifario'!D$2  , MATCH(CONCATENATE(                 IF(F556&gt;Mes,OFFSET(NroCT!B$17, MATCH($F556,NroCT!$A$18:$A1405,0),0,1,1),Periodovigente)                                                                                                                     ,A556) ,'Cuadro tarifario'!A$2:A1405,0) -1 , 0 , 1 , 1) )   , 0  ,   OFFSET(   'Cuadro tarifario'!D$2  , MATCH(CONCATENATE( IF(F556&gt;Mes,OFFSET(NroCT!B$17, MATCH($F556,NroCT!$A$18:$A1405,0),0,1,1),Periodovigente) ,A556) ,'Cuadro tarifario'!A$2:A1405,0) -1 , 0 , 1 , 1))</f>
        <v>11000</v>
      </c>
      <c r="I556" s="135">
        <f t="shared" si="195"/>
        <v>1</v>
      </c>
      <c r="J556" s="138">
        <f t="shared" si="235"/>
        <v>11000</v>
      </c>
      <c r="K556" s="136">
        <f>IF(  AND(N556&gt;0,I556=0)          ,N556 ,                         IF(  IF( F556 ,  DAYS360(DATE(YEAR(F556),MONTH(F556),1),Mes)/30  ,  DAYS360(DATE(YEAR(E556),MONTH(E556),1),Mes)/30  )  &gt;  0 , IF(F556,   DAYS360(DATE(YEAR(F556),MONTH(F556),1),Mes)/30  ,  DAYS360(DATE(YEAR(E556),MONTH(E556),1),Mes)/30) , 0)       )</f>
        <v>0</v>
      </c>
      <c r="L556" s="137">
        <f t="shared" si="196"/>
        <v>0</v>
      </c>
      <c r="M556" s="129"/>
      <c r="N556" s="130"/>
      <c r="O556" s="130"/>
      <c r="P556" s="130"/>
      <c r="Q556" s="130"/>
      <c r="R556" s="130"/>
      <c r="S556" s="130"/>
      <c r="T556" s="130"/>
    </row>
    <row r="557" ht="15.0" customHeight="1">
      <c r="A557" s="18" t="s">
        <v>38</v>
      </c>
      <c r="B557" s="18">
        <v>1894.0</v>
      </c>
      <c r="C557" s="19">
        <v>1894.0</v>
      </c>
      <c r="D557" s="57" t="str">
        <f>IF(   ISERROR(OFFSET(PADRON!B$2,MATCH(C:C,PADRON!A$2:A1405,0)-1,0,1,1) )  ,  ,    OFFSET(PADRON!B$2,MATCH(C:C,PADRON!A$2:A1405,0)-1,0,1,1))</f>
        <v>MAS JAVIER IGNACIO</v>
      </c>
      <c r="E557" s="58">
        <v>45839.0</v>
      </c>
      <c r="F557" s="133">
        <v>45870.0</v>
      </c>
      <c r="G557" s="59" t="s">
        <v>39</v>
      </c>
      <c r="H557" s="60">
        <f>IF( ISERROR( OFFSET(   'Cuadro tarifario'!D$2  , MATCH(CONCATENATE(                 IF(F557&gt;Mes,OFFSET(NroCT!B$17, MATCH($F557,NroCT!$A$18:$A1405,0),0,1,1),Periodovigente)                                                                                                                     ,A557) ,'Cuadro tarifario'!A$2:A1405,0) -1 , 0 , 1 , 1) )   , 0  ,   OFFSET(   'Cuadro tarifario'!D$2  , MATCH(CONCATENATE( IF(F557&gt;Mes,OFFSET(NroCT!B$17, MATCH($F557,NroCT!$A$18:$A1405,0),0,1,1),Periodovigente) ,A557) ,'Cuadro tarifario'!A$2:A1405,0) -1 , 0 , 1 , 1))</f>
        <v>9000</v>
      </c>
      <c r="I557" s="135">
        <f t="shared" si="195"/>
        <v>1</v>
      </c>
      <c r="J557" s="138">
        <f t="shared" si="235"/>
        <v>9000</v>
      </c>
      <c r="K557" s="136">
        <f>IF(  AND(N557&gt;0,I557=0)          ,N557 ,                         IF(  IF( F557 ,  DAYS360(DATE(YEAR(F557),MONTH(F557),1),Mes)/30  ,  DAYS360(DATE(YEAR(E557),MONTH(E557),1),Mes)/30  )  &gt;  0 , IF(F557,   DAYS360(DATE(YEAR(F557),MONTH(F557),1),Mes)/30  ,  DAYS360(DATE(YEAR(E557),MONTH(E557),1),Mes)/30) , 0)       )</f>
        <v>0</v>
      </c>
      <c r="L557" s="137">
        <f t="shared" si="196"/>
        <v>0</v>
      </c>
      <c r="M557" s="129"/>
      <c r="N557" s="130"/>
      <c r="O557" s="130"/>
      <c r="P557" s="130"/>
      <c r="Q557" s="130"/>
      <c r="R557" s="130"/>
      <c r="S557" s="130"/>
      <c r="T557" s="130"/>
    </row>
    <row r="558" ht="15.0" customHeight="1">
      <c r="A558" s="18" t="s">
        <v>40</v>
      </c>
      <c r="B558" s="18" t="s">
        <v>280</v>
      </c>
      <c r="C558" s="19">
        <v>1894.0</v>
      </c>
      <c r="D558" s="57" t="str">
        <f>IF(   ISERROR(OFFSET(PADRON!B$2,MATCH(C:C,PADRON!A$2:A1405,0)-1,0,1,1) )  ,  ,    OFFSET(PADRON!B$2,MATCH(C:C,PADRON!A$2:A1405,0)-1,0,1,1))</f>
        <v>MAS JAVIER IGNACIO</v>
      </c>
      <c r="E558" s="58">
        <v>45839.0</v>
      </c>
      <c r="F558" s="133">
        <v>45870.0</v>
      </c>
      <c r="G558" s="59" t="s">
        <v>39</v>
      </c>
      <c r="H558" s="60">
        <f>IF( ISERROR( OFFSET(   'Cuadro tarifario'!D$2  , MATCH(CONCATENATE(                 IF(F558&gt;Mes,OFFSET(NroCT!B$17, MATCH($F558,NroCT!$A$18:$A1405,0),0,1,1),Periodovigente)                                                                                                                     ,A558) ,'Cuadro tarifario'!A$2:A1405,0) -1 , 0 , 1 , 1) )   , 0  ,   OFFSET(   'Cuadro tarifario'!D$2  , MATCH(CONCATENATE( IF(F558&gt;Mes,OFFSET(NroCT!B$17, MATCH($F558,NroCT!$A$18:$A1405,0),0,1,1),Periodovigente) ,A558) ,'Cuadro tarifario'!A$2:A1405,0) -1 , 0 , 1 , 1))</f>
        <v>12000</v>
      </c>
      <c r="I558" s="135">
        <f t="shared" si="195"/>
        <v>1</v>
      </c>
      <c r="J558" s="138">
        <f t="shared" si="235"/>
        <v>12000</v>
      </c>
      <c r="K558" s="136">
        <f>IF(  AND(N558&gt;0,I558=0)          ,N558 ,                         IF(  IF( F558 ,  DAYS360(DATE(YEAR(F558),MONTH(F558),1),Mes)/30  ,  DAYS360(DATE(YEAR(E558),MONTH(E558),1),Mes)/30  )  &gt;  0 , IF(F558,   DAYS360(DATE(YEAR(F558),MONTH(F558),1),Mes)/30  ,  DAYS360(DATE(YEAR(E558),MONTH(E558),1),Mes)/30) , 0)       )</f>
        <v>0</v>
      </c>
      <c r="L558" s="137">
        <f t="shared" si="196"/>
        <v>0</v>
      </c>
      <c r="M558" s="129"/>
      <c r="N558" s="130"/>
      <c r="O558" s="130"/>
      <c r="P558" s="130"/>
      <c r="Q558" s="130"/>
      <c r="R558" s="130"/>
      <c r="S558" s="130"/>
      <c r="T558" s="130"/>
    </row>
    <row r="559" ht="15.75" customHeight="1">
      <c r="A559" s="18" t="s">
        <v>52</v>
      </c>
      <c r="B559" s="18" t="s">
        <v>281</v>
      </c>
      <c r="C559" s="19">
        <v>1894.0</v>
      </c>
      <c r="D559" s="57" t="str">
        <f>IF(   ISERROR(OFFSET(PADRON!B$2,MATCH(C:C,PADRON!A$2:A1405,0)-1,0,1,1) )  ,  ,    OFFSET(PADRON!B$2,MATCH(C:C,PADRON!A$2:A1405,0)-1,0,1,1))</f>
        <v>MAS JAVIER IGNACIO</v>
      </c>
      <c r="E559" s="58">
        <v>45992.0</v>
      </c>
      <c r="F559" s="133"/>
      <c r="G559" s="59" t="s">
        <v>39</v>
      </c>
      <c r="H559" s="60">
        <f>IF( ISERROR( OFFSET(   'Cuadro tarifario'!D$2  , MATCH(CONCATENATE(                 IF(F559&gt;Mes,OFFSET(NroCT!B$17, MATCH($F559,NroCT!$A$18:$A1405,0),0,1,1),Periodovigente)                                                                                                                     ,A559) ,'Cuadro tarifario'!A$2:A1405,0) -1 , 0 , 1 , 1) )   , 0  ,   OFFSET(   'Cuadro tarifario'!D$2  , MATCH(CONCATENATE( IF(F559&gt;Mes,OFFSET(NroCT!B$17, MATCH($F559,NroCT!$A$18:$A1405,0),0,1,1),Periodovigente) ,A559) ,'Cuadro tarifario'!A$2:A1405,0) -1 , 0 , 1 , 1))</f>
        <v>4000</v>
      </c>
      <c r="I559" s="135">
        <f t="shared" si="195"/>
        <v>0</v>
      </c>
      <c r="J559" s="138">
        <f t="shared" si="235"/>
        <v>0</v>
      </c>
      <c r="K559" s="136">
        <f>IF(  AND(N559&gt;0,I559=0)          ,N559 ,                         IF(  IF( F559 ,  DAYS360(DATE(YEAR(F559),MONTH(F559),1),Mes)/30  ,  DAYS360(DATE(YEAR(E559),MONTH(E559),1),Mes)/30  )  &gt;  0 , IF(F559,   DAYS360(DATE(YEAR(F559),MONTH(F559),1),Mes)/30  ,  DAYS360(DATE(YEAR(E559),MONTH(E559),1),Mes)/30) , 0)       )</f>
        <v>0</v>
      </c>
      <c r="L559" s="137">
        <f t="shared" si="196"/>
        <v>0</v>
      </c>
      <c r="M559" s="129"/>
      <c r="N559" s="130"/>
      <c r="O559" s="130"/>
      <c r="P559" s="130"/>
      <c r="Q559" s="130"/>
      <c r="R559" s="130"/>
      <c r="S559" s="130"/>
      <c r="T559" s="130"/>
    </row>
    <row r="560" ht="18.0" customHeight="1">
      <c r="A560" s="18" t="s">
        <v>71</v>
      </c>
      <c r="B560" s="18">
        <v>1902.0</v>
      </c>
      <c r="C560" s="19">
        <v>1902.0</v>
      </c>
      <c r="D560" s="57" t="str">
        <f>IF(   ISERROR(OFFSET(PADRON!B$2,MATCH(C:C,PADRON!A$2:A1405,0)-1,0,1,1) )  ,  ,    OFFSET(PADRON!B$2,MATCH(C:C,PADRON!A$2:A1405,0)-1,0,1,1))</f>
        <v>MARTIN, MARISA</v>
      </c>
      <c r="E560" s="58">
        <v>45839.0</v>
      </c>
      <c r="F560" s="133">
        <v>45870.0</v>
      </c>
      <c r="G560" s="128" t="s">
        <v>39</v>
      </c>
      <c r="H560" s="60">
        <f>IF( ISERROR( OFFSET(   'Cuadro tarifario'!D$2  , MATCH(CONCATENATE(                 IF(F560&gt;Mes,OFFSET(NroCT!B$17, MATCH($F560,NroCT!$A$18:$A1405,0),0,1,1),Periodovigente)                                                                                                                     ,A560) ,'Cuadro tarifario'!A$2:A1405,0) -1 , 0 , 1 , 1) )   , 0  ,   OFFSET(   'Cuadro tarifario'!D$2  , MATCH(CONCATENATE( IF(F560&gt;Mes,OFFSET(NroCT!B$17, MATCH($F560,NroCT!$A$18:$A1405,0),0,1,1),Periodovigente) ,A560) ,'Cuadro tarifario'!A$2:A1405,0) -1 , 0 , 1 , 1))</f>
        <v>11000</v>
      </c>
      <c r="I560" s="135">
        <f t="shared" si="195"/>
        <v>1</v>
      </c>
      <c r="J560" s="138">
        <f t="shared" si="235"/>
        <v>11000</v>
      </c>
      <c r="K560" s="136">
        <f>IF(  AND(N560&gt;0,I560=0)          ,N560 ,                         IF(  IF( F560 ,  DAYS360(DATE(YEAR(F560),MONTH(F560),1),Mes)/30  ,  DAYS360(DATE(YEAR(E560),MONTH(E560),1),Mes)/30  )  &gt;  0 , IF(F560,   DAYS360(DATE(YEAR(F560),MONTH(F560),1),Mes)/30  ,  DAYS360(DATE(YEAR(E560),MONTH(E560),1),Mes)/30) , 0)       )</f>
        <v>0</v>
      </c>
      <c r="L560" s="137">
        <f t="shared" si="196"/>
        <v>0</v>
      </c>
      <c r="M560" s="131"/>
      <c r="N560" s="130"/>
      <c r="O560" s="130"/>
      <c r="P560" s="130"/>
      <c r="Q560" s="130"/>
      <c r="R560" s="130"/>
      <c r="S560" s="130"/>
      <c r="T560" s="130"/>
    </row>
    <row r="561" ht="15.0" customHeight="1">
      <c r="A561" s="18" t="s">
        <v>38</v>
      </c>
      <c r="B561" s="18">
        <v>1902.0</v>
      </c>
      <c r="C561" s="19">
        <v>1902.0</v>
      </c>
      <c r="D561" s="57" t="str">
        <f>IF(   ISERROR(OFFSET(PADRON!B$2,MATCH(C:C,PADRON!A$2:A1405,0)-1,0,1,1) )  ,  ,    OFFSET(PADRON!B$2,MATCH(C:C,PADRON!A$2:A1405,0)-1,0,1,1))</f>
        <v>MARTIN, MARISA</v>
      </c>
      <c r="E561" s="58">
        <v>45839.0</v>
      </c>
      <c r="F561" s="133">
        <v>45870.0</v>
      </c>
      <c r="G561" s="59" t="s">
        <v>39</v>
      </c>
      <c r="H561" s="60">
        <f>IF( ISERROR( OFFSET(   'Cuadro tarifario'!D$2  , MATCH(CONCATENATE(                 IF(F561&gt;Mes,OFFSET(NroCT!B$17, MATCH($F561,NroCT!$A$18:$A1405,0),0,1,1),Periodovigente)                                                                                                                     ,A561) ,'Cuadro tarifario'!A$2:A1405,0) -1 , 0 , 1 , 1) )   , 0  ,   OFFSET(   'Cuadro tarifario'!D$2  , MATCH(CONCATENATE( IF(F561&gt;Mes,OFFSET(NroCT!B$17, MATCH($F561,NroCT!$A$18:$A1405,0),0,1,1),Periodovigente) ,A561) ,'Cuadro tarifario'!A$2:A1405,0) -1 , 0 , 1 , 1))</f>
        <v>9000</v>
      </c>
      <c r="I561" s="135">
        <f t="shared" si="195"/>
        <v>1</v>
      </c>
      <c r="J561" s="138">
        <f t="shared" si="235"/>
        <v>9000</v>
      </c>
      <c r="K561" s="136">
        <f>IF(  AND(N561&gt;0,I561=0)          ,N561 ,                         IF(  IF( F561 ,  DAYS360(DATE(YEAR(F561),MONTH(F561),1),Mes)/30  ,  DAYS360(DATE(YEAR(E561),MONTH(E561),1),Mes)/30  )  &gt;  0 , IF(F561,   DAYS360(DATE(YEAR(F561),MONTH(F561),1),Mes)/30  ,  DAYS360(DATE(YEAR(E561),MONTH(E561),1),Mes)/30) , 0)       )</f>
        <v>0</v>
      </c>
      <c r="L561" s="137">
        <f t="shared" si="196"/>
        <v>0</v>
      </c>
      <c r="M561" s="129"/>
      <c r="N561" s="130"/>
      <c r="O561" s="130"/>
      <c r="P561" s="130"/>
      <c r="Q561" s="130"/>
      <c r="R561" s="130"/>
      <c r="S561" s="130"/>
      <c r="T561" s="130"/>
    </row>
    <row r="562" ht="15.0" customHeight="1">
      <c r="A562" s="18" t="s">
        <v>40</v>
      </c>
      <c r="B562" s="18" t="s">
        <v>282</v>
      </c>
      <c r="C562" s="19">
        <v>1902.0</v>
      </c>
      <c r="D562" s="57" t="str">
        <f>IF(   ISERROR(OFFSET(PADRON!B$2,MATCH(C:C,PADRON!A$2:A1405,0)-1,0,1,1) )  ,  ,    OFFSET(PADRON!B$2,MATCH(C:C,PADRON!A$2:A1405,0)-1,0,1,1))</f>
        <v>MARTIN, MARISA</v>
      </c>
      <c r="E562" s="58">
        <v>45839.0</v>
      </c>
      <c r="F562" s="133">
        <v>45870.0</v>
      </c>
      <c r="G562" s="59" t="s">
        <v>39</v>
      </c>
      <c r="H562" s="60">
        <f>IF( ISERROR( OFFSET(   'Cuadro tarifario'!D$2  , MATCH(CONCATENATE(                 IF(F562&gt;Mes,OFFSET(NroCT!B$17, MATCH($F562,NroCT!$A$18:$A1405,0),0,1,1),Periodovigente)                                                                                                                     ,A562) ,'Cuadro tarifario'!A$2:A1405,0) -1 , 0 , 1 , 1) )   , 0  ,   OFFSET(   'Cuadro tarifario'!D$2  , MATCH(CONCATENATE( IF(F562&gt;Mes,OFFSET(NroCT!B$17, MATCH($F562,NroCT!$A$18:$A1405,0),0,1,1),Periodovigente) ,A562) ,'Cuadro tarifario'!A$2:A1405,0) -1 , 0 , 1 , 1))</f>
        <v>12000</v>
      </c>
      <c r="I562" s="135">
        <f t="shared" si="195"/>
        <v>1</v>
      </c>
      <c r="J562" s="138">
        <f t="shared" si="235"/>
        <v>12000</v>
      </c>
      <c r="K562" s="136">
        <f>IF(  AND(N562&gt;0,I562=0)          ,N562 ,                         IF(  IF( F562 ,  DAYS360(DATE(YEAR(F562),MONTH(F562),1),Mes)/30  ,  DAYS360(DATE(YEAR(E562),MONTH(E562),1),Mes)/30  )  &gt;  0 , IF(F562,   DAYS360(DATE(YEAR(F562),MONTH(F562),1),Mes)/30  ,  DAYS360(DATE(YEAR(E562),MONTH(E562),1),Mes)/30) , 0)       )</f>
        <v>0</v>
      </c>
      <c r="L562" s="137">
        <f t="shared" si="196"/>
        <v>0</v>
      </c>
      <c r="M562" s="129"/>
      <c r="N562" s="130"/>
      <c r="O562" s="130"/>
      <c r="P562" s="130"/>
      <c r="Q562" s="130"/>
      <c r="R562" s="130"/>
      <c r="S562" s="130"/>
      <c r="T562" s="130"/>
    </row>
    <row r="563" ht="15.0" customHeight="1">
      <c r="A563" s="18" t="s">
        <v>71</v>
      </c>
      <c r="B563" s="18">
        <v>1903.0</v>
      </c>
      <c r="C563" s="19">
        <v>1903.0</v>
      </c>
      <c r="D563" s="57" t="str">
        <f>IF(   ISERROR(OFFSET(PADRON!B$2,MATCH(C:C,PADRON!A$2:A1405,0)-1,0,1,1) )  ,  ,    OFFSET(PADRON!B$2,MATCH(C:C,PADRON!A$2:A1405,0)-1,0,1,1))</f>
        <v>FAILLA, NATALIA</v>
      </c>
      <c r="E563" s="58">
        <v>45839.0</v>
      </c>
      <c r="F563" s="133">
        <v>45870.0</v>
      </c>
      <c r="G563" s="59" t="s">
        <v>39</v>
      </c>
      <c r="H563" s="60">
        <f>IF( ISERROR( OFFSET(   'Cuadro tarifario'!D$2  , MATCH(CONCATENATE(                 IF(F563&gt;Mes,OFFSET(NroCT!B$17, MATCH($F563,NroCT!$A$18:$A1405,0),0,1,1),Periodovigente)                                                                                                                     ,A563) ,'Cuadro tarifario'!A$2:A1405,0) -1 , 0 , 1 , 1) )   , 0  ,   OFFSET(   'Cuadro tarifario'!D$2  , MATCH(CONCATENATE( IF(F563&gt;Mes,OFFSET(NroCT!B$17, MATCH($F563,NroCT!$A$18:$A1405,0),0,1,1),Periodovigente) ,A563) ,'Cuadro tarifario'!A$2:A1405,0) -1 , 0 , 1 , 1))</f>
        <v>11000</v>
      </c>
      <c r="I563" s="135">
        <f t="shared" si="195"/>
        <v>1</v>
      </c>
      <c r="J563" s="138">
        <f t="shared" si="235"/>
        <v>11000</v>
      </c>
      <c r="K563" s="136">
        <f>IF(  AND(N563&gt;0,I563=0)          ,N563 ,                         IF(  IF( F563 ,  DAYS360(DATE(YEAR(F563),MONTH(F563),1),Mes)/30  ,  DAYS360(DATE(YEAR(E563),MONTH(E563),1),Mes)/30  )  &gt;  0 , IF(F563,   DAYS360(DATE(YEAR(F563),MONTH(F563),1),Mes)/30  ,  DAYS360(DATE(YEAR(E563),MONTH(E563),1),Mes)/30) , 0)       )</f>
        <v>0</v>
      </c>
      <c r="L563" s="137">
        <f t="shared" si="196"/>
        <v>0</v>
      </c>
      <c r="M563" s="131"/>
      <c r="N563" s="130"/>
      <c r="O563" s="130"/>
      <c r="P563" s="130"/>
      <c r="Q563" s="130"/>
      <c r="R563" s="130"/>
      <c r="S563" s="130"/>
      <c r="T563" s="130"/>
    </row>
    <row r="564" ht="15.0" customHeight="1">
      <c r="A564" s="18" t="s">
        <v>38</v>
      </c>
      <c r="B564" s="18">
        <v>1903.0</v>
      </c>
      <c r="C564" s="19">
        <v>1903.0</v>
      </c>
      <c r="D564" s="57" t="str">
        <f>IF(   ISERROR(OFFSET(PADRON!B$2,MATCH(C:C,PADRON!A$2:A1405,0)-1,0,1,1) )  ,  ,    OFFSET(PADRON!B$2,MATCH(C:C,PADRON!A$2:A1405,0)-1,0,1,1))</f>
        <v>FAILLA, NATALIA</v>
      </c>
      <c r="E564" s="58">
        <v>45839.0</v>
      </c>
      <c r="F564" s="133">
        <v>45870.0</v>
      </c>
      <c r="G564" s="128" t="s">
        <v>39</v>
      </c>
      <c r="H564" s="60">
        <f>IF( ISERROR( OFFSET(   'Cuadro tarifario'!D$2  , MATCH(CONCATENATE(                 IF(F564&gt;Mes,OFFSET(NroCT!B$17, MATCH($F564,NroCT!$A$18:$A1405,0),0,1,1),Periodovigente)                                                                                                                     ,A564) ,'Cuadro tarifario'!A$2:A1405,0) -1 , 0 , 1 , 1) )   , 0  ,   OFFSET(   'Cuadro tarifario'!D$2  , MATCH(CONCATENATE( IF(F564&gt;Mes,OFFSET(NroCT!B$17, MATCH($F564,NroCT!$A$18:$A1405,0),0,1,1),Periodovigente) ,A564) ,'Cuadro tarifario'!A$2:A1405,0) -1 , 0 , 1 , 1))</f>
        <v>9000</v>
      </c>
      <c r="I564" s="135">
        <f t="shared" si="195"/>
        <v>1</v>
      </c>
      <c r="J564" s="138">
        <f t="shared" si="235"/>
        <v>9000</v>
      </c>
      <c r="K564" s="136">
        <f>IF(  AND(N564&gt;0,I564=0)          ,N564 ,                         IF(  IF( F564 ,  DAYS360(DATE(YEAR(F564),MONTH(F564),1),Mes)/30  ,  DAYS360(DATE(YEAR(E564),MONTH(E564),1),Mes)/30  )  &gt;  0 , IF(F564,   DAYS360(DATE(YEAR(F564),MONTH(F564),1),Mes)/30  ,  DAYS360(DATE(YEAR(E564),MONTH(E564),1),Mes)/30) , 0)       )</f>
        <v>0</v>
      </c>
      <c r="L564" s="137">
        <f t="shared" si="196"/>
        <v>0</v>
      </c>
      <c r="M564" s="129"/>
      <c r="N564" s="130"/>
      <c r="O564" s="130"/>
      <c r="P564" s="130"/>
      <c r="Q564" s="130"/>
      <c r="R564" s="130"/>
      <c r="S564" s="130"/>
      <c r="T564" s="130"/>
    </row>
    <row r="565" ht="15.0" customHeight="1">
      <c r="A565" s="18" t="s">
        <v>71</v>
      </c>
      <c r="B565" s="18">
        <v>1905.0</v>
      </c>
      <c r="C565" s="19">
        <v>1905.0</v>
      </c>
      <c r="D565" s="57" t="str">
        <f>IF(   ISERROR(OFFSET(PADRON!B$2,MATCH(C:C,PADRON!A$2:A1405,0)-1,0,1,1) )  ,  ,    OFFSET(PADRON!B$2,MATCH(C:C,PADRON!A$2:A1405,0)-1,0,1,1))</f>
        <v>QUINTEROS, ALEJANDRO</v>
      </c>
      <c r="E565" s="58">
        <v>45778.0</v>
      </c>
      <c r="F565" s="133"/>
      <c r="G565" s="59" t="s">
        <v>39</v>
      </c>
      <c r="H565" s="60">
        <f>IF( ISERROR( OFFSET(   'Cuadro tarifario'!D$2  , MATCH(CONCATENATE(                 IF(F565&gt;Mes,OFFSET(NroCT!B$17, MATCH($F565,NroCT!$A$18:$A1405,0),0,1,1),Periodovigente)                                                                                                                     ,A565) ,'Cuadro tarifario'!A$2:A1405,0) -1 , 0 , 1 , 1) )   , 0  ,   OFFSET(   'Cuadro tarifario'!D$2  , MATCH(CONCATENATE( IF(F565&gt;Mes,OFFSET(NroCT!B$17, MATCH($F565,NroCT!$A$18:$A1405,0),0,1,1),Periodovigente) ,A565) ,'Cuadro tarifario'!A$2:A1405,0) -1 , 0 , 1 , 1))</f>
        <v>11000</v>
      </c>
      <c r="I565" s="135">
        <f t="shared" si="195"/>
        <v>0</v>
      </c>
      <c r="J565" s="138">
        <f t="shared" si="235"/>
        <v>0</v>
      </c>
      <c r="K565" s="136">
        <f>IF(  AND(N565&gt;0,I565=0)          ,N565 ,                         IF(  IF( F565 ,  DAYS360(DATE(YEAR(F565),MONTH(F565),1),Mes)/30  ,  DAYS360(DATE(YEAR(E565),MONTH(E565),1),Mes)/30  )  &gt;  0 , IF(F565,   DAYS360(DATE(YEAR(F565),MONTH(F565),1),Mes)/30  ,  DAYS360(DATE(YEAR(E565),MONTH(E565),1),Mes)/30) , 0)       )</f>
        <v>3</v>
      </c>
      <c r="L565" s="137">
        <f t="shared" si="196"/>
        <v>33000</v>
      </c>
      <c r="M565" s="131"/>
      <c r="N565" s="130"/>
      <c r="O565" s="130"/>
      <c r="P565" s="130"/>
      <c r="Q565" s="130"/>
      <c r="R565" s="130"/>
      <c r="S565" s="130"/>
      <c r="T565" s="130"/>
    </row>
    <row r="566" ht="15.0" customHeight="1">
      <c r="A566" s="18" t="s">
        <v>38</v>
      </c>
      <c r="B566" s="18">
        <v>1905.0</v>
      </c>
      <c r="C566" s="19">
        <v>1905.0</v>
      </c>
      <c r="D566" s="57" t="str">
        <f>IF(   ISERROR(OFFSET(PADRON!B$2,MATCH(C:C,PADRON!A$2:A1405,0)-1,0,1,1) )  ,  ,    OFFSET(PADRON!B$2,MATCH(C:C,PADRON!A$2:A1405,0)-1,0,1,1))</f>
        <v>QUINTEROS, ALEJANDRO</v>
      </c>
      <c r="E566" s="58">
        <v>45778.0</v>
      </c>
      <c r="F566" s="133"/>
      <c r="G566" s="59" t="s">
        <v>39</v>
      </c>
      <c r="H566" s="60">
        <f>IF( ISERROR( OFFSET(   'Cuadro tarifario'!D$2  , MATCH(CONCATENATE(                 IF(F566&gt;Mes,OFFSET(NroCT!B$17, MATCH($F566,NroCT!$A$18:$A1405,0),0,1,1),Periodovigente)                                                                                                                     ,A566) ,'Cuadro tarifario'!A$2:A1405,0) -1 , 0 , 1 , 1) )   , 0  ,   OFFSET(   'Cuadro tarifario'!D$2  , MATCH(CONCATENATE( IF(F566&gt;Mes,OFFSET(NroCT!B$17, MATCH($F566,NroCT!$A$18:$A1405,0),0,1,1),Periodovigente) ,A566) ,'Cuadro tarifario'!A$2:A1405,0) -1 , 0 , 1 , 1))</f>
        <v>9000</v>
      </c>
      <c r="I566" s="135">
        <f t="shared" si="195"/>
        <v>0</v>
      </c>
      <c r="J566" s="138">
        <f t="shared" si="235"/>
        <v>0</v>
      </c>
      <c r="K566" s="136">
        <f>IF(  AND(N566&gt;0,I566=0)          ,N566 ,                         IF(  IF( F566 ,  DAYS360(DATE(YEAR(F566),MONTH(F566),1),Mes)/30  ,  DAYS360(DATE(YEAR(E566),MONTH(E566),1),Mes)/30  )  &gt;  0 , IF(F566,   DAYS360(DATE(YEAR(F566),MONTH(F566),1),Mes)/30  ,  DAYS360(DATE(YEAR(E566),MONTH(E566),1),Mes)/30) , 0)       )</f>
        <v>3</v>
      </c>
      <c r="L566" s="137">
        <f t="shared" si="196"/>
        <v>27000</v>
      </c>
      <c r="M566" s="129"/>
      <c r="N566" s="130"/>
      <c r="O566" s="130"/>
      <c r="P566" s="130"/>
      <c r="Q566" s="130"/>
      <c r="R566" s="130"/>
      <c r="S566" s="130"/>
      <c r="T566" s="130"/>
    </row>
    <row r="567" ht="15.0" customHeight="1">
      <c r="A567" s="18" t="s">
        <v>71</v>
      </c>
      <c r="B567" s="18">
        <v>1906.0</v>
      </c>
      <c r="C567" s="19">
        <v>1906.0</v>
      </c>
      <c r="D567" s="57" t="str">
        <f>IF(   ISERROR(OFFSET(PADRON!B$2,MATCH(C:C,PADRON!A$2:A1405,0)-1,0,1,1) )  ,  ,    OFFSET(PADRON!B$2,MATCH(C:C,PADRON!A$2:A1405,0)-1,0,1,1))</f>
        <v>VILLANUEVA, MARCELO</v>
      </c>
      <c r="E567" s="58">
        <v>45839.0</v>
      </c>
      <c r="F567" s="133"/>
      <c r="G567" s="59" t="s">
        <v>39</v>
      </c>
      <c r="H567" s="60">
        <f>IF( ISERROR( OFFSET(   'Cuadro tarifario'!D$2  , MATCH(CONCATENATE(                 IF(F567&gt;Mes,OFFSET(NroCT!B$17, MATCH($F567,NroCT!$A$18:$A1405,0),0,1,1),Periodovigente)                                                                                                                     ,A567) ,'Cuadro tarifario'!A$2:A1405,0) -1 , 0 , 1 , 1) )   , 0  ,   OFFSET(   'Cuadro tarifario'!D$2  , MATCH(CONCATENATE( IF(F567&gt;Mes,OFFSET(NroCT!B$17, MATCH($F567,NroCT!$A$18:$A1405,0),0,1,1),Periodovigente) ,A567) ,'Cuadro tarifario'!A$2:A1405,0) -1 , 0 , 1 , 1))</f>
        <v>11000</v>
      </c>
      <c r="I567" s="135">
        <f t="shared" si="195"/>
        <v>0</v>
      </c>
      <c r="J567" s="138">
        <f t="shared" si="235"/>
        <v>0</v>
      </c>
      <c r="K567" s="136">
        <f>IF(  AND(N567&gt;0,I567=0)          ,N567 ,                         IF(  IF( F567 ,  DAYS360(DATE(YEAR(F567),MONTH(F567),1),Mes)/30  ,  DAYS360(DATE(YEAR(E567),MONTH(E567),1),Mes)/30  )  &gt;  0 , IF(F567,   DAYS360(DATE(YEAR(F567),MONTH(F567),1),Mes)/30  ,  DAYS360(DATE(YEAR(E567),MONTH(E567),1),Mes)/30) , 0)       )</f>
        <v>1</v>
      </c>
      <c r="L567" s="137">
        <f t="shared" si="196"/>
        <v>11000</v>
      </c>
      <c r="M567" s="131"/>
      <c r="N567" s="130"/>
      <c r="O567" s="130"/>
      <c r="P567" s="130"/>
      <c r="Q567" s="130"/>
      <c r="R567" s="130"/>
      <c r="S567" s="130"/>
      <c r="T567" s="130"/>
    </row>
    <row r="568" ht="15.0" customHeight="1">
      <c r="A568" s="18" t="s">
        <v>38</v>
      </c>
      <c r="B568" s="18">
        <v>1906.0</v>
      </c>
      <c r="C568" s="19">
        <v>1906.0</v>
      </c>
      <c r="D568" s="57" t="str">
        <f>IF(   ISERROR(OFFSET(PADRON!B$2,MATCH(C:C,PADRON!A$2:A1405,0)-1,0,1,1) )  ,  ,    OFFSET(PADRON!B$2,MATCH(C:C,PADRON!A$2:A1405,0)-1,0,1,1))</f>
        <v>VILLANUEVA, MARCELO</v>
      </c>
      <c r="E568" s="58">
        <v>45839.0</v>
      </c>
      <c r="F568" s="133"/>
      <c r="G568" s="59" t="s">
        <v>39</v>
      </c>
      <c r="H568" s="60">
        <f>IF( ISERROR( OFFSET(   'Cuadro tarifario'!D$2  , MATCH(CONCATENATE(                 IF(F568&gt;Mes,OFFSET(NroCT!B$17, MATCH($F568,NroCT!$A$18:$A1405,0),0,1,1),Periodovigente)                                                                                                                     ,A568) ,'Cuadro tarifario'!A$2:A1405,0) -1 , 0 , 1 , 1) )   , 0  ,   OFFSET(   'Cuadro tarifario'!D$2  , MATCH(CONCATENATE( IF(F568&gt;Mes,OFFSET(NroCT!B$17, MATCH($F568,NroCT!$A$18:$A1405,0),0,1,1),Periodovigente) ,A568) ,'Cuadro tarifario'!A$2:A1405,0) -1 , 0 , 1 , 1))</f>
        <v>9000</v>
      </c>
      <c r="I568" s="135">
        <f t="shared" si="195"/>
        <v>0</v>
      </c>
      <c r="J568" s="138">
        <f t="shared" si="235"/>
        <v>0</v>
      </c>
      <c r="K568" s="136">
        <f>IF(  AND(N568&gt;0,I568=0)          ,N568 ,                         IF(  IF( F568 ,  DAYS360(DATE(YEAR(F568),MONTH(F568),1),Mes)/30  ,  DAYS360(DATE(YEAR(E568),MONTH(E568),1),Mes)/30  )  &gt;  0 , IF(F568,   DAYS360(DATE(YEAR(F568),MONTH(F568),1),Mes)/30  ,  DAYS360(DATE(YEAR(E568),MONTH(E568),1),Mes)/30) , 0)       )</f>
        <v>1</v>
      </c>
      <c r="L568" s="137">
        <f t="shared" si="196"/>
        <v>9000</v>
      </c>
      <c r="M568" s="129"/>
      <c r="N568" s="130"/>
      <c r="O568" s="130"/>
      <c r="P568" s="130"/>
      <c r="Q568" s="130"/>
      <c r="R568" s="130"/>
      <c r="S568" s="130"/>
      <c r="T568" s="130"/>
    </row>
    <row r="569" ht="15.0" customHeight="1">
      <c r="A569" s="18" t="s">
        <v>40</v>
      </c>
      <c r="B569" s="18" t="s">
        <v>283</v>
      </c>
      <c r="C569" s="19">
        <v>1906.0</v>
      </c>
      <c r="D569" s="57" t="str">
        <f>IF(   ISERROR(OFFSET(PADRON!B$2,MATCH(C:C,PADRON!A$2:A1405,0)-1,0,1,1) )  ,  ,    OFFSET(PADRON!B$2,MATCH(C:C,PADRON!A$2:A1405,0)-1,0,1,1))</f>
        <v>VILLANUEVA, MARCELO</v>
      </c>
      <c r="E569" s="58">
        <v>45839.0</v>
      </c>
      <c r="F569" s="133"/>
      <c r="G569" s="59" t="s">
        <v>39</v>
      </c>
      <c r="H569" s="60">
        <f>IF( ISERROR( OFFSET(   'Cuadro tarifario'!D$2  , MATCH(CONCATENATE(                 IF(F569&gt;Mes,OFFSET(NroCT!B$17, MATCH($F569,NroCT!$A$18:$A1405,0),0,1,1),Periodovigente)                                                                                                                     ,A569) ,'Cuadro tarifario'!A$2:A1405,0) -1 , 0 , 1 , 1) )   , 0  ,   OFFSET(   'Cuadro tarifario'!D$2  , MATCH(CONCATENATE( IF(F569&gt;Mes,OFFSET(NroCT!B$17, MATCH($F569,NroCT!$A$18:$A1405,0),0,1,1),Periodovigente) ,A569) ,'Cuadro tarifario'!A$2:A1405,0) -1 , 0 , 1 , 1))</f>
        <v>12000</v>
      </c>
      <c r="I569" s="135">
        <f t="shared" si="195"/>
        <v>0</v>
      </c>
      <c r="J569" s="138">
        <f t="shared" si="235"/>
        <v>0</v>
      </c>
      <c r="K569" s="136">
        <f>IF(  AND(N569&gt;0,I569=0)          ,N569 ,                         IF(  IF( F569 ,  DAYS360(DATE(YEAR(F569),MONTH(F569),1),Mes)/30  ,  DAYS360(DATE(YEAR(E569),MONTH(E569),1),Mes)/30  )  &gt;  0 , IF(F569,   DAYS360(DATE(YEAR(F569),MONTH(F569),1),Mes)/30  ,  DAYS360(DATE(YEAR(E569),MONTH(E569),1),Mes)/30) , 0)       )</f>
        <v>1</v>
      </c>
      <c r="L569" s="137">
        <f t="shared" si="196"/>
        <v>12000</v>
      </c>
      <c r="M569" s="131"/>
      <c r="N569" s="130"/>
      <c r="O569" s="130"/>
      <c r="P569" s="130"/>
      <c r="Q569" s="130"/>
      <c r="R569" s="130"/>
      <c r="S569" s="130"/>
      <c r="T569" s="130"/>
    </row>
    <row r="570" ht="15.0" customHeight="1">
      <c r="A570" s="18" t="s">
        <v>82</v>
      </c>
      <c r="B570" s="18" t="s">
        <v>284</v>
      </c>
      <c r="C570" s="19">
        <v>1906.0</v>
      </c>
      <c r="D570" s="57" t="str">
        <f>IF(   ISERROR(OFFSET(PADRON!B$2,MATCH(C:C,PADRON!A$2:A1405,0)-1,0,1,1) )  ,  ,    OFFSET(PADRON!B$2,MATCH(C:C,PADRON!A$2:A1405,0)-1,0,1,1))</f>
        <v>VILLANUEVA, MARCELO</v>
      </c>
      <c r="E570" s="58">
        <v>45839.0</v>
      </c>
      <c r="F570" s="133"/>
      <c r="G570" s="59" t="s">
        <v>39</v>
      </c>
      <c r="H570" s="60">
        <f>IF( ISERROR( OFFSET(   'Cuadro tarifario'!D$2  , MATCH(CONCATENATE(                 IF(F570&gt;Mes,OFFSET(NroCT!B$17, MATCH($F570,NroCT!$A$18:$A1405,0),0,1,1),Periodovigente)                                                                                                                     ,A570) ,'Cuadro tarifario'!A$2:A1405,0) -1 , 0 , 1 , 1) )   , 0  ,   OFFSET(   'Cuadro tarifario'!D$2  , MATCH(CONCATENATE( IF(F570&gt;Mes,OFFSET(NroCT!B$17, MATCH($F570,NroCT!$A$18:$A1405,0),0,1,1),Periodovigente) ,A570) ,'Cuadro tarifario'!A$2:A1405,0) -1 , 0 , 1 , 1))</f>
        <v>12000</v>
      </c>
      <c r="I570" s="135">
        <f t="shared" si="195"/>
        <v>0</v>
      </c>
      <c r="J570" s="138">
        <f t="shared" si="235"/>
        <v>0</v>
      </c>
      <c r="K570" s="136">
        <f>IF(  AND(N570&gt;0,I570=0)          ,N570 ,                         IF(  IF( F570 ,  DAYS360(DATE(YEAR(F570),MONTH(F570),1),Mes)/30  ,  DAYS360(DATE(YEAR(E570),MONTH(E570),1),Mes)/30  )  &gt;  0 , IF(F570,   DAYS360(DATE(YEAR(F570),MONTH(F570),1),Mes)/30  ,  DAYS360(DATE(YEAR(E570),MONTH(E570),1),Mes)/30) , 0)       )</f>
        <v>1</v>
      </c>
      <c r="L570" s="137">
        <f t="shared" si="196"/>
        <v>12000</v>
      </c>
      <c r="M570" s="131"/>
      <c r="N570" s="130"/>
      <c r="O570" s="130"/>
      <c r="P570" s="130"/>
      <c r="Q570" s="130"/>
      <c r="R570" s="130"/>
      <c r="S570" s="130"/>
      <c r="T570" s="130"/>
    </row>
    <row r="571" ht="15.0" customHeight="1">
      <c r="A571" s="18" t="s">
        <v>50</v>
      </c>
      <c r="B571" s="18" t="s">
        <v>285</v>
      </c>
      <c r="C571" s="19">
        <v>1906.0</v>
      </c>
      <c r="D571" s="57" t="str">
        <f>IF(   ISERROR(OFFSET(PADRON!B$2,MATCH(C:C,PADRON!A$2:A1405,0)-1,0,1,1) )  ,  ,    OFFSET(PADRON!B$2,MATCH(C:C,PADRON!A$2:A1405,0)-1,0,1,1))</f>
        <v>VILLANUEVA, MARCELO</v>
      </c>
      <c r="E571" s="58">
        <v>45992.0</v>
      </c>
      <c r="F571" s="133"/>
      <c r="G571" s="59" t="s">
        <v>39</v>
      </c>
      <c r="H571" s="60">
        <f>IF( ISERROR( OFFSET(   'Cuadro tarifario'!D$2  , MATCH(CONCATENATE(                 IF(F571&gt;Mes,OFFSET(NroCT!B$17, MATCH($F571,NroCT!$A$18:$A1405,0),0,1,1),Periodovigente)                                                                                                                     ,A571) ,'Cuadro tarifario'!A$2:A1405,0) -1 , 0 , 1 , 1) )   , 0  ,   OFFSET(   'Cuadro tarifario'!D$2  , MATCH(CONCATENATE( IF(F571&gt;Mes,OFFSET(NroCT!B$17, MATCH($F571,NroCT!$A$18:$A1405,0),0,1,1),Periodovigente) ,A571) ,'Cuadro tarifario'!A$2:A1405,0) -1 , 0 , 1 , 1))</f>
        <v>3600</v>
      </c>
      <c r="I571" s="135">
        <f t="shared" si="195"/>
        <v>0</v>
      </c>
      <c r="J571" s="138">
        <f t="shared" si="235"/>
        <v>0</v>
      </c>
      <c r="K571" s="136">
        <f>IF(  AND(N571&gt;0,I571=0)          ,N571 ,                         IF(  IF( F571 ,  DAYS360(DATE(YEAR(F571),MONTH(F571),1),Mes)/30  ,  DAYS360(DATE(YEAR(E571),MONTH(E571),1),Mes)/30  )  &gt;  0 , IF(F571,   DAYS360(DATE(YEAR(F571),MONTH(F571),1),Mes)/30  ,  DAYS360(DATE(YEAR(E571),MONTH(E571),1),Mes)/30) , 0)       )</f>
        <v>0</v>
      </c>
      <c r="L571" s="137">
        <f t="shared" si="196"/>
        <v>0</v>
      </c>
      <c r="M571" s="131"/>
      <c r="N571" s="130"/>
      <c r="O571" s="130"/>
      <c r="P571" s="130"/>
      <c r="Q571" s="130"/>
      <c r="R571" s="130"/>
      <c r="S571" s="130"/>
      <c r="T571" s="130"/>
    </row>
    <row r="572" ht="15.0" customHeight="1">
      <c r="A572" s="18" t="s">
        <v>71</v>
      </c>
      <c r="B572" s="18">
        <v>1907.0</v>
      </c>
      <c r="C572" s="19">
        <v>1907.0</v>
      </c>
      <c r="D572" s="57" t="str">
        <f>IF(   ISERROR(OFFSET(PADRON!B$2,MATCH(C:C,PADRON!A$2:A1405,0)-1,0,1,1) )  ,  ,    OFFSET(PADRON!B$2,MATCH(C:C,PADRON!A$2:A1405,0)-1,0,1,1))</f>
        <v>ARDISSINO, AUGUSTO SEBASTIAN</v>
      </c>
      <c r="E572" s="58">
        <v>45839.0</v>
      </c>
      <c r="F572" s="133">
        <v>45870.0</v>
      </c>
      <c r="G572" s="59" t="s">
        <v>39</v>
      </c>
      <c r="H572" s="60">
        <f>IF( ISERROR( OFFSET(   'Cuadro tarifario'!D$2  , MATCH(CONCATENATE(                 IF(F572&gt;Mes,OFFSET(NroCT!B$17, MATCH($F572,NroCT!$A$18:$A1405,0),0,1,1),Periodovigente)                                                                                                                     ,A572) ,'Cuadro tarifario'!A$2:A1405,0) -1 , 0 , 1 , 1) )   , 0  ,   OFFSET(   'Cuadro tarifario'!D$2  , MATCH(CONCATENATE( IF(F572&gt;Mes,OFFSET(NroCT!B$17, MATCH($F572,NroCT!$A$18:$A1405,0),0,1,1),Periodovigente) ,A572) ,'Cuadro tarifario'!A$2:A1405,0) -1 , 0 , 1 , 1))</f>
        <v>11000</v>
      </c>
      <c r="I572" s="135">
        <f t="shared" si="195"/>
        <v>1</v>
      </c>
      <c r="J572" s="138">
        <f t="shared" si="235"/>
        <v>11000</v>
      </c>
      <c r="K572" s="136">
        <f>IF(  AND(N572&gt;0,I572=0)          ,N572 ,                         IF(  IF( F572 ,  DAYS360(DATE(YEAR(F572),MONTH(F572),1),Mes)/30  ,  DAYS360(DATE(YEAR(E572),MONTH(E572),1),Mes)/30  )  &gt;  0 , IF(F572,   DAYS360(DATE(YEAR(F572),MONTH(F572),1),Mes)/30  ,  DAYS360(DATE(YEAR(E572),MONTH(E572),1),Mes)/30) , 0)       )</f>
        <v>0</v>
      </c>
      <c r="L572" s="137">
        <f t="shared" si="196"/>
        <v>0</v>
      </c>
      <c r="M572" s="129"/>
      <c r="N572" s="130"/>
      <c r="O572" s="130"/>
      <c r="P572" s="130"/>
      <c r="Q572" s="130"/>
      <c r="R572" s="130"/>
      <c r="S572" s="130"/>
      <c r="T572" s="130"/>
    </row>
    <row r="573" ht="15.0" customHeight="1">
      <c r="A573" s="18" t="s">
        <v>38</v>
      </c>
      <c r="B573" s="18">
        <v>1907.0</v>
      </c>
      <c r="C573" s="19">
        <v>1907.0</v>
      </c>
      <c r="D573" s="57" t="str">
        <f>IF(   ISERROR(OFFSET(PADRON!B$2,MATCH(C:C,PADRON!A$2:A1405,0)-1,0,1,1) )  ,  ,    OFFSET(PADRON!B$2,MATCH(C:C,PADRON!A$2:A1405,0)-1,0,1,1))</f>
        <v>ARDISSINO, AUGUSTO SEBASTIAN</v>
      </c>
      <c r="E573" s="58">
        <v>45839.0</v>
      </c>
      <c r="F573" s="133">
        <v>45870.0</v>
      </c>
      <c r="G573" s="59" t="s">
        <v>39</v>
      </c>
      <c r="H573" s="60">
        <f>IF( ISERROR( OFFSET(   'Cuadro tarifario'!D$2  , MATCH(CONCATENATE(                 IF(F573&gt;Mes,OFFSET(NroCT!B$17, MATCH($F573,NroCT!$A$18:$A1405,0),0,1,1),Periodovigente)                                                                                                                     ,A573) ,'Cuadro tarifario'!A$2:A1405,0) -1 , 0 , 1 , 1) )   , 0  ,   OFFSET(   'Cuadro tarifario'!D$2  , MATCH(CONCATENATE( IF(F573&gt;Mes,OFFSET(NroCT!B$17, MATCH($F573,NroCT!$A$18:$A1405,0),0,1,1),Periodovigente) ,A573) ,'Cuadro tarifario'!A$2:A1405,0) -1 , 0 , 1 , 1))</f>
        <v>9000</v>
      </c>
      <c r="I573" s="135">
        <f t="shared" si="195"/>
        <v>1</v>
      </c>
      <c r="J573" s="138">
        <f t="shared" si="235"/>
        <v>9000</v>
      </c>
      <c r="K573" s="136">
        <f>IF(  AND(N573&gt;0,I573=0)          ,N573 ,                         IF(  IF( F573 ,  DAYS360(DATE(YEAR(F573),MONTH(F573),1),Mes)/30  ,  DAYS360(DATE(YEAR(E573),MONTH(E573),1),Mes)/30  )  &gt;  0 , IF(F573,   DAYS360(DATE(YEAR(F573),MONTH(F573),1),Mes)/30  ,  DAYS360(DATE(YEAR(E573),MONTH(E573),1),Mes)/30) , 0)       )</f>
        <v>0</v>
      </c>
      <c r="L573" s="137">
        <f t="shared" si="196"/>
        <v>0</v>
      </c>
      <c r="M573" s="131"/>
      <c r="N573" s="130"/>
      <c r="O573" s="130"/>
      <c r="P573" s="130"/>
      <c r="Q573" s="130"/>
      <c r="R573" s="130"/>
      <c r="S573" s="130"/>
      <c r="T573" s="130"/>
    </row>
    <row r="574" ht="15.0" customHeight="1">
      <c r="A574" s="18" t="s">
        <v>40</v>
      </c>
      <c r="B574" s="18" t="s">
        <v>286</v>
      </c>
      <c r="C574" s="19">
        <v>1907.0</v>
      </c>
      <c r="D574" s="57" t="str">
        <f>IF(   ISERROR(OFFSET(PADRON!B$2,MATCH(C:C,PADRON!A$2:A1405,0)-1,0,1,1) )  ,  ,    OFFSET(PADRON!B$2,MATCH(C:C,PADRON!A$2:A1405,0)-1,0,1,1))</f>
        <v>ARDISSINO, AUGUSTO SEBASTIAN</v>
      </c>
      <c r="E574" s="58">
        <v>45839.0</v>
      </c>
      <c r="F574" s="133">
        <v>45870.0</v>
      </c>
      <c r="G574" s="59" t="s">
        <v>39</v>
      </c>
      <c r="H574" s="60">
        <f>IF( ISERROR( OFFSET(   'Cuadro tarifario'!D$2  , MATCH(CONCATENATE(                 IF(F574&gt;Mes,OFFSET(NroCT!B$17, MATCH($F574,NroCT!$A$18:$A1405,0),0,1,1),Periodovigente)                                                                                                                     ,A574) ,'Cuadro tarifario'!A$2:A1405,0) -1 , 0 , 1 , 1) )   , 0  ,   OFFSET(   'Cuadro tarifario'!D$2  , MATCH(CONCATENATE( IF(F574&gt;Mes,OFFSET(NroCT!B$17, MATCH($F574,NroCT!$A$18:$A1405,0),0,1,1),Periodovigente) ,A574) ,'Cuadro tarifario'!A$2:A1405,0) -1 , 0 , 1 , 1))</f>
        <v>12000</v>
      </c>
      <c r="I574" s="135">
        <f t="shared" si="195"/>
        <v>1</v>
      </c>
      <c r="J574" s="138">
        <f t="shared" si="235"/>
        <v>12000</v>
      </c>
      <c r="K574" s="136">
        <f>IF(  AND(N574&gt;0,I574=0)          ,N574 ,                         IF(  IF( F574 ,  DAYS360(DATE(YEAR(F574),MONTH(F574),1),Mes)/30  ,  DAYS360(DATE(YEAR(E574),MONTH(E574),1),Mes)/30  )  &gt;  0 , IF(F574,   DAYS360(DATE(YEAR(F574),MONTH(F574),1),Mes)/30  ,  DAYS360(DATE(YEAR(E574),MONTH(E574),1),Mes)/30) , 0)       )</f>
        <v>0</v>
      </c>
      <c r="L574" s="137">
        <f t="shared" si="196"/>
        <v>0</v>
      </c>
      <c r="M574" s="131"/>
      <c r="N574" s="130"/>
      <c r="O574" s="130"/>
      <c r="P574" s="130"/>
      <c r="Q574" s="130"/>
      <c r="R574" s="130"/>
      <c r="S574" s="130"/>
      <c r="T574" s="130"/>
    </row>
    <row r="575" ht="15.0" customHeight="1">
      <c r="A575" s="18" t="s">
        <v>71</v>
      </c>
      <c r="B575" s="18">
        <v>1908.0</v>
      </c>
      <c r="C575" s="19">
        <v>1908.0</v>
      </c>
      <c r="D575" s="57" t="str">
        <f>IF(   ISERROR(OFFSET(PADRON!B$2,MATCH(C:C,PADRON!A$2:A1405,0)-1,0,1,1) )  ,  ,    OFFSET(PADRON!B$2,MATCH(C:C,PADRON!A$2:A1405,0)-1,0,1,1))</f>
        <v>SUAREZ, MARISOL</v>
      </c>
      <c r="E575" s="58">
        <v>45839.0</v>
      </c>
      <c r="F575" s="133">
        <v>45870.0</v>
      </c>
      <c r="G575" s="59" t="s">
        <v>39</v>
      </c>
      <c r="H575" s="60">
        <f>IF( ISERROR( OFFSET(   'Cuadro tarifario'!D$2  , MATCH(CONCATENATE(                 IF(F575&gt;Mes,OFFSET(NroCT!B$17, MATCH($F575,NroCT!$A$18:$A1405,0),0,1,1),Periodovigente)                                                                                                                     ,A575) ,'Cuadro tarifario'!A$2:A1405,0) -1 , 0 , 1 , 1) )   , 0  ,   OFFSET(   'Cuadro tarifario'!D$2  , MATCH(CONCATENATE( IF(F575&gt;Mes,OFFSET(NroCT!B$17, MATCH($F575,NroCT!$A$18:$A1405,0),0,1,1),Periodovigente) ,A575) ,'Cuadro tarifario'!A$2:A1405,0) -1 , 0 , 1 , 1))</f>
        <v>11000</v>
      </c>
      <c r="I575" s="135">
        <f t="shared" si="195"/>
        <v>1</v>
      </c>
      <c r="J575" s="138">
        <f t="shared" si="235"/>
        <v>11000</v>
      </c>
      <c r="K575" s="136">
        <f>IF(  AND(N575&gt;0,I575=0)          ,N575 ,                         IF(  IF( F575 ,  DAYS360(DATE(YEAR(F575),MONTH(F575),1),Mes)/30  ,  DAYS360(DATE(YEAR(E575),MONTH(E575),1),Mes)/30  )  &gt;  0 , IF(F575,   DAYS360(DATE(YEAR(F575),MONTH(F575),1),Mes)/30  ,  DAYS360(DATE(YEAR(E575),MONTH(E575),1),Mes)/30) , 0)       )</f>
        <v>0</v>
      </c>
      <c r="L575" s="137">
        <f t="shared" si="196"/>
        <v>0</v>
      </c>
      <c r="M575" s="129"/>
      <c r="N575" s="130"/>
      <c r="O575" s="130"/>
      <c r="P575" s="130"/>
      <c r="Q575" s="130"/>
      <c r="R575" s="130"/>
      <c r="S575" s="130"/>
      <c r="T575" s="130"/>
    </row>
    <row r="576" ht="15.0" customHeight="1">
      <c r="A576" s="18" t="s">
        <v>38</v>
      </c>
      <c r="B576" s="18">
        <v>1908.0</v>
      </c>
      <c r="C576" s="19">
        <v>1908.0</v>
      </c>
      <c r="D576" s="57" t="str">
        <f>IF(   ISERROR(OFFSET(PADRON!B$2,MATCH(C:C,PADRON!A$2:A1405,0)-1,0,1,1) )  ,  ,    OFFSET(PADRON!B$2,MATCH(C:C,PADRON!A$2:A1405,0)-1,0,1,1))</f>
        <v>SUAREZ, MARISOL</v>
      </c>
      <c r="E576" s="58">
        <v>45839.0</v>
      </c>
      <c r="F576" s="133">
        <v>45870.0</v>
      </c>
      <c r="G576" s="59" t="s">
        <v>39</v>
      </c>
      <c r="H576" s="60">
        <f>IF( ISERROR( OFFSET(   'Cuadro tarifario'!D$2  , MATCH(CONCATENATE(                 IF(F576&gt;Mes,OFFSET(NroCT!B$17, MATCH($F576,NroCT!$A$18:$A1405,0),0,1,1),Periodovigente)                                                                                                                     ,A576) ,'Cuadro tarifario'!A$2:A1405,0) -1 , 0 , 1 , 1) )   , 0  ,   OFFSET(   'Cuadro tarifario'!D$2  , MATCH(CONCATENATE( IF(F576&gt;Mes,OFFSET(NroCT!B$17, MATCH($F576,NroCT!$A$18:$A1405,0),0,1,1),Periodovigente) ,A576) ,'Cuadro tarifario'!A$2:A1405,0) -1 , 0 , 1 , 1))</f>
        <v>9000</v>
      </c>
      <c r="I576" s="135">
        <f t="shared" si="195"/>
        <v>1</v>
      </c>
      <c r="J576" s="138">
        <f t="shared" si="235"/>
        <v>9000</v>
      </c>
      <c r="K576" s="136">
        <f>IF(  AND(N576&gt;0,I576=0)          ,N576 ,                         IF(  IF( F576 ,  DAYS360(DATE(YEAR(F576),MONTH(F576),1),Mes)/30  ,  DAYS360(DATE(YEAR(E576),MONTH(E576),1),Mes)/30  )  &gt;  0 , IF(F576,   DAYS360(DATE(YEAR(F576),MONTH(F576),1),Mes)/30  ,  DAYS360(DATE(YEAR(E576),MONTH(E576),1),Mes)/30) , 0)       )</f>
        <v>0</v>
      </c>
      <c r="L576" s="137">
        <f t="shared" si="196"/>
        <v>0</v>
      </c>
      <c r="M576" s="131"/>
      <c r="N576" s="130"/>
      <c r="O576" s="130"/>
      <c r="P576" s="130"/>
      <c r="Q576" s="130"/>
      <c r="R576" s="130"/>
      <c r="S576" s="130"/>
      <c r="T576" s="130"/>
    </row>
    <row r="577" ht="15.0" customHeight="1">
      <c r="A577" s="18" t="s">
        <v>71</v>
      </c>
      <c r="B577" s="18">
        <v>1913.0</v>
      </c>
      <c r="C577" s="19">
        <v>1913.0</v>
      </c>
      <c r="D577" s="57" t="str">
        <f>IF(   ISERROR(OFFSET(PADRON!B$2,MATCH(C:C,PADRON!A$2:A1405,0)-1,0,1,1) )  ,  ,    OFFSET(PADRON!B$2,MATCH(C:C,PADRON!A$2:A1405,0)-1,0,1,1))</f>
        <v>SUAREZ, ANGELA DEL CARMEN</v>
      </c>
      <c r="E577" s="58">
        <v>45839.0</v>
      </c>
      <c r="F577" s="133">
        <v>45870.0</v>
      </c>
      <c r="G577" s="59" t="s">
        <v>39</v>
      </c>
      <c r="H577" s="60">
        <f>IF( ISERROR( OFFSET(   'Cuadro tarifario'!D$2  , MATCH(CONCATENATE(                 IF(F577&gt;Mes,OFFSET(NroCT!B$17, MATCH($F577,NroCT!$A$18:$A1405,0),0,1,1),Periodovigente)                                                                                                                     ,A577) ,'Cuadro tarifario'!A$2:A1405,0) -1 , 0 , 1 , 1) )   , 0  ,   OFFSET(   'Cuadro tarifario'!D$2  , MATCH(CONCATENATE( IF(F577&gt;Mes,OFFSET(NroCT!B$17, MATCH($F577,NroCT!$A$18:$A1405,0),0,1,1),Periodovigente) ,A577) ,'Cuadro tarifario'!A$2:A1405,0) -1 , 0 , 1 , 1))</f>
        <v>11000</v>
      </c>
      <c r="I577" s="135">
        <f t="shared" si="195"/>
        <v>1</v>
      </c>
      <c r="J577" s="138">
        <f t="shared" si="235"/>
        <v>11000</v>
      </c>
      <c r="K577" s="136">
        <f>IF(  AND(N577&gt;0,I577=0)          ,N577 ,                         IF(  IF( F577 ,  DAYS360(DATE(YEAR(F577),MONTH(F577),1),Mes)/30  ,  DAYS360(DATE(YEAR(E577),MONTH(E577),1),Mes)/30  )  &gt;  0 , IF(F577,   DAYS360(DATE(YEAR(F577),MONTH(F577),1),Mes)/30  ,  DAYS360(DATE(YEAR(E577),MONTH(E577),1),Mes)/30) , 0)       )</f>
        <v>0</v>
      </c>
      <c r="L577" s="137">
        <f t="shared" si="196"/>
        <v>0</v>
      </c>
      <c r="M577" s="131"/>
      <c r="N577" s="130"/>
      <c r="O577" s="130"/>
      <c r="P577" s="130"/>
      <c r="Q577" s="130"/>
      <c r="R577" s="130"/>
      <c r="S577" s="130"/>
      <c r="T577" s="130"/>
    </row>
    <row r="578" ht="15.0" customHeight="1">
      <c r="A578" s="18" t="s">
        <v>38</v>
      </c>
      <c r="B578" s="18">
        <v>1913.0</v>
      </c>
      <c r="C578" s="19">
        <v>1913.0</v>
      </c>
      <c r="D578" s="57" t="str">
        <f>IF(   ISERROR(OFFSET(PADRON!B$2,MATCH(C:C,PADRON!A$2:A1405,0)-1,0,1,1) )  ,  ,    OFFSET(PADRON!B$2,MATCH(C:C,PADRON!A$2:A1405,0)-1,0,1,1))</f>
        <v>SUAREZ, ANGELA DEL CARMEN</v>
      </c>
      <c r="E578" s="58">
        <v>45839.0</v>
      </c>
      <c r="F578" s="133">
        <v>45870.0</v>
      </c>
      <c r="G578" s="59" t="s">
        <v>39</v>
      </c>
      <c r="H578" s="60">
        <f>IF( ISERROR( OFFSET(   'Cuadro tarifario'!D$2  , MATCH(CONCATENATE(                 IF(F578&gt;Mes,OFFSET(NroCT!B$17, MATCH($F578,NroCT!$A$18:$A1405,0),0,1,1),Periodovigente)                                                                                                                     ,A578) ,'Cuadro tarifario'!A$2:A1405,0) -1 , 0 , 1 , 1) )   , 0  ,   OFFSET(   'Cuadro tarifario'!D$2  , MATCH(CONCATENATE( IF(F578&gt;Mes,OFFSET(NroCT!B$17, MATCH($F578,NroCT!$A$18:$A1405,0),0,1,1),Periodovigente) ,A578) ,'Cuadro tarifario'!A$2:A1405,0) -1 , 0 , 1 , 1))</f>
        <v>9000</v>
      </c>
      <c r="I578" s="135">
        <f t="shared" si="195"/>
        <v>1</v>
      </c>
      <c r="J578" s="138">
        <f t="shared" si="235"/>
        <v>9000</v>
      </c>
      <c r="K578" s="136">
        <f>IF(  AND(N578&gt;0,I578=0)          ,N578 ,                         IF(  IF( F578 ,  DAYS360(DATE(YEAR(F578),MONTH(F578),1),Mes)/30  ,  DAYS360(DATE(YEAR(E578),MONTH(E578),1),Mes)/30  )  &gt;  0 , IF(F578,   DAYS360(DATE(YEAR(F578),MONTH(F578),1),Mes)/30  ,  DAYS360(DATE(YEAR(E578),MONTH(E578),1),Mes)/30) , 0)       )</f>
        <v>0</v>
      </c>
      <c r="L578" s="137">
        <f t="shared" si="196"/>
        <v>0</v>
      </c>
      <c r="M578" s="131"/>
      <c r="N578" s="130"/>
      <c r="O578" s="130"/>
      <c r="P578" s="130"/>
      <c r="Q578" s="130"/>
      <c r="R578" s="130"/>
      <c r="S578" s="130"/>
      <c r="T578" s="130"/>
    </row>
    <row r="579" ht="15.0" customHeight="1">
      <c r="A579" s="18" t="s">
        <v>82</v>
      </c>
      <c r="B579" s="18" t="s">
        <v>287</v>
      </c>
      <c r="C579" s="19">
        <v>1913.0</v>
      </c>
      <c r="D579" s="57" t="str">
        <f>IF(   ISERROR(OFFSET(PADRON!B$2,MATCH(C:C,PADRON!A$2:A1405,0)-1,0,1,1) )  ,  ,    OFFSET(PADRON!B$2,MATCH(C:C,PADRON!A$2:A1405,0)-1,0,1,1))</f>
        <v>SUAREZ, ANGELA DEL CARMEN</v>
      </c>
      <c r="E579" s="58">
        <v>45839.0</v>
      </c>
      <c r="F579" s="133">
        <v>45870.0</v>
      </c>
      <c r="G579" s="59" t="s">
        <v>39</v>
      </c>
      <c r="H579" s="60">
        <f>IF( ISERROR( OFFSET(   'Cuadro tarifario'!D$2  , MATCH(CONCATENATE(                 IF(F579&gt;Mes,OFFSET(NroCT!B$17, MATCH($F579,NroCT!$A$18:$A1405,0),0,1,1),Periodovigente)                                                                                                                     ,A579) ,'Cuadro tarifario'!A$2:A1405,0) -1 , 0 , 1 , 1) )   , 0  ,   OFFSET(   'Cuadro tarifario'!D$2  , MATCH(CONCATENATE( IF(F579&gt;Mes,OFFSET(NroCT!B$17, MATCH($F579,NroCT!$A$18:$A1405,0),0,1,1),Periodovigente) ,A579) ,'Cuadro tarifario'!A$2:A1405,0) -1 , 0 , 1 , 1))</f>
        <v>12000</v>
      </c>
      <c r="I579" s="135">
        <f t="shared" si="195"/>
        <v>1</v>
      </c>
      <c r="J579" s="138">
        <f t="shared" si="235"/>
        <v>12000</v>
      </c>
      <c r="K579" s="136">
        <f>IF(  AND(N579&gt;0,I579=0)          ,N579 ,                         IF(  IF( F579 ,  DAYS360(DATE(YEAR(F579),MONTH(F579),1),Mes)/30  ,  DAYS360(DATE(YEAR(E579),MONTH(E579),1),Mes)/30  )  &gt;  0 , IF(F579,   DAYS360(DATE(YEAR(F579),MONTH(F579),1),Mes)/30  ,  DAYS360(DATE(YEAR(E579),MONTH(E579),1),Mes)/30) , 0)       )</f>
        <v>0</v>
      </c>
      <c r="L579" s="137">
        <f t="shared" si="196"/>
        <v>0</v>
      </c>
      <c r="M579" s="131"/>
      <c r="N579" s="130"/>
      <c r="O579" s="130"/>
      <c r="P579" s="130"/>
      <c r="Q579" s="130"/>
      <c r="R579" s="130"/>
      <c r="S579" s="130"/>
      <c r="T579" s="130"/>
    </row>
    <row r="580" ht="15.0" customHeight="1">
      <c r="A580" s="18" t="s">
        <v>71</v>
      </c>
      <c r="B580" s="18">
        <v>1914.0</v>
      </c>
      <c r="C580" s="19">
        <v>1914.0</v>
      </c>
      <c r="D580" s="57" t="str">
        <f>IF(   ISERROR(OFFSET(PADRON!B$2,MATCH(C:C,PADRON!A$2:A1405,0)-1,0,1,1) )  ,  ,    OFFSET(PADRON!B$2,MATCH(C:C,PADRON!A$2:A1405,0)-1,0,1,1))</f>
        <v>FUMAGALLI, SOLEDAD</v>
      </c>
      <c r="E580" s="58">
        <v>45839.0</v>
      </c>
      <c r="F580" s="133">
        <v>45870.0</v>
      </c>
      <c r="G580" s="59" t="s">
        <v>39</v>
      </c>
      <c r="H580" s="60">
        <f>IF( ISERROR( OFFSET(   'Cuadro tarifario'!D$2  , MATCH(CONCATENATE(                 IF(F580&gt;Mes,OFFSET(NroCT!B$17, MATCH($F580,NroCT!$A$18:$A1405,0),0,1,1),Periodovigente)                                                                                                                     ,A580) ,'Cuadro tarifario'!A$2:A1405,0) -1 , 0 , 1 , 1) )   , 0  ,   OFFSET(   'Cuadro tarifario'!D$2  , MATCH(CONCATENATE( IF(F580&gt;Mes,OFFSET(NroCT!B$17, MATCH($F580,NroCT!$A$18:$A1405,0),0,1,1),Periodovigente) ,A580) ,'Cuadro tarifario'!A$2:A1405,0) -1 , 0 , 1 , 1))</f>
        <v>11000</v>
      </c>
      <c r="I580" s="135">
        <f t="shared" si="195"/>
        <v>1</v>
      </c>
      <c r="J580" s="138">
        <f t="shared" si="235"/>
        <v>11000</v>
      </c>
      <c r="K580" s="136">
        <f>IF(  AND(N580&gt;0,I580=0)          ,N580 ,                         IF(  IF( F580 ,  DAYS360(DATE(YEAR(F580),MONTH(F580),1),Mes)/30  ,  DAYS360(DATE(YEAR(E580),MONTH(E580),1),Mes)/30  )  &gt;  0 , IF(F580,   DAYS360(DATE(YEAR(F580),MONTH(F580),1),Mes)/30  ,  DAYS360(DATE(YEAR(E580),MONTH(E580),1),Mes)/30) , 0)       )</f>
        <v>0</v>
      </c>
      <c r="L580" s="137">
        <f t="shared" si="196"/>
        <v>0</v>
      </c>
      <c r="M580" s="131"/>
      <c r="N580" s="130"/>
      <c r="O580" s="130"/>
      <c r="P580" s="130"/>
      <c r="Q580" s="130"/>
      <c r="R580" s="130"/>
      <c r="S580" s="130"/>
      <c r="T580" s="130"/>
    </row>
    <row r="581" ht="15.0" customHeight="1">
      <c r="A581" s="18" t="s">
        <v>38</v>
      </c>
      <c r="B581" s="18">
        <v>1914.0</v>
      </c>
      <c r="C581" s="19">
        <v>1914.0</v>
      </c>
      <c r="D581" s="57" t="str">
        <f>IF(   ISERROR(OFFSET(PADRON!B$2,MATCH(C:C,PADRON!A$2:A1405,0)-1,0,1,1) )  ,  ,    OFFSET(PADRON!B$2,MATCH(C:C,PADRON!A$2:A1405,0)-1,0,1,1))</f>
        <v>FUMAGALLI, SOLEDAD</v>
      </c>
      <c r="E581" s="58">
        <v>45839.0</v>
      </c>
      <c r="F581" s="133">
        <v>45870.0</v>
      </c>
      <c r="G581" s="59" t="s">
        <v>39</v>
      </c>
      <c r="H581" s="60">
        <f>IF( ISERROR( OFFSET(   'Cuadro tarifario'!D$2  , MATCH(CONCATENATE(                 IF(F581&gt;Mes,OFFSET(NroCT!B$17, MATCH($F581,NroCT!$A$18:$A1405,0),0,1,1),Periodovigente)                                                                                                                     ,A581) ,'Cuadro tarifario'!A$2:A1405,0) -1 , 0 , 1 , 1) )   , 0  ,   OFFSET(   'Cuadro tarifario'!D$2  , MATCH(CONCATENATE( IF(F581&gt;Mes,OFFSET(NroCT!B$17, MATCH($F581,NroCT!$A$18:$A1405,0),0,1,1),Periodovigente) ,A581) ,'Cuadro tarifario'!A$2:A1405,0) -1 , 0 , 1 , 1))</f>
        <v>9000</v>
      </c>
      <c r="I581" s="135">
        <f t="shared" si="195"/>
        <v>1</v>
      </c>
      <c r="J581" s="138">
        <f t="shared" si="235"/>
        <v>9000</v>
      </c>
      <c r="K581" s="136">
        <f>IF(  AND(N581&gt;0,I581=0)          ,N581 ,                         IF(  IF( F581 ,  DAYS360(DATE(YEAR(F581),MONTH(F581),1),Mes)/30  ,  DAYS360(DATE(YEAR(E581),MONTH(E581),1),Mes)/30  )  &gt;  0 , IF(F581,   DAYS360(DATE(YEAR(F581),MONTH(F581),1),Mes)/30  ,  DAYS360(DATE(YEAR(E581),MONTH(E581),1),Mes)/30) , 0)       )</f>
        <v>0</v>
      </c>
      <c r="L581" s="137">
        <f t="shared" si="196"/>
        <v>0</v>
      </c>
      <c r="M581" s="131"/>
      <c r="N581" s="130"/>
      <c r="O581" s="130"/>
      <c r="P581" s="130"/>
      <c r="Q581" s="130"/>
      <c r="R581" s="130"/>
      <c r="S581" s="130"/>
      <c r="T581" s="130"/>
    </row>
    <row r="582" ht="15.0" customHeight="1">
      <c r="A582" s="18" t="s">
        <v>40</v>
      </c>
      <c r="B582" s="18" t="s">
        <v>288</v>
      </c>
      <c r="C582" s="19">
        <v>1914.0</v>
      </c>
      <c r="D582" s="57" t="str">
        <f>IF(   ISERROR(OFFSET(PADRON!B$2,MATCH(C:C,PADRON!A$2:A1405,0)-1,0,1,1) )  ,  ,    OFFSET(PADRON!B$2,MATCH(C:C,PADRON!A$2:A1405,0)-1,0,1,1))</f>
        <v>FUMAGALLI, SOLEDAD</v>
      </c>
      <c r="E582" s="58">
        <v>45839.0</v>
      </c>
      <c r="F582" s="133">
        <v>45870.0</v>
      </c>
      <c r="G582" s="59" t="s">
        <v>39</v>
      </c>
      <c r="H582" s="60">
        <f>IF( ISERROR( OFFSET(   'Cuadro tarifario'!D$2  , MATCH(CONCATENATE(                 IF(F582&gt;Mes,OFFSET(NroCT!B$17, MATCH($F582,NroCT!$A$18:$A1405,0),0,1,1),Periodovigente)                                                                                                                     ,A582) ,'Cuadro tarifario'!A$2:A1405,0) -1 , 0 , 1 , 1) )   , 0  ,   OFFSET(   'Cuadro tarifario'!D$2  , MATCH(CONCATENATE( IF(F582&gt;Mes,OFFSET(NroCT!B$17, MATCH($F582,NroCT!$A$18:$A1405,0),0,1,1),Periodovigente) ,A582) ,'Cuadro tarifario'!A$2:A1405,0) -1 , 0 , 1 , 1))</f>
        <v>12000</v>
      </c>
      <c r="I582" s="135">
        <f t="shared" si="195"/>
        <v>1</v>
      </c>
      <c r="J582" s="138">
        <f t="shared" si="235"/>
        <v>12000</v>
      </c>
      <c r="K582" s="136">
        <f>IF(  AND(N582&gt;0,I582=0)          ,N582 ,                         IF(  IF( F582 ,  DAYS360(DATE(YEAR(F582),MONTH(F582),1),Mes)/30  ,  DAYS360(DATE(YEAR(E582),MONTH(E582),1),Mes)/30  )  &gt;  0 , IF(F582,   DAYS360(DATE(YEAR(F582),MONTH(F582),1),Mes)/30  ,  DAYS360(DATE(YEAR(E582),MONTH(E582),1),Mes)/30) , 0)       )</f>
        <v>0</v>
      </c>
      <c r="L582" s="137">
        <f t="shared" si="196"/>
        <v>0</v>
      </c>
      <c r="M582" s="131"/>
      <c r="N582" s="130"/>
      <c r="O582" s="130"/>
      <c r="P582" s="130"/>
      <c r="Q582" s="130"/>
      <c r="R582" s="130"/>
      <c r="S582" s="130"/>
      <c r="T582" s="130"/>
    </row>
    <row r="583" ht="15.0" customHeight="1">
      <c r="A583" s="18" t="s">
        <v>71</v>
      </c>
      <c r="B583" s="18">
        <v>1915.0</v>
      </c>
      <c r="C583" s="19">
        <v>1915.0</v>
      </c>
      <c r="D583" s="57" t="str">
        <f>IF(   ISERROR(OFFSET(PADRON!B$2,MATCH(C:C,PADRON!A$2:A1405,0)-1,0,1,1) )  ,  ,    OFFSET(PADRON!B$2,MATCH(C:C,PADRON!A$2:A1405,0)-1,0,1,1))</f>
        <v>VELAZQUEZ,MARIANO</v>
      </c>
      <c r="E583" s="58">
        <v>45839.0</v>
      </c>
      <c r="F583" s="133">
        <v>45870.0</v>
      </c>
      <c r="G583" s="59" t="s">
        <v>39</v>
      </c>
      <c r="H583" s="60">
        <f>IF( ISERROR( OFFSET(   'Cuadro tarifario'!D$2  , MATCH(CONCATENATE(                 IF(F583&gt;Mes,OFFSET(NroCT!B$17, MATCH($F583,NroCT!$A$18:$A1405,0),0,1,1),Periodovigente)                                                                                                                     ,A583) ,'Cuadro tarifario'!A$2:A1405,0) -1 , 0 , 1 , 1) )   , 0  ,   OFFSET(   'Cuadro tarifario'!D$2  , MATCH(CONCATENATE( IF(F583&gt;Mes,OFFSET(NroCT!B$17, MATCH($F583,NroCT!$A$18:$A1405,0),0,1,1),Periodovigente) ,A583) ,'Cuadro tarifario'!A$2:A1405,0) -1 , 0 , 1 , 1))</f>
        <v>11000</v>
      </c>
      <c r="I583" s="135">
        <f t="shared" si="195"/>
        <v>1</v>
      </c>
      <c r="J583" s="138">
        <f t="shared" si="235"/>
        <v>11000</v>
      </c>
      <c r="K583" s="136">
        <f>IF(  AND(N583&gt;0,I583=0)          ,N583 ,                         IF(  IF( F583 ,  DAYS360(DATE(YEAR(F583),MONTH(F583),1),Mes)/30  ,  DAYS360(DATE(YEAR(E583),MONTH(E583),1),Mes)/30  )  &gt;  0 , IF(F583,   DAYS360(DATE(YEAR(F583),MONTH(F583),1),Mes)/30  ,  DAYS360(DATE(YEAR(E583),MONTH(E583),1),Mes)/30) , 0)       )</f>
        <v>0</v>
      </c>
      <c r="L583" s="137">
        <f t="shared" si="196"/>
        <v>0</v>
      </c>
      <c r="M583" s="131"/>
      <c r="N583" s="130"/>
      <c r="O583" s="130"/>
      <c r="P583" s="130"/>
      <c r="Q583" s="130"/>
      <c r="R583" s="130"/>
      <c r="S583" s="130"/>
      <c r="T583" s="130"/>
    </row>
    <row r="584" ht="15.0" customHeight="1">
      <c r="A584" s="18" t="s">
        <v>38</v>
      </c>
      <c r="B584" s="18">
        <v>1915.0</v>
      </c>
      <c r="C584" s="19">
        <v>1915.0</v>
      </c>
      <c r="D584" s="57" t="str">
        <f>IF(   ISERROR(OFFSET(PADRON!B$2,MATCH(C:C,PADRON!A$2:A1405,0)-1,0,1,1) )  ,  ,    OFFSET(PADRON!B$2,MATCH(C:C,PADRON!A$2:A1405,0)-1,0,1,1))</f>
        <v>VELAZQUEZ,MARIANO</v>
      </c>
      <c r="E584" s="58">
        <v>45839.0</v>
      </c>
      <c r="F584" s="133">
        <v>45870.0</v>
      </c>
      <c r="G584" s="59" t="s">
        <v>39</v>
      </c>
      <c r="H584" s="60">
        <f>IF( ISERROR( OFFSET(   'Cuadro tarifario'!D$2  , MATCH(CONCATENATE(                 IF(F584&gt;Mes,OFFSET(NroCT!B$17, MATCH($F584,NroCT!$A$18:$A1405,0),0,1,1),Periodovigente)                                                                                                                     ,A584) ,'Cuadro tarifario'!A$2:A1405,0) -1 , 0 , 1 , 1) )   , 0  ,   OFFSET(   'Cuadro tarifario'!D$2  , MATCH(CONCATENATE( IF(F584&gt;Mes,OFFSET(NroCT!B$17, MATCH($F584,NroCT!$A$18:$A1405,0),0,1,1),Periodovigente) ,A584) ,'Cuadro tarifario'!A$2:A1405,0) -1 , 0 , 1 , 1))</f>
        <v>9000</v>
      </c>
      <c r="I584" s="135">
        <f t="shared" si="195"/>
        <v>1</v>
      </c>
      <c r="J584" s="138">
        <f t="shared" si="235"/>
        <v>9000</v>
      </c>
      <c r="K584" s="136">
        <f>IF(  AND(N584&gt;0,I584=0)          ,N584 ,                         IF(  IF( F584 ,  DAYS360(DATE(YEAR(F584),MONTH(F584),1),Mes)/30  ,  DAYS360(DATE(YEAR(E584),MONTH(E584),1),Mes)/30  )  &gt;  0 , IF(F584,   DAYS360(DATE(YEAR(F584),MONTH(F584),1),Mes)/30  ,  DAYS360(DATE(YEAR(E584),MONTH(E584),1),Mes)/30) , 0)       )</f>
        <v>0</v>
      </c>
      <c r="L584" s="137">
        <f t="shared" si="196"/>
        <v>0</v>
      </c>
      <c r="M584" s="131"/>
      <c r="N584" s="130"/>
      <c r="O584" s="130"/>
      <c r="P584" s="130"/>
      <c r="Q584" s="130"/>
      <c r="R584" s="130"/>
      <c r="S584" s="130"/>
      <c r="T584" s="130"/>
    </row>
    <row r="585" ht="15.0" customHeight="1">
      <c r="A585" s="18" t="s">
        <v>40</v>
      </c>
      <c r="B585" s="18" t="s">
        <v>289</v>
      </c>
      <c r="C585" s="19">
        <v>1915.0</v>
      </c>
      <c r="D585" s="57" t="str">
        <f>IF(   ISERROR(OFFSET(PADRON!B$2,MATCH(C:C,PADRON!A$2:A1405,0)-1,0,1,1) )  ,  ,    OFFSET(PADRON!B$2,MATCH(C:C,PADRON!A$2:A1405,0)-1,0,1,1))</f>
        <v>VELAZQUEZ,MARIANO</v>
      </c>
      <c r="E585" s="58">
        <v>45839.0</v>
      </c>
      <c r="F585" s="133">
        <v>45870.0</v>
      </c>
      <c r="G585" s="59" t="s">
        <v>39</v>
      </c>
      <c r="H585" s="60">
        <f>IF( ISERROR( OFFSET(   'Cuadro tarifario'!D$2  , MATCH(CONCATENATE(                 IF(F585&gt;Mes,OFFSET(NroCT!B$17, MATCH($F585,NroCT!$A$18:$A1405,0),0,1,1),Periodovigente)                                                                                                                     ,A585) ,'Cuadro tarifario'!A$2:A1405,0) -1 , 0 , 1 , 1) )   , 0  ,   OFFSET(   'Cuadro tarifario'!D$2  , MATCH(CONCATENATE( IF(F585&gt;Mes,OFFSET(NroCT!B$17, MATCH($F585,NroCT!$A$18:$A1405,0),0,1,1),Periodovigente) ,A585) ,'Cuadro tarifario'!A$2:A1405,0) -1 , 0 , 1 , 1))</f>
        <v>12000</v>
      </c>
      <c r="I585" s="135">
        <f t="shared" si="195"/>
        <v>1</v>
      </c>
      <c r="J585" s="138">
        <f t="shared" si="235"/>
        <v>12000</v>
      </c>
      <c r="K585" s="136">
        <f>IF(  AND(N585&gt;0,I585=0)          ,N585 ,                         IF(  IF( F585 ,  DAYS360(DATE(YEAR(F585),MONTH(F585),1),Mes)/30  ,  DAYS360(DATE(YEAR(E585),MONTH(E585),1),Mes)/30  )  &gt;  0 , IF(F585,   DAYS360(DATE(YEAR(F585),MONTH(F585),1),Mes)/30  ,  DAYS360(DATE(YEAR(E585),MONTH(E585),1),Mes)/30) , 0)       )</f>
        <v>0</v>
      </c>
      <c r="L585" s="137">
        <f t="shared" si="196"/>
        <v>0</v>
      </c>
      <c r="M585" s="131"/>
      <c r="N585" s="130"/>
      <c r="O585" s="130"/>
      <c r="P585" s="130"/>
      <c r="Q585" s="130"/>
      <c r="R585" s="130"/>
      <c r="S585" s="130"/>
      <c r="T585" s="130"/>
    </row>
    <row r="586" ht="15.0" customHeight="1">
      <c r="A586" s="18" t="s">
        <v>71</v>
      </c>
      <c r="B586" s="18">
        <v>1917.0</v>
      </c>
      <c r="C586" s="19">
        <v>1917.0</v>
      </c>
      <c r="D586" s="57" t="str">
        <f>IF(   ISERROR(OFFSET(PADRON!B$2,MATCH(C:C,PADRON!A$2:A1405,0)-1,0,1,1) )  ,  ,    OFFSET(PADRON!B$2,MATCH(C:C,PADRON!A$2:A1405,0)-1,0,1,1))</f>
        <v>BOLCICH, RUBEN RICARDO</v>
      </c>
      <c r="E586" s="58">
        <v>45839.0</v>
      </c>
      <c r="F586" s="133">
        <v>45870.0</v>
      </c>
      <c r="G586" s="59" t="s">
        <v>39</v>
      </c>
      <c r="H586" s="60">
        <f>IF( ISERROR( OFFSET(   'Cuadro tarifario'!D$2  , MATCH(CONCATENATE(                 IF(F586&gt;Mes,OFFSET(NroCT!B$17, MATCH($F586,NroCT!$A$18:$A1405,0),0,1,1),Periodovigente)                                                                                                                     ,A586) ,'Cuadro tarifario'!A$2:A1405,0) -1 , 0 , 1 , 1) )   , 0  ,   OFFSET(   'Cuadro tarifario'!D$2  , MATCH(CONCATENATE( IF(F586&gt;Mes,OFFSET(NroCT!B$17, MATCH($F586,NroCT!$A$18:$A1405,0),0,1,1),Periodovigente) ,A586) ,'Cuadro tarifario'!A$2:A1405,0) -1 , 0 , 1 , 1))</f>
        <v>11000</v>
      </c>
      <c r="I586" s="135">
        <f t="shared" si="195"/>
        <v>1</v>
      </c>
      <c r="J586" s="138">
        <f t="shared" si="235"/>
        <v>11000</v>
      </c>
      <c r="K586" s="136">
        <f>IF(  AND(N586&gt;0,I586=0)          ,N586 ,                         IF(  IF( F586 ,  DAYS360(DATE(YEAR(F586),MONTH(F586),1),Mes)/30  ,  DAYS360(DATE(YEAR(E586),MONTH(E586),1),Mes)/30  )  &gt;  0 , IF(F586,   DAYS360(DATE(YEAR(F586),MONTH(F586),1),Mes)/30  ,  DAYS360(DATE(YEAR(E586),MONTH(E586),1),Mes)/30) , 0)       )</f>
        <v>0</v>
      </c>
      <c r="L586" s="137">
        <f t="shared" si="196"/>
        <v>0</v>
      </c>
      <c r="M586" s="131"/>
      <c r="N586" s="130"/>
      <c r="O586" s="130"/>
      <c r="P586" s="130"/>
      <c r="Q586" s="130"/>
      <c r="R586" s="130"/>
      <c r="S586" s="130"/>
      <c r="T586" s="130"/>
    </row>
    <row r="587" ht="15.0" customHeight="1">
      <c r="A587" s="18" t="s">
        <v>38</v>
      </c>
      <c r="B587" s="18">
        <v>1917.0</v>
      </c>
      <c r="C587" s="19">
        <v>1917.0</v>
      </c>
      <c r="D587" s="57" t="str">
        <f>IF(   ISERROR(OFFSET(PADRON!B$2,MATCH(C:C,PADRON!A$2:A1405,0)-1,0,1,1) )  ,  ,    OFFSET(PADRON!B$2,MATCH(C:C,PADRON!A$2:A1405,0)-1,0,1,1))</f>
        <v>BOLCICH, RUBEN RICARDO</v>
      </c>
      <c r="E587" s="58">
        <v>45839.0</v>
      </c>
      <c r="F587" s="133">
        <v>45870.0</v>
      </c>
      <c r="G587" s="59" t="s">
        <v>39</v>
      </c>
      <c r="H587" s="60">
        <f>IF( ISERROR( OFFSET(   'Cuadro tarifario'!D$2  , MATCH(CONCATENATE(                 IF(F587&gt;Mes,OFFSET(NroCT!B$17, MATCH($F587,NroCT!$A$18:$A1405,0),0,1,1),Periodovigente)                                                                                                                     ,A587) ,'Cuadro tarifario'!A$2:A1405,0) -1 , 0 , 1 , 1) )   , 0  ,   OFFSET(   'Cuadro tarifario'!D$2  , MATCH(CONCATENATE( IF(F587&gt;Mes,OFFSET(NroCT!B$17, MATCH($F587,NroCT!$A$18:$A1405,0),0,1,1),Periodovigente) ,A587) ,'Cuadro tarifario'!A$2:A1405,0) -1 , 0 , 1 , 1))</f>
        <v>9000</v>
      </c>
      <c r="I587" s="135">
        <f t="shared" si="195"/>
        <v>1</v>
      </c>
      <c r="J587" s="138">
        <f t="shared" si="235"/>
        <v>9000</v>
      </c>
      <c r="K587" s="136">
        <f>IF(  AND(N587&gt;0,I587=0)          ,N587 ,                         IF(  IF( F587 ,  DAYS360(DATE(YEAR(F587),MONTH(F587),1),Mes)/30  ,  DAYS360(DATE(YEAR(E587),MONTH(E587),1),Mes)/30  )  &gt;  0 , IF(F587,   DAYS360(DATE(YEAR(F587),MONTH(F587),1),Mes)/30  ,  DAYS360(DATE(YEAR(E587),MONTH(E587),1),Mes)/30) , 0)       )</f>
        <v>0</v>
      </c>
      <c r="L587" s="137">
        <f t="shared" si="196"/>
        <v>0</v>
      </c>
      <c r="M587" s="131"/>
      <c r="N587" s="130"/>
      <c r="O587" s="130"/>
      <c r="P587" s="130"/>
      <c r="Q587" s="130"/>
      <c r="R587" s="130"/>
      <c r="S587" s="130"/>
      <c r="T587" s="130"/>
    </row>
    <row r="588" ht="18.0" customHeight="1">
      <c r="A588" s="18" t="s">
        <v>40</v>
      </c>
      <c r="B588" s="18" t="s">
        <v>290</v>
      </c>
      <c r="C588" s="19">
        <v>1917.0</v>
      </c>
      <c r="D588" s="57" t="str">
        <f>IF(   ISERROR(OFFSET(PADRON!B$2,MATCH(C:C,PADRON!A$2:A1405,0)-1,0,1,1) )  ,  ,    OFFSET(PADRON!B$2,MATCH(C:C,PADRON!A$2:A1405,0)-1,0,1,1))</f>
        <v>BOLCICH, RUBEN RICARDO</v>
      </c>
      <c r="E588" s="58">
        <v>45839.0</v>
      </c>
      <c r="F588" s="133">
        <v>45870.0</v>
      </c>
      <c r="G588" s="59" t="s">
        <v>39</v>
      </c>
      <c r="H588" s="60">
        <f>IF( ISERROR( OFFSET(   'Cuadro tarifario'!D$2  , MATCH(CONCATENATE(                 IF(F588&gt;Mes,OFFSET(NroCT!B$17, MATCH($F588,NroCT!$A$18:$A1405,0),0,1,1),Periodovigente)                                                                                                                     ,A588) ,'Cuadro tarifario'!A$2:A1405,0) -1 , 0 , 1 , 1) )   , 0  ,   OFFSET(   'Cuadro tarifario'!D$2  , MATCH(CONCATENATE( IF(F588&gt;Mes,OFFSET(NroCT!B$17, MATCH($F588,NroCT!$A$18:$A1405,0),0,1,1),Periodovigente) ,A588) ,'Cuadro tarifario'!A$2:A1405,0) -1 , 0 , 1 , 1))</f>
        <v>12000</v>
      </c>
      <c r="I588" s="135">
        <f t="shared" si="195"/>
        <v>1</v>
      </c>
      <c r="J588" s="138">
        <f t="shared" si="235"/>
        <v>12000</v>
      </c>
      <c r="K588" s="136">
        <f>IF(  AND(N588&gt;0,I588=0)          ,N588 ,                         IF(  IF( F588 ,  DAYS360(DATE(YEAR(F588),MONTH(F588),1),Mes)/30  ,  DAYS360(DATE(YEAR(E588),MONTH(E588),1),Mes)/30  )  &gt;  0 , IF(F588,   DAYS360(DATE(YEAR(F588),MONTH(F588),1),Mes)/30  ,  DAYS360(DATE(YEAR(E588),MONTH(E588),1),Mes)/30) , 0)       )</f>
        <v>0</v>
      </c>
      <c r="L588" s="137">
        <f t="shared" si="196"/>
        <v>0</v>
      </c>
      <c r="M588" s="131"/>
      <c r="N588" s="130"/>
      <c r="O588" s="130"/>
      <c r="P588" s="130"/>
      <c r="Q588" s="130"/>
      <c r="R588" s="130"/>
      <c r="S588" s="130"/>
      <c r="T588" s="130"/>
    </row>
    <row r="589" ht="15.0" customHeight="1">
      <c r="A589" s="18" t="s">
        <v>71</v>
      </c>
      <c r="B589" s="18">
        <v>1918.0</v>
      </c>
      <c r="C589" s="19">
        <v>1918.0</v>
      </c>
      <c r="D589" s="57" t="str">
        <f>IF(   ISERROR(OFFSET(PADRON!B$2,MATCH(C:C,PADRON!A$2:A1405,0)-1,0,1,1) )  ,  ,    OFFSET(PADRON!B$2,MATCH(C:C,PADRON!A$2:A1405,0)-1,0,1,1))</f>
        <v>BREM , RAFAEL</v>
      </c>
      <c r="E589" s="58">
        <v>45901.0</v>
      </c>
      <c r="F589" s="133"/>
      <c r="G589" s="59" t="s">
        <v>39</v>
      </c>
      <c r="H589" s="60">
        <f>IF( ISERROR( OFFSET(   'Cuadro tarifario'!D$2  , MATCH(CONCATENATE(                 IF(F589&gt;Mes,OFFSET(NroCT!B$17, MATCH($F589,NroCT!$A$18:$A1405,0),0,1,1),Periodovigente)                                                                                                                     ,A589) ,'Cuadro tarifario'!A$2:A1405,0) -1 , 0 , 1 , 1) )   , 0  ,   OFFSET(   'Cuadro tarifario'!D$2  , MATCH(CONCATENATE( IF(F589&gt;Mes,OFFSET(NroCT!B$17, MATCH($F589,NroCT!$A$18:$A1405,0),0,1,1),Periodovigente) ,A589) ,'Cuadro tarifario'!A$2:A1405,0) -1 , 0 , 1 , 1))</f>
        <v>11000</v>
      </c>
      <c r="I589" s="135">
        <f t="shared" si="195"/>
        <v>0</v>
      </c>
      <c r="J589" s="138">
        <f t="shared" si="235"/>
        <v>0</v>
      </c>
      <c r="K589" s="136">
        <f>IF(  AND(N589&gt;0,I589=0)          ,N589 ,                         IF(  IF( F589 ,  DAYS360(DATE(YEAR(F589),MONTH(F589),1),Mes)/30  ,  DAYS360(DATE(YEAR(E589),MONTH(E589),1),Mes)/30  )  &gt;  0 , IF(F589,   DAYS360(DATE(YEAR(F589),MONTH(F589),1),Mes)/30  ,  DAYS360(DATE(YEAR(E589),MONTH(E589),1),Mes)/30) , 0)       )</f>
        <v>0</v>
      </c>
      <c r="L589" s="137">
        <f t="shared" si="196"/>
        <v>0</v>
      </c>
      <c r="M589" s="131"/>
      <c r="N589" s="130"/>
      <c r="O589" s="130"/>
      <c r="P589" s="130"/>
      <c r="Q589" s="130"/>
      <c r="R589" s="130"/>
      <c r="S589" s="130"/>
      <c r="T589" s="130"/>
    </row>
    <row r="590" ht="15.0" customHeight="1">
      <c r="A590" s="18" t="s">
        <v>38</v>
      </c>
      <c r="B590" s="18">
        <v>1918.0</v>
      </c>
      <c r="C590" s="19">
        <v>1918.0</v>
      </c>
      <c r="D590" s="57" t="str">
        <f>IF(   ISERROR(OFFSET(PADRON!B$2,MATCH(C:C,PADRON!A$2:A1405,0)-1,0,1,1) )  ,  ,    OFFSET(PADRON!B$2,MATCH(C:C,PADRON!A$2:A1405,0)-1,0,1,1))</f>
        <v>BREM , RAFAEL</v>
      </c>
      <c r="E590" s="58">
        <v>45901.0</v>
      </c>
      <c r="F590" s="133"/>
      <c r="G590" s="59" t="s">
        <v>39</v>
      </c>
      <c r="H590" s="60">
        <f>IF( ISERROR( OFFSET(   'Cuadro tarifario'!D$2  , MATCH(CONCATENATE(                 IF(F590&gt;Mes,OFFSET(NroCT!B$17, MATCH($F590,NroCT!$A$18:$A1405,0),0,1,1),Periodovigente)                                                                                                                     ,A590) ,'Cuadro tarifario'!A$2:A1405,0) -1 , 0 , 1 , 1) )   , 0  ,   OFFSET(   'Cuadro tarifario'!D$2  , MATCH(CONCATENATE( IF(F590&gt;Mes,OFFSET(NroCT!B$17, MATCH($F590,NroCT!$A$18:$A1405,0),0,1,1),Periodovigente) ,A590) ,'Cuadro tarifario'!A$2:A1405,0) -1 , 0 , 1 , 1))</f>
        <v>9000</v>
      </c>
      <c r="I590" s="135">
        <f t="shared" si="195"/>
        <v>0</v>
      </c>
      <c r="J590" s="138">
        <f t="shared" si="235"/>
        <v>0</v>
      </c>
      <c r="K590" s="136">
        <f>IF(  AND(N590&gt;0,I590=0)          ,N590 ,                         IF(  IF( F590 ,  DAYS360(DATE(YEAR(F590),MONTH(F590),1),Mes)/30  ,  DAYS360(DATE(YEAR(E590),MONTH(E590),1),Mes)/30  )  &gt;  0 , IF(F590,   DAYS360(DATE(YEAR(F590),MONTH(F590),1),Mes)/30  ,  DAYS360(DATE(YEAR(E590),MONTH(E590),1),Mes)/30) , 0)       )</f>
        <v>0</v>
      </c>
      <c r="L590" s="137">
        <f t="shared" si="196"/>
        <v>0</v>
      </c>
      <c r="M590" s="131"/>
      <c r="N590" s="130"/>
      <c r="O590" s="130"/>
      <c r="P590" s="130"/>
      <c r="Q590" s="130"/>
      <c r="R590" s="130"/>
      <c r="S590" s="130"/>
      <c r="T590" s="130"/>
    </row>
    <row r="591" ht="15.0" customHeight="1">
      <c r="A591" s="18" t="s">
        <v>82</v>
      </c>
      <c r="B591" s="18" t="s">
        <v>291</v>
      </c>
      <c r="C591" s="19">
        <v>1918.0</v>
      </c>
      <c r="D591" s="57" t="str">
        <f>IF(   ISERROR(OFFSET(PADRON!B$2,MATCH(C:C,PADRON!A$2:A1405,0)-1,0,1,1) )  ,  ,    OFFSET(PADRON!B$2,MATCH(C:C,PADRON!A$2:A1405,0)-1,0,1,1))</f>
        <v>BREM , RAFAEL</v>
      </c>
      <c r="E591" s="58">
        <v>45901.0</v>
      </c>
      <c r="F591" s="133"/>
      <c r="G591" s="59" t="s">
        <v>39</v>
      </c>
      <c r="H591" s="60">
        <f>IF( ISERROR( OFFSET(   'Cuadro tarifario'!D$2  , MATCH(CONCATENATE(                 IF(F591&gt;Mes,OFFSET(NroCT!B$17, MATCH($F591,NroCT!$A$18:$A1405,0),0,1,1),Periodovigente)                                                                                                                     ,A591) ,'Cuadro tarifario'!A$2:A1405,0) -1 , 0 , 1 , 1) )   , 0  ,   OFFSET(   'Cuadro tarifario'!D$2  , MATCH(CONCATENATE( IF(F591&gt;Mes,OFFSET(NroCT!B$17, MATCH($F591,NroCT!$A$18:$A1405,0),0,1,1),Periodovigente) ,A591) ,'Cuadro tarifario'!A$2:A1405,0) -1 , 0 , 1 , 1))</f>
        <v>12000</v>
      </c>
      <c r="I591" s="135">
        <f t="shared" si="195"/>
        <v>0</v>
      </c>
      <c r="J591" s="138">
        <f t="shared" si="235"/>
        <v>0</v>
      </c>
      <c r="K591" s="136">
        <f>IF(  AND(N591&gt;0,I591=0)          ,N591 ,                         IF(  IF( F591 ,  DAYS360(DATE(YEAR(F591),MONTH(F591),1),Mes)/30  ,  DAYS360(DATE(YEAR(E591),MONTH(E591),1),Mes)/30  )  &gt;  0 , IF(F591,   DAYS360(DATE(YEAR(F591),MONTH(F591),1),Mes)/30  ,  DAYS360(DATE(YEAR(E591),MONTH(E591),1),Mes)/30) , 0)       )</f>
        <v>0</v>
      </c>
      <c r="L591" s="137">
        <f t="shared" si="196"/>
        <v>0</v>
      </c>
      <c r="M591" s="131"/>
      <c r="N591" s="130"/>
      <c r="O591" s="130"/>
      <c r="P591" s="130"/>
      <c r="Q591" s="130"/>
      <c r="R591" s="130"/>
      <c r="S591" s="130"/>
      <c r="T591" s="130"/>
    </row>
    <row r="592" ht="15.0" customHeight="1">
      <c r="A592" s="18" t="s">
        <v>71</v>
      </c>
      <c r="B592" s="18">
        <v>1920.0</v>
      </c>
      <c r="C592" s="19">
        <v>1920.0</v>
      </c>
      <c r="D592" s="57" t="str">
        <f>IF(   ISERROR(OFFSET(PADRON!B$2,MATCH(C:C,PADRON!A$2:A1405,0)-1,0,1,1) )  ,  ,    OFFSET(PADRON!B$2,MATCH(C:C,PADRON!A$2:A1405,0)-1,0,1,1))</f>
        <v>LUBRANO, JULIETA</v>
      </c>
      <c r="E592" s="58">
        <v>45839.0</v>
      </c>
      <c r="F592" s="133">
        <v>45870.0</v>
      </c>
      <c r="G592" s="59" t="s">
        <v>39</v>
      </c>
      <c r="H592" s="60">
        <f>IF( ISERROR( OFFSET(   'Cuadro tarifario'!D$2  , MATCH(CONCATENATE(                 IF(F592&gt;Mes,OFFSET(NroCT!B$17, MATCH($F592,NroCT!$A$18:$A1405,0),0,1,1),Periodovigente)                                                                                                                     ,A592) ,'Cuadro tarifario'!A$2:A1405,0) -1 , 0 , 1 , 1) )   , 0  ,   OFFSET(   'Cuadro tarifario'!D$2  , MATCH(CONCATENATE( IF(F592&gt;Mes,OFFSET(NroCT!B$17, MATCH($F592,NroCT!$A$18:$A1405,0),0,1,1),Periodovigente) ,A592) ,'Cuadro tarifario'!A$2:A1405,0) -1 , 0 , 1 , 1))</f>
        <v>11000</v>
      </c>
      <c r="I592" s="135">
        <f t="shared" si="195"/>
        <v>1</v>
      </c>
      <c r="J592" s="138">
        <f t="shared" si="235"/>
        <v>11000</v>
      </c>
      <c r="K592" s="136">
        <f>IF(  AND(N592&gt;0,I592=0)          ,N592 ,                         IF(  IF( F592 ,  DAYS360(DATE(YEAR(F592),MONTH(F592),1),Mes)/30  ,  DAYS360(DATE(YEAR(E592),MONTH(E592),1),Mes)/30  )  &gt;  0 , IF(F592,   DAYS360(DATE(YEAR(F592),MONTH(F592),1),Mes)/30  ,  DAYS360(DATE(YEAR(E592),MONTH(E592),1),Mes)/30) , 0)       )</f>
        <v>0</v>
      </c>
      <c r="L592" s="137">
        <f t="shared" si="196"/>
        <v>0</v>
      </c>
      <c r="M592" s="131"/>
      <c r="N592" s="130"/>
      <c r="O592" s="130"/>
      <c r="P592" s="130"/>
      <c r="Q592" s="130"/>
      <c r="R592" s="130"/>
      <c r="S592" s="130"/>
      <c r="T592" s="130"/>
    </row>
    <row r="593" ht="13.5" customHeight="1">
      <c r="A593" s="18" t="s">
        <v>38</v>
      </c>
      <c r="B593" s="18">
        <v>1920.0</v>
      </c>
      <c r="C593" s="19">
        <v>1920.0</v>
      </c>
      <c r="D593" s="57" t="str">
        <f>IF(   ISERROR(OFFSET(PADRON!B$2,MATCH(C:C,PADRON!A$2:A1405,0)-1,0,1,1) )  ,  ,    OFFSET(PADRON!B$2,MATCH(C:C,PADRON!A$2:A1405,0)-1,0,1,1))</f>
        <v>LUBRANO, JULIETA</v>
      </c>
      <c r="E593" s="58">
        <v>45839.0</v>
      </c>
      <c r="F593" s="133">
        <v>45870.0</v>
      </c>
      <c r="G593" s="59" t="s">
        <v>39</v>
      </c>
      <c r="H593" s="60">
        <f>IF( ISERROR( OFFSET(   'Cuadro tarifario'!D$2  , MATCH(CONCATENATE(                 IF(F593&gt;Mes,OFFSET(NroCT!B$17, MATCH($F593,NroCT!$A$18:$A1405,0),0,1,1),Periodovigente)                                                                                                                     ,A593) ,'Cuadro tarifario'!A$2:A1405,0) -1 , 0 , 1 , 1) )   , 0  ,   OFFSET(   'Cuadro tarifario'!D$2  , MATCH(CONCATENATE( IF(F593&gt;Mes,OFFSET(NroCT!B$17, MATCH($F593,NroCT!$A$18:$A1405,0),0,1,1),Periodovigente) ,A593) ,'Cuadro tarifario'!A$2:A1405,0) -1 , 0 , 1 , 1))</f>
        <v>9000</v>
      </c>
      <c r="I593" s="135">
        <f t="shared" si="195"/>
        <v>1</v>
      </c>
      <c r="J593" s="138">
        <f t="shared" si="235"/>
        <v>9000</v>
      </c>
      <c r="K593" s="136">
        <f>IF(  AND(N593&gt;0,I593=0)          ,N593 ,                         IF(  IF( F593 ,  DAYS360(DATE(YEAR(F593),MONTH(F593),1),Mes)/30  ,  DAYS360(DATE(YEAR(E593),MONTH(E593),1),Mes)/30  )  &gt;  0 , IF(F593,   DAYS360(DATE(YEAR(F593),MONTH(F593),1),Mes)/30  ,  DAYS360(DATE(YEAR(E593),MONTH(E593),1),Mes)/30) , 0)       )</f>
        <v>0</v>
      </c>
      <c r="L593" s="137">
        <f t="shared" si="196"/>
        <v>0</v>
      </c>
      <c r="M593" s="131"/>
      <c r="N593" s="130"/>
      <c r="O593" s="130"/>
      <c r="P593" s="130"/>
      <c r="Q593" s="130"/>
      <c r="R593" s="130"/>
      <c r="S593" s="130"/>
      <c r="T593" s="130"/>
    </row>
    <row r="594" ht="15.0" customHeight="1">
      <c r="A594" s="18" t="s">
        <v>40</v>
      </c>
      <c r="B594" s="18" t="s">
        <v>292</v>
      </c>
      <c r="C594" s="19">
        <v>1920.0</v>
      </c>
      <c r="D594" s="57" t="str">
        <f>IF(   ISERROR(OFFSET(PADRON!B$2,MATCH(C:C,PADRON!A$2:A1405,0)-1,0,1,1) )  ,  ,    OFFSET(PADRON!B$2,MATCH(C:C,PADRON!A$2:A1405,0)-1,0,1,1))</f>
        <v>LUBRANO, JULIETA</v>
      </c>
      <c r="E594" s="58">
        <v>45839.0</v>
      </c>
      <c r="F594" s="133">
        <v>45870.0</v>
      </c>
      <c r="G594" s="59" t="s">
        <v>39</v>
      </c>
      <c r="H594" s="60">
        <f>IF( ISERROR( OFFSET(   'Cuadro tarifario'!D$2  , MATCH(CONCATENATE(                 IF(F594&gt;Mes,OFFSET(NroCT!B$17, MATCH($F594,NroCT!$A$18:$A1405,0),0,1,1),Periodovigente)                                                                                                                     ,A594) ,'Cuadro tarifario'!A$2:A1405,0) -1 , 0 , 1 , 1) )   , 0  ,   OFFSET(   'Cuadro tarifario'!D$2  , MATCH(CONCATENATE( IF(F594&gt;Mes,OFFSET(NroCT!B$17, MATCH($F594,NroCT!$A$18:$A1405,0),0,1,1),Periodovigente) ,A594) ,'Cuadro tarifario'!A$2:A1405,0) -1 , 0 , 1 , 1))</f>
        <v>12000</v>
      </c>
      <c r="I594" s="135">
        <f t="shared" si="195"/>
        <v>1</v>
      </c>
      <c r="J594" s="138">
        <f t="shared" si="235"/>
        <v>12000</v>
      </c>
      <c r="K594" s="136">
        <f>IF(  AND(N594&gt;0,I594=0)          ,N594 ,                         IF(  IF( F594 ,  DAYS360(DATE(YEAR(F594),MONTH(F594),1),Mes)/30  ,  DAYS360(DATE(YEAR(E594),MONTH(E594),1),Mes)/30  )  &gt;  0 , IF(F594,   DAYS360(DATE(YEAR(F594),MONTH(F594),1),Mes)/30  ,  DAYS360(DATE(YEAR(E594),MONTH(E594),1),Mes)/30) , 0)       )</f>
        <v>0</v>
      </c>
      <c r="L594" s="137">
        <f t="shared" si="196"/>
        <v>0</v>
      </c>
      <c r="M594" s="131"/>
      <c r="N594" s="130"/>
      <c r="O594" s="130"/>
      <c r="P594" s="130"/>
      <c r="Q594" s="130"/>
      <c r="R594" s="130"/>
      <c r="S594" s="130"/>
      <c r="T594" s="130"/>
    </row>
    <row r="595" ht="15.0" customHeight="1">
      <c r="A595" s="18" t="s">
        <v>71</v>
      </c>
      <c r="B595" s="18">
        <v>1922.0</v>
      </c>
      <c r="C595" s="19">
        <v>1922.0</v>
      </c>
      <c r="D595" s="57" t="str">
        <f>IF(   ISERROR(OFFSET(PADRON!B$2,MATCH(C:C,PADRON!A$2:A1405,0)-1,0,1,1) )  ,  ,    OFFSET(PADRON!B$2,MATCH(C:C,PADRON!A$2:A1405,0)-1,0,1,1))</f>
        <v>RIO, DAVID ALFREDO</v>
      </c>
      <c r="E595" s="58">
        <v>45778.0</v>
      </c>
      <c r="F595" s="133">
        <v>45870.0</v>
      </c>
      <c r="G595" s="59" t="s">
        <v>39</v>
      </c>
      <c r="H595" s="60">
        <f>IF( ISERROR( OFFSET(   'Cuadro tarifario'!D$2  , MATCH(CONCATENATE(                 IF(F595&gt;Mes,OFFSET(NroCT!B$17, MATCH($F595,NroCT!$A$18:$A1405,0),0,1,1),Periodovigente)                                                                                                                     ,A595) ,'Cuadro tarifario'!A$2:A1405,0) -1 , 0 , 1 , 1) )   , 0  ,   OFFSET(   'Cuadro tarifario'!D$2  , MATCH(CONCATENATE( IF(F595&gt;Mes,OFFSET(NroCT!B$17, MATCH($F595,NroCT!$A$18:$A1405,0),0,1,1),Periodovigente) ,A595) ,'Cuadro tarifario'!A$2:A1405,0) -1 , 0 , 1 , 1))</f>
        <v>11000</v>
      </c>
      <c r="I595" s="135">
        <f t="shared" si="195"/>
        <v>3</v>
      </c>
      <c r="J595" s="138">
        <f t="shared" si="235"/>
        <v>33000</v>
      </c>
      <c r="K595" s="136">
        <f>IF(  AND(N595&gt;0,I595=0)          ,N595 ,                         IF(  IF( F595 ,  DAYS360(DATE(YEAR(F595),MONTH(F595),1),Mes)/30  ,  DAYS360(DATE(YEAR(E595),MONTH(E595),1),Mes)/30  )  &gt;  0 , IF(F595,   DAYS360(DATE(YEAR(F595),MONTH(F595),1),Mes)/30  ,  DAYS360(DATE(YEAR(E595),MONTH(E595),1),Mes)/30) , 0)       )</f>
        <v>0</v>
      </c>
      <c r="L595" s="137">
        <f t="shared" si="196"/>
        <v>0</v>
      </c>
      <c r="M595" s="131"/>
      <c r="N595" s="130"/>
      <c r="O595" s="130"/>
      <c r="P595" s="130"/>
      <c r="Q595" s="130"/>
      <c r="R595" s="130"/>
      <c r="S595" s="130"/>
      <c r="T595" s="130"/>
    </row>
    <row r="596" ht="15.0" customHeight="1">
      <c r="A596" s="18" t="s">
        <v>38</v>
      </c>
      <c r="B596" s="18">
        <v>1922.0</v>
      </c>
      <c r="C596" s="19">
        <v>1922.0</v>
      </c>
      <c r="D596" s="57" t="str">
        <f>IF(   ISERROR(OFFSET(PADRON!B$2,MATCH(C:C,PADRON!A$2:A1405,0)-1,0,1,1) )  ,  ,    OFFSET(PADRON!B$2,MATCH(C:C,PADRON!A$2:A1405,0)-1,0,1,1))</f>
        <v>RIO, DAVID ALFREDO</v>
      </c>
      <c r="E596" s="58">
        <v>45778.0</v>
      </c>
      <c r="F596" s="133">
        <v>45870.0</v>
      </c>
      <c r="G596" s="128" t="s">
        <v>39</v>
      </c>
      <c r="H596" s="60">
        <f>IF( ISERROR( OFFSET(   'Cuadro tarifario'!D$2  , MATCH(CONCATENATE(                 IF(F596&gt;Mes,OFFSET(NroCT!B$17, MATCH($F596,NroCT!$A$18:$A1405,0),0,1,1),Periodovigente)                                                                                                                     ,A596) ,'Cuadro tarifario'!A$2:A1405,0) -1 , 0 , 1 , 1) )   , 0  ,   OFFSET(   'Cuadro tarifario'!D$2  , MATCH(CONCATENATE( IF(F596&gt;Mes,OFFSET(NroCT!B$17, MATCH($F596,NroCT!$A$18:$A1405,0),0,1,1),Periodovigente) ,A596) ,'Cuadro tarifario'!A$2:A1405,0) -1 , 0 , 1 , 1))</f>
        <v>9000</v>
      </c>
      <c r="I596" s="135">
        <f t="shared" si="195"/>
        <v>3</v>
      </c>
      <c r="J596" s="138">
        <f t="shared" si="235"/>
        <v>27000</v>
      </c>
      <c r="K596" s="136">
        <f>IF(  AND(N596&gt;0,I596=0)          ,N596 ,                         IF(  IF( F596 ,  DAYS360(DATE(YEAR(F596),MONTH(F596),1),Mes)/30  ,  DAYS360(DATE(YEAR(E596),MONTH(E596),1),Mes)/30  )  &gt;  0 , IF(F596,   DAYS360(DATE(YEAR(F596),MONTH(F596),1),Mes)/30  ,  DAYS360(DATE(YEAR(E596),MONTH(E596),1),Mes)/30) , 0)       )</f>
        <v>0</v>
      </c>
      <c r="L596" s="137">
        <f t="shared" si="196"/>
        <v>0</v>
      </c>
      <c r="M596" s="131"/>
      <c r="N596" s="130"/>
      <c r="O596" s="130"/>
      <c r="P596" s="130"/>
      <c r="Q596" s="130"/>
      <c r="R596" s="130"/>
      <c r="S596" s="130"/>
      <c r="T596" s="130"/>
    </row>
    <row r="597" ht="15.0" customHeight="1">
      <c r="A597" s="18" t="s">
        <v>40</v>
      </c>
      <c r="B597" s="18" t="s">
        <v>293</v>
      </c>
      <c r="C597" s="19">
        <v>1922.0</v>
      </c>
      <c r="D597" s="57" t="str">
        <f>IF(   ISERROR(OFFSET(PADRON!B$2,MATCH(C:C,PADRON!A$2:A1405,0)-1,0,1,1) )  ,  ,    OFFSET(PADRON!B$2,MATCH(C:C,PADRON!A$2:A1405,0)-1,0,1,1))</f>
        <v>RIO, DAVID ALFREDO</v>
      </c>
      <c r="E597" s="58">
        <v>45778.0</v>
      </c>
      <c r="F597" s="133">
        <v>45870.0</v>
      </c>
      <c r="G597" s="128" t="s">
        <v>39</v>
      </c>
      <c r="H597" s="60">
        <f>IF( ISERROR( OFFSET(   'Cuadro tarifario'!D$2  , MATCH(CONCATENATE(                 IF(F597&gt;Mes,OFFSET(NroCT!B$17, MATCH($F597,NroCT!$A$18:$A1405,0),0,1,1),Periodovigente)                                                                                                                     ,A597) ,'Cuadro tarifario'!A$2:A1405,0) -1 , 0 , 1 , 1) )   , 0  ,   OFFSET(   'Cuadro tarifario'!D$2  , MATCH(CONCATENATE( IF(F597&gt;Mes,OFFSET(NroCT!B$17, MATCH($F597,NroCT!$A$18:$A1405,0),0,1,1),Periodovigente) ,A597) ,'Cuadro tarifario'!A$2:A1405,0) -1 , 0 , 1 , 1))</f>
        <v>12000</v>
      </c>
      <c r="I597" s="135">
        <f t="shared" si="195"/>
        <v>3</v>
      </c>
      <c r="J597" s="138">
        <f t="shared" si="235"/>
        <v>36000</v>
      </c>
      <c r="K597" s="136">
        <f>IF(  AND(N597&gt;0,I597=0)          ,N597 ,                         IF(  IF( F597 ,  DAYS360(DATE(YEAR(F597),MONTH(F597),1),Mes)/30  ,  DAYS360(DATE(YEAR(E597),MONTH(E597),1),Mes)/30  )  &gt;  0 , IF(F597,   DAYS360(DATE(YEAR(F597),MONTH(F597),1),Mes)/30  ,  DAYS360(DATE(YEAR(E597),MONTH(E597),1),Mes)/30) , 0)       )</f>
        <v>0</v>
      </c>
      <c r="L597" s="137">
        <f t="shared" si="196"/>
        <v>0</v>
      </c>
      <c r="N597" s="130"/>
      <c r="O597" s="130"/>
      <c r="P597" s="130"/>
      <c r="Q597" s="130"/>
      <c r="R597" s="130"/>
      <c r="S597" s="130"/>
      <c r="T597" s="130"/>
    </row>
    <row r="598" ht="15.0" customHeight="1">
      <c r="A598" s="18" t="s">
        <v>71</v>
      </c>
      <c r="B598" s="18">
        <v>1926.0</v>
      </c>
      <c r="C598" s="19">
        <v>1926.0</v>
      </c>
      <c r="D598" s="57" t="str">
        <f>IF(   ISERROR(OFFSET(PADRON!B$2,MATCH(C:C,PADRON!A$2:A1405,0)-1,0,1,1) )  ,  ,    OFFSET(PADRON!B$2,MATCH(C:C,PADRON!A$2:A1405,0)-1,0,1,1))</f>
        <v>TIZZANO, LEONARDO</v>
      </c>
      <c r="E598" s="58">
        <v>45839.0</v>
      </c>
      <c r="F598" s="133">
        <v>45870.0</v>
      </c>
      <c r="G598" s="59" t="s">
        <v>39</v>
      </c>
      <c r="H598" s="60">
        <f>IF( ISERROR( OFFSET(   'Cuadro tarifario'!D$2  , MATCH(CONCATENATE(                 IF(F598&gt;Mes,OFFSET(NroCT!B$17, MATCH($F598,NroCT!$A$18:$A1405,0),0,1,1),Periodovigente)                                                                                                                     ,A598) ,'Cuadro tarifario'!A$2:A1405,0) -1 , 0 , 1 , 1) )   , 0  ,   OFFSET(   'Cuadro tarifario'!D$2  , MATCH(CONCATENATE( IF(F598&gt;Mes,OFFSET(NroCT!B$17, MATCH($F598,NroCT!$A$18:$A1405,0),0,1,1),Periodovigente) ,A598) ,'Cuadro tarifario'!A$2:A1405,0) -1 , 0 , 1 , 1))</f>
        <v>11000</v>
      </c>
      <c r="I598" s="135">
        <f t="shared" si="195"/>
        <v>1</v>
      </c>
      <c r="J598" s="138">
        <f t="shared" si="235"/>
        <v>11000</v>
      </c>
      <c r="K598" s="136">
        <f>IF(  AND(N598&gt;0,I598=0)          ,N598 ,                         IF(  IF( F598 ,  DAYS360(DATE(YEAR(F598),MONTH(F598),1),Mes)/30  ,  DAYS360(DATE(YEAR(E598),MONTH(E598),1),Mes)/30  )  &gt;  0 , IF(F598,   DAYS360(DATE(YEAR(F598),MONTH(F598),1),Mes)/30  ,  DAYS360(DATE(YEAR(E598),MONTH(E598),1),Mes)/30) , 0)       )</f>
        <v>0</v>
      </c>
      <c r="L598" s="137">
        <f t="shared" si="196"/>
        <v>0</v>
      </c>
      <c r="M598" s="131"/>
      <c r="N598" s="130"/>
      <c r="O598" s="130"/>
      <c r="P598" s="130"/>
      <c r="Q598" s="130"/>
      <c r="R598" s="130"/>
      <c r="S598" s="130"/>
      <c r="T598" s="130"/>
    </row>
    <row r="599" ht="15.0" customHeight="1">
      <c r="A599" s="18" t="s">
        <v>38</v>
      </c>
      <c r="B599" s="18">
        <v>1926.0</v>
      </c>
      <c r="C599" s="19">
        <v>1926.0</v>
      </c>
      <c r="D599" s="57" t="str">
        <f>IF(   ISERROR(OFFSET(PADRON!B$2,MATCH(C:C,PADRON!A$2:A1405,0)-1,0,1,1) )  ,  ,    OFFSET(PADRON!B$2,MATCH(C:C,PADRON!A$2:A1405,0)-1,0,1,1))</f>
        <v>TIZZANO, LEONARDO</v>
      </c>
      <c r="E599" s="58">
        <v>45839.0</v>
      </c>
      <c r="F599" s="133">
        <v>45870.0</v>
      </c>
      <c r="G599" s="59" t="s">
        <v>39</v>
      </c>
      <c r="H599" s="60">
        <f>IF( ISERROR( OFFSET(   'Cuadro tarifario'!D$2  , MATCH(CONCATENATE(                 IF(F599&gt;Mes,OFFSET(NroCT!B$17, MATCH($F599,NroCT!$A$18:$A1405,0),0,1,1),Periodovigente)                                                                                                                     ,A599) ,'Cuadro tarifario'!A$2:A1405,0) -1 , 0 , 1 , 1) )   , 0  ,   OFFSET(   'Cuadro tarifario'!D$2  , MATCH(CONCATENATE( IF(F599&gt;Mes,OFFSET(NroCT!B$17, MATCH($F599,NroCT!$A$18:$A1405,0),0,1,1),Periodovigente) ,A599) ,'Cuadro tarifario'!A$2:A1405,0) -1 , 0 , 1 , 1))</f>
        <v>9000</v>
      </c>
      <c r="I599" s="135">
        <f t="shared" si="195"/>
        <v>1</v>
      </c>
      <c r="J599" s="138">
        <f t="shared" si="235"/>
        <v>9000</v>
      </c>
      <c r="K599" s="136">
        <f>IF(  AND(N599&gt;0,I599=0)          ,N599 ,                         IF(  IF( F599 ,  DAYS360(DATE(YEAR(F599),MONTH(F599),1),Mes)/30  ,  DAYS360(DATE(YEAR(E599),MONTH(E599),1),Mes)/30  )  &gt;  0 , IF(F599,   DAYS360(DATE(YEAR(F599),MONTH(F599),1),Mes)/30  ,  DAYS360(DATE(YEAR(E599),MONTH(E599),1),Mes)/30) , 0)       )</f>
        <v>0</v>
      </c>
      <c r="L599" s="137">
        <f t="shared" si="196"/>
        <v>0</v>
      </c>
      <c r="M599" s="131"/>
      <c r="N599" s="130"/>
      <c r="O599" s="130"/>
      <c r="P599" s="130"/>
      <c r="Q599" s="130"/>
      <c r="R599" s="130"/>
      <c r="S599" s="130"/>
      <c r="T599" s="130"/>
    </row>
    <row r="600" ht="15.0" customHeight="1">
      <c r="A600" s="18" t="s">
        <v>40</v>
      </c>
      <c r="B600" s="18" t="s">
        <v>294</v>
      </c>
      <c r="C600" s="19">
        <v>1926.0</v>
      </c>
      <c r="D600" s="57" t="str">
        <f>IF(   ISERROR(OFFSET(PADRON!B$2,MATCH(C:C,PADRON!A$2:A1405,0)-1,0,1,1) )  ,  ,    OFFSET(PADRON!B$2,MATCH(C:C,PADRON!A$2:A1405,0)-1,0,1,1))</f>
        <v>TIZZANO, LEONARDO</v>
      </c>
      <c r="E600" s="58">
        <v>45839.0</v>
      </c>
      <c r="F600" s="133">
        <v>45870.0</v>
      </c>
      <c r="G600" s="59" t="s">
        <v>39</v>
      </c>
      <c r="H600" s="60">
        <f>IF( ISERROR( OFFSET(   'Cuadro tarifario'!D$2  , MATCH(CONCATENATE(                 IF(F600&gt;Mes,OFFSET(NroCT!B$17, MATCH($F600,NroCT!$A$18:$A1405,0),0,1,1),Periodovigente)                                                                                                                     ,A600) ,'Cuadro tarifario'!A$2:A1405,0) -1 , 0 , 1 , 1) )   , 0  ,   OFFSET(   'Cuadro tarifario'!D$2  , MATCH(CONCATENATE( IF(F600&gt;Mes,OFFSET(NroCT!B$17, MATCH($F600,NroCT!$A$18:$A1405,0),0,1,1),Periodovigente) ,A600) ,'Cuadro tarifario'!A$2:A1405,0) -1 , 0 , 1 , 1))</f>
        <v>12000</v>
      </c>
      <c r="I600" s="135">
        <f t="shared" si="195"/>
        <v>1</v>
      </c>
      <c r="J600" s="138">
        <f t="shared" si="235"/>
        <v>12000</v>
      </c>
      <c r="K600" s="136">
        <f>IF(  AND(N600&gt;0,I600=0)          ,N600 ,                         IF(  IF( F600 ,  DAYS360(DATE(YEAR(F600),MONTH(F600),1),Mes)/30  ,  DAYS360(DATE(YEAR(E600),MONTH(E600),1),Mes)/30  )  &gt;  0 , IF(F600,   DAYS360(DATE(YEAR(F600),MONTH(F600),1),Mes)/30  ,  DAYS360(DATE(YEAR(E600),MONTH(E600),1),Mes)/30) , 0)       )</f>
        <v>0</v>
      </c>
      <c r="L600" s="137">
        <f t="shared" si="196"/>
        <v>0</v>
      </c>
      <c r="M600" s="131"/>
      <c r="N600" s="130"/>
      <c r="O600" s="130"/>
      <c r="P600" s="130"/>
      <c r="Q600" s="130"/>
      <c r="R600" s="130"/>
      <c r="S600" s="130"/>
      <c r="T600" s="130"/>
    </row>
    <row r="601" ht="15.0" customHeight="1">
      <c r="A601" s="18" t="s">
        <v>71</v>
      </c>
      <c r="B601" s="18">
        <v>1927.0</v>
      </c>
      <c r="C601" s="19">
        <v>1927.0</v>
      </c>
      <c r="D601" s="57" t="str">
        <f>IF(   ISERROR(OFFSET(PADRON!B$2,MATCH(C:C,PADRON!A$2:A1405,0)-1,0,1,1) )  ,  ,    OFFSET(PADRON!B$2,MATCH(C:C,PADRON!A$2:A1405,0)-1,0,1,1))</f>
        <v>BURGOS, MELISA</v>
      </c>
      <c r="E601" s="58">
        <v>45839.0</v>
      </c>
      <c r="F601" s="133"/>
      <c r="G601" s="59" t="s">
        <v>39</v>
      </c>
      <c r="H601" s="60">
        <f>IF( ISERROR( OFFSET(   'Cuadro tarifario'!D$2  , MATCH(CONCATENATE(                 IF(F601&gt;Mes,OFFSET(NroCT!B$17, MATCH($F601,NroCT!$A$18:$A1405,0),0,1,1),Periodovigente)                                                                                                                     ,A601) ,'Cuadro tarifario'!A$2:A1405,0) -1 , 0 , 1 , 1) )   , 0  ,   OFFSET(   'Cuadro tarifario'!D$2  , MATCH(CONCATENATE( IF(F601&gt;Mes,OFFSET(NroCT!B$17, MATCH($F601,NroCT!$A$18:$A1405,0),0,1,1),Periodovigente) ,A601) ,'Cuadro tarifario'!A$2:A1405,0) -1 , 0 , 1 , 1))</f>
        <v>11000</v>
      </c>
      <c r="I601" s="135">
        <f t="shared" si="195"/>
        <v>0</v>
      </c>
      <c r="J601" s="138">
        <f t="shared" si="235"/>
        <v>0</v>
      </c>
      <c r="K601" s="136">
        <f>IF(  AND(N601&gt;0,I601=0)          ,N601 ,                         IF(  IF( F601 ,  DAYS360(DATE(YEAR(F601),MONTH(F601),1),Mes)/30  ,  DAYS360(DATE(YEAR(E601),MONTH(E601),1),Mes)/30  )  &gt;  0 , IF(F601,   DAYS360(DATE(YEAR(F601),MONTH(F601),1),Mes)/30  ,  DAYS360(DATE(YEAR(E601),MONTH(E601),1),Mes)/30) , 0)       )</f>
        <v>1</v>
      </c>
      <c r="L601" s="137">
        <f t="shared" si="196"/>
        <v>11000</v>
      </c>
      <c r="M601" s="131"/>
      <c r="N601" s="130"/>
      <c r="O601" s="130"/>
      <c r="P601" s="130"/>
      <c r="Q601" s="130"/>
      <c r="R601" s="130"/>
      <c r="S601" s="130"/>
      <c r="T601" s="130"/>
    </row>
    <row r="602" ht="15.0" customHeight="1">
      <c r="A602" s="18" t="s">
        <v>38</v>
      </c>
      <c r="B602" s="18">
        <v>1927.0</v>
      </c>
      <c r="C602" s="19">
        <v>1927.0</v>
      </c>
      <c r="D602" s="57" t="str">
        <f>IF(   ISERROR(OFFSET(PADRON!B$2,MATCH(C:C,PADRON!A$2:A1405,0)-1,0,1,1) )  ,  ,    OFFSET(PADRON!B$2,MATCH(C:C,PADRON!A$2:A1405,0)-1,0,1,1))</f>
        <v>BURGOS, MELISA</v>
      </c>
      <c r="E602" s="58">
        <v>45839.0</v>
      </c>
      <c r="F602" s="133"/>
      <c r="G602" s="59" t="s">
        <v>39</v>
      </c>
      <c r="H602" s="60">
        <f>IF( ISERROR( OFFSET(   'Cuadro tarifario'!D$2  , MATCH(CONCATENATE(                 IF(F602&gt;Mes,OFFSET(NroCT!B$17, MATCH($F602,NroCT!$A$18:$A1405,0),0,1,1),Periodovigente)                                                                                                                     ,A602) ,'Cuadro tarifario'!A$2:A1405,0) -1 , 0 , 1 , 1) )   , 0  ,   OFFSET(   'Cuadro tarifario'!D$2  , MATCH(CONCATENATE( IF(F602&gt;Mes,OFFSET(NroCT!B$17, MATCH($F602,NroCT!$A$18:$A1405,0),0,1,1),Periodovigente) ,A602) ,'Cuadro tarifario'!A$2:A1405,0) -1 , 0 , 1 , 1))</f>
        <v>9000</v>
      </c>
      <c r="I602" s="135">
        <f t="shared" si="195"/>
        <v>0</v>
      </c>
      <c r="J602" s="138">
        <f t="shared" si="235"/>
        <v>0</v>
      </c>
      <c r="K602" s="136">
        <f>IF(  AND(N602&gt;0,I602=0)          ,N602 ,                         IF(  IF( F602 ,  DAYS360(DATE(YEAR(F602),MONTH(F602),1),Mes)/30  ,  DAYS360(DATE(YEAR(E602),MONTH(E602),1),Mes)/30  )  &gt;  0 , IF(F602,   DAYS360(DATE(YEAR(F602),MONTH(F602),1),Mes)/30  ,  DAYS360(DATE(YEAR(E602),MONTH(E602),1),Mes)/30) , 0)       )</f>
        <v>1</v>
      </c>
      <c r="L602" s="137">
        <f t="shared" si="196"/>
        <v>9000</v>
      </c>
      <c r="M602" s="131"/>
      <c r="N602" s="130"/>
      <c r="O602" s="130"/>
      <c r="P602" s="130"/>
      <c r="Q602" s="130"/>
      <c r="R602" s="130"/>
      <c r="S602" s="130"/>
      <c r="T602" s="130"/>
    </row>
    <row r="603" ht="15.0" customHeight="1">
      <c r="A603" s="18" t="s">
        <v>71</v>
      </c>
      <c r="B603" s="18">
        <v>1929.0</v>
      </c>
      <c r="C603" s="19">
        <v>1929.0</v>
      </c>
      <c r="D603" s="57" t="str">
        <f>IF(   ISERROR(OFFSET(PADRON!B$2,MATCH(C:C,PADRON!A$2:A1405,0)-1,0,1,1) )  ,  ,    OFFSET(PADRON!B$2,MATCH(C:C,PADRON!A$2:A1405,0)-1,0,1,1))</f>
        <v>REPETTO, MARIA</v>
      </c>
      <c r="E603" s="58">
        <v>45839.0</v>
      </c>
      <c r="F603" s="133">
        <v>45870.0</v>
      </c>
      <c r="G603" s="59" t="s">
        <v>39</v>
      </c>
      <c r="H603" s="60">
        <f>IF( ISERROR( OFFSET(   'Cuadro tarifario'!D$2  , MATCH(CONCATENATE(                 IF(F603&gt;Mes,OFFSET(NroCT!B$17, MATCH($F603,NroCT!$A$18:$A1405,0),0,1,1),Periodovigente)                                                                                                                     ,A603) ,'Cuadro tarifario'!A$2:A1405,0) -1 , 0 , 1 , 1) )   , 0  ,   OFFSET(   'Cuadro tarifario'!D$2  , MATCH(CONCATENATE( IF(F603&gt;Mes,OFFSET(NroCT!B$17, MATCH($F603,NroCT!$A$18:$A1405,0),0,1,1),Periodovigente) ,A603) ,'Cuadro tarifario'!A$2:A1405,0) -1 , 0 , 1 , 1))</f>
        <v>11000</v>
      </c>
      <c r="I603" s="135">
        <f t="shared" si="195"/>
        <v>1</v>
      </c>
      <c r="J603" s="138">
        <f t="shared" si="235"/>
        <v>11000</v>
      </c>
      <c r="K603" s="136">
        <f>IF(  AND(N603&gt;0,I603=0)          ,N603 ,                         IF(  IF( F603 ,  DAYS360(DATE(YEAR(F603),MONTH(F603),1),Mes)/30  ,  DAYS360(DATE(YEAR(E603),MONTH(E603),1),Mes)/30  )  &gt;  0 , IF(F603,   DAYS360(DATE(YEAR(F603),MONTH(F603),1),Mes)/30  ,  DAYS360(DATE(YEAR(E603),MONTH(E603),1),Mes)/30) , 0)       )</f>
        <v>0</v>
      </c>
      <c r="L603" s="137">
        <f t="shared" si="196"/>
        <v>0</v>
      </c>
      <c r="M603" s="131"/>
      <c r="N603" s="130"/>
      <c r="O603" s="130"/>
      <c r="P603" s="130"/>
      <c r="Q603" s="130"/>
      <c r="R603" s="130"/>
      <c r="S603" s="130"/>
      <c r="T603" s="130"/>
    </row>
    <row r="604" ht="15.0" customHeight="1">
      <c r="A604" s="18" t="s">
        <v>38</v>
      </c>
      <c r="B604" s="18">
        <v>1929.0</v>
      </c>
      <c r="C604" s="19">
        <v>1929.0</v>
      </c>
      <c r="D604" s="57" t="str">
        <f>IF(   ISERROR(OFFSET(PADRON!B$2,MATCH(C:C,PADRON!A$2:A1405,0)-1,0,1,1) )  ,  ,    OFFSET(PADRON!B$2,MATCH(C:C,PADRON!A$2:A1405,0)-1,0,1,1))</f>
        <v>REPETTO, MARIA</v>
      </c>
      <c r="E604" s="58">
        <v>45839.0</v>
      </c>
      <c r="F604" s="133">
        <v>45870.0</v>
      </c>
      <c r="G604" s="59" t="s">
        <v>39</v>
      </c>
      <c r="H604" s="60">
        <f>IF( ISERROR( OFFSET(   'Cuadro tarifario'!D$2  , MATCH(CONCATENATE(                 IF(F604&gt;Mes,OFFSET(NroCT!B$17, MATCH($F604,NroCT!$A$18:$A1405,0),0,1,1),Periodovigente)                                                                                                                     ,A604) ,'Cuadro tarifario'!A$2:A1405,0) -1 , 0 , 1 , 1) )   , 0  ,   OFFSET(   'Cuadro tarifario'!D$2  , MATCH(CONCATENATE( IF(F604&gt;Mes,OFFSET(NroCT!B$17, MATCH($F604,NroCT!$A$18:$A1405,0),0,1,1),Periodovigente) ,A604) ,'Cuadro tarifario'!A$2:A1405,0) -1 , 0 , 1 , 1))</f>
        <v>9000</v>
      </c>
      <c r="I604" s="135">
        <f t="shared" si="195"/>
        <v>1</v>
      </c>
      <c r="J604" s="138">
        <f t="shared" si="235"/>
        <v>9000</v>
      </c>
      <c r="K604" s="136">
        <f>IF(  AND(N604&gt;0,I604=0)          ,N604 ,                         IF(  IF( F604 ,  DAYS360(DATE(YEAR(F604),MONTH(F604),1),Mes)/30  ,  DAYS360(DATE(YEAR(E604),MONTH(E604),1),Mes)/30  )  &gt;  0 , IF(F604,   DAYS360(DATE(YEAR(F604),MONTH(F604),1),Mes)/30  ,  DAYS360(DATE(YEAR(E604),MONTH(E604),1),Mes)/30) , 0)       )</f>
        <v>0</v>
      </c>
      <c r="L604" s="137">
        <f t="shared" si="196"/>
        <v>0</v>
      </c>
      <c r="M604" s="131"/>
      <c r="N604" s="130"/>
      <c r="O604" s="130"/>
      <c r="P604" s="130"/>
      <c r="Q604" s="130"/>
      <c r="R604" s="130"/>
      <c r="S604" s="130"/>
      <c r="T604" s="130"/>
    </row>
    <row r="605" ht="15.0" customHeight="1">
      <c r="A605" s="18" t="s">
        <v>40</v>
      </c>
      <c r="B605" s="18" t="s">
        <v>295</v>
      </c>
      <c r="C605" s="19">
        <v>1929.0</v>
      </c>
      <c r="D605" s="57" t="str">
        <f>IF(   ISERROR(OFFSET(PADRON!B$2,MATCH(C:C,PADRON!A$2:A1405,0)-1,0,1,1) )  ,  ,    OFFSET(PADRON!B$2,MATCH(C:C,PADRON!A$2:A1405,0)-1,0,1,1))</f>
        <v>REPETTO, MARIA</v>
      </c>
      <c r="E605" s="58">
        <v>45839.0</v>
      </c>
      <c r="F605" s="133">
        <v>45870.0</v>
      </c>
      <c r="G605" s="59" t="s">
        <v>39</v>
      </c>
      <c r="H605" s="60">
        <f>IF( ISERROR( OFFSET(   'Cuadro tarifario'!D$2  , MATCH(CONCATENATE(                 IF(F605&gt;Mes,OFFSET(NroCT!B$17, MATCH($F605,NroCT!$A$18:$A1405,0),0,1,1),Periodovigente)                                                                                                                     ,A605) ,'Cuadro tarifario'!A$2:A1405,0) -1 , 0 , 1 , 1) )   , 0  ,   OFFSET(   'Cuadro tarifario'!D$2  , MATCH(CONCATENATE( IF(F605&gt;Mes,OFFSET(NroCT!B$17, MATCH($F605,NroCT!$A$18:$A1405,0),0,1,1),Periodovigente) ,A605) ,'Cuadro tarifario'!A$2:A1405,0) -1 , 0 , 1 , 1))</f>
        <v>12000</v>
      </c>
      <c r="I605" s="135">
        <f t="shared" si="195"/>
        <v>1</v>
      </c>
      <c r="J605" s="138">
        <f t="shared" si="235"/>
        <v>12000</v>
      </c>
      <c r="K605" s="136">
        <f>IF(  AND(N605&gt;0,I605=0)          ,N605 ,                         IF(  IF( F605 ,  DAYS360(DATE(YEAR(F605),MONTH(F605),1),Mes)/30  ,  DAYS360(DATE(YEAR(E605),MONTH(E605),1),Mes)/30  )  &gt;  0 , IF(F605,   DAYS360(DATE(YEAR(F605),MONTH(F605),1),Mes)/30  ,  DAYS360(DATE(YEAR(E605),MONTH(E605),1),Mes)/30) , 0)       )</f>
        <v>0</v>
      </c>
      <c r="L605" s="137">
        <f t="shared" si="196"/>
        <v>0</v>
      </c>
      <c r="M605" s="131"/>
      <c r="N605" s="130"/>
      <c r="O605" s="130"/>
      <c r="P605" s="130"/>
      <c r="Q605" s="130"/>
      <c r="R605" s="130"/>
      <c r="S605" s="130"/>
      <c r="T605" s="130"/>
    </row>
    <row r="606" ht="15.0" customHeight="1">
      <c r="A606" s="18" t="s">
        <v>71</v>
      </c>
      <c r="B606" s="18">
        <v>1930.0</v>
      </c>
      <c r="C606" s="19">
        <v>1930.0</v>
      </c>
      <c r="D606" s="57" t="str">
        <f>IF(   ISERROR(OFFSET(PADRON!B$2,MATCH(C:C,PADRON!A$2:A1405,0)-1,0,1,1) )  ,  ,    OFFSET(PADRON!B$2,MATCH(C:C,PADRON!A$2:A1405,0)-1,0,1,1))</f>
        <v>MARIN, SEBASTIAN</v>
      </c>
      <c r="E606" s="58">
        <v>45839.0</v>
      </c>
      <c r="F606" s="133">
        <v>45870.0</v>
      </c>
      <c r="G606" s="59" t="s">
        <v>39</v>
      </c>
      <c r="H606" s="60">
        <f>IF( ISERROR( OFFSET(   'Cuadro tarifario'!D$2  , MATCH(CONCATENATE(                 IF(F606&gt;Mes,OFFSET(NroCT!B$17, MATCH($F606,NroCT!$A$18:$A1405,0),0,1,1),Periodovigente)                                                                                                                     ,A606) ,'Cuadro tarifario'!A$2:A1405,0) -1 , 0 , 1 , 1) )   , 0  ,   OFFSET(   'Cuadro tarifario'!D$2  , MATCH(CONCATENATE( IF(F606&gt;Mes,OFFSET(NroCT!B$17, MATCH($F606,NroCT!$A$18:$A1405,0),0,1,1),Periodovigente) ,A606) ,'Cuadro tarifario'!A$2:A1405,0) -1 , 0 , 1 , 1))</f>
        <v>11000</v>
      </c>
      <c r="I606" s="135">
        <f t="shared" si="195"/>
        <v>1</v>
      </c>
      <c r="J606" s="138">
        <f t="shared" si="235"/>
        <v>11000</v>
      </c>
      <c r="K606" s="136">
        <f>IF(  AND(N606&gt;0,I606=0)          ,N606 ,                         IF(  IF( F606 ,  DAYS360(DATE(YEAR(F606),MONTH(F606),1),Mes)/30  ,  DAYS360(DATE(YEAR(E606),MONTH(E606),1),Mes)/30  )  &gt;  0 , IF(F606,   DAYS360(DATE(YEAR(F606),MONTH(F606),1),Mes)/30  ,  DAYS360(DATE(YEAR(E606),MONTH(E606),1),Mes)/30) , 0)       )</f>
        <v>0</v>
      </c>
      <c r="L606" s="137">
        <f t="shared" si="196"/>
        <v>0</v>
      </c>
      <c r="M606" s="131"/>
      <c r="N606" s="130"/>
      <c r="O606" s="130"/>
      <c r="P606" s="130"/>
      <c r="Q606" s="130"/>
      <c r="R606" s="130"/>
      <c r="S606" s="130"/>
      <c r="T606" s="130"/>
    </row>
    <row r="607" ht="15.0" customHeight="1">
      <c r="A607" s="18" t="s">
        <v>38</v>
      </c>
      <c r="B607" s="18">
        <v>1930.0</v>
      </c>
      <c r="C607" s="19">
        <v>1930.0</v>
      </c>
      <c r="D607" s="57" t="str">
        <f>IF(   ISERROR(OFFSET(PADRON!B$2,MATCH(C:C,PADRON!A$2:A1405,0)-1,0,1,1) )  ,  ,    OFFSET(PADRON!B$2,MATCH(C:C,PADRON!A$2:A1405,0)-1,0,1,1))</f>
        <v>MARIN, SEBASTIAN</v>
      </c>
      <c r="E607" s="58">
        <v>45839.0</v>
      </c>
      <c r="F607" s="133">
        <v>45870.0</v>
      </c>
      <c r="G607" s="59" t="s">
        <v>39</v>
      </c>
      <c r="H607" s="60">
        <f>IF( ISERROR( OFFSET(   'Cuadro tarifario'!D$2  , MATCH(CONCATENATE(                 IF(F607&gt;Mes,OFFSET(NroCT!B$17, MATCH($F607,NroCT!$A$18:$A1405,0),0,1,1),Periodovigente)                                                                                                                     ,A607) ,'Cuadro tarifario'!A$2:A1405,0) -1 , 0 , 1 , 1) )   , 0  ,   OFFSET(   'Cuadro tarifario'!D$2  , MATCH(CONCATENATE( IF(F607&gt;Mes,OFFSET(NroCT!B$17, MATCH($F607,NroCT!$A$18:$A1405,0),0,1,1),Periodovigente) ,A607) ,'Cuadro tarifario'!A$2:A1405,0) -1 , 0 , 1 , 1))</f>
        <v>9000</v>
      </c>
      <c r="I607" s="135">
        <f t="shared" si="195"/>
        <v>1</v>
      </c>
      <c r="J607" s="138">
        <f t="shared" si="235"/>
        <v>9000</v>
      </c>
      <c r="K607" s="136">
        <f>IF(  AND(N607&gt;0,I607=0)          ,N607 ,                         IF(  IF( F607 ,  DAYS360(DATE(YEAR(F607),MONTH(F607),1),Mes)/30  ,  DAYS360(DATE(YEAR(E607),MONTH(E607),1),Mes)/30  )  &gt;  0 , IF(F607,   DAYS360(DATE(YEAR(F607),MONTH(F607),1),Mes)/30  ,  DAYS360(DATE(YEAR(E607),MONTH(E607),1),Mes)/30) , 0)       )</f>
        <v>0</v>
      </c>
      <c r="L607" s="137">
        <f t="shared" si="196"/>
        <v>0</v>
      </c>
      <c r="M607" s="131"/>
      <c r="N607" s="130"/>
      <c r="O607" s="130"/>
      <c r="P607" s="130"/>
      <c r="Q607" s="130"/>
      <c r="R607" s="130"/>
      <c r="S607" s="130"/>
      <c r="T607" s="130"/>
    </row>
    <row r="608" ht="15.0" customHeight="1">
      <c r="A608" s="18" t="s">
        <v>82</v>
      </c>
      <c r="B608" s="18" t="s">
        <v>296</v>
      </c>
      <c r="C608" s="19">
        <v>1930.0</v>
      </c>
      <c r="D608" s="57" t="str">
        <f>IF(   ISERROR(OFFSET(PADRON!B$2,MATCH(C:C,PADRON!A$2:A1405,0)-1,0,1,1) )  ,  ,    OFFSET(PADRON!B$2,MATCH(C:C,PADRON!A$2:A1405,0)-1,0,1,1))</f>
        <v>MARIN, SEBASTIAN</v>
      </c>
      <c r="E608" s="58">
        <v>45839.0</v>
      </c>
      <c r="F608" s="133">
        <v>45870.0</v>
      </c>
      <c r="G608" s="59" t="s">
        <v>39</v>
      </c>
      <c r="H608" s="60">
        <f>IF( ISERROR( OFFSET(   'Cuadro tarifario'!D$2  , MATCH(CONCATENATE(                 IF(F608&gt;Mes,OFFSET(NroCT!B$17, MATCH($F608,NroCT!$A$18:$A1405,0),0,1,1),Periodovigente)                                                                                                                     ,A608) ,'Cuadro tarifario'!A$2:A1405,0) -1 , 0 , 1 , 1) )   , 0  ,   OFFSET(   'Cuadro tarifario'!D$2  , MATCH(CONCATENATE( IF(F608&gt;Mes,OFFSET(NroCT!B$17, MATCH($F608,NroCT!$A$18:$A1405,0),0,1,1),Periodovigente) ,A608) ,'Cuadro tarifario'!A$2:A1405,0) -1 , 0 , 1 , 1))</f>
        <v>12000</v>
      </c>
      <c r="I608" s="135">
        <f t="shared" si="195"/>
        <v>1</v>
      </c>
      <c r="J608" s="138">
        <f t="shared" si="235"/>
        <v>12000</v>
      </c>
      <c r="K608" s="136">
        <f>IF(  AND(N608&gt;0,I608=0)          ,N608 ,                         IF(  IF( F608 ,  DAYS360(DATE(YEAR(F608),MONTH(F608),1),Mes)/30  ,  DAYS360(DATE(YEAR(E608),MONTH(E608),1),Mes)/30  )  &gt;  0 , IF(F608,   DAYS360(DATE(YEAR(F608),MONTH(F608),1),Mes)/30  ,  DAYS360(DATE(YEAR(E608),MONTH(E608),1),Mes)/30) , 0)       )</f>
        <v>0</v>
      </c>
      <c r="L608" s="137">
        <f t="shared" si="196"/>
        <v>0</v>
      </c>
      <c r="M608" s="131"/>
      <c r="N608" s="130"/>
      <c r="O608" s="130"/>
      <c r="P608" s="130"/>
      <c r="Q608" s="130"/>
      <c r="R608" s="130"/>
      <c r="S608" s="130"/>
      <c r="T608" s="130"/>
    </row>
    <row r="609" ht="15.0" customHeight="1">
      <c r="A609" s="18" t="s">
        <v>71</v>
      </c>
      <c r="B609" s="18">
        <v>1934.0</v>
      </c>
      <c r="C609" s="19">
        <v>1934.0</v>
      </c>
      <c r="D609" s="57" t="str">
        <f>IF(   ISERROR(OFFSET(PADRON!B$2,MATCH(C:C,PADRON!A$2:A1405,0)-1,0,1,1) )  ,  ,    OFFSET(PADRON!B$2,MATCH(C:C,PADRON!A$2:A1405,0)-1,0,1,1))</f>
        <v>JAUREGUI, MAITE</v>
      </c>
      <c r="E609" s="58">
        <v>45689.0</v>
      </c>
      <c r="F609" s="133"/>
      <c r="G609" s="59" t="s">
        <v>39</v>
      </c>
      <c r="H609" s="60">
        <f>IF( ISERROR( OFFSET(   'Cuadro tarifario'!D$2  , MATCH(CONCATENATE(                 IF(F609&gt;Mes,OFFSET(NroCT!B$17, MATCH($F609,NroCT!$A$18:$A1405,0),0,1,1),Periodovigente)                                                                                                                     ,A609) ,'Cuadro tarifario'!A$2:A1405,0) -1 , 0 , 1 , 1) )   , 0  ,   OFFSET(   'Cuadro tarifario'!D$2  , MATCH(CONCATENATE( IF(F609&gt;Mes,OFFSET(NroCT!B$17, MATCH($F609,NroCT!$A$18:$A1405,0),0,1,1),Periodovigente) ,A609) ,'Cuadro tarifario'!A$2:A1405,0) -1 , 0 , 1 , 1))</f>
        <v>11000</v>
      </c>
      <c r="I609" s="135">
        <f t="shared" si="195"/>
        <v>0</v>
      </c>
      <c r="J609" s="138">
        <f t="shared" si="235"/>
        <v>0</v>
      </c>
      <c r="K609" s="136">
        <f>IF(  AND(N609&gt;0,I609=0)          ,N609 ,                         IF(  IF( F609 ,  DAYS360(DATE(YEAR(F609),MONTH(F609),1),Mes)/30  ,  DAYS360(DATE(YEAR(E609),MONTH(E609),1),Mes)/30  )  &gt;  0 , IF(F609,   DAYS360(DATE(YEAR(F609),MONTH(F609),1),Mes)/30  ,  DAYS360(DATE(YEAR(E609),MONTH(E609),1),Mes)/30) , 0)       )</f>
        <v>6</v>
      </c>
      <c r="L609" s="137">
        <f t="shared" si="196"/>
        <v>66000</v>
      </c>
      <c r="M609" s="131"/>
      <c r="N609" s="130"/>
      <c r="O609" s="130"/>
      <c r="P609" s="130"/>
      <c r="Q609" s="130"/>
      <c r="R609" s="130"/>
      <c r="S609" s="130"/>
      <c r="T609" s="130"/>
    </row>
    <row r="610" ht="15.0" customHeight="1">
      <c r="A610" s="18" t="s">
        <v>38</v>
      </c>
      <c r="B610" s="18">
        <v>1934.0</v>
      </c>
      <c r="C610" s="19">
        <v>1934.0</v>
      </c>
      <c r="D610" s="57" t="str">
        <f>IF(   ISERROR(OFFSET(PADRON!B$2,MATCH(C:C,PADRON!A$2:A1405,0)-1,0,1,1) )  ,  ,    OFFSET(PADRON!B$2,MATCH(C:C,PADRON!A$2:A1405,0)-1,0,1,1))</f>
        <v>JAUREGUI, MAITE</v>
      </c>
      <c r="E610" s="58">
        <v>45689.0</v>
      </c>
      <c r="F610" s="133"/>
      <c r="G610" s="59" t="s">
        <v>39</v>
      </c>
      <c r="H610" s="60">
        <f>IF( ISERROR( OFFSET(   'Cuadro tarifario'!D$2  , MATCH(CONCATENATE(                 IF(F610&gt;Mes,OFFSET(NroCT!B$17, MATCH($F610,NroCT!$A$18:$A1405,0),0,1,1),Periodovigente)                                                                                                                     ,A610) ,'Cuadro tarifario'!A$2:A1405,0) -1 , 0 , 1 , 1) )   , 0  ,   OFFSET(   'Cuadro tarifario'!D$2  , MATCH(CONCATENATE( IF(F610&gt;Mes,OFFSET(NroCT!B$17, MATCH($F610,NroCT!$A$18:$A1405,0),0,1,1),Periodovigente) ,A610) ,'Cuadro tarifario'!A$2:A1405,0) -1 , 0 , 1 , 1))</f>
        <v>9000</v>
      </c>
      <c r="I610" s="135">
        <f t="shared" si="195"/>
        <v>0</v>
      </c>
      <c r="J610" s="138">
        <f t="shared" si="235"/>
        <v>0</v>
      </c>
      <c r="K610" s="136">
        <f>IF(  AND(N610&gt;0,I610=0)          ,N610 ,                         IF(  IF( F610 ,  DAYS360(DATE(YEAR(F610),MONTH(F610),1),Mes)/30  ,  DAYS360(DATE(YEAR(E610),MONTH(E610),1),Mes)/30  )  &gt;  0 , IF(F610,   DAYS360(DATE(YEAR(F610),MONTH(F610),1),Mes)/30  ,  DAYS360(DATE(YEAR(E610),MONTH(E610),1),Mes)/30) , 0)       )</f>
        <v>6</v>
      </c>
      <c r="L610" s="137">
        <f t="shared" si="196"/>
        <v>54000</v>
      </c>
      <c r="M610" s="131"/>
      <c r="N610" s="130"/>
      <c r="O610" s="130"/>
      <c r="P610" s="130"/>
      <c r="Q610" s="130"/>
      <c r="R610" s="130"/>
      <c r="S610" s="130"/>
      <c r="T610" s="130"/>
    </row>
    <row r="611" ht="15.0" customHeight="1">
      <c r="A611" s="18" t="s">
        <v>40</v>
      </c>
      <c r="B611" s="18" t="s">
        <v>297</v>
      </c>
      <c r="C611" s="19">
        <v>1934.0</v>
      </c>
      <c r="D611" s="57" t="str">
        <f>IF(   ISERROR(OFFSET(PADRON!B$2,MATCH(C:C,PADRON!A$2:A1405,0)-1,0,1,1) )  ,  ,    OFFSET(PADRON!B$2,MATCH(C:C,PADRON!A$2:A1405,0)-1,0,1,1))</f>
        <v>JAUREGUI, MAITE</v>
      </c>
      <c r="E611" s="58">
        <v>45689.0</v>
      </c>
      <c r="F611" s="133"/>
      <c r="G611" s="59" t="s">
        <v>39</v>
      </c>
      <c r="H611" s="60">
        <f>IF( ISERROR( OFFSET(   'Cuadro tarifario'!D$2  , MATCH(CONCATENATE(                 IF(F611&gt;Mes,OFFSET(NroCT!B$17, MATCH($F611,NroCT!$A$18:$A1405,0),0,1,1),Periodovigente)                                                                                                                     ,A611) ,'Cuadro tarifario'!A$2:A1405,0) -1 , 0 , 1 , 1) )   , 0  ,   OFFSET(   'Cuadro tarifario'!D$2  , MATCH(CONCATENATE( IF(F611&gt;Mes,OFFSET(NroCT!B$17, MATCH($F611,NroCT!$A$18:$A1405,0),0,1,1),Periodovigente) ,A611) ,'Cuadro tarifario'!A$2:A1405,0) -1 , 0 , 1 , 1))</f>
        <v>12000</v>
      </c>
      <c r="I611" s="135">
        <f t="shared" si="195"/>
        <v>0</v>
      </c>
      <c r="J611" s="138">
        <f t="shared" si="235"/>
        <v>0</v>
      </c>
      <c r="K611" s="136">
        <f>IF(  AND(N611&gt;0,I611=0)          ,N611 ,                         IF(  IF( F611 ,  DAYS360(DATE(YEAR(F611),MONTH(F611),1),Mes)/30  ,  DAYS360(DATE(YEAR(E611),MONTH(E611),1),Mes)/30  )  &gt;  0 , IF(F611,   DAYS360(DATE(YEAR(F611),MONTH(F611),1),Mes)/30  ,  DAYS360(DATE(YEAR(E611),MONTH(E611),1),Mes)/30) , 0)       )</f>
        <v>6</v>
      </c>
      <c r="L611" s="137">
        <f t="shared" si="196"/>
        <v>72000</v>
      </c>
      <c r="M611" s="131"/>
      <c r="N611" s="130"/>
      <c r="O611" s="130"/>
      <c r="P611" s="130"/>
      <c r="Q611" s="130"/>
      <c r="R611" s="130"/>
      <c r="S611" s="130"/>
      <c r="T611" s="130"/>
    </row>
    <row r="612" ht="15.0" customHeight="1">
      <c r="A612" s="18" t="s">
        <v>71</v>
      </c>
      <c r="B612" s="18">
        <v>1935.0</v>
      </c>
      <c r="C612" s="19">
        <v>1935.0</v>
      </c>
      <c r="D612" s="57" t="str">
        <f>IF(   ISERROR(OFFSET(PADRON!B$2,MATCH(C:C,PADRON!A$2:A1405,0)-1,0,1,1) )  ,  ,    OFFSET(PADRON!B$2,MATCH(C:C,PADRON!A$2:A1405,0)-1,0,1,1))</f>
        <v>ROMERO, ROCIO</v>
      </c>
      <c r="E612" s="58">
        <v>45839.0</v>
      </c>
      <c r="F612" s="133">
        <v>45870.0</v>
      </c>
      <c r="G612" s="59" t="s">
        <v>39</v>
      </c>
      <c r="H612" s="60">
        <f>IF( ISERROR( OFFSET(   'Cuadro tarifario'!D$2  , MATCH(CONCATENATE(                 IF(F612&gt;Mes,OFFSET(NroCT!B$17, MATCH($F612,NroCT!$A$18:$A1405,0),0,1,1),Periodovigente)                                                                                                                     ,A612) ,'Cuadro tarifario'!A$2:A1405,0) -1 , 0 , 1 , 1) )   , 0  ,   OFFSET(   'Cuadro tarifario'!D$2  , MATCH(CONCATENATE( IF(F612&gt;Mes,OFFSET(NroCT!B$17, MATCH($F612,NroCT!$A$18:$A1405,0),0,1,1),Periodovigente) ,A612) ,'Cuadro tarifario'!A$2:A1405,0) -1 , 0 , 1 , 1))</f>
        <v>11000</v>
      </c>
      <c r="I612" s="135">
        <f t="shared" si="195"/>
        <v>1</v>
      </c>
      <c r="J612" s="138">
        <f t="shared" si="235"/>
        <v>11000</v>
      </c>
      <c r="K612" s="136">
        <f>IF(  AND(N612&gt;0,I612=0)          ,N612 ,                         IF(  IF( F612 ,  DAYS360(DATE(YEAR(F612),MONTH(F612),1),Mes)/30  ,  DAYS360(DATE(YEAR(E612),MONTH(E612),1),Mes)/30  )  &gt;  0 , IF(F612,   DAYS360(DATE(YEAR(F612),MONTH(F612),1),Mes)/30  ,  DAYS360(DATE(YEAR(E612),MONTH(E612),1),Mes)/30) , 0)       )</f>
        <v>0</v>
      </c>
      <c r="L612" s="137">
        <f t="shared" si="196"/>
        <v>0</v>
      </c>
      <c r="M612" s="131"/>
      <c r="N612" s="130"/>
      <c r="O612" s="130"/>
      <c r="P612" s="130"/>
      <c r="Q612" s="130"/>
      <c r="R612" s="130"/>
      <c r="S612" s="130"/>
      <c r="T612" s="130"/>
    </row>
    <row r="613" ht="15.0" customHeight="1">
      <c r="A613" s="18" t="s">
        <v>38</v>
      </c>
      <c r="B613" s="18">
        <v>1935.0</v>
      </c>
      <c r="C613" s="19">
        <v>1935.0</v>
      </c>
      <c r="D613" s="57" t="str">
        <f>IF(   ISERROR(OFFSET(PADRON!B$2,MATCH(C:C,PADRON!A$2:A1405,0)-1,0,1,1) )  ,  ,    OFFSET(PADRON!B$2,MATCH(C:C,PADRON!A$2:A1405,0)-1,0,1,1))</f>
        <v>ROMERO, ROCIO</v>
      </c>
      <c r="E613" s="58">
        <v>45839.0</v>
      </c>
      <c r="F613" s="133">
        <v>45870.0</v>
      </c>
      <c r="G613" s="59" t="s">
        <v>39</v>
      </c>
      <c r="H613" s="60">
        <f>IF( ISERROR( OFFSET(   'Cuadro tarifario'!D$2  , MATCH(CONCATENATE(                 IF(F613&gt;Mes,OFFSET(NroCT!B$17, MATCH($F613,NroCT!$A$18:$A1405,0),0,1,1),Periodovigente)                                                                                                                     ,A613) ,'Cuadro tarifario'!A$2:A1405,0) -1 , 0 , 1 , 1) )   , 0  ,   OFFSET(   'Cuadro tarifario'!D$2  , MATCH(CONCATENATE( IF(F613&gt;Mes,OFFSET(NroCT!B$17, MATCH($F613,NroCT!$A$18:$A1405,0),0,1,1),Periodovigente) ,A613) ,'Cuadro tarifario'!A$2:A1405,0) -1 , 0 , 1 , 1))</f>
        <v>9000</v>
      </c>
      <c r="I613" s="135">
        <f t="shared" si="195"/>
        <v>1</v>
      </c>
      <c r="J613" s="138">
        <f t="shared" si="235"/>
        <v>9000</v>
      </c>
      <c r="K613" s="136">
        <f>IF(  AND(N613&gt;0,I613=0)          ,N613 ,                         IF(  IF( F613 ,  DAYS360(DATE(YEAR(F613),MONTH(F613),1),Mes)/30  ,  DAYS360(DATE(YEAR(E613),MONTH(E613),1),Mes)/30  )  &gt;  0 , IF(F613,   DAYS360(DATE(YEAR(F613),MONTH(F613),1),Mes)/30  ,  DAYS360(DATE(YEAR(E613),MONTH(E613),1),Mes)/30) , 0)       )</f>
        <v>0</v>
      </c>
      <c r="L613" s="137">
        <f t="shared" si="196"/>
        <v>0</v>
      </c>
      <c r="M613" s="131"/>
      <c r="N613" s="130"/>
      <c r="O613" s="130"/>
      <c r="P613" s="130"/>
      <c r="Q613" s="130"/>
      <c r="R613" s="130"/>
      <c r="S613" s="130"/>
      <c r="T613" s="130"/>
    </row>
    <row r="614" ht="14.25" customHeight="1">
      <c r="A614" s="18" t="s">
        <v>40</v>
      </c>
      <c r="B614" s="18" t="s">
        <v>298</v>
      </c>
      <c r="C614" s="19">
        <v>1935.0</v>
      </c>
      <c r="D614" s="57" t="str">
        <f>IF(   ISERROR(OFFSET(PADRON!B$2,MATCH(C:C,PADRON!A$2:A1405,0)-1,0,1,1) )  ,  ,    OFFSET(PADRON!B$2,MATCH(C:C,PADRON!A$2:A1405,0)-1,0,1,1))</f>
        <v>ROMERO, ROCIO</v>
      </c>
      <c r="E614" s="58">
        <v>45839.0</v>
      </c>
      <c r="F614" s="133">
        <v>45870.0</v>
      </c>
      <c r="G614" s="59" t="s">
        <v>39</v>
      </c>
      <c r="H614" s="60">
        <f>IF( ISERROR( OFFSET(   'Cuadro tarifario'!D$2  , MATCH(CONCATENATE(                 IF(F614&gt;Mes,OFFSET(NroCT!B$17, MATCH($F614,NroCT!$A$18:$A1405,0),0,1,1),Periodovigente)                                                                                                                     ,A614) ,'Cuadro tarifario'!A$2:A1405,0) -1 , 0 , 1 , 1) )   , 0  ,   OFFSET(   'Cuadro tarifario'!D$2  , MATCH(CONCATENATE( IF(F614&gt;Mes,OFFSET(NroCT!B$17, MATCH($F614,NroCT!$A$18:$A1405,0),0,1,1),Periodovigente) ,A614) ,'Cuadro tarifario'!A$2:A1405,0) -1 , 0 , 1 , 1))</f>
        <v>12000</v>
      </c>
      <c r="I614" s="135">
        <f t="shared" si="195"/>
        <v>1</v>
      </c>
      <c r="J614" s="138">
        <f t="shared" si="235"/>
        <v>12000</v>
      </c>
      <c r="K614" s="136">
        <f>IF(  AND(N614&gt;0,I614=0)          ,N614 ,                         IF(  IF( F614 ,  DAYS360(DATE(YEAR(F614),MONTH(F614),1),Mes)/30  ,  DAYS360(DATE(YEAR(E614),MONTH(E614),1),Mes)/30  )  &gt;  0 , IF(F614,   DAYS360(DATE(YEAR(F614),MONTH(F614),1),Mes)/30  ,  DAYS360(DATE(YEAR(E614),MONTH(E614),1),Mes)/30) , 0)       )</f>
        <v>0</v>
      </c>
      <c r="L614" s="137">
        <f t="shared" si="196"/>
        <v>0</v>
      </c>
      <c r="M614" s="131"/>
      <c r="N614" s="130"/>
      <c r="O614" s="130"/>
      <c r="P614" s="130"/>
      <c r="Q614" s="130"/>
      <c r="R614" s="130"/>
      <c r="S614" s="130"/>
      <c r="T614" s="130"/>
    </row>
    <row r="615" ht="20.25" customHeight="1">
      <c r="A615" s="18" t="s">
        <v>50</v>
      </c>
      <c r="B615" s="18" t="s">
        <v>299</v>
      </c>
      <c r="C615" s="19">
        <v>1935.0</v>
      </c>
      <c r="D615" s="57" t="str">
        <f>IF(   ISERROR(OFFSET(PADRON!B$2,MATCH(C:C,PADRON!A$2:A1405,0)-1,0,1,1) )  ,  ,    OFFSET(PADRON!B$2,MATCH(C:C,PADRON!A$2:A1405,0)-1,0,1,1))</f>
        <v>ROMERO, ROCIO</v>
      </c>
      <c r="E615" s="58">
        <v>45992.0</v>
      </c>
      <c r="F615" s="133"/>
      <c r="G615" s="59" t="s">
        <v>39</v>
      </c>
      <c r="H615" s="60">
        <f>IF( ISERROR( OFFSET(   'Cuadro tarifario'!D$2  , MATCH(CONCATENATE(                 IF(F615&gt;Mes,OFFSET(NroCT!B$17, MATCH($F615,NroCT!$A$18:$A1405,0),0,1,1),Periodovigente)                                                                                                                     ,A615) ,'Cuadro tarifario'!A$2:A1405,0) -1 , 0 , 1 , 1) )   , 0  ,   OFFSET(   'Cuadro tarifario'!D$2  , MATCH(CONCATENATE( IF(F615&gt;Mes,OFFSET(NroCT!B$17, MATCH($F615,NroCT!$A$18:$A1405,0),0,1,1),Periodovigente) ,A615) ,'Cuadro tarifario'!A$2:A1405,0) -1 , 0 , 1 , 1))</f>
        <v>3600</v>
      </c>
      <c r="I615" s="135">
        <f t="shared" si="195"/>
        <v>0</v>
      </c>
      <c r="J615" s="138">
        <f t="shared" si="235"/>
        <v>0</v>
      </c>
      <c r="K615" s="136">
        <f>IF(  AND(N615&gt;0,I615=0)          ,N615 ,                         IF(  IF( F615 ,  DAYS360(DATE(YEAR(F615),MONTH(F615),1),Mes)/30  ,  DAYS360(DATE(YEAR(E615),MONTH(E615),1),Mes)/30  )  &gt;  0 , IF(F615,   DAYS360(DATE(YEAR(F615),MONTH(F615),1),Mes)/30  ,  DAYS360(DATE(YEAR(E615),MONTH(E615),1),Mes)/30) , 0)       )</f>
        <v>0</v>
      </c>
      <c r="L615" s="137">
        <f t="shared" si="196"/>
        <v>0</v>
      </c>
      <c r="M615" s="131"/>
      <c r="N615" s="130"/>
      <c r="O615" s="130"/>
      <c r="P615" s="130"/>
      <c r="Q615" s="130"/>
      <c r="R615" s="130"/>
      <c r="S615" s="130"/>
      <c r="T615" s="130"/>
    </row>
    <row r="616" ht="15.0" customHeight="1">
      <c r="A616" s="18" t="s">
        <v>71</v>
      </c>
      <c r="B616" s="18">
        <v>1936.0</v>
      </c>
      <c r="C616" s="19">
        <v>1936.0</v>
      </c>
      <c r="D616" s="57" t="str">
        <f>IF(   ISERROR(OFFSET(PADRON!B$2,MATCH(C:C,PADRON!A$2:A1405,0)-1,0,1,1) )  ,  ,    OFFSET(PADRON!B$2,MATCH(C:C,PADRON!A$2:A1405,0)-1,0,1,1))</f>
        <v>SOSA, MA. JOSEFINA</v>
      </c>
      <c r="E616" s="58">
        <v>45839.0</v>
      </c>
      <c r="F616" s="133">
        <v>45870.0</v>
      </c>
      <c r="G616" s="59" t="s">
        <v>39</v>
      </c>
      <c r="H616" s="60">
        <f>IF( ISERROR( OFFSET(   'Cuadro tarifario'!D$2  , MATCH(CONCATENATE(                 IF(F616&gt;Mes,OFFSET(NroCT!B$17, MATCH($F616,NroCT!$A$18:$A1405,0),0,1,1),Periodovigente)                                                                                                                     ,A616) ,'Cuadro tarifario'!A$2:A1405,0) -1 , 0 , 1 , 1) )   , 0  ,   OFFSET(   'Cuadro tarifario'!D$2  , MATCH(CONCATENATE( IF(F616&gt;Mes,OFFSET(NroCT!B$17, MATCH($F616,NroCT!$A$18:$A1405,0),0,1,1),Periodovigente) ,A616) ,'Cuadro tarifario'!A$2:A1405,0) -1 , 0 , 1 , 1))</f>
        <v>11000</v>
      </c>
      <c r="I616" s="135">
        <f t="shared" si="195"/>
        <v>1</v>
      </c>
      <c r="J616" s="138">
        <f t="shared" si="235"/>
        <v>11000</v>
      </c>
      <c r="K616" s="136">
        <f>IF(  AND(N616&gt;0,I616=0)          ,N616 ,                         IF(  IF( F616 ,  DAYS360(DATE(YEAR(F616),MONTH(F616),1),Mes)/30  ,  DAYS360(DATE(YEAR(E616),MONTH(E616),1),Mes)/30  )  &gt;  0 , IF(F616,   DAYS360(DATE(YEAR(F616),MONTH(F616),1),Mes)/30  ,  DAYS360(DATE(YEAR(E616),MONTH(E616),1),Mes)/30) , 0)       )</f>
        <v>0</v>
      </c>
      <c r="L616" s="137">
        <f t="shared" si="196"/>
        <v>0</v>
      </c>
      <c r="M616" s="131"/>
      <c r="N616" s="130"/>
      <c r="O616" s="130"/>
      <c r="P616" s="130"/>
      <c r="Q616" s="130"/>
      <c r="R616" s="130"/>
      <c r="S616" s="130"/>
      <c r="T616" s="130"/>
    </row>
    <row r="617" ht="15.0" customHeight="1">
      <c r="A617" s="18" t="s">
        <v>38</v>
      </c>
      <c r="B617" s="18">
        <v>1936.0</v>
      </c>
      <c r="C617" s="19">
        <v>1936.0</v>
      </c>
      <c r="D617" s="57" t="str">
        <f>IF(   ISERROR(OFFSET(PADRON!B$2,MATCH(C:C,PADRON!A$2:A1405,0)-1,0,1,1) )  ,  ,    OFFSET(PADRON!B$2,MATCH(C:C,PADRON!A$2:A1405,0)-1,0,1,1))</f>
        <v>SOSA, MA. JOSEFINA</v>
      </c>
      <c r="E617" s="58">
        <v>45839.0</v>
      </c>
      <c r="F617" s="133">
        <v>45870.0</v>
      </c>
      <c r="G617" s="59" t="s">
        <v>39</v>
      </c>
      <c r="H617" s="60">
        <f>IF( ISERROR( OFFSET(   'Cuadro tarifario'!D$2  , MATCH(CONCATENATE(                 IF(F617&gt;Mes,OFFSET(NroCT!B$17, MATCH($F617,NroCT!$A$18:$A1405,0),0,1,1),Periodovigente)                                                                                                                     ,A617) ,'Cuadro tarifario'!A$2:A1405,0) -1 , 0 , 1 , 1) )   , 0  ,   OFFSET(   'Cuadro tarifario'!D$2  , MATCH(CONCATENATE( IF(F617&gt;Mes,OFFSET(NroCT!B$17, MATCH($F617,NroCT!$A$18:$A1405,0),0,1,1),Periodovigente) ,A617) ,'Cuadro tarifario'!A$2:A1405,0) -1 , 0 , 1 , 1))</f>
        <v>9000</v>
      </c>
      <c r="I617" s="135">
        <f t="shared" si="195"/>
        <v>1</v>
      </c>
      <c r="J617" s="138">
        <f t="shared" si="235"/>
        <v>9000</v>
      </c>
      <c r="K617" s="136">
        <f>IF(  AND(N617&gt;0,I617=0)          ,N617 ,                         IF(  IF( F617 ,  DAYS360(DATE(YEAR(F617),MONTH(F617),1),Mes)/30  ,  DAYS360(DATE(YEAR(E617),MONTH(E617),1),Mes)/30  )  &gt;  0 , IF(F617,   DAYS360(DATE(YEAR(F617),MONTH(F617),1),Mes)/30  ,  DAYS360(DATE(YEAR(E617),MONTH(E617),1),Mes)/30) , 0)       )</f>
        <v>0</v>
      </c>
      <c r="L617" s="137">
        <f t="shared" si="196"/>
        <v>0</v>
      </c>
      <c r="N617" s="130"/>
      <c r="O617" s="130"/>
      <c r="P617" s="130"/>
      <c r="Q617" s="130"/>
      <c r="R617" s="130"/>
      <c r="S617" s="130"/>
      <c r="T617" s="130"/>
    </row>
    <row r="618" ht="15.0" customHeight="1">
      <c r="A618" s="18" t="s">
        <v>40</v>
      </c>
      <c r="B618" s="18" t="s">
        <v>300</v>
      </c>
      <c r="C618" s="19">
        <v>1936.0</v>
      </c>
      <c r="D618" s="57" t="str">
        <f>IF(   ISERROR(OFFSET(PADRON!B$2,MATCH(C:C,PADRON!A$2:A1405,0)-1,0,1,1) )  ,  ,    OFFSET(PADRON!B$2,MATCH(C:C,PADRON!A$2:A1405,0)-1,0,1,1))</f>
        <v>SOSA, MA. JOSEFINA</v>
      </c>
      <c r="E618" s="58">
        <v>45839.0</v>
      </c>
      <c r="F618" s="133">
        <v>45870.0</v>
      </c>
      <c r="G618" s="59" t="s">
        <v>39</v>
      </c>
      <c r="H618" s="60">
        <f>IF( ISERROR( OFFSET(   'Cuadro tarifario'!D$2  , MATCH(CONCATENATE(                 IF(F618&gt;Mes,OFFSET(NroCT!B$17, MATCH($F618,NroCT!$A$18:$A1405,0),0,1,1),Periodovigente)                                                                                                                     ,A618) ,'Cuadro tarifario'!A$2:A1405,0) -1 , 0 , 1 , 1) )   , 0  ,   OFFSET(   'Cuadro tarifario'!D$2  , MATCH(CONCATENATE( IF(F618&gt;Mes,OFFSET(NroCT!B$17, MATCH($F618,NroCT!$A$18:$A1405,0),0,1,1),Periodovigente) ,A618) ,'Cuadro tarifario'!A$2:A1405,0) -1 , 0 , 1 , 1))</f>
        <v>12000</v>
      </c>
      <c r="I618" s="135">
        <f t="shared" si="195"/>
        <v>1</v>
      </c>
      <c r="J618" s="138">
        <f t="shared" si="235"/>
        <v>12000</v>
      </c>
      <c r="K618" s="136">
        <f>IF(  AND(N618&gt;0,I618=0)          ,N618 ,                         IF(  IF( F618 ,  DAYS360(DATE(YEAR(F618),MONTH(F618),1),Mes)/30  ,  DAYS360(DATE(YEAR(E618),MONTH(E618),1),Mes)/30  )  &gt;  0 , IF(F618,   DAYS360(DATE(YEAR(F618),MONTH(F618),1),Mes)/30  ,  DAYS360(DATE(YEAR(E618),MONTH(E618),1),Mes)/30) , 0)       )</f>
        <v>0</v>
      </c>
      <c r="L618" s="137">
        <f t="shared" si="196"/>
        <v>0</v>
      </c>
      <c r="M618" s="131"/>
      <c r="N618" s="130"/>
      <c r="O618" s="130"/>
      <c r="P618" s="130"/>
      <c r="Q618" s="130"/>
      <c r="R618" s="130"/>
      <c r="S618" s="130"/>
      <c r="T618" s="130"/>
    </row>
    <row r="619" ht="15.0" customHeight="1">
      <c r="A619" s="18" t="s">
        <v>42</v>
      </c>
      <c r="B619" s="18" t="s">
        <v>301</v>
      </c>
      <c r="C619" s="19">
        <v>1936.0</v>
      </c>
      <c r="D619" s="57" t="str">
        <f>IF(   ISERROR(OFFSET(PADRON!B$2,MATCH(C:C,PADRON!A$2:A1405,0)-1,0,1,1) )  ,  ,    OFFSET(PADRON!B$2,MATCH(C:C,PADRON!A$2:A1405,0)-1,0,1,1))</f>
        <v>SOSA, MA. JOSEFINA</v>
      </c>
      <c r="E619" s="58">
        <v>45992.0</v>
      </c>
      <c r="F619" s="133"/>
      <c r="G619" s="59" t="s">
        <v>39</v>
      </c>
      <c r="H619" s="60">
        <f>IF( ISERROR( OFFSET(   'Cuadro tarifario'!D$2  , MATCH(CONCATENATE(                 IF(F619&gt;Mes,OFFSET(NroCT!B$17, MATCH($F619,NroCT!$A$18:$A1405,0),0,1,1),Periodovigente)                                                                                                                     ,A619) ,'Cuadro tarifario'!A$2:A1405,0) -1 , 0 , 1 , 1) )   , 0  ,   OFFSET(   'Cuadro tarifario'!D$2  , MATCH(CONCATENATE( IF(F619&gt;Mes,OFFSET(NroCT!B$17, MATCH($F619,NroCT!$A$18:$A1405,0),0,1,1),Periodovigente) ,A619) ,'Cuadro tarifario'!A$2:A1405,0) -1 , 0 , 1 , 1))</f>
        <v>4000</v>
      </c>
      <c r="I619" s="135">
        <f t="shared" si="195"/>
        <v>0</v>
      </c>
      <c r="J619" s="138">
        <f t="shared" si="235"/>
        <v>0</v>
      </c>
      <c r="K619" s="136">
        <f>IF(  AND(N619&gt;0,I619=0)          ,N619 ,                         IF(  IF( F619 ,  DAYS360(DATE(YEAR(F619),MONTH(F619),1),Mes)/30  ,  DAYS360(DATE(YEAR(E619),MONTH(E619),1),Mes)/30  )  &gt;  0 , IF(F619,   DAYS360(DATE(YEAR(F619),MONTH(F619),1),Mes)/30  ,  DAYS360(DATE(YEAR(E619),MONTH(E619),1),Mes)/30) , 0)       )</f>
        <v>0</v>
      </c>
      <c r="L619" s="137">
        <f t="shared" si="196"/>
        <v>0</v>
      </c>
      <c r="M619" s="131"/>
      <c r="N619" s="130"/>
      <c r="O619" s="130"/>
      <c r="P619" s="130"/>
      <c r="Q619" s="130"/>
      <c r="R619" s="130"/>
      <c r="S619" s="130"/>
      <c r="T619" s="130"/>
    </row>
    <row r="620" ht="15.0" customHeight="1">
      <c r="A620" s="18" t="s">
        <v>71</v>
      </c>
      <c r="B620" s="18">
        <v>1938.0</v>
      </c>
      <c r="C620" s="19">
        <v>1938.0</v>
      </c>
      <c r="D620" s="57" t="str">
        <f>IF(   ISERROR(OFFSET(PADRON!B$2,MATCH(C:C,PADRON!A$2:A1405,0)-1,0,1,1) )  ,  ,    OFFSET(PADRON!B$2,MATCH(C:C,PADRON!A$2:A1405,0)-1,0,1,1))</f>
        <v>VILLALBA, JUAN CRUZ</v>
      </c>
      <c r="E620" s="58">
        <v>45839.0</v>
      </c>
      <c r="F620" s="133">
        <v>45870.0</v>
      </c>
      <c r="G620" s="59" t="s">
        <v>39</v>
      </c>
      <c r="H620" s="60">
        <f>IF( ISERROR( OFFSET(   'Cuadro tarifario'!D$2  , MATCH(CONCATENATE(                 IF(F620&gt;Mes,OFFSET(NroCT!B$17, MATCH($F620,NroCT!$A$18:$A1405,0),0,1,1),Periodovigente)                                                                                                                     ,A620) ,'Cuadro tarifario'!A$2:A1405,0) -1 , 0 , 1 , 1) )   , 0  ,   OFFSET(   'Cuadro tarifario'!D$2  , MATCH(CONCATENATE( IF(F620&gt;Mes,OFFSET(NroCT!B$17, MATCH($F620,NroCT!$A$18:$A1405,0),0,1,1),Periodovigente) ,A620) ,'Cuadro tarifario'!A$2:A1405,0) -1 , 0 , 1 , 1))</f>
        <v>11000</v>
      </c>
      <c r="I620" s="135">
        <f t="shared" si="195"/>
        <v>1</v>
      </c>
      <c r="J620" s="138">
        <f t="shared" si="235"/>
        <v>11000</v>
      </c>
      <c r="K620" s="136">
        <f>IF(  AND(N620&gt;0,I620=0)          ,N620 ,                         IF(  IF( F620 ,  DAYS360(DATE(YEAR(F620),MONTH(F620),1),Mes)/30  ,  DAYS360(DATE(YEAR(E620),MONTH(E620),1),Mes)/30  )  &gt;  0 , IF(F620,   DAYS360(DATE(YEAR(F620),MONTH(F620),1),Mes)/30  ,  DAYS360(DATE(YEAR(E620),MONTH(E620),1),Mes)/30) , 0)       )</f>
        <v>0</v>
      </c>
      <c r="L620" s="137">
        <f t="shared" si="196"/>
        <v>0</v>
      </c>
      <c r="M620" s="131"/>
      <c r="N620" s="130"/>
      <c r="O620" s="130"/>
      <c r="P620" s="130"/>
      <c r="Q620" s="130"/>
      <c r="R620" s="130"/>
      <c r="S620" s="130"/>
      <c r="T620" s="130"/>
    </row>
    <row r="621" ht="15.0" customHeight="1">
      <c r="A621" s="18" t="s">
        <v>38</v>
      </c>
      <c r="B621" s="18">
        <v>1938.0</v>
      </c>
      <c r="C621" s="19">
        <v>1938.0</v>
      </c>
      <c r="D621" s="57" t="str">
        <f>IF(   ISERROR(OFFSET(PADRON!B$2,MATCH(C:C,PADRON!A$2:A1405,0)-1,0,1,1) )  ,  ,    OFFSET(PADRON!B$2,MATCH(C:C,PADRON!A$2:A1405,0)-1,0,1,1))</f>
        <v>VILLALBA, JUAN CRUZ</v>
      </c>
      <c r="E621" s="58">
        <v>45839.0</v>
      </c>
      <c r="F621" s="133">
        <v>45870.0</v>
      </c>
      <c r="G621" s="59" t="s">
        <v>39</v>
      </c>
      <c r="H621" s="60">
        <f>IF( ISERROR( OFFSET(   'Cuadro tarifario'!D$2  , MATCH(CONCATENATE(                 IF(F621&gt;Mes,OFFSET(NroCT!B$17, MATCH($F621,NroCT!$A$18:$A1405,0),0,1,1),Periodovigente)                                                                                                                     ,A621) ,'Cuadro tarifario'!A$2:A1405,0) -1 , 0 , 1 , 1) )   , 0  ,   OFFSET(   'Cuadro tarifario'!D$2  , MATCH(CONCATENATE( IF(F621&gt;Mes,OFFSET(NroCT!B$17, MATCH($F621,NroCT!$A$18:$A1405,0),0,1,1),Periodovigente) ,A621) ,'Cuadro tarifario'!A$2:A1405,0) -1 , 0 , 1 , 1))</f>
        <v>9000</v>
      </c>
      <c r="I621" s="135">
        <f t="shared" si="195"/>
        <v>1</v>
      </c>
      <c r="J621" s="138">
        <f t="shared" si="235"/>
        <v>9000</v>
      </c>
      <c r="K621" s="136">
        <f>IF(  AND(N621&gt;0,I621=0)          ,N621 ,                         IF(  IF( F621 ,  DAYS360(DATE(YEAR(F621),MONTH(F621),1),Mes)/30  ,  DAYS360(DATE(YEAR(E621),MONTH(E621),1),Mes)/30  )  &gt;  0 , IF(F621,   DAYS360(DATE(YEAR(F621),MONTH(F621),1),Mes)/30  ,  DAYS360(DATE(YEAR(E621),MONTH(E621),1),Mes)/30) , 0)       )</f>
        <v>0</v>
      </c>
      <c r="L621" s="137">
        <f t="shared" si="196"/>
        <v>0</v>
      </c>
      <c r="M621" s="131"/>
      <c r="N621" s="130"/>
      <c r="O621" s="130"/>
      <c r="P621" s="130"/>
      <c r="Q621" s="130"/>
      <c r="R621" s="130"/>
      <c r="S621" s="130"/>
      <c r="T621" s="130"/>
    </row>
    <row r="622" ht="15.0" customHeight="1">
      <c r="A622" s="18" t="s">
        <v>40</v>
      </c>
      <c r="B622" s="18" t="s">
        <v>302</v>
      </c>
      <c r="C622" s="19">
        <v>1938.0</v>
      </c>
      <c r="D622" s="57" t="str">
        <f>IF(   ISERROR(OFFSET(PADRON!B$2,MATCH(C:C,PADRON!A$2:A1405,0)-1,0,1,1) )  ,  ,    OFFSET(PADRON!B$2,MATCH(C:C,PADRON!A$2:A1405,0)-1,0,1,1))</f>
        <v>VILLALBA, JUAN CRUZ</v>
      </c>
      <c r="E622" s="58">
        <v>45839.0</v>
      </c>
      <c r="F622" s="133">
        <v>45870.0</v>
      </c>
      <c r="G622" s="59" t="s">
        <v>39</v>
      </c>
      <c r="H622" s="60">
        <f>IF( ISERROR( OFFSET(   'Cuadro tarifario'!D$2  , MATCH(CONCATENATE(                 IF(F622&gt;Mes,OFFSET(NroCT!B$17, MATCH($F622,NroCT!$A$18:$A1405,0),0,1,1),Periodovigente)                                                                                                                     ,A622) ,'Cuadro tarifario'!A$2:A1405,0) -1 , 0 , 1 , 1) )   , 0  ,   OFFSET(   'Cuadro tarifario'!D$2  , MATCH(CONCATENATE( IF(F622&gt;Mes,OFFSET(NroCT!B$17, MATCH($F622,NroCT!$A$18:$A1405,0),0,1,1),Periodovigente) ,A622) ,'Cuadro tarifario'!A$2:A1405,0) -1 , 0 , 1 , 1))</f>
        <v>12000</v>
      </c>
      <c r="I622" s="135">
        <f t="shared" si="195"/>
        <v>1</v>
      </c>
      <c r="J622" s="138">
        <f t="shared" si="235"/>
        <v>12000</v>
      </c>
      <c r="K622" s="136">
        <f>IF(  AND(N622&gt;0,I622=0)          ,N622 ,                         IF(  IF( F622 ,  DAYS360(DATE(YEAR(F622),MONTH(F622),1),Mes)/30  ,  DAYS360(DATE(YEAR(E622),MONTH(E622),1),Mes)/30  )  &gt;  0 , IF(F622,   DAYS360(DATE(YEAR(F622),MONTH(F622),1),Mes)/30  ,  DAYS360(DATE(YEAR(E622),MONTH(E622),1),Mes)/30) , 0)       )</f>
        <v>0</v>
      </c>
      <c r="L622" s="137">
        <f t="shared" si="196"/>
        <v>0</v>
      </c>
      <c r="M622" s="131"/>
      <c r="N622" s="130"/>
      <c r="O622" s="130"/>
      <c r="P622" s="130"/>
      <c r="Q622" s="130"/>
      <c r="R622" s="130"/>
      <c r="S622" s="130"/>
      <c r="T622" s="130"/>
    </row>
    <row r="623" ht="15.0" customHeight="1">
      <c r="A623" s="18" t="s">
        <v>42</v>
      </c>
      <c r="B623" s="18" t="s">
        <v>303</v>
      </c>
      <c r="C623" s="19">
        <v>1938.0</v>
      </c>
      <c r="D623" s="57" t="str">
        <f>IF(   ISERROR(OFFSET(PADRON!B$2,MATCH(C:C,PADRON!A$2:A1405,0)-1,0,1,1) )  ,  ,    OFFSET(PADRON!B$2,MATCH(C:C,PADRON!A$2:A1405,0)-1,0,1,1))</f>
        <v>VILLALBA, JUAN CRUZ</v>
      </c>
      <c r="E623" s="58">
        <v>45992.0</v>
      </c>
      <c r="F623" s="133"/>
      <c r="G623" s="59" t="s">
        <v>39</v>
      </c>
      <c r="H623" s="60">
        <f>IF( ISERROR( OFFSET(   'Cuadro tarifario'!D$2  , MATCH(CONCATENATE(                 IF(F623&gt;Mes,OFFSET(NroCT!B$17, MATCH($F623,NroCT!$A$18:$A1405,0),0,1,1),Periodovigente)                                                                                                                     ,A623) ,'Cuadro tarifario'!A$2:A1405,0) -1 , 0 , 1 , 1) )   , 0  ,   OFFSET(   'Cuadro tarifario'!D$2  , MATCH(CONCATENATE( IF(F623&gt;Mes,OFFSET(NroCT!B$17, MATCH($F623,NroCT!$A$18:$A1405,0),0,1,1),Periodovigente) ,A623) ,'Cuadro tarifario'!A$2:A1405,0) -1 , 0 , 1 , 1))</f>
        <v>4000</v>
      </c>
      <c r="I623" s="135">
        <f t="shared" si="195"/>
        <v>0</v>
      </c>
      <c r="J623" s="138">
        <f t="shared" si="235"/>
        <v>0</v>
      </c>
      <c r="K623" s="136">
        <f>IF(  AND(N623&gt;0,I623=0)          ,N623 ,                         IF(  IF( F623 ,  DAYS360(DATE(YEAR(F623),MONTH(F623),1),Mes)/30  ,  DAYS360(DATE(YEAR(E623),MONTH(E623),1),Mes)/30  )  &gt;  0 , IF(F623,   DAYS360(DATE(YEAR(F623),MONTH(F623),1),Mes)/30  ,  DAYS360(DATE(YEAR(E623),MONTH(E623),1),Mes)/30) , 0)       )</f>
        <v>0</v>
      </c>
      <c r="L623" s="137">
        <f t="shared" si="196"/>
        <v>0</v>
      </c>
      <c r="M623" s="131"/>
      <c r="N623" s="130"/>
      <c r="O623" s="130"/>
      <c r="P623" s="130"/>
      <c r="Q623" s="130"/>
      <c r="R623" s="130"/>
      <c r="S623" s="130"/>
      <c r="T623" s="130"/>
    </row>
    <row r="624" ht="15.0" customHeight="1">
      <c r="A624" s="18" t="s">
        <v>71</v>
      </c>
      <c r="B624" s="18">
        <v>1939.0</v>
      </c>
      <c r="C624" s="19">
        <v>1939.0</v>
      </c>
      <c r="D624" s="57" t="str">
        <f>IF(   ISERROR(OFFSET(PADRON!B$2,MATCH(C:C,PADRON!A$2:A1405,0)-1,0,1,1) )  ,  ,    OFFSET(PADRON!B$2,MATCH(C:C,PADRON!A$2:A1405,0)-1,0,1,1))</f>
        <v>CANALI, FABIAN ALEJANDRO</v>
      </c>
      <c r="E624" s="58">
        <v>45839.0</v>
      </c>
      <c r="F624" s="133">
        <v>45870.0</v>
      </c>
      <c r="G624" s="59" t="s">
        <v>39</v>
      </c>
      <c r="H624" s="60">
        <f>IF( ISERROR( OFFSET(   'Cuadro tarifario'!D$2  , MATCH(CONCATENATE(                 IF(F624&gt;Mes,OFFSET(NroCT!B$17, MATCH($F624,NroCT!$A$18:$A1405,0),0,1,1),Periodovigente)                                                                                                                     ,A624) ,'Cuadro tarifario'!A$2:A1405,0) -1 , 0 , 1 , 1) )   , 0  ,   OFFSET(   'Cuadro tarifario'!D$2  , MATCH(CONCATENATE( IF(F624&gt;Mes,OFFSET(NroCT!B$17, MATCH($F624,NroCT!$A$18:$A1405,0),0,1,1),Periodovigente) ,A624) ,'Cuadro tarifario'!A$2:A1405,0) -1 , 0 , 1 , 1))</f>
        <v>11000</v>
      </c>
      <c r="I624" s="135">
        <f t="shared" si="195"/>
        <v>1</v>
      </c>
      <c r="J624" s="138">
        <f t="shared" si="235"/>
        <v>11000</v>
      </c>
      <c r="K624" s="136">
        <f>IF(  AND(N624&gt;0,I624=0)          ,N624 ,                         IF(  IF( F624 ,  DAYS360(DATE(YEAR(F624),MONTH(F624),1),Mes)/30  ,  DAYS360(DATE(YEAR(E624),MONTH(E624),1),Mes)/30  )  &gt;  0 , IF(F624,   DAYS360(DATE(YEAR(F624),MONTH(F624),1),Mes)/30  ,  DAYS360(DATE(YEAR(E624),MONTH(E624),1),Mes)/30) , 0)       )</f>
        <v>0</v>
      </c>
      <c r="L624" s="137">
        <f t="shared" si="196"/>
        <v>0</v>
      </c>
      <c r="M624" s="131"/>
      <c r="N624" s="130"/>
      <c r="O624" s="130"/>
      <c r="P624" s="130"/>
      <c r="Q624" s="130"/>
      <c r="R624" s="130"/>
      <c r="S624" s="130"/>
      <c r="T624" s="130"/>
    </row>
    <row r="625" ht="15.0" customHeight="1">
      <c r="A625" s="18" t="s">
        <v>38</v>
      </c>
      <c r="B625" s="18">
        <v>1939.0</v>
      </c>
      <c r="C625" s="19">
        <v>1939.0</v>
      </c>
      <c r="D625" s="57" t="str">
        <f>IF(   ISERROR(OFFSET(PADRON!B$2,MATCH(C:C,PADRON!A$2:A1405,0)-1,0,1,1) )  ,  ,    OFFSET(PADRON!B$2,MATCH(C:C,PADRON!A$2:A1405,0)-1,0,1,1))</f>
        <v>CANALI, FABIAN ALEJANDRO</v>
      </c>
      <c r="E625" s="58">
        <v>45839.0</v>
      </c>
      <c r="F625" s="133">
        <v>45870.0</v>
      </c>
      <c r="G625" s="59" t="s">
        <v>39</v>
      </c>
      <c r="H625" s="60">
        <f>IF( ISERROR( OFFSET(   'Cuadro tarifario'!D$2  , MATCH(CONCATENATE(                 IF(F625&gt;Mes,OFFSET(NroCT!B$17, MATCH($F625,NroCT!$A$18:$A1405,0),0,1,1),Periodovigente)                                                                                                                     ,A625) ,'Cuadro tarifario'!A$2:A1405,0) -1 , 0 , 1 , 1) )   , 0  ,   OFFSET(   'Cuadro tarifario'!D$2  , MATCH(CONCATENATE( IF(F625&gt;Mes,OFFSET(NroCT!B$17, MATCH($F625,NroCT!$A$18:$A1405,0),0,1,1),Periodovigente) ,A625) ,'Cuadro tarifario'!A$2:A1405,0) -1 , 0 , 1 , 1))</f>
        <v>9000</v>
      </c>
      <c r="I625" s="135">
        <f t="shared" si="195"/>
        <v>1</v>
      </c>
      <c r="J625" s="138">
        <f t="shared" si="235"/>
        <v>9000</v>
      </c>
      <c r="K625" s="136">
        <f>IF(  AND(N625&gt;0,I625=0)          ,N625 ,                         IF(  IF( F625 ,  DAYS360(DATE(YEAR(F625),MONTH(F625),1),Mes)/30  ,  DAYS360(DATE(YEAR(E625),MONTH(E625),1),Mes)/30  )  &gt;  0 , IF(F625,   DAYS360(DATE(YEAR(F625),MONTH(F625),1),Mes)/30  ,  DAYS360(DATE(YEAR(E625),MONTH(E625),1),Mes)/30) , 0)       )</f>
        <v>0</v>
      </c>
      <c r="L625" s="137">
        <f t="shared" si="196"/>
        <v>0</v>
      </c>
      <c r="M625" s="131"/>
      <c r="N625" s="130"/>
      <c r="O625" s="130"/>
      <c r="P625" s="130"/>
      <c r="Q625" s="130"/>
      <c r="R625" s="130"/>
      <c r="S625" s="130"/>
      <c r="T625" s="130"/>
    </row>
    <row r="626" ht="15.0" customHeight="1">
      <c r="A626" s="18" t="s">
        <v>71</v>
      </c>
      <c r="B626" s="18">
        <v>1942.0</v>
      </c>
      <c r="C626" s="19">
        <v>1942.0</v>
      </c>
      <c r="D626" s="57" t="str">
        <f>IF(   ISERROR(OFFSET(PADRON!B$2,MATCH(C:C,PADRON!A$2:A1405,0)-1,0,1,1) )  ,  ,    OFFSET(PADRON!B$2,MATCH(C:C,PADRON!A$2:A1405,0)-1,0,1,1))</f>
        <v>JAUREGUI, AYLEN</v>
      </c>
      <c r="E626" s="58">
        <v>45778.0</v>
      </c>
      <c r="F626" s="133"/>
      <c r="G626" s="59" t="s">
        <v>39</v>
      </c>
      <c r="H626" s="60">
        <f>IF( ISERROR( OFFSET(   'Cuadro tarifario'!D$2  , MATCH(CONCATENATE(                 IF(F626&gt;Mes,OFFSET(NroCT!B$17, MATCH($F626,NroCT!$A$18:$A1405,0),0,1,1),Periodovigente)                                                                                                                     ,A626) ,'Cuadro tarifario'!A$2:A1405,0) -1 , 0 , 1 , 1) )   , 0  ,   OFFSET(   'Cuadro tarifario'!D$2  , MATCH(CONCATENATE( IF(F626&gt;Mes,OFFSET(NroCT!B$17, MATCH($F626,NroCT!$A$18:$A1405,0),0,1,1),Periodovigente) ,A626) ,'Cuadro tarifario'!A$2:A1405,0) -1 , 0 , 1 , 1))</f>
        <v>11000</v>
      </c>
      <c r="I626" s="135">
        <f t="shared" si="195"/>
        <v>0</v>
      </c>
      <c r="J626" s="138">
        <f t="shared" si="235"/>
        <v>0</v>
      </c>
      <c r="K626" s="136">
        <f>IF(  AND(N626&gt;0,I626=0)          ,N626 ,                         IF(  IF( F626 ,  DAYS360(DATE(YEAR(F626),MONTH(F626),1),Mes)/30  ,  DAYS360(DATE(YEAR(E626),MONTH(E626),1),Mes)/30  )  &gt;  0 , IF(F626,   DAYS360(DATE(YEAR(F626),MONTH(F626),1),Mes)/30  ,  DAYS360(DATE(YEAR(E626),MONTH(E626),1),Mes)/30) , 0)       )</f>
        <v>3</v>
      </c>
      <c r="L626" s="137">
        <f t="shared" si="196"/>
        <v>33000</v>
      </c>
      <c r="M626" s="131"/>
      <c r="N626" s="130"/>
      <c r="O626" s="130"/>
      <c r="P626" s="130"/>
      <c r="Q626" s="130"/>
      <c r="R626" s="130"/>
      <c r="S626" s="130"/>
      <c r="T626" s="130"/>
    </row>
    <row r="627" ht="18.0" customHeight="1">
      <c r="A627" s="18" t="s">
        <v>38</v>
      </c>
      <c r="B627" s="18">
        <v>1942.0</v>
      </c>
      <c r="C627" s="19">
        <v>1942.0</v>
      </c>
      <c r="D627" s="57" t="str">
        <f>IF(   ISERROR(OFFSET(PADRON!B$2,MATCH(C:C,PADRON!A$2:A1405,0)-1,0,1,1) )  ,  ,    OFFSET(PADRON!B$2,MATCH(C:C,PADRON!A$2:A1405,0)-1,0,1,1))</f>
        <v>JAUREGUI, AYLEN</v>
      </c>
      <c r="E627" s="58">
        <v>45778.0</v>
      </c>
      <c r="F627" s="133"/>
      <c r="G627" s="59" t="s">
        <v>39</v>
      </c>
      <c r="H627" s="60">
        <f>IF( ISERROR( OFFSET(   'Cuadro tarifario'!D$2  , MATCH(CONCATENATE(                 IF(F627&gt;Mes,OFFSET(NroCT!B$17, MATCH($F627,NroCT!$A$18:$A1405,0),0,1,1),Periodovigente)                                                                                                                     ,A627) ,'Cuadro tarifario'!A$2:A1405,0) -1 , 0 , 1 , 1) )   , 0  ,   OFFSET(   'Cuadro tarifario'!D$2  , MATCH(CONCATENATE( IF(F627&gt;Mes,OFFSET(NroCT!B$17, MATCH($F627,NroCT!$A$18:$A1405,0),0,1,1),Periodovigente) ,A627) ,'Cuadro tarifario'!A$2:A1405,0) -1 , 0 , 1 , 1))</f>
        <v>9000</v>
      </c>
      <c r="I627" s="135">
        <f t="shared" si="195"/>
        <v>0</v>
      </c>
      <c r="J627" s="138">
        <f t="shared" si="235"/>
        <v>0</v>
      </c>
      <c r="K627" s="136">
        <f>IF(  AND(N627&gt;0,I627=0)          ,N627 ,                         IF(  IF( F627 ,  DAYS360(DATE(YEAR(F627),MONTH(F627),1),Mes)/30  ,  DAYS360(DATE(YEAR(E627),MONTH(E627),1),Mes)/30  )  &gt;  0 , IF(F627,   DAYS360(DATE(YEAR(F627),MONTH(F627),1),Mes)/30  ,  DAYS360(DATE(YEAR(E627),MONTH(E627),1),Mes)/30) , 0)       )</f>
        <v>3</v>
      </c>
      <c r="L627" s="137">
        <f t="shared" si="196"/>
        <v>27000</v>
      </c>
      <c r="M627" s="131"/>
      <c r="N627" s="130"/>
      <c r="O627" s="130"/>
      <c r="P627" s="130"/>
      <c r="Q627" s="130"/>
      <c r="R627" s="130"/>
      <c r="S627" s="130"/>
      <c r="T627" s="130"/>
    </row>
    <row r="628" ht="15.0" customHeight="1">
      <c r="A628" s="18" t="s">
        <v>40</v>
      </c>
      <c r="B628" s="18" t="s">
        <v>304</v>
      </c>
      <c r="C628" s="19">
        <v>1942.0</v>
      </c>
      <c r="D628" s="57" t="str">
        <f>IF(   ISERROR(OFFSET(PADRON!B$2,MATCH(C:C,PADRON!A$2:A1405,0)-1,0,1,1) )  ,  ,    OFFSET(PADRON!B$2,MATCH(C:C,PADRON!A$2:A1405,0)-1,0,1,1))</f>
        <v>JAUREGUI, AYLEN</v>
      </c>
      <c r="E628" s="58">
        <v>45778.0</v>
      </c>
      <c r="F628" s="133"/>
      <c r="G628" s="59" t="s">
        <v>39</v>
      </c>
      <c r="H628" s="60">
        <f>IF( ISERROR( OFFSET(   'Cuadro tarifario'!D$2  , MATCH(CONCATENATE(                 IF(F628&gt;Mes,OFFSET(NroCT!B$17, MATCH($F628,NroCT!$A$18:$A1405,0),0,1,1),Periodovigente)                                                                                                                     ,A628) ,'Cuadro tarifario'!A$2:A1405,0) -1 , 0 , 1 , 1) )   , 0  ,   OFFSET(   'Cuadro tarifario'!D$2  , MATCH(CONCATENATE( IF(F628&gt;Mes,OFFSET(NroCT!B$17, MATCH($F628,NroCT!$A$18:$A1405,0),0,1,1),Periodovigente) ,A628) ,'Cuadro tarifario'!A$2:A1405,0) -1 , 0 , 1 , 1))</f>
        <v>12000</v>
      </c>
      <c r="I628" s="135">
        <f t="shared" si="195"/>
        <v>0</v>
      </c>
      <c r="J628" s="138">
        <f t="shared" si="235"/>
        <v>0</v>
      </c>
      <c r="K628" s="136">
        <f>IF(  AND(N628&gt;0,I628=0)          ,N628 ,                         IF(  IF( F628 ,  DAYS360(DATE(YEAR(F628),MONTH(F628),1),Mes)/30  ,  DAYS360(DATE(YEAR(E628),MONTH(E628),1),Mes)/30  )  &gt;  0 , IF(F628,   DAYS360(DATE(YEAR(F628),MONTH(F628),1),Mes)/30  ,  DAYS360(DATE(YEAR(E628),MONTH(E628),1),Mes)/30) , 0)       )</f>
        <v>3</v>
      </c>
      <c r="L628" s="137">
        <f t="shared" si="196"/>
        <v>36000</v>
      </c>
      <c r="M628" s="131"/>
      <c r="N628" s="130"/>
      <c r="O628" s="130"/>
      <c r="P628" s="130"/>
      <c r="Q628" s="130"/>
      <c r="R628" s="130"/>
      <c r="S628" s="130"/>
      <c r="T628" s="130"/>
    </row>
    <row r="629" ht="15.0" customHeight="1">
      <c r="A629" s="18" t="s">
        <v>71</v>
      </c>
      <c r="B629" s="18">
        <v>1944.0</v>
      </c>
      <c r="C629" s="19">
        <v>1944.0</v>
      </c>
      <c r="D629" s="57" t="str">
        <f>IF(   ISERROR(OFFSET(PADRON!B$2,MATCH(C:C,PADRON!A$2:A1405,0)-1,0,1,1) )  ,  ,    OFFSET(PADRON!B$2,MATCH(C:C,PADRON!A$2:A1405,0)-1,0,1,1))</f>
        <v>LUNELLI, LEANDRO</v>
      </c>
      <c r="E629" s="58">
        <v>45839.0</v>
      </c>
      <c r="F629" s="133">
        <v>45870.0</v>
      </c>
      <c r="G629" s="59" t="s">
        <v>39</v>
      </c>
      <c r="H629" s="60">
        <f>IF( ISERROR( OFFSET(   'Cuadro tarifario'!D$2  , MATCH(CONCATENATE(                 IF(F629&gt;Mes,OFFSET(NroCT!B$17, MATCH($F629,NroCT!$A$18:$A1405,0),0,1,1),Periodovigente)                                                                                                                     ,A629) ,'Cuadro tarifario'!A$2:A1405,0) -1 , 0 , 1 , 1) )   , 0  ,   OFFSET(   'Cuadro tarifario'!D$2  , MATCH(CONCATENATE( IF(F629&gt;Mes,OFFSET(NroCT!B$17, MATCH($F629,NroCT!$A$18:$A1405,0),0,1,1),Periodovigente) ,A629) ,'Cuadro tarifario'!A$2:A1405,0) -1 , 0 , 1 , 1))</f>
        <v>11000</v>
      </c>
      <c r="I629" s="135">
        <f t="shared" si="195"/>
        <v>1</v>
      </c>
      <c r="J629" s="138">
        <f t="shared" si="235"/>
        <v>11000</v>
      </c>
      <c r="K629" s="136">
        <f>IF(  AND(N629&gt;0,I629=0)          ,N629 ,                         IF(  IF( F629 ,  DAYS360(DATE(YEAR(F629),MONTH(F629),1),Mes)/30  ,  DAYS360(DATE(YEAR(E629),MONTH(E629),1),Mes)/30  )  &gt;  0 , IF(F629,   DAYS360(DATE(YEAR(F629),MONTH(F629),1),Mes)/30  ,  DAYS360(DATE(YEAR(E629),MONTH(E629),1),Mes)/30) , 0)       )</f>
        <v>0</v>
      </c>
      <c r="L629" s="137">
        <f t="shared" si="196"/>
        <v>0</v>
      </c>
      <c r="M629" s="131"/>
      <c r="N629" s="130"/>
      <c r="O629" s="130"/>
      <c r="P629" s="130"/>
      <c r="Q629" s="130"/>
      <c r="R629" s="130"/>
      <c r="S629" s="130"/>
      <c r="T629" s="130"/>
    </row>
    <row r="630" ht="15.0" customHeight="1">
      <c r="A630" s="18" t="s">
        <v>38</v>
      </c>
      <c r="B630" s="18">
        <v>1944.0</v>
      </c>
      <c r="C630" s="19">
        <v>1944.0</v>
      </c>
      <c r="D630" s="57" t="str">
        <f>IF(   ISERROR(OFFSET(PADRON!B$2,MATCH(C:C,PADRON!A$2:A1405,0)-1,0,1,1) )  ,  ,    OFFSET(PADRON!B$2,MATCH(C:C,PADRON!A$2:A1405,0)-1,0,1,1))</f>
        <v>LUNELLI, LEANDRO</v>
      </c>
      <c r="E630" s="58">
        <v>45839.0</v>
      </c>
      <c r="F630" s="133">
        <v>45870.0</v>
      </c>
      <c r="G630" s="128" t="s">
        <v>39</v>
      </c>
      <c r="H630" s="60">
        <f>IF( ISERROR( OFFSET(   'Cuadro tarifario'!D$2  , MATCH(CONCATENATE(                 IF(F630&gt;Mes,OFFSET(NroCT!B$17, MATCH($F630,NroCT!$A$18:$A1405,0),0,1,1),Periodovigente)                                                                                                                     ,A630) ,'Cuadro tarifario'!A$2:A1405,0) -1 , 0 , 1 , 1) )   , 0  ,   OFFSET(   'Cuadro tarifario'!D$2  , MATCH(CONCATENATE( IF(F630&gt;Mes,OFFSET(NroCT!B$17, MATCH($F630,NroCT!$A$18:$A1405,0),0,1,1),Periodovigente) ,A630) ,'Cuadro tarifario'!A$2:A1405,0) -1 , 0 , 1 , 1))</f>
        <v>9000</v>
      </c>
      <c r="I630" s="135">
        <f t="shared" si="195"/>
        <v>1</v>
      </c>
      <c r="J630" s="138">
        <f t="shared" si="235"/>
        <v>9000</v>
      </c>
      <c r="K630" s="136">
        <f>IF(  AND(N630&gt;0,I630=0)          ,N630 ,                         IF(  IF( F630 ,  DAYS360(DATE(YEAR(F630),MONTH(F630),1),Mes)/30  ,  DAYS360(DATE(YEAR(E630),MONTH(E630),1),Mes)/30  )  &gt;  0 , IF(F630,   DAYS360(DATE(YEAR(F630),MONTH(F630),1),Mes)/30  ,  DAYS360(DATE(YEAR(E630),MONTH(E630),1),Mes)/30) , 0)       )</f>
        <v>0</v>
      </c>
      <c r="L630" s="137">
        <f t="shared" si="196"/>
        <v>0</v>
      </c>
      <c r="M630" s="131"/>
      <c r="N630" s="130"/>
      <c r="O630" s="130"/>
      <c r="P630" s="130"/>
      <c r="Q630" s="130"/>
      <c r="R630" s="130"/>
      <c r="S630" s="130"/>
      <c r="T630" s="130"/>
    </row>
    <row r="631" ht="15.0" customHeight="1">
      <c r="A631" s="18" t="s">
        <v>40</v>
      </c>
      <c r="B631" s="18" t="s">
        <v>305</v>
      </c>
      <c r="C631" s="19">
        <v>1944.0</v>
      </c>
      <c r="D631" s="57" t="str">
        <f>IF(   ISERROR(OFFSET(PADRON!B$2,MATCH(C:C,PADRON!A$2:A1405,0)-1,0,1,1) )  ,  ,    OFFSET(PADRON!B$2,MATCH(C:C,PADRON!A$2:A1405,0)-1,0,1,1))</f>
        <v>LUNELLI, LEANDRO</v>
      </c>
      <c r="E631" s="58">
        <v>45839.0</v>
      </c>
      <c r="F631" s="133">
        <v>45870.0</v>
      </c>
      <c r="G631" s="128" t="s">
        <v>39</v>
      </c>
      <c r="H631" s="60">
        <f>IF( ISERROR( OFFSET(   'Cuadro tarifario'!D$2  , MATCH(CONCATENATE(                 IF(F631&gt;Mes,OFFSET(NroCT!B$17, MATCH($F631,NroCT!$A$18:$A1405,0),0,1,1),Periodovigente)                                                                                                                     ,A631) ,'Cuadro tarifario'!A$2:A1405,0) -1 , 0 , 1 , 1) )   , 0  ,   OFFSET(   'Cuadro tarifario'!D$2  , MATCH(CONCATENATE( IF(F631&gt;Mes,OFFSET(NroCT!B$17, MATCH($F631,NroCT!$A$18:$A1405,0),0,1,1),Periodovigente) ,A631) ,'Cuadro tarifario'!A$2:A1405,0) -1 , 0 , 1 , 1))</f>
        <v>12000</v>
      </c>
      <c r="I631" s="135">
        <f t="shared" si="195"/>
        <v>1</v>
      </c>
      <c r="J631" s="138">
        <f t="shared" si="235"/>
        <v>12000</v>
      </c>
      <c r="K631" s="136">
        <f>IF(  AND(N631&gt;0,I631=0)          ,N631 ,                         IF(  IF( F631 ,  DAYS360(DATE(YEAR(F631),MONTH(F631),1),Mes)/30  ,  DAYS360(DATE(YEAR(E631),MONTH(E631),1),Mes)/30  )  &gt;  0 , IF(F631,   DAYS360(DATE(YEAR(F631),MONTH(F631),1),Mes)/30  ,  DAYS360(DATE(YEAR(E631),MONTH(E631),1),Mes)/30) , 0)       )</f>
        <v>0</v>
      </c>
      <c r="L631" s="137">
        <f t="shared" si="196"/>
        <v>0</v>
      </c>
      <c r="M631" s="131"/>
      <c r="N631" s="130"/>
      <c r="O631" s="130"/>
      <c r="P631" s="130"/>
      <c r="Q631" s="130"/>
      <c r="R631" s="130"/>
      <c r="S631" s="130"/>
      <c r="T631" s="130"/>
    </row>
    <row r="632" ht="15.0" customHeight="1">
      <c r="A632" s="18" t="s">
        <v>71</v>
      </c>
      <c r="B632" s="18">
        <v>1946.0</v>
      </c>
      <c r="C632" s="19">
        <v>1946.0</v>
      </c>
      <c r="D632" s="57" t="str">
        <f>IF(   ISERROR(OFFSET(PADRON!B$2,MATCH(C:C,PADRON!A$2:A1405,0)-1,0,1,1) )  ,  ,    OFFSET(PADRON!B$2,MATCH(C:C,PADRON!A$2:A1405,0)-1,0,1,1))</f>
        <v>BOMBELLI, JUAN IGNACIO</v>
      </c>
      <c r="E632" s="58">
        <v>45839.0</v>
      </c>
      <c r="F632" s="133">
        <v>45870.0</v>
      </c>
      <c r="G632" s="59" t="s">
        <v>39</v>
      </c>
      <c r="H632" s="60">
        <f>IF( ISERROR( OFFSET(   'Cuadro tarifario'!D$2  , MATCH(CONCATENATE(                 IF(F632&gt;Mes,OFFSET(NroCT!B$17, MATCH($F632,NroCT!$A$18:$A1405,0),0,1,1),Periodovigente)                                                                                                                     ,A632) ,'Cuadro tarifario'!A$2:A1405,0) -1 , 0 , 1 , 1) )   , 0  ,   OFFSET(   'Cuadro tarifario'!D$2  , MATCH(CONCATENATE( IF(F632&gt;Mes,OFFSET(NroCT!B$17, MATCH($F632,NroCT!$A$18:$A1405,0),0,1,1),Periodovigente) ,A632) ,'Cuadro tarifario'!A$2:A1405,0) -1 , 0 , 1 , 1))</f>
        <v>11000</v>
      </c>
      <c r="I632" s="135">
        <f t="shared" si="195"/>
        <v>1</v>
      </c>
      <c r="J632" s="138">
        <f t="shared" si="235"/>
        <v>11000</v>
      </c>
      <c r="K632" s="136">
        <f>IF(  AND(N632&gt;0,I632=0)          ,N632 ,                         IF(  IF( F632 ,  DAYS360(DATE(YEAR(F632),MONTH(F632),1),Mes)/30  ,  DAYS360(DATE(YEAR(E632),MONTH(E632),1),Mes)/30  )  &gt;  0 , IF(F632,   DAYS360(DATE(YEAR(F632),MONTH(F632),1),Mes)/30  ,  DAYS360(DATE(YEAR(E632),MONTH(E632),1),Mes)/30) , 0)       )</f>
        <v>0</v>
      </c>
      <c r="L632" s="137">
        <f t="shared" si="196"/>
        <v>0</v>
      </c>
      <c r="M632" s="131"/>
      <c r="N632" s="130"/>
      <c r="O632" s="130"/>
      <c r="P632" s="130"/>
      <c r="Q632" s="130"/>
      <c r="R632" s="130"/>
      <c r="S632" s="130"/>
      <c r="T632" s="130"/>
    </row>
    <row r="633" ht="15.0" customHeight="1">
      <c r="A633" s="18" t="s">
        <v>38</v>
      </c>
      <c r="B633" s="18">
        <v>1946.0</v>
      </c>
      <c r="C633" s="19">
        <v>1946.0</v>
      </c>
      <c r="D633" s="57" t="str">
        <f>IF(   ISERROR(OFFSET(PADRON!B$2,MATCH(C:C,PADRON!A$2:A1405,0)-1,0,1,1) )  ,  ,    OFFSET(PADRON!B$2,MATCH(C:C,PADRON!A$2:A1405,0)-1,0,1,1))</f>
        <v>BOMBELLI, JUAN IGNACIO</v>
      </c>
      <c r="E633" s="58">
        <v>45839.0</v>
      </c>
      <c r="F633" s="133">
        <v>45870.0</v>
      </c>
      <c r="G633" s="59" t="s">
        <v>39</v>
      </c>
      <c r="H633" s="60">
        <f>IF( ISERROR( OFFSET(   'Cuadro tarifario'!D$2  , MATCH(CONCATENATE(                 IF(F633&gt;Mes,OFFSET(NroCT!B$17, MATCH($F633,NroCT!$A$18:$A1405,0),0,1,1),Periodovigente)                                                                                                                     ,A633) ,'Cuadro tarifario'!A$2:A1405,0) -1 , 0 , 1 , 1) )   , 0  ,   OFFSET(   'Cuadro tarifario'!D$2  , MATCH(CONCATENATE( IF(F633&gt;Mes,OFFSET(NroCT!B$17, MATCH($F633,NroCT!$A$18:$A1405,0),0,1,1),Periodovigente) ,A633) ,'Cuadro tarifario'!A$2:A1405,0) -1 , 0 , 1 , 1))</f>
        <v>9000</v>
      </c>
      <c r="I633" s="135">
        <f t="shared" si="195"/>
        <v>1</v>
      </c>
      <c r="J633" s="138">
        <f t="shared" si="235"/>
        <v>9000</v>
      </c>
      <c r="K633" s="136">
        <f>IF(  AND(N633&gt;0,I633=0)          ,N633 ,                         IF(  IF( F633 ,  DAYS360(DATE(YEAR(F633),MONTH(F633),1),Mes)/30  ,  DAYS360(DATE(YEAR(E633),MONTH(E633),1),Mes)/30  )  &gt;  0 , IF(F633,   DAYS360(DATE(YEAR(F633),MONTH(F633),1),Mes)/30  ,  DAYS360(DATE(YEAR(E633),MONTH(E633),1),Mes)/30) , 0)       )</f>
        <v>0</v>
      </c>
      <c r="L633" s="137">
        <f t="shared" si="196"/>
        <v>0</v>
      </c>
      <c r="M633" s="131"/>
      <c r="N633" s="130"/>
      <c r="O633" s="130"/>
      <c r="P633" s="130"/>
      <c r="Q633" s="130"/>
      <c r="R633" s="130"/>
      <c r="S633" s="130"/>
      <c r="T633" s="130"/>
    </row>
    <row r="634" ht="15.0" customHeight="1">
      <c r="A634" s="18" t="s">
        <v>82</v>
      </c>
      <c r="B634" s="18" t="s">
        <v>306</v>
      </c>
      <c r="C634" s="19">
        <v>1946.0</v>
      </c>
      <c r="D634" s="57" t="str">
        <f>IF(   ISERROR(OFFSET(PADRON!B$2,MATCH(C:C,PADRON!A$2:A1405,0)-1,0,1,1) )  ,  ,    OFFSET(PADRON!B$2,MATCH(C:C,PADRON!A$2:A1405,0)-1,0,1,1))</f>
        <v>BOMBELLI, JUAN IGNACIO</v>
      </c>
      <c r="E634" s="58">
        <v>45839.0</v>
      </c>
      <c r="F634" s="133">
        <v>45870.0</v>
      </c>
      <c r="G634" s="59" t="s">
        <v>39</v>
      </c>
      <c r="H634" s="60">
        <f>IF( ISERROR( OFFSET(   'Cuadro tarifario'!D$2  , MATCH(CONCATENATE(                 IF(F634&gt;Mes,OFFSET(NroCT!B$17, MATCH($F634,NroCT!$A$18:$A1405,0),0,1,1),Periodovigente)                                                                                                                     ,A634) ,'Cuadro tarifario'!A$2:A1405,0) -1 , 0 , 1 , 1) )   , 0  ,   OFFSET(   'Cuadro tarifario'!D$2  , MATCH(CONCATENATE( IF(F634&gt;Mes,OFFSET(NroCT!B$17, MATCH($F634,NroCT!$A$18:$A1405,0),0,1,1),Periodovigente) ,A634) ,'Cuadro tarifario'!A$2:A1405,0) -1 , 0 , 1 , 1))</f>
        <v>12000</v>
      </c>
      <c r="I634" s="135">
        <f t="shared" si="195"/>
        <v>1</v>
      </c>
      <c r="J634" s="138">
        <f t="shared" si="235"/>
        <v>12000</v>
      </c>
      <c r="K634" s="136">
        <f>IF(  AND(N634&gt;0,I634=0)          ,N634 ,                         IF(  IF( F634 ,  DAYS360(DATE(YEAR(F634),MONTH(F634),1),Mes)/30  ,  DAYS360(DATE(YEAR(E634),MONTH(E634),1),Mes)/30  )  &gt;  0 , IF(F634,   DAYS360(DATE(YEAR(F634),MONTH(F634),1),Mes)/30  ,  DAYS360(DATE(YEAR(E634),MONTH(E634),1),Mes)/30) , 0)       )</f>
        <v>0</v>
      </c>
      <c r="L634" s="137">
        <f t="shared" si="196"/>
        <v>0</v>
      </c>
      <c r="M634" s="131"/>
      <c r="N634" s="130"/>
      <c r="O634" s="130"/>
      <c r="P634" s="130"/>
      <c r="Q634" s="130"/>
      <c r="R634" s="130"/>
      <c r="S634" s="130"/>
      <c r="T634" s="130"/>
    </row>
    <row r="635" ht="15.0" customHeight="1">
      <c r="A635" s="18" t="s">
        <v>71</v>
      </c>
      <c r="B635" s="18">
        <v>1947.0</v>
      </c>
      <c r="C635" s="19">
        <v>1947.0</v>
      </c>
      <c r="D635" s="57" t="str">
        <f>IF(   ISERROR(OFFSET(PADRON!B$2,MATCH(C:C,PADRON!A$2:A1405,0)-1,0,1,1) )  ,  ,    OFFSET(PADRON!B$2,MATCH(C:C,PADRON!A$2:A1405,0)-1,0,1,1))</f>
        <v>IRIGOYEN , PABLO</v>
      </c>
      <c r="E635" s="58">
        <v>45689.0</v>
      </c>
      <c r="F635" s="133"/>
      <c r="G635" s="59" t="s">
        <v>39</v>
      </c>
      <c r="H635" s="60">
        <f>IF( ISERROR( OFFSET(   'Cuadro tarifario'!D$2  , MATCH(CONCATENATE(                 IF(F635&gt;Mes,OFFSET(NroCT!B$17, MATCH($F635,NroCT!$A$18:$A1405,0),0,1,1),Periodovigente)                                                                                                                     ,A635) ,'Cuadro tarifario'!A$2:A1405,0) -1 , 0 , 1 , 1) )   , 0  ,   OFFSET(   'Cuadro tarifario'!D$2  , MATCH(CONCATENATE( IF(F635&gt;Mes,OFFSET(NroCT!B$17, MATCH($F635,NroCT!$A$18:$A1405,0),0,1,1),Periodovigente) ,A635) ,'Cuadro tarifario'!A$2:A1405,0) -1 , 0 , 1 , 1))</f>
        <v>11000</v>
      </c>
      <c r="I635" s="135">
        <f t="shared" si="195"/>
        <v>0</v>
      </c>
      <c r="J635" s="138">
        <f t="shared" si="235"/>
        <v>0</v>
      </c>
      <c r="K635" s="136">
        <f>IF(  AND(N635&gt;0,I635=0)          ,N635 ,                         IF(  IF( F635 ,  DAYS360(DATE(YEAR(F635),MONTH(F635),1),Mes)/30  ,  DAYS360(DATE(YEAR(E635),MONTH(E635),1),Mes)/30  )  &gt;  0 , IF(F635,   DAYS360(DATE(YEAR(F635),MONTH(F635),1),Mes)/30  ,  DAYS360(DATE(YEAR(E635),MONTH(E635),1),Mes)/30) , 0)       )</f>
        <v>6</v>
      </c>
      <c r="L635" s="137">
        <f t="shared" si="196"/>
        <v>66000</v>
      </c>
      <c r="M635" s="131"/>
      <c r="N635" s="130"/>
      <c r="O635" s="130"/>
      <c r="P635" s="130"/>
      <c r="Q635" s="130"/>
      <c r="R635" s="130"/>
      <c r="S635" s="130"/>
      <c r="T635" s="130"/>
    </row>
    <row r="636" ht="15.0" customHeight="1">
      <c r="A636" s="18" t="s">
        <v>38</v>
      </c>
      <c r="B636" s="18">
        <v>1947.0</v>
      </c>
      <c r="C636" s="19">
        <v>1947.0</v>
      </c>
      <c r="D636" s="57" t="str">
        <f>IF(   ISERROR(OFFSET(PADRON!B$2,MATCH(C:C,PADRON!A$2:A1405,0)-1,0,1,1) )  ,  ,    OFFSET(PADRON!B$2,MATCH(C:C,PADRON!A$2:A1405,0)-1,0,1,1))</f>
        <v>IRIGOYEN , PABLO</v>
      </c>
      <c r="E636" s="58">
        <v>45689.0</v>
      </c>
      <c r="F636" s="133"/>
      <c r="G636" s="59" t="s">
        <v>39</v>
      </c>
      <c r="H636" s="60">
        <f>IF( ISERROR( OFFSET(   'Cuadro tarifario'!D$2  , MATCH(CONCATENATE(                 IF(F636&gt;Mes,OFFSET(NroCT!B$17, MATCH($F636,NroCT!$A$18:$A1405,0),0,1,1),Periodovigente)                                                                                                                     ,A636) ,'Cuadro tarifario'!A$2:A1405,0) -1 , 0 , 1 , 1) )   , 0  ,   OFFSET(   'Cuadro tarifario'!D$2  , MATCH(CONCATENATE( IF(F636&gt;Mes,OFFSET(NroCT!B$17, MATCH($F636,NroCT!$A$18:$A1405,0),0,1,1),Periodovigente) ,A636) ,'Cuadro tarifario'!A$2:A1405,0) -1 , 0 , 1 , 1))</f>
        <v>9000</v>
      </c>
      <c r="I636" s="135">
        <f t="shared" si="195"/>
        <v>0</v>
      </c>
      <c r="J636" s="138">
        <f t="shared" si="235"/>
        <v>0</v>
      </c>
      <c r="K636" s="136">
        <f>IF(  AND(N636&gt;0,I636=0)          ,N636 ,                         IF(  IF( F636 ,  DAYS360(DATE(YEAR(F636),MONTH(F636),1),Mes)/30  ,  DAYS360(DATE(YEAR(E636),MONTH(E636),1),Mes)/30  )  &gt;  0 , IF(F636,   DAYS360(DATE(YEAR(F636),MONTH(F636),1),Mes)/30  ,  DAYS360(DATE(YEAR(E636),MONTH(E636),1),Mes)/30) , 0)       )</f>
        <v>6</v>
      </c>
      <c r="L636" s="137">
        <f t="shared" si="196"/>
        <v>54000</v>
      </c>
      <c r="M636" s="131"/>
      <c r="N636" s="130"/>
      <c r="O636" s="130"/>
      <c r="P636" s="130"/>
      <c r="Q636" s="130"/>
      <c r="R636" s="130"/>
      <c r="S636" s="130"/>
      <c r="T636" s="130"/>
    </row>
    <row r="637" ht="15.0" customHeight="1">
      <c r="A637" s="18" t="s">
        <v>71</v>
      </c>
      <c r="B637" s="18">
        <v>1948.0</v>
      </c>
      <c r="C637" s="19">
        <v>1948.0</v>
      </c>
      <c r="D637" s="57" t="str">
        <f>IF(   ISERROR(OFFSET(PADRON!B$2,MATCH(C:C,PADRON!A$2:A1405,0)-1,0,1,1) )  ,  ,    OFFSET(PADRON!B$2,MATCH(C:C,PADRON!A$2:A1405,0)-1,0,1,1))</f>
        <v>BRAVO, JOSE MAURICIO</v>
      </c>
      <c r="E637" s="58">
        <v>45809.0</v>
      </c>
      <c r="F637" s="133">
        <v>45870.0</v>
      </c>
      <c r="G637" s="59" t="s">
        <v>39</v>
      </c>
      <c r="H637" s="60">
        <f>IF( ISERROR( OFFSET(   'Cuadro tarifario'!D$2  , MATCH(CONCATENATE(                 IF(F637&gt;Mes,OFFSET(NroCT!B$17, MATCH($F637,NroCT!$A$18:$A1405,0),0,1,1),Periodovigente)                                                                                                                     ,A637) ,'Cuadro tarifario'!A$2:A1405,0) -1 , 0 , 1 , 1) )   , 0  ,   OFFSET(   'Cuadro tarifario'!D$2  , MATCH(CONCATENATE( IF(F637&gt;Mes,OFFSET(NroCT!B$17, MATCH($F637,NroCT!$A$18:$A1405,0),0,1,1),Periodovigente) ,A637) ,'Cuadro tarifario'!A$2:A1405,0) -1 , 0 , 1 , 1))</f>
        <v>11000</v>
      </c>
      <c r="I637" s="135">
        <f t="shared" si="195"/>
        <v>2</v>
      </c>
      <c r="J637" s="138">
        <f t="shared" si="235"/>
        <v>22000</v>
      </c>
      <c r="K637" s="136">
        <f>IF(  AND(N637&gt;0,I637=0)          ,N637 ,                         IF(  IF( F637 ,  DAYS360(DATE(YEAR(F637),MONTH(F637),1),Mes)/30  ,  DAYS360(DATE(YEAR(E637),MONTH(E637),1),Mes)/30  )  &gt;  0 , IF(F637,   DAYS360(DATE(YEAR(F637),MONTH(F637),1),Mes)/30  ,  DAYS360(DATE(YEAR(E637),MONTH(E637),1),Mes)/30) , 0)       )</f>
        <v>0</v>
      </c>
      <c r="L637" s="137">
        <f t="shared" si="196"/>
        <v>0</v>
      </c>
      <c r="M637" s="131"/>
      <c r="N637" s="130"/>
      <c r="O637" s="130"/>
      <c r="P637" s="130"/>
      <c r="Q637" s="130"/>
      <c r="R637" s="130"/>
      <c r="S637" s="130"/>
      <c r="T637" s="130"/>
    </row>
    <row r="638" ht="15.0" customHeight="1">
      <c r="A638" s="18" t="s">
        <v>38</v>
      </c>
      <c r="B638" s="18">
        <v>1948.0</v>
      </c>
      <c r="C638" s="19">
        <v>1948.0</v>
      </c>
      <c r="D638" s="57" t="str">
        <f>IF(   ISERROR(OFFSET(PADRON!B$2,MATCH(C:C,PADRON!A$2:A1405,0)-1,0,1,1) )  ,  ,    OFFSET(PADRON!B$2,MATCH(C:C,PADRON!A$2:A1405,0)-1,0,1,1))</f>
        <v>BRAVO, JOSE MAURICIO</v>
      </c>
      <c r="E638" s="58">
        <v>45809.0</v>
      </c>
      <c r="F638" s="133">
        <v>45870.0</v>
      </c>
      <c r="G638" s="59" t="s">
        <v>39</v>
      </c>
      <c r="H638" s="60">
        <f>IF( ISERROR( OFFSET(   'Cuadro tarifario'!D$2  , MATCH(CONCATENATE(                 IF(F638&gt;Mes,OFFSET(NroCT!B$17, MATCH($F638,NroCT!$A$18:$A1405,0),0,1,1),Periodovigente)                                                                                                                     ,A638) ,'Cuadro tarifario'!A$2:A1405,0) -1 , 0 , 1 , 1) )   , 0  ,   OFFSET(   'Cuadro tarifario'!D$2  , MATCH(CONCATENATE( IF(F638&gt;Mes,OFFSET(NroCT!B$17, MATCH($F638,NroCT!$A$18:$A1405,0),0,1,1),Periodovigente) ,A638) ,'Cuadro tarifario'!A$2:A1405,0) -1 , 0 , 1 , 1))</f>
        <v>9000</v>
      </c>
      <c r="I638" s="135">
        <f t="shared" si="195"/>
        <v>2</v>
      </c>
      <c r="J638" s="138">
        <f t="shared" si="235"/>
        <v>18000</v>
      </c>
      <c r="K638" s="136">
        <f>IF(  AND(N638&gt;0,I638=0)          ,N638 ,                         IF(  IF( F638 ,  DAYS360(DATE(YEAR(F638),MONTH(F638),1),Mes)/30  ,  DAYS360(DATE(YEAR(E638),MONTH(E638),1),Mes)/30  )  &gt;  0 , IF(F638,   DAYS360(DATE(YEAR(F638),MONTH(F638),1),Mes)/30  ,  DAYS360(DATE(YEAR(E638),MONTH(E638),1),Mes)/30) , 0)       )</f>
        <v>0</v>
      </c>
      <c r="L638" s="137">
        <f t="shared" si="196"/>
        <v>0</v>
      </c>
      <c r="M638" s="131"/>
      <c r="N638" s="130"/>
      <c r="O638" s="130"/>
      <c r="P638" s="130"/>
      <c r="Q638" s="130"/>
      <c r="R638" s="130"/>
      <c r="S638" s="130"/>
      <c r="T638" s="130"/>
    </row>
    <row r="639" ht="15.0" customHeight="1">
      <c r="A639" s="18" t="s">
        <v>71</v>
      </c>
      <c r="B639" s="18">
        <v>1951.0</v>
      </c>
      <c r="C639" s="19">
        <v>1951.0</v>
      </c>
      <c r="D639" s="57" t="str">
        <f>IF(   ISERROR(OFFSET(PADRON!B$2,MATCH(C:C,PADRON!A$2:A1405,0)-1,0,1,1) )  ,  ,    OFFSET(PADRON!B$2,MATCH(C:C,PADRON!A$2:A1405,0)-1,0,1,1))</f>
        <v>ARCONDO, ABIGAIL ANAKE</v>
      </c>
      <c r="E639" s="58">
        <v>45839.0</v>
      </c>
      <c r="F639" s="133">
        <v>45870.0</v>
      </c>
      <c r="G639" s="59" t="s">
        <v>39</v>
      </c>
      <c r="H639" s="60">
        <f>IF( ISERROR( OFFSET(   'Cuadro tarifario'!D$2  , MATCH(CONCATENATE(                 IF(F639&gt;Mes,OFFSET(NroCT!B$17, MATCH($F639,NroCT!$A$18:$A1405,0),0,1,1),Periodovigente)                                                                                                                     ,A639) ,'Cuadro tarifario'!A$2:A1405,0) -1 , 0 , 1 , 1) )   , 0  ,   OFFSET(   'Cuadro tarifario'!D$2  , MATCH(CONCATENATE( IF(F639&gt;Mes,OFFSET(NroCT!B$17, MATCH($F639,NroCT!$A$18:$A1405,0),0,1,1),Periodovigente) ,A639) ,'Cuadro tarifario'!A$2:A1405,0) -1 , 0 , 1 , 1))</f>
        <v>11000</v>
      </c>
      <c r="I639" s="135">
        <f t="shared" si="195"/>
        <v>1</v>
      </c>
      <c r="J639" s="138">
        <f t="shared" si="235"/>
        <v>11000</v>
      </c>
      <c r="K639" s="136">
        <f>IF(  AND(N639&gt;0,I639=0)          ,N639 ,                         IF(  IF( F639 ,  DAYS360(DATE(YEAR(F639),MONTH(F639),1),Mes)/30  ,  DAYS360(DATE(YEAR(E639),MONTH(E639),1),Mes)/30  )  &gt;  0 , IF(F639,   DAYS360(DATE(YEAR(F639),MONTH(F639),1),Mes)/30  ,  DAYS360(DATE(YEAR(E639),MONTH(E639),1),Mes)/30) , 0)       )</f>
        <v>0</v>
      </c>
      <c r="L639" s="137">
        <f t="shared" si="196"/>
        <v>0</v>
      </c>
      <c r="M639" s="131"/>
      <c r="N639" s="130"/>
      <c r="O639" s="130"/>
      <c r="P639" s="130"/>
      <c r="Q639" s="130"/>
      <c r="R639" s="130"/>
      <c r="S639" s="130"/>
      <c r="T639" s="130"/>
    </row>
    <row r="640" ht="15.0" customHeight="1">
      <c r="A640" s="18" t="s">
        <v>38</v>
      </c>
      <c r="B640" s="18">
        <v>1951.0</v>
      </c>
      <c r="C640" s="19">
        <v>1951.0</v>
      </c>
      <c r="D640" s="57" t="str">
        <f>IF(   ISERROR(OFFSET(PADRON!B$2,MATCH(C:C,PADRON!A$2:A1405,0)-1,0,1,1) )  ,  ,    OFFSET(PADRON!B$2,MATCH(C:C,PADRON!A$2:A1405,0)-1,0,1,1))</f>
        <v>ARCONDO, ABIGAIL ANAKE</v>
      </c>
      <c r="E640" s="58">
        <v>45839.0</v>
      </c>
      <c r="F640" s="133">
        <v>45870.0</v>
      </c>
      <c r="G640" s="59" t="s">
        <v>39</v>
      </c>
      <c r="H640" s="60">
        <f>IF( ISERROR( OFFSET(   'Cuadro tarifario'!D$2  , MATCH(CONCATENATE(                 IF(F640&gt;Mes,OFFSET(NroCT!B$17, MATCH($F640,NroCT!$A$18:$A1405,0),0,1,1),Periodovigente)                                                                                                                     ,A640) ,'Cuadro tarifario'!A$2:A1405,0) -1 , 0 , 1 , 1) )   , 0  ,   OFFSET(   'Cuadro tarifario'!D$2  , MATCH(CONCATENATE( IF(F640&gt;Mes,OFFSET(NroCT!B$17, MATCH($F640,NroCT!$A$18:$A1405,0),0,1,1),Periodovigente) ,A640) ,'Cuadro tarifario'!A$2:A1405,0) -1 , 0 , 1 , 1))</f>
        <v>9000</v>
      </c>
      <c r="I640" s="135">
        <f t="shared" si="195"/>
        <v>1</v>
      </c>
      <c r="J640" s="138">
        <f t="shared" si="235"/>
        <v>9000</v>
      </c>
      <c r="K640" s="136">
        <f>IF(  AND(N640&gt;0,I640=0)          ,N640 ,                         IF(  IF( F640 ,  DAYS360(DATE(YEAR(F640),MONTH(F640),1),Mes)/30  ,  DAYS360(DATE(YEAR(E640),MONTH(E640),1),Mes)/30  )  &gt;  0 , IF(F640,   DAYS360(DATE(YEAR(F640),MONTH(F640),1),Mes)/30  ,  DAYS360(DATE(YEAR(E640),MONTH(E640),1),Mes)/30) , 0)       )</f>
        <v>0</v>
      </c>
      <c r="L640" s="137">
        <f t="shared" si="196"/>
        <v>0</v>
      </c>
      <c r="M640" s="131"/>
      <c r="N640" s="130"/>
      <c r="O640" s="130"/>
      <c r="P640" s="130"/>
      <c r="Q640" s="130"/>
      <c r="R640" s="130"/>
      <c r="S640" s="130"/>
      <c r="T640" s="130"/>
    </row>
    <row r="641" ht="15.0" customHeight="1">
      <c r="A641" s="18" t="s">
        <v>82</v>
      </c>
      <c r="B641" s="18" t="s">
        <v>307</v>
      </c>
      <c r="C641" s="19">
        <v>1951.0</v>
      </c>
      <c r="D641" s="57" t="str">
        <f>IF(   ISERROR(OFFSET(PADRON!B$2,MATCH(C:C,PADRON!A$2:A1405,0)-1,0,1,1) )  ,  ,    OFFSET(PADRON!B$2,MATCH(C:C,PADRON!A$2:A1405,0)-1,0,1,1))</f>
        <v>ARCONDO, ABIGAIL ANAKE</v>
      </c>
      <c r="E641" s="58">
        <v>45839.0</v>
      </c>
      <c r="F641" s="133">
        <v>45870.0</v>
      </c>
      <c r="G641" s="59" t="s">
        <v>39</v>
      </c>
      <c r="H641" s="60">
        <f>IF( ISERROR( OFFSET(   'Cuadro tarifario'!D$2  , MATCH(CONCATENATE(                 IF(F641&gt;Mes,OFFSET(NroCT!B$17, MATCH($F641,NroCT!$A$18:$A1405,0),0,1,1),Periodovigente)                                                                                                                     ,A641) ,'Cuadro tarifario'!A$2:A1405,0) -1 , 0 , 1 , 1) )   , 0  ,   OFFSET(   'Cuadro tarifario'!D$2  , MATCH(CONCATENATE( IF(F641&gt;Mes,OFFSET(NroCT!B$17, MATCH($F641,NroCT!$A$18:$A1405,0),0,1,1),Periodovigente) ,A641) ,'Cuadro tarifario'!A$2:A1405,0) -1 , 0 , 1 , 1))</f>
        <v>12000</v>
      </c>
      <c r="I641" s="135">
        <f t="shared" si="195"/>
        <v>1</v>
      </c>
      <c r="J641" s="138">
        <f t="shared" si="235"/>
        <v>12000</v>
      </c>
      <c r="K641" s="136">
        <f>IF(  AND(N641&gt;0,I641=0)          ,N641 ,                         IF(  IF( F641 ,  DAYS360(DATE(YEAR(F641),MONTH(F641),1),Mes)/30  ,  DAYS360(DATE(YEAR(E641),MONTH(E641),1),Mes)/30  )  &gt;  0 , IF(F641,   DAYS360(DATE(YEAR(F641),MONTH(F641),1),Mes)/30  ,  DAYS360(DATE(YEAR(E641),MONTH(E641),1),Mes)/30) , 0)       )</f>
        <v>0</v>
      </c>
      <c r="L641" s="137">
        <f t="shared" si="196"/>
        <v>0</v>
      </c>
      <c r="M641" s="131"/>
      <c r="N641" s="130"/>
      <c r="O641" s="130"/>
      <c r="P641" s="130"/>
      <c r="Q641" s="130"/>
      <c r="R641" s="130"/>
      <c r="S641" s="130"/>
      <c r="T641" s="130"/>
    </row>
    <row r="642" ht="15.0" customHeight="1">
      <c r="A642" s="18" t="s">
        <v>71</v>
      </c>
      <c r="B642" s="18">
        <v>1952.0</v>
      </c>
      <c r="C642" s="19">
        <v>1952.0</v>
      </c>
      <c r="D642" s="57" t="str">
        <f>IF(   ISERROR(OFFSET(PADRON!B$2,MATCH(C:C,PADRON!A$2:A1405,0)-1,0,1,1) )  ,  ,    OFFSET(PADRON!B$2,MATCH(C:C,PADRON!A$2:A1405,0)-1,0,1,1))</f>
        <v>AGUILAR, IVAN MAURICIO</v>
      </c>
      <c r="E642" s="58">
        <v>45839.0</v>
      </c>
      <c r="F642" s="133">
        <v>45870.0</v>
      </c>
      <c r="G642" s="128" t="s">
        <v>39</v>
      </c>
      <c r="H642" s="60">
        <f>IF( ISERROR( OFFSET(   'Cuadro tarifario'!D$2  , MATCH(CONCATENATE(                 IF(F642&gt;Mes,OFFSET(NroCT!B$17, MATCH($F642,NroCT!$A$18:$A1405,0),0,1,1),Periodovigente)                                                                                                                     ,A642) ,'Cuadro tarifario'!A$2:A1405,0) -1 , 0 , 1 , 1) )   , 0  ,   OFFSET(   'Cuadro tarifario'!D$2  , MATCH(CONCATENATE( IF(F642&gt;Mes,OFFSET(NroCT!B$17, MATCH($F642,NroCT!$A$18:$A1405,0),0,1,1),Periodovigente) ,A642) ,'Cuadro tarifario'!A$2:A1405,0) -1 , 0 , 1 , 1))</f>
        <v>11000</v>
      </c>
      <c r="I642" s="135">
        <f t="shared" si="195"/>
        <v>1</v>
      </c>
      <c r="J642" s="138">
        <f t="shared" si="235"/>
        <v>11000</v>
      </c>
      <c r="K642" s="136">
        <f>IF(  AND(N642&gt;0,I642=0)          ,N642 ,                         IF(  IF( F642 ,  DAYS360(DATE(YEAR(F642),MONTH(F642),1),Mes)/30  ,  DAYS360(DATE(YEAR(E642),MONTH(E642),1),Mes)/30  )  &gt;  0 , IF(F642,   DAYS360(DATE(YEAR(F642),MONTH(F642),1),Mes)/30  ,  DAYS360(DATE(YEAR(E642),MONTH(E642),1),Mes)/30) , 0)       )</f>
        <v>0</v>
      </c>
      <c r="L642" s="137">
        <f t="shared" si="196"/>
        <v>0</v>
      </c>
      <c r="M642" s="131"/>
      <c r="N642" s="130"/>
      <c r="O642" s="130"/>
      <c r="P642" s="130"/>
      <c r="Q642" s="130"/>
      <c r="R642" s="130"/>
      <c r="S642" s="130"/>
      <c r="T642" s="130"/>
    </row>
    <row r="643" ht="15.0" customHeight="1">
      <c r="A643" s="18" t="s">
        <v>38</v>
      </c>
      <c r="B643" s="18">
        <v>1952.0</v>
      </c>
      <c r="C643" s="19">
        <v>1952.0</v>
      </c>
      <c r="D643" s="57" t="str">
        <f>IF(   ISERROR(OFFSET(PADRON!B$2,MATCH(C:C,PADRON!A$2:A1405,0)-1,0,1,1) )  ,  ,    OFFSET(PADRON!B$2,MATCH(C:C,PADRON!A$2:A1405,0)-1,0,1,1))</f>
        <v>AGUILAR, IVAN MAURICIO</v>
      </c>
      <c r="E643" s="58">
        <v>45839.0</v>
      </c>
      <c r="F643" s="133">
        <v>45870.0</v>
      </c>
      <c r="G643" s="59" t="s">
        <v>39</v>
      </c>
      <c r="H643" s="60">
        <f>IF( ISERROR( OFFSET(   'Cuadro tarifario'!D$2  , MATCH(CONCATENATE(                 IF(F643&gt;Mes,OFFSET(NroCT!B$17, MATCH($F643,NroCT!$A$18:$A1405,0),0,1,1),Periodovigente)                                                                                                                     ,A643) ,'Cuadro tarifario'!A$2:A1405,0) -1 , 0 , 1 , 1) )   , 0  ,   OFFSET(   'Cuadro tarifario'!D$2  , MATCH(CONCATENATE( IF(F643&gt;Mes,OFFSET(NroCT!B$17, MATCH($F643,NroCT!$A$18:$A1405,0),0,1,1),Periodovigente) ,A643) ,'Cuadro tarifario'!A$2:A1405,0) -1 , 0 , 1 , 1))</f>
        <v>9000</v>
      </c>
      <c r="I643" s="135">
        <f t="shared" si="195"/>
        <v>1</v>
      </c>
      <c r="J643" s="138">
        <f t="shared" si="235"/>
        <v>9000</v>
      </c>
      <c r="K643" s="136">
        <f>IF(  AND(N643&gt;0,I643=0)          ,N643 ,                         IF(  IF( F643 ,  DAYS360(DATE(YEAR(F643),MONTH(F643),1),Mes)/30  ,  DAYS360(DATE(YEAR(E643),MONTH(E643),1),Mes)/30  )  &gt;  0 , IF(F643,   DAYS360(DATE(YEAR(F643),MONTH(F643),1),Mes)/30  ,  DAYS360(DATE(YEAR(E643),MONTH(E643),1),Mes)/30) , 0)       )</f>
        <v>0</v>
      </c>
      <c r="L643" s="137">
        <f t="shared" si="196"/>
        <v>0</v>
      </c>
      <c r="M643" s="131"/>
      <c r="N643" s="130"/>
      <c r="O643" s="130"/>
      <c r="P643" s="130"/>
      <c r="Q643" s="130"/>
      <c r="R643" s="130"/>
      <c r="S643" s="130"/>
      <c r="T643" s="130"/>
    </row>
    <row r="644" ht="15.0" customHeight="1">
      <c r="A644" s="18" t="s">
        <v>82</v>
      </c>
      <c r="B644" s="18" t="s">
        <v>308</v>
      </c>
      <c r="C644" s="19">
        <v>1952.0</v>
      </c>
      <c r="D644" s="57" t="str">
        <f>IF(   ISERROR(OFFSET(PADRON!B$2,MATCH(C:C,PADRON!A$2:A1405,0)-1,0,1,1) )  ,  ,    OFFSET(PADRON!B$2,MATCH(C:C,PADRON!A$2:A1405,0)-1,0,1,1))</f>
        <v>AGUILAR, IVAN MAURICIO</v>
      </c>
      <c r="E644" s="58">
        <v>45839.0</v>
      </c>
      <c r="F644" s="133">
        <v>45870.0</v>
      </c>
      <c r="G644" s="128" t="s">
        <v>39</v>
      </c>
      <c r="H644" s="60">
        <f>IF( ISERROR( OFFSET(   'Cuadro tarifario'!D$2  , MATCH(CONCATENATE(                 IF(F644&gt;Mes,OFFSET(NroCT!B$17, MATCH($F644,NroCT!$A$18:$A1405,0),0,1,1),Periodovigente)                                                                                                                     ,A644) ,'Cuadro tarifario'!A$2:A1405,0) -1 , 0 , 1 , 1) )   , 0  ,   OFFSET(   'Cuadro tarifario'!D$2  , MATCH(CONCATENATE( IF(F644&gt;Mes,OFFSET(NroCT!B$17, MATCH($F644,NroCT!$A$18:$A1405,0),0,1,1),Periodovigente) ,A644) ,'Cuadro tarifario'!A$2:A1405,0) -1 , 0 , 1 , 1))</f>
        <v>12000</v>
      </c>
      <c r="I644" s="135">
        <f t="shared" si="195"/>
        <v>1</v>
      </c>
      <c r="J644" s="138">
        <f t="shared" si="235"/>
        <v>12000</v>
      </c>
      <c r="K644" s="136">
        <f>IF(  AND(N644&gt;0,I644=0)          ,N644 ,                         IF(  IF( F644 ,  DAYS360(DATE(YEAR(F644),MONTH(F644),1),Mes)/30  ,  DAYS360(DATE(YEAR(E644),MONTH(E644),1),Mes)/30  )  &gt;  0 , IF(F644,   DAYS360(DATE(YEAR(F644),MONTH(F644),1),Mes)/30  ,  DAYS360(DATE(YEAR(E644),MONTH(E644),1),Mes)/30) , 0)       )</f>
        <v>0</v>
      </c>
      <c r="L644" s="137">
        <f t="shared" si="196"/>
        <v>0</v>
      </c>
      <c r="M644" s="131"/>
      <c r="N644" s="130"/>
      <c r="O644" s="130"/>
      <c r="P644" s="130"/>
      <c r="Q644" s="130"/>
      <c r="R644" s="130"/>
      <c r="S644" s="130"/>
      <c r="T644" s="130"/>
    </row>
    <row r="645" ht="15.0" customHeight="1">
      <c r="A645" s="18" t="s">
        <v>71</v>
      </c>
      <c r="B645" s="18">
        <v>1954.0</v>
      </c>
      <c r="C645" s="19">
        <v>1954.0</v>
      </c>
      <c r="D645" s="57" t="str">
        <f>IF(   ISERROR(OFFSET(PADRON!B$2,MATCH(C:C,PADRON!A$2:A1405,0)-1,0,1,1) )  ,  ,    OFFSET(PADRON!B$2,MATCH(C:C,PADRON!A$2:A1405,0)-1,0,1,1))</f>
        <v>ONTIVEROS, OSCAR</v>
      </c>
      <c r="E645" s="58">
        <v>45809.0</v>
      </c>
      <c r="F645" s="133"/>
      <c r="G645" s="59" t="s">
        <v>39</v>
      </c>
      <c r="H645" s="60">
        <f>IF( ISERROR( OFFSET(   'Cuadro tarifario'!D$2  , MATCH(CONCATENATE(                 IF(F645&gt;Mes,OFFSET(NroCT!B$17, MATCH($F645,NroCT!$A$18:$A1405,0),0,1,1),Periodovigente)                                                                                                                     ,A645) ,'Cuadro tarifario'!A$2:A1405,0) -1 , 0 , 1 , 1) )   , 0  ,   OFFSET(   'Cuadro tarifario'!D$2  , MATCH(CONCATENATE( IF(F645&gt;Mes,OFFSET(NroCT!B$17, MATCH($F645,NroCT!$A$18:$A1405,0),0,1,1),Periodovigente) ,A645) ,'Cuadro tarifario'!A$2:A1405,0) -1 , 0 , 1 , 1))</f>
        <v>11000</v>
      </c>
      <c r="I645" s="135">
        <f t="shared" si="195"/>
        <v>0</v>
      </c>
      <c r="J645" s="138">
        <f t="shared" si="235"/>
        <v>0</v>
      </c>
      <c r="K645" s="136">
        <f>IF(  AND(N645&gt;0,I645=0)          ,N645 ,                         IF(  IF( F645 ,  DAYS360(DATE(YEAR(F645),MONTH(F645),1),Mes)/30  ,  DAYS360(DATE(YEAR(E645),MONTH(E645),1),Mes)/30  )  &gt;  0 , IF(F645,   DAYS360(DATE(YEAR(F645),MONTH(F645),1),Mes)/30  ,  DAYS360(DATE(YEAR(E645),MONTH(E645),1),Mes)/30) , 0)       )</f>
        <v>2</v>
      </c>
      <c r="L645" s="137">
        <f t="shared" si="196"/>
        <v>22000</v>
      </c>
      <c r="M645" s="131"/>
      <c r="N645" s="130"/>
      <c r="O645" s="130"/>
      <c r="P645" s="130"/>
      <c r="Q645" s="130"/>
      <c r="R645" s="130"/>
      <c r="S645" s="130"/>
      <c r="T645" s="130"/>
    </row>
    <row r="646" ht="15.0" customHeight="1">
      <c r="A646" s="18" t="s">
        <v>38</v>
      </c>
      <c r="B646" s="18">
        <v>1954.0</v>
      </c>
      <c r="C646" s="19">
        <v>1954.0</v>
      </c>
      <c r="D646" s="57" t="str">
        <f>IF(   ISERROR(OFFSET(PADRON!B$2,MATCH(C:C,PADRON!A$2:A1405,0)-1,0,1,1) )  ,  ,    OFFSET(PADRON!B$2,MATCH(C:C,PADRON!A$2:A1405,0)-1,0,1,1))</f>
        <v>ONTIVEROS, OSCAR</v>
      </c>
      <c r="E646" s="58">
        <v>45809.0</v>
      </c>
      <c r="F646" s="133"/>
      <c r="G646" s="59" t="s">
        <v>39</v>
      </c>
      <c r="H646" s="60">
        <f>IF( ISERROR( OFFSET(   'Cuadro tarifario'!D$2  , MATCH(CONCATENATE(                 IF(F646&gt;Mes,OFFSET(NroCT!B$17, MATCH($F646,NroCT!$A$18:$A1405,0),0,1,1),Periodovigente)                                                                                                                     ,A646) ,'Cuadro tarifario'!A$2:A1405,0) -1 , 0 , 1 , 1) )   , 0  ,   OFFSET(   'Cuadro tarifario'!D$2  , MATCH(CONCATENATE( IF(F646&gt;Mes,OFFSET(NroCT!B$17, MATCH($F646,NroCT!$A$18:$A1405,0),0,1,1),Periodovigente) ,A646) ,'Cuadro tarifario'!A$2:A1405,0) -1 , 0 , 1 , 1))</f>
        <v>9000</v>
      </c>
      <c r="I646" s="135">
        <f t="shared" si="195"/>
        <v>0</v>
      </c>
      <c r="J646" s="138">
        <f t="shared" si="235"/>
        <v>0</v>
      </c>
      <c r="K646" s="136">
        <f>IF(  AND(N646&gt;0,I646=0)          ,N646 ,                         IF(  IF( F646 ,  DAYS360(DATE(YEAR(F646),MONTH(F646),1),Mes)/30  ,  DAYS360(DATE(YEAR(E646),MONTH(E646),1),Mes)/30  )  &gt;  0 , IF(F646,   DAYS360(DATE(YEAR(F646),MONTH(F646),1),Mes)/30  ,  DAYS360(DATE(YEAR(E646),MONTH(E646),1),Mes)/30) , 0)       )</f>
        <v>2</v>
      </c>
      <c r="L646" s="137">
        <f t="shared" si="196"/>
        <v>18000</v>
      </c>
      <c r="M646" s="131"/>
      <c r="N646" s="130"/>
      <c r="O646" s="130"/>
      <c r="P646" s="130"/>
      <c r="Q646" s="130"/>
      <c r="R646" s="130"/>
      <c r="S646" s="130"/>
      <c r="T646" s="130"/>
    </row>
    <row r="647" ht="15.0" customHeight="1">
      <c r="A647" s="18" t="s">
        <v>71</v>
      </c>
      <c r="B647" s="18">
        <v>1956.0</v>
      </c>
      <c r="C647" s="19">
        <v>1956.0</v>
      </c>
      <c r="D647" s="57" t="str">
        <f>IF(   ISERROR(OFFSET(PADRON!B$2,MATCH(C:C,PADRON!A$2:A1405,0)-1,0,1,1) )  ,  ,    OFFSET(PADRON!B$2,MATCH(C:C,PADRON!A$2:A1405,0)-1,0,1,1))</f>
        <v>DENOFRIO, GERMAN</v>
      </c>
      <c r="E647" s="58">
        <v>45809.0</v>
      </c>
      <c r="F647" s="133"/>
      <c r="G647" s="59" t="s">
        <v>39</v>
      </c>
      <c r="H647" s="60">
        <f>IF( ISERROR( OFFSET(   'Cuadro tarifario'!D$2  , MATCH(CONCATENATE(                 IF(F647&gt;Mes,OFFSET(NroCT!B$17, MATCH($F647,NroCT!$A$18:$A1405,0),0,1,1),Periodovigente)                                                                                                                     ,A647) ,'Cuadro tarifario'!A$2:A1405,0) -1 , 0 , 1 , 1) )   , 0  ,   OFFSET(   'Cuadro tarifario'!D$2  , MATCH(CONCATENATE( IF(F647&gt;Mes,OFFSET(NroCT!B$17, MATCH($F647,NroCT!$A$18:$A1405,0),0,1,1),Periodovigente) ,A647) ,'Cuadro tarifario'!A$2:A1405,0) -1 , 0 , 1 , 1))</f>
        <v>11000</v>
      </c>
      <c r="I647" s="135">
        <f t="shared" si="195"/>
        <v>0</v>
      </c>
      <c r="J647" s="138">
        <f t="shared" si="235"/>
        <v>0</v>
      </c>
      <c r="K647" s="136">
        <f>IF(  AND(N647&gt;0,I647=0)          ,N647 ,                         IF(  IF( F647 ,  DAYS360(DATE(YEAR(F647),MONTH(F647),1),Mes)/30  ,  DAYS360(DATE(YEAR(E647),MONTH(E647),1),Mes)/30  )  &gt;  0 , IF(F647,   DAYS360(DATE(YEAR(F647),MONTH(F647),1),Mes)/30  ,  DAYS360(DATE(YEAR(E647),MONTH(E647),1),Mes)/30) , 0)       )</f>
        <v>2</v>
      </c>
      <c r="L647" s="137">
        <f t="shared" si="196"/>
        <v>22000</v>
      </c>
      <c r="M647" s="131"/>
      <c r="N647" s="130"/>
      <c r="O647" s="130"/>
      <c r="P647" s="130"/>
      <c r="Q647" s="130"/>
      <c r="R647" s="130"/>
      <c r="S647" s="130"/>
      <c r="T647" s="130"/>
    </row>
    <row r="648" ht="15.0" customHeight="1">
      <c r="A648" s="18" t="s">
        <v>38</v>
      </c>
      <c r="B648" s="18">
        <v>1956.0</v>
      </c>
      <c r="C648" s="19">
        <v>1956.0</v>
      </c>
      <c r="D648" s="57" t="str">
        <f>IF(   ISERROR(OFFSET(PADRON!B$2,MATCH(C:C,PADRON!A$2:A1405,0)-1,0,1,1) )  ,  ,    OFFSET(PADRON!B$2,MATCH(C:C,PADRON!A$2:A1405,0)-1,0,1,1))</f>
        <v>DENOFRIO, GERMAN</v>
      </c>
      <c r="E648" s="58">
        <v>45809.0</v>
      </c>
      <c r="F648" s="133"/>
      <c r="G648" s="59" t="s">
        <v>39</v>
      </c>
      <c r="H648" s="60">
        <f>IF( ISERROR( OFFSET(   'Cuadro tarifario'!D$2  , MATCH(CONCATENATE(                 IF(F648&gt;Mes,OFFSET(NroCT!B$17, MATCH($F648,NroCT!$A$18:$A1405,0),0,1,1),Periodovigente)                                                                                                                     ,A648) ,'Cuadro tarifario'!A$2:A1405,0) -1 , 0 , 1 , 1) )   , 0  ,   OFFSET(   'Cuadro tarifario'!D$2  , MATCH(CONCATENATE( IF(F648&gt;Mes,OFFSET(NroCT!B$17, MATCH($F648,NroCT!$A$18:$A1405,0),0,1,1),Periodovigente) ,A648) ,'Cuadro tarifario'!A$2:A1405,0) -1 , 0 , 1 , 1))</f>
        <v>9000</v>
      </c>
      <c r="I648" s="135">
        <f t="shared" si="195"/>
        <v>0</v>
      </c>
      <c r="J648" s="138">
        <f t="shared" si="235"/>
        <v>0</v>
      </c>
      <c r="K648" s="136">
        <f>IF(  AND(N648&gt;0,I648=0)          ,N648 ,                         IF(  IF( F648 ,  DAYS360(DATE(YEAR(F648),MONTH(F648),1),Mes)/30  ,  DAYS360(DATE(YEAR(E648),MONTH(E648),1),Mes)/30  )  &gt;  0 , IF(F648,   DAYS360(DATE(YEAR(F648),MONTH(F648),1),Mes)/30  ,  DAYS360(DATE(YEAR(E648),MONTH(E648),1),Mes)/30) , 0)       )</f>
        <v>2</v>
      </c>
      <c r="L648" s="137">
        <f t="shared" si="196"/>
        <v>18000</v>
      </c>
      <c r="M648" s="131"/>
      <c r="N648" s="130"/>
      <c r="O648" s="130"/>
      <c r="P648" s="130"/>
      <c r="Q648" s="130"/>
      <c r="R648" s="130"/>
      <c r="S648" s="130"/>
      <c r="T648" s="130"/>
    </row>
    <row r="649" ht="15.0" customHeight="1">
      <c r="A649" s="18" t="s">
        <v>40</v>
      </c>
      <c r="B649" s="18" t="s">
        <v>309</v>
      </c>
      <c r="C649" s="19">
        <v>1956.0</v>
      </c>
      <c r="D649" s="57" t="str">
        <f>IF(   ISERROR(OFFSET(PADRON!B$2,MATCH(C:C,PADRON!A$2:A1405,0)-1,0,1,1) )  ,  ,    OFFSET(PADRON!B$2,MATCH(C:C,PADRON!A$2:A1405,0)-1,0,1,1))</f>
        <v>DENOFRIO, GERMAN</v>
      </c>
      <c r="E649" s="58">
        <v>45809.0</v>
      </c>
      <c r="F649" s="133"/>
      <c r="G649" s="59" t="s">
        <v>39</v>
      </c>
      <c r="H649" s="60">
        <f>IF( ISERROR( OFFSET(   'Cuadro tarifario'!D$2  , MATCH(CONCATENATE(                 IF(F649&gt;Mes,OFFSET(NroCT!B$17, MATCH($F649,NroCT!$A$18:$A1405,0),0,1,1),Periodovigente)                                                                                                                     ,A649) ,'Cuadro tarifario'!A$2:A1405,0) -1 , 0 , 1 , 1) )   , 0  ,   OFFSET(   'Cuadro tarifario'!D$2  , MATCH(CONCATENATE( IF(F649&gt;Mes,OFFSET(NroCT!B$17, MATCH($F649,NroCT!$A$18:$A1405,0),0,1,1),Periodovigente) ,A649) ,'Cuadro tarifario'!A$2:A1405,0) -1 , 0 , 1 , 1))</f>
        <v>12000</v>
      </c>
      <c r="I649" s="135">
        <f t="shared" si="195"/>
        <v>0</v>
      </c>
      <c r="J649" s="138">
        <f t="shared" si="235"/>
        <v>0</v>
      </c>
      <c r="K649" s="136">
        <f>IF(  AND(N649&gt;0,I649=0)          ,N649 ,                         IF(  IF( F649 ,  DAYS360(DATE(YEAR(F649),MONTH(F649),1),Mes)/30  ,  DAYS360(DATE(YEAR(E649),MONTH(E649),1),Mes)/30  )  &gt;  0 , IF(F649,   DAYS360(DATE(YEAR(F649),MONTH(F649),1),Mes)/30  ,  DAYS360(DATE(YEAR(E649),MONTH(E649),1),Mes)/30) , 0)       )</f>
        <v>2</v>
      </c>
      <c r="L649" s="137">
        <f t="shared" si="196"/>
        <v>24000</v>
      </c>
      <c r="M649" s="131"/>
      <c r="N649" s="130"/>
      <c r="O649" s="130"/>
      <c r="P649" s="130"/>
      <c r="Q649" s="130"/>
      <c r="R649" s="130"/>
      <c r="S649" s="130"/>
      <c r="T649" s="130"/>
    </row>
    <row r="650" ht="15.0" customHeight="1">
      <c r="A650" s="18" t="s">
        <v>71</v>
      </c>
      <c r="B650" s="18">
        <v>1960.0</v>
      </c>
      <c r="C650" s="19">
        <v>1960.0</v>
      </c>
      <c r="D650" s="57" t="str">
        <f>IF(   ISERROR(OFFSET(PADRON!B$2,MATCH(C:C,PADRON!A$2:A1405,0)-1,0,1,1) )  ,  ,    OFFSET(PADRON!B$2,MATCH(C:C,PADRON!A$2:A1405,0)-1,0,1,1))</f>
        <v>CAMPARO, CARLOS</v>
      </c>
      <c r="E650" s="58">
        <v>45839.0</v>
      </c>
      <c r="F650" s="133">
        <v>45870.0</v>
      </c>
      <c r="G650" s="59" t="s">
        <v>39</v>
      </c>
      <c r="H650" s="60">
        <f>IF( ISERROR( OFFSET(   'Cuadro tarifario'!D$2  , MATCH(CONCATENATE(                 IF(F650&gt;Mes,OFFSET(NroCT!B$17, MATCH($F650,NroCT!$A$18:$A1405,0),0,1,1),Periodovigente)                                                                                                                     ,A650) ,'Cuadro tarifario'!A$2:A1405,0) -1 , 0 , 1 , 1) )   , 0  ,   OFFSET(   'Cuadro tarifario'!D$2  , MATCH(CONCATENATE( IF(F650&gt;Mes,OFFSET(NroCT!B$17, MATCH($F650,NroCT!$A$18:$A1405,0),0,1,1),Periodovigente) ,A650) ,'Cuadro tarifario'!A$2:A1405,0) -1 , 0 , 1 , 1))</f>
        <v>11000</v>
      </c>
      <c r="I650" s="135">
        <f t="shared" si="195"/>
        <v>1</v>
      </c>
      <c r="J650" s="138">
        <f t="shared" si="235"/>
        <v>11000</v>
      </c>
      <c r="K650" s="136">
        <f>IF(  AND(N650&gt;0,I650=0)          ,N650 ,                         IF(  IF( F650 ,  DAYS360(DATE(YEAR(F650),MONTH(F650),1),Mes)/30  ,  DAYS360(DATE(YEAR(E650),MONTH(E650),1),Mes)/30  )  &gt;  0 , IF(F650,   DAYS360(DATE(YEAR(F650),MONTH(F650),1),Mes)/30  ,  DAYS360(DATE(YEAR(E650),MONTH(E650),1),Mes)/30) , 0)       )</f>
        <v>0</v>
      </c>
      <c r="L650" s="137">
        <f t="shared" si="196"/>
        <v>0</v>
      </c>
      <c r="M650" s="131"/>
      <c r="N650" s="130"/>
      <c r="O650" s="130"/>
      <c r="P650" s="130"/>
      <c r="Q650" s="130"/>
      <c r="R650" s="130"/>
      <c r="S650" s="130"/>
      <c r="T650" s="130"/>
    </row>
    <row r="651" ht="15.0" customHeight="1">
      <c r="A651" s="18" t="s">
        <v>38</v>
      </c>
      <c r="B651" s="18">
        <v>1960.0</v>
      </c>
      <c r="C651" s="19">
        <v>1960.0</v>
      </c>
      <c r="D651" s="57" t="str">
        <f>IF(   ISERROR(OFFSET(PADRON!B$2,MATCH(C:C,PADRON!A$2:A1405,0)-1,0,1,1) )  ,  ,    OFFSET(PADRON!B$2,MATCH(C:C,PADRON!A$2:A1405,0)-1,0,1,1))</f>
        <v>CAMPARO, CARLOS</v>
      </c>
      <c r="E651" s="58">
        <v>45839.0</v>
      </c>
      <c r="F651" s="133">
        <v>45870.0</v>
      </c>
      <c r="G651" s="59" t="s">
        <v>39</v>
      </c>
      <c r="H651" s="60">
        <f>IF( ISERROR( OFFSET(   'Cuadro tarifario'!D$2  , MATCH(CONCATENATE(                 IF(F651&gt;Mes,OFFSET(NroCT!B$17, MATCH($F651,NroCT!$A$18:$A1405,0),0,1,1),Periodovigente)                                                                                                                     ,A651) ,'Cuadro tarifario'!A$2:A1405,0) -1 , 0 , 1 , 1) )   , 0  ,   OFFSET(   'Cuadro tarifario'!D$2  , MATCH(CONCATENATE( IF(F651&gt;Mes,OFFSET(NroCT!B$17, MATCH($F651,NroCT!$A$18:$A1405,0),0,1,1),Periodovigente) ,A651) ,'Cuadro tarifario'!A$2:A1405,0) -1 , 0 , 1 , 1))</f>
        <v>9000</v>
      </c>
      <c r="I651" s="135">
        <f t="shared" si="195"/>
        <v>1</v>
      </c>
      <c r="J651" s="138">
        <f t="shared" si="235"/>
        <v>9000</v>
      </c>
      <c r="K651" s="136">
        <f>IF(  AND(N651&gt;0,I651=0)          ,N651 ,                         IF(  IF( F651 ,  DAYS360(DATE(YEAR(F651),MONTH(F651),1),Mes)/30  ,  DAYS360(DATE(YEAR(E651),MONTH(E651),1),Mes)/30  )  &gt;  0 , IF(F651,   DAYS360(DATE(YEAR(F651),MONTH(F651),1),Mes)/30  ,  DAYS360(DATE(YEAR(E651),MONTH(E651),1),Mes)/30) , 0)       )</f>
        <v>0</v>
      </c>
      <c r="L651" s="137">
        <f t="shared" si="196"/>
        <v>0</v>
      </c>
      <c r="M651" s="131"/>
      <c r="N651" s="130"/>
      <c r="O651" s="130"/>
      <c r="P651" s="130"/>
      <c r="Q651" s="130"/>
      <c r="R651" s="130"/>
      <c r="S651" s="130"/>
      <c r="T651" s="130"/>
    </row>
    <row r="652" ht="17.25" customHeight="1">
      <c r="A652" s="18" t="s">
        <v>40</v>
      </c>
      <c r="B652" s="18" t="s">
        <v>310</v>
      </c>
      <c r="C652" s="19">
        <v>1960.0</v>
      </c>
      <c r="D652" s="57" t="str">
        <f>IF(   ISERROR(OFFSET(PADRON!B$2,MATCH(C:C,PADRON!A$2:A1405,0)-1,0,1,1) )  ,  ,    OFFSET(PADRON!B$2,MATCH(C:C,PADRON!A$2:A1405,0)-1,0,1,1))</f>
        <v>CAMPARO, CARLOS</v>
      </c>
      <c r="E652" s="58">
        <v>45839.0</v>
      </c>
      <c r="F652" s="133">
        <v>45870.0</v>
      </c>
      <c r="G652" s="59" t="s">
        <v>39</v>
      </c>
      <c r="H652" s="60">
        <f>IF( ISERROR( OFFSET(   'Cuadro tarifario'!D$2  , MATCH(CONCATENATE(                 IF(F652&gt;Mes,OFFSET(NroCT!B$17, MATCH($F652,NroCT!$A$18:$A1405,0),0,1,1),Periodovigente)                                                                                                                     ,A652) ,'Cuadro tarifario'!A$2:A1405,0) -1 , 0 , 1 , 1) )   , 0  ,   OFFSET(   'Cuadro tarifario'!D$2  , MATCH(CONCATENATE( IF(F652&gt;Mes,OFFSET(NroCT!B$17, MATCH($F652,NroCT!$A$18:$A1405,0),0,1,1),Periodovigente) ,A652) ,'Cuadro tarifario'!A$2:A1405,0) -1 , 0 , 1 , 1))</f>
        <v>12000</v>
      </c>
      <c r="I652" s="135">
        <f t="shared" si="195"/>
        <v>1</v>
      </c>
      <c r="J652" s="138">
        <f t="shared" si="235"/>
        <v>12000</v>
      </c>
      <c r="K652" s="136">
        <f>IF(  AND(N652&gt;0,I652=0)          ,N652 ,                         IF(  IF( F652 ,  DAYS360(DATE(YEAR(F652),MONTH(F652),1),Mes)/30  ,  DAYS360(DATE(YEAR(E652),MONTH(E652),1),Mes)/30  )  &gt;  0 , IF(F652,   DAYS360(DATE(YEAR(F652),MONTH(F652),1),Mes)/30  ,  DAYS360(DATE(YEAR(E652),MONTH(E652),1),Mes)/30) , 0)       )</f>
        <v>0</v>
      </c>
      <c r="L652" s="137">
        <f t="shared" si="196"/>
        <v>0</v>
      </c>
      <c r="M652" s="131"/>
      <c r="N652" s="130"/>
      <c r="O652" s="130"/>
      <c r="P652" s="130"/>
      <c r="Q652" s="130"/>
      <c r="R652" s="130"/>
      <c r="S652" s="130"/>
      <c r="T652" s="130"/>
    </row>
    <row r="653" ht="15.0" customHeight="1">
      <c r="A653" s="18" t="s">
        <v>42</v>
      </c>
      <c r="B653" s="18" t="s">
        <v>311</v>
      </c>
      <c r="C653" s="19">
        <v>1960.0</v>
      </c>
      <c r="D653" s="57" t="str">
        <f>IF(   ISERROR(OFFSET(PADRON!B$2,MATCH(C:C,PADRON!A$2:A1405,0)-1,0,1,1) )  ,  ,    OFFSET(PADRON!B$2,MATCH(C:C,PADRON!A$2:A1405,0)-1,0,1,1))</f>
        <v>CAMPARO, CARLOS</v>
      </c>
      <c r="E653" s="58">
        <v>45992.0</v>
      </c>
      <c r="F653" s="133"/>
      <c r="G653" s="59" t="s">
        <v>39</v>
      </c>
      <c r="H653" s="60">
        <f>IF( ISERROR( OFFSET(   'Cuadro tarifario'!D$2  , MATCH(CONCATENATE(                 IF(F653&gt;Mes,OFFSET(NroCT!B$17, MATCH($F653,NroCT!$A$18:$A1405,0),0,1,1),Periodovigente)                                                                                                                     ,A653) ,'Cuadro tarifario'!A$2:A1405,0) -1 , 0 , 1 , 1) )   , 0  ,   OFFSET(   'Cuadro tarifario'!D$2  , MATCH(CONCATENATE( IF(F653&gt;Mes,OFFSET(NroCT!B$17, MATCH($F653,NroCT!$A$18:$A1405,0),0,1,1),Periodovigente) ,A653) ,'Cuadro tarifario'!A$2:A1405,0) -1 , 0 , 1 , 1))</f>
        <v>4000</v>
      </c>
      <c r="I653" s="135">
        <f t="shared" si="195"/>
        <v>0</v>
      </c>
      <c r="J653" s="138">
        <f t="shared" si="235"/>
        <v>0</v>
      </c>
      <c r="K653" s="136">
        <f>IF(  AND(N653&gt;0,I653=0)          ,N653 ,                         IF(  IF( F653 ,  DAYS360(DATE(YEAR(F653),MONTH(F653),1),Mes)/30  ,  DAYS360(DATE(YEAR(E653),MONTH(E653),1),Mes)/30  )  &gt;  0 , IF(F653,   DAYS360(DATE(YEAR(F653),MONTH(F653),1),Mes)/30  ,  DAYS360(DATE(YEAR(E653),MONTH(E653),1),Mes)/30) , 0)       )</f>
        <v>0</v>
      </c>
      <c r="L653" s="137">
        <f t="shared" si="196"/>
        <v>0</v>
      </c>
      <c r="M653" s="131"/>
      <c r="N653" s="130"/>
      <c r="O653" s="130"/>
      <c r="P653" s="130"/>
      <c r="Q653" s="130"/>
      <c r="R653" s="130"/>
      <c r="S653" s="130"/>
      <c r="T653" s="130"/>
    </row>
    <row r="654" ht="18.75" customHeight="1">
      <c r="A654" s="18" t="s">
        <v>71</v>
      </c>
      <c r="B654" s="18">
        <v>1961.0</v>
      </c>
      <c r="C654" s="19">
        <v>1961.0</v>
      </c>
      <c r="D654" s="57" t="str">
        <f>IF(   ISERROR(OFFSET(PADRON!B$2,MATCH(C:C,PADRON!A$2:A1405,0)-1,0,1,1) )  ,  ,    OFFSET(PADRON!B$2,MATCH(C:C,PADRON!A$2:A1405,0)-1,0,1,1))</f>
        <v>SALAS TRIANA, FACUNDO</v>
      </c>
      <c r="E654" s="58">
        <v>45839.0</v>
      </c>
      <c r="F654" s="133">
        <v>45870.0</v>
      </c>
      <c r="G654" s="59" t="s">
        <v>39</v>
      </c>
      <c r="H654" s="60">
        <f>IF( ISERROR( OFFSET(   'Cuadro tarifario'!D$2  , MATCH(CONCATENATE(                 IF(F654&gt;Mes,OFFSET(NroCT!B$17, MATCH($F654,NroCT!$A$18:$A1405,0),0,1,1),Periodovigente)                                                                                                                     ,A654) ,'Cuadro tarifario'!A$2:A1405,0) -1 , 0 , 1 , 1) )   , 0  ,   OFFSET(   'Cuadro tarifario'!D$2  , MATCH(CONCATENATE( IF(F654&gt;Mes,OFFSET(NroCT!B$17, MATCH($F654,NroCT!$A$18:$A1405,0),0,1,1),Periodovigente) ,A654) ,'Cuadro tarifario'!A$2:A1405,0) -1 , 0 , 1 , 1))</f>
        <v>11000</v>
      </c>
      <c r="I654" s="135">
        <f t="shared" si="195"/>
        <v>1</v>
      </c>
      <c r="J654" s="138">
        <f t="shared" si="235"/>
        <v>11000</v>
      </c>
      <c r="K654" s="136">
        <f>IF(  AND(N654&gt;0,I654=0)          ,N654 ,                         IF(  IF( F654 ,  DAYS360(DATE(YEAR(F654),MONTH(F654),1),Mes)/30  ,  DAYS360(DATE(YEAR(E654),MONTH(E654),1),Mes)/30  )  &gt;  0 , IF(F654,   DAYS360(DATE(YEAR(F654),MONTH(F654),1),Mes)/30  ,  DAYS360(DATE(YEAR(E654),MONTH(E654),1),Mes)/30) , 0)       )</f>
        <v>0</v>
      </c>
      <c r="L654" s="137">
        <f t="shared" si="196"/>
        <v>0</v>
      </c>
      <c r="M654" s="131" t="s">
        <v>312</v>
      </c>
      <c r="N654" s="130"/>
      <c r="O654" s="130"/>
      <c r="P654" s="130"/>
      <c r="Q654" s="130"/>
      <c r="R654" s="130"/>
      <c r="S654" s="130"/>
      <c r="T654" s="130"/>
    </row>
    <row r="655" ht="15.0" customHeight="1">
      <c r="A655" s="18" t="s">
        <v>38</v>
      </c>
      <c r="B655" s="18">
        <v>1961.0</v>
      </c>
      <c r="C655" s="19">
        <v>1961.0</v>
      </c>
      <c r="D655" s="57" t="str">
        <f>IF(   ISERROR(OFFSET(PADRON!B$2,MATCH(C:C,PADRON!A$2:A1405,0)-1,0,1,1) )  ,  ,    OFFSET(PADRON!B$2,MATCH(C:C,PADRON!A$2:A1405,0)-1,0,1,1))</f>
        <v>SALAS TRIANA, FACUNDO</v>
      </c>
      <c r="E655" s="58">
        <v>45839.0</v>
      </c>
      <c r="F655" s="133">
        <v>45870.0</v>
      </c>
      <c r="G655" s="59" t="s">
        <v>39</v>
      </c>
      <c r="H655" s="60">
        <f>IF( ISERROR( OFFSET(   'Cuadro tarifario'!D$2  , MATCH(CONCATENATE(                 IF(F655&gt;Mes,OFFSET(NroCT!B$17, MATCH($F655,NroCT!$A$18:$A1405,0),0,1,1),Periodovigente)                                                                                                                     ,A655) ,'Cuadro tarifario'!A$2:A1405,0) -1 , 0 , 1 , 1) )   , 0  ,   OFFSET(   'Cuadro tarifario'!D$2  , MATCH(CONCATENATE( IF(F655&gt;Mes,OFFSET(NroCT!B$17, MATCH($F655,NroCT!$A$18:$A1405,0),0,1,1),Periodovigente) ,A655) ,'Cuadro tarifario'!A$2:A1405,0) -1 , 0 , 1 , 1))</f>
        <v>9000</v>
      </c>
      <c r="I655" s="135">
        <f t="shared" si="195"/>
        <v>1</v>
      </c>
      <c r="J655" s="138">
        <f t="shared" si="235"/>
        <v>9000</v>
      </c>
      <c r="K655" s="136">
        <f>IF(  AND(N655&gt;0,I655=0)          ,N655 ,                         IF(  IF( F655 ,  DAYS360(DATE(YEAR(F655),MONTH(F655),1),Mes)/30  ,  DAYS360(DATE(YEAR(E655),MONTH(E655),1),Mes)/30  )  &gt;  0 , IF(F655,   DAYS360(DATE(YEAR(F655),MONTH(F655),1),Mes)/30  ,  DAYS360(DATE(YEAR(E655),MONTH(E655),1),Mes)/30) , 0)       )</f>
        <v>0</v>
      </c>
      <c r="L655" s="137">
        <f t="shared" si="196"/>
        <v>0</v>
      </c>
      <c r="M655" s="131"/>
      <c r="N655" s="130"/>
      <c r="O655" s="130"/>
      <c r="P655" s="130"/>
      <c r="Q655" s="130"/>
      <c r="R655" s="130"/>
      <c r="S655" s="130"/>
      <c r="T655" s="130"/>
    </row>
    <row r="656" ht="18.0" customHeight="1">
      <c r="A656" s="18" t="s">
        <v>40</v>
      </c>
      <c r="B656" s="18" t="s">
        <v>313</v>
      </c>
      <c r="C656" s="19">
        <v>1961.0</v>
      </c>
      <c r="D656" s="57" t="str">
        <f>IF(   ISERROR(OFFSET(PADRON!B$2,MATCH(C:C,PADRON!A$2:A1405,0)-1,0,1,1) )  ,  ,    OFFSET(PADRON!B$2,MATCH(C:C,PADRON!A$2:A1405,0)-1,0,1,1))</f>
        <v>SALAS TRIANA, FACUNDO</v>
      </c>
      <c r="E656" s="58">
        <v>45839.0</v>
      </c>
      <c r="F656" s="133">
        <v>45870.0</v>
      </c>
      <c r="G656" s="59" t="s">
        <v>39</v>
      </c>
      <c r="H656" s="60">
        <f>IF( ISERROR( OFFSET(   'Cuadro tarifario'!D$2  , MATCH(CONCATENATE(                 IF(F656&gt;Mes,OFFSET(NroCT!B$17, MATCH($F656,NroCT!$A$18:$A1405,0),0,1,1),Periodovigente)                                                                                                                     ,A656) ,'Cuadro tarifario'!A$2:A1405,0) -1 , 0 , 1 , 1) )   , 0  ,   OFFSET(   'Cuadro tarifario'!D$2  , MATCH(CONCATENATE( IF(F656&gt;Mes,OFFSET(NroCT!B$17, MATCH($F656,NroCT!$A$18:$A1405,0),0,1,1),Periodovigente) ,A656) ,'Cuadro tarifario'!A$2:A1405,0) -1 , 0 , 1 , 1))</f>
        <v>12000</v>
      </c>
      <c r="I656" s="135">
        <f t="shared" si="195"/>
        <v>1</v>
      </c>
      <c r="J656" s="138">
        <f t="shared" si="235"/>
        <v>12000</v>
      </c>
      <c r="K656" s="136">
        <f>IF(  AND(N656&gt;0,I656=0)          ,N656 ,                         IF(  IF( F656 ,  DAYS360(DATE(YEAR(F656),MONTH(F656),1),Mes)/30  ,  DAYS360(DATE(YEAR(E656),MONTH(E656),1),Mes)/30  )  &gt;  0 , IF(F656,   DAYS360(DATE(YEAR(F656),MONTH(F656),1),Mes)/30  ,  DAYS360(DATE(YEAR(E656),MONTH(E656),1),Mes)/30) , 0)       )</f>
        <v>0</v>
      </c>
      <c r="L656" s="137">
        <f t="shared" si="196"/>
        <v>0</v>
      </c>
      <c r="M656" s="131"/>
      <c r="N656" s="130"/>
      <c r="O656" s="130"/>
      <c r="P656" s="130"/>
      <c r="Q656" s="130"/>
      <c r="R656" s="130"/>
      <c r="S656" s="130"/>
      <c r="T656" s="130"/>
    </row>
    <row r="657" ht="14.25" customHeight="1">
      <c r="A657" s="18" t="s">
        <v>71</v>
      </c>
      <c r="B657" s="18">
        <v>1965.0</v>
      </c>
      <c r="C657" s="19">
        <v>1965.0</v>
      </c>
      <c r="D657" s="57" t="str">
        <f>IF(   ISERROR(OFFSET(PADRON!B$2,MATCH(C:C,PADRON!A$2:A1405,0)-1,0,1,1) )  ,  ,    OFFSET(PADRON!B$2,MATCH(C:C,PADRON!A$2:A1405,0)-1,0,1,1))</f>
        <v>PEDERSOLI, FRANCO</v>
      </c>
      <c r="E657" s="58">
        <v>45839.0</v>
      </c>
      <c r="F657" s="133">
        <v>45870.0</v>
      </c>
      <c r="G657" s="59" t="s">
        <v>39</v>
      </c>
      <c r="H657" s="60">
        <f>IF( ISERROR( OFFSET(   'Cuadro tarifario'!D$2  , MATCH(CONCATENATE(                 IF(F657&gt;Mes,OFFSET(NroCT!B$17, MATCH($F657,NroCT!$A$18:$A1405,0),0,1,1),Periodovigente)                                                                                                                     ,A657) ,'Cuadro tarifario'!A$2:A1405,0) -1 , 0 , 1 , 1) )   , 0  ,   OFFSET(   'Cuadro tarifario'!D$2  , MATCH(CONCATENATE( IF(F657&gt;Mes,OFFSET(NroCT!B$17, MATCH($F657,NroCT!$A$18:$A1405,0),0,1,1),Periodovigente) ,A657) ,'Cuadro tarifario'!A$2:A1405,0) -1 , 0 , 1 , 1))</f>
        <v>11000</v>
      </c>
      <c r="I657" s="135">
        <f t="shared" si="195"/>
        <v>1</v>
      </c>
      <c r="J657" s="138">
        <f t="shared" si="235"/>
        <v>11000</v>
      </c>
      <c r="K657" s="136">
        <f>IF(  AND(N657&gt;0,I657=0)          ,N657 ,                         IF(  IF( F657 ,  DAYS360(DATE(YEAR(F657),MONTH(F657),1),Mes)/30  ,  DAYS360(DATE(YEAR(E657),MONTH(E657),1),Mes)/30  )  &gt;  0 , IF(F657,   DAYS360(DATE(YEAR(F657),MONTH(F657),1),Mes)/30  ,  DAYS360(DATE(YEAR(E657),MONTH(E657),1),Mes)/30) , 0)       )</f>
        <v>0</v>
      </c>
      <c r="L657" s="137">
        <f t="shared" si="196"/>
        <v>0</v>
      </c>
      <c r="M657" s="131" t="s">
        <v>312</v>
      </c>
      <c r="N657" s="130"/>
      <c r="O657" s="130"/>
      <c r="P657" s="130"/>
      <c r="Q657" s="130"/>
      <c r="R657" s="130"/>
      <c r="S657" s="130"/>
      <c r="T657" s="130"/>
    </row>
    <row r="658" ht="15.0" customHeight="1">
      <c r="A658" s="18" t="s">
        <v>38</v>
      </c>
      <c r="B658" s="18">
        <v>1965.0</v>
      </c>
      <c r="C658" s="19">
        <v>1965.0</v>
      </c>
      <c r="D658" s="57" t="str">
        <f>IF(   ISERROR(OFFSET(PADRON!B$2,MATCH(C:C,PADRON!A$2:A1405,0)-1,0,1,1) )  ,  ,    OFFSET(PADRON!B$2,MATCH(C:C,PADRON!A$2:A1405,0)-1,0,1,1))</f>
        <v>PEDERSOLI, FRANCO</v>
      </c>
      <c r="E658" s="58">
        <v>45839.0</v>
      </c>
      <c r="F658" s="133">
        <v>45870.0</v>
      </c>
      <c r="G658" s="59" t="s">
        <v>39</v>
      </c>
      <c r="H658" s="60">
        <f>IF( ISERROR( OFFSET(   'Cuadro tarifario'!D$2  , MATCH(CONCATENATE(                 IF(F658&gt;Mes,OFFSET(NroCT!B$17, MATCH($F658,NroCT!$A$18:$A1405,0),0,1,1),Periodovigente)                                                                                                                     ,A658) ,'Cuadro tarifario'!A$2:A1405,0) -1 , 0 , 1 , 1) )   , 0  ,   OFFSET(   'Cuadro tarifario'!D$2  , MATCH(CONCATENATE( IF(F658&gt;Mes,OFFSET(NroCT!B$17, MATCH($F658,NroCT!$A$18:$A1405,0),0,1,1),Periodovigente) ,A658) ,'Cuadro tarifario'!A$2:A1405,0) -1 , 0 , 1 , 1))</f>
        <v>9000</v>
      </c>
      <c r="I658" s="135">
        <f t="shared" si="195"/>
        <v>1</v>
      </c>
      <c r="J658" s="138">
        <f t="shared" si="235"/>
        <v>9000</v>
      </c>
      <c r="K658" s="136">
        <f>IF(  AND(N658&gt;0,I658=0)          ,N658 ,                         IF(  IF( F658 ,  DAYS360(DATE(YEAR(F658),MONTH(F658),1),Mes)/30  ,  DAYS360(DATE(YEAR(E658),MONTH(E658),1),Mes)/30  )  &gt;  0 , IF(F658,   DAYS360(DATE(YEAR(F658),MONTH(F658),1),Mes)/30  ,  DAYS360(DATE(YEAR(E658),MONTH(E658),1),Mes)/30) , 0)       )</f>
        <v>0</v>
      </c>
      <c r="L658" s="137">
        <f t="shared" si="196"/>
        <v>0</v>
      </c>
      <c r="M658" s="131"/>
      <c r="N658" s="130"/>
      <c r="O658" s="130"/>
      <c r="P658" s="130"/>
      <c r="Q658" s="130"/>
      <c r="R658" s="130"/>
      <c r="S658" s="130"/>
      <c r="T658" s="130"/>
    </row>
    <row r="659" ht="15.0" customHeight="1">
      <c r="A659" s="18" t="s">
        <v>48</v>
      </c>
      <c r="B659" s="18" t="s">
        <v>314</v>
      </c>
      <c r="C659" s="19">
        <v>1965.0</v>
      </c>
      <c r="D659" s="57" t="str">
        <f>IF(   ISERROR(OFFSET(PADRON!B$2,MATCH(C:C,PADRON!A$2:A1405,0)-1,0,1,1) )  ,  ,    OFFSET(PADRON!B$2,MATCH(C:C,PADRON!A$2:A1405,0)-1,0,1,1))</f>
        <v>PEDERSOLI, FRANCO</v>
      </c>
      <c r="E659" s="58">
        <v>45839.0</v>
      </c>
      <c r="F659" s="133">
        <v>45870.0</v>
      </c>
      <c r="G659" s="59" t="s">
        <v>39</v>
      </c>
      <c r="H659" s="60">
        <f>IF( ISERROR( OFFSET(   'Cuadro tarifario'!D$2  , MATCH(CONCATENATE(                 IF(F659&gt;Mes,OFFSET(NroCT!B$17, MATCH($F659,NroCT!$A$18:$A1405,0),0,1,1),Periodovigente)                                                                                                                     ,A659) ,'Cuadro tarifario'!A$2:A1405,0) -1 , 0 , 1 , 1) )   , 0  ,   OFFSET(   'Cuadro tarifario'!D$2  , MATCH(CONCATENATE( IF(F659&gt;Mes,OFFSET(NroCT!B$17, MATCH($F659,NroCT!$A$18:$A1405,0),0,1,1),Periodovigente) ,A659) ,'Cuadro tarifario'!A$2:A1405,0) -1 , 0 , 1 , 1))</f>
        <v>12000</v>
      </c>
      <c r="I659" s="135">
        <f t="shared" si="195"/>
        <v>1</v>
      </c>
      <c r="J659" s="138">
        <f t="shared" si="235"/>
        <v>12000</v>
      </c>
      <c r="K659" s="136">
        <f>IF(  AND(N659&gt;0,I659=0)          ,N659 ,                         IF(  IF( F659 ,  DAYS360(DATE(YEAR(F659),MONTH(F659),1),Mes)/30  ,  DAYS360(DATE(YEAR(E659),MONTH(E659),1),Mes)/30  )  &gt;  0 , IF(F659,   DAYS360(DATE(YEAR(F659),MONTH(F659),1),Mes)/30  ,  DAYS360(DATE(YEAR(E659),MONTH(E659),1),Mes)/30) , 0)       )</f>
        <v>0</v>
      </c>
      <c r="L659" s="137">
        <f t="shared" si="196"/>
        <v>0</v>
      </c>
      <c r="M659" s="131"/>
      <c r="N659" s="130"/>
      <c r="O659" s="130"/>
      <c r="P659" s="130"/>
      <c r="Q659" s="130"/>
      <c r="R659" s="130"/>
      <c r="S659" s="130"/>
      <c r="T659" s="130"/>
    </row>
    <row r="660" ht="15.0" customHeight="1">
      <c r="A660" s="18" t="s">
        <v>52</v>
      </c>
      <c r="B660" s="18" t="s">
        <v>315</v>
      </c>
      <c r="C660" s="19">
        <v>1965.0</v>
      </c>
      <c r="D660" s="57" t="str">
        <f>IF(   ISERROR(OFFSET(PADRON!B$2,MATCH(C:C,PADRON!A$2:A1405,0)-1,0,1,1) )  ,  ,    OFFSET(PADRON!B$2,MATCH(C:C,PADRON!A$2:A1405,0)-1,0,1,1))</f>
        <v>PEDERSOLI, FRANCO</v>
      </c>
      <c r="E660" s="58">
        <v>45992.0</v>
      </c>
      <c r="F660" s="133"/>
      <c r="G660" s="59" t="s">
        <v>39</v>
      </c>
      <c r="H660" s="60">
        <f>IF( ISERROR( OFFSET(   'Cuadro tarifario'!D$2  , MATCH(CONCATENATE(                 IF(F660&gt;Mes,OFFSET(NroCT!B$17, MATCH($F660,NroCT!$A$18:$A1405,0),0,1,1),Periodovigente)                                                                                                                     ,A660) ,'Cuadro tarifario'!A$2:A1405,0) -1 , 0 , 1 , 1) )   , 0  ,   OFFSET(   'Cuadro tarifario'!D$2  , MATCH(CONCATENATE( IF(F660&gt;Mes,OFFSET(NroCT!B$17, MATCH($F660,NroCT!$A$18:$A1405,0),0,1,1),Periodovigente) ,A660) ,'Cuadro tarifario'!A$2:A1405,0) -1 , 0 , 1 , 1))</f>
        <v>4000</v>
      </c>
      <c r="I660" s="135">
        <f t="shared" si="195"/>
        <v>0</v>
      </c>
      <c r="J660" s="138">
        <f t="shared" si="235"/>
        <v>0</v>
      </c>
      <c r="K660" s="136">
        <f>IF(  AND(N660&gt;0,I660=0)          ,N660 ,                         IF(  IF( F660 ,  DAYS360(DATE(YEAR(F660),MONTH(F660),1),Mes)/30  ,  DAYS360(DATE(YEAR(E660),MONTH(E660),1),Mes)/30  )  &gt;  0 , IF(F660,   DAYS360(DATE(YEAR(F660),MONTH(F660),1),Mes)/30  ,  DAYS360(DATE(YEAR(E660),MONTH(E660),1),Mes)/30) , 0)       )</f>
        <v>0</v>
      </c>
      <c r="L660" s="137">
        <f t="shared" si="196"/>
        <v>0</v>
      </c>
      <c r="M660" s="131"/>
      <c r="N660" s="130"/>
      <c r="O660" s="130"/>
      <c r="P660" s="130"/>
      <c r="Q660" s="130"/>
      <c r="R660" s="130"/>
      <c r="S660" s="130"/>
      <c r="T660" s="130"/>
    </row>
    <row r="661" ht="15.0" customHeight="1">
      <c r="A661" s="18" t="s">
        <v>71</v>
      </c>
      <c r="B661" s="18">
        <v>1979.0</v>
      </c>
      <c r="C661" s="19">
        <v>1979.0</v>
      </c>
      <c r="D661" s="57" t="str">
        <f>IF(   ISERROR(OFFSET(PADRON!B$2,MATCH(C:C,PADRON!A$2:A1405,0)-1,0,1,1) )  ,  ,    OFFSET(PADRON!B$2,MATCH(C:C,PADRON!A$2:A1405,0)-1,0,1,1))</f>
        <v>MANSILLA, JOSE</v>
      </c>
      <c r="E661" s="58">
        <v>45839.0</v>
      </c>
      <c r="F661" s="133">
        <v>45870.0</v>
      </c>
      <c r="G661" s="59" t="s">
        <v>39</v>
      </c>
      <c r="H661" s="60">
        <f>IF( ISERROR( OFFSET(   'Cuadro tarifario'!D$2  , MATCH(CONCATENATE(                 IF(F661&gt;Mes,OFFSET(NroCT!B$17, MATCH($F661,NroCT!$A$18:$A1405,0),0,1,1),Periodovigente)                                                                                                                     ,A661) ,'Cuadro tarifario'!A$2:A1405,0) -1 , 0 , 1 , 1) )   , 0  ,   OFFSET(   'Cuadro tarifario'!D$2  , MATCH(CONCATENATE( IF(F661&gt;Mes,OFFSET(NroCT!B$17, MATCH($F661,NroCT!$A$18:$A1405,0),0,1,1),Periodovigente) ,A661) ,'Cuadro tarifario'!A$2:A1405,0) -1 , 0 , 1 , 1))</f>
        <v>11000</v>
      </c>
      <c r="I661" s="135">
        <f t="shared" si="195"/>
        <v>1</v>
      </c>
      <c r="J661" s="138">
        <f t="shared" si="235"/>
        <v>11000</v>
      </c>
      <c r="K661" s="136">
        <f>IF(  AND(N661&gt;0,I661=0)          ,N661 ,                         IF(  IF( F661 ,  DAYS360(DATE(YEAR(F661),MONTH(F661),1),Mes)/30  ,  DAYS360(DATE(YEAR(E661),MONTH(E661),1),Mes)/30  )  &gt;  0 , IF(F661,   DAYS360(DATE(YEAR(F661),MONTH(F661),1),Mes)/30  ,  DAYS360(DATE(YEAR(E661),MONTH(E661),1),Mes)/30) , 0)       )</f>
        <v>0</v>
      </c>
      <c r="L661" s="137">
        <f t="shared" si="196"/>
        <v>0</v>
      </c>
      <c r="M661" s="131"/>
      <c r="N661" s="130"/>
      <c r="O661" s="130"/>
      <c r="P661" s="130"/>
      <c r="Q661" s="130"/>
      <c r="R661" s="130"/>
      <c r="S661" s="130"/>
      <c r="T661" s="130"/>
    </row>
    <row r="662" ht="14.25" customHeight="1">
      <c r="A662" s="18" t="s">
        <v>38</v>
      </c>
      <c r="B662" s="18">
        <v>1979.0</v>
      </c>
      <c r="C662" s="19">
        <v>1979.0</v>
      </c>
      <c r="D662" s="57" t="str">
        <f>IF(   ISERROR(OFFSET(PADRON!B$2,MATCH(C:C,PADRON!A$2:A1405,0)-1,0,1,1) )  ,  ,    OFFSET(PADRON!B$2,MATCH(C:C,PADRON!A$2:A1405,0)-1,0,1,1))</f>
        <v>MANSILLA, JOSE</v>
      </c>
      <c r="E662" s="58">
        <v>45839.0</v>
      </c>
      <c r="F662" s="133">
        <v>45870.0</v>
      </c>
      <c r="G662" s="59" t="s">
        <v>39</v>
      </c>
      <c r="H662" s="60">
        <f>IF( ISERROR( OFFSET(   'Cuadro tarifario'!D$2  , MATCH(CONCATENATE(                 IF(F662&gt;Mes,OFFSET(NroCT!B$17, MATCH($F662,NroCT!$A$18:$A1405,0),0,1,1),Periodovigente)                                                                                                                     ,A662) ,'Cuadro tarifario'!A$2:A1405,0) -1 , 0 , 1 , 1) )   , 0  ,   OFFSET(   'Cuadro tarifario'!D$2  , MATCH(CONCATENATE( IF(F662&gt;Mes,OFFSET(NroCT!B$17, MATCH($F662,NroCT!$A$18:$A1405,0),0,1,1),Periodovigente) ,A662) ,'Cuadro tarifario'!A$2:A1405,0) -1 , 0 , 1 , 1))</f>
        <v>9000</v>
      </c>
      <c r="I662" s="135">
        <f t="shared" si="195"/>
        <v>1</v>
      </c>
      <c r="J662" s="138">
        <f t="shared" si="235"/>
        <v>9000</v>
      </c>
      <c r="K662" s="136">
        <f>IF(  AND(N662&gt;0,I662=0)          ,N662 ,                         IF(  IF( F662 ,  DAYS360(DATE(YEAR(F662),MONTH(F662),1),Mes)/30  ,  DAYS360(DATE(YEAR(E662),MONTH(E662),1),Mes)/30  )  &gt;  0 , IF(F662,   DAYS360(DATE(YEAR(F662),MONTH(F662),1),Mes)/30  ,  DAYS360(DATE(YEAR(E662),MONTH(E662),1),Mes)/30) , 0)       )</f>
        <v>0</v>
      </c>
      <c r="L662" s="137">
        <f t="shared" si="196"/>
        <v>0</v>
      </c>
      <c r="M662" s="131"/>
      <c r="N662" s="130"/>
      <c r="O662" s="130"/>
      <c r="P662" s="130"/>
      <c r="Q662" s="130"/>
      <c r="R662" s="130"/>
      <c r="S662" s="130"/>
      <c r="T662" s="130"/>
    </row>
    <row r="663" ht="15.0" customHeight="1">
      <c r="A663" s="18" t="s">
        <v>71</v>
      </c>
      <c r="B663" s="18">
        <v>1983.0</v>
      </c>
      <c r="C663" s="19">
        <v>1983.0</v>
      </c>
      <c r="D663" s="57" t="str">
        <f>IF(   ISERROR(OFFSET(PADRON!B$2,MATCH(C:C,PADRON!A$2:A1405,0)-1,0,1,1) )  ,  ,    OFFSET(PADRON!B$2,MATCH(C:C,PADRON!A$2:A1405,0)-1,0,1,1))</f>
        <v>MARCELINO, GABRIELA</v>
      </c>
      <c r="E663" s="58">
        <v>45839.0</v>
      </c>
      <c r="F663" s="133">
        <v>45870.0</v>
      </c>
      <c r="G663" s="59" t="s">
        <v>39</v>
      </c>
      <c r="H663" s="60">
        <f>IF( ISERROR( OFFSET(   'Cuadro tarifario'!D$2  , MATCH(CONCATENATE(                 IF(F663&gt;Mes,OFFSET(NroCT!B$17, MATCH($F663,NroCT!$A$18:$A1405,0),0,1,1),Periodovigente)                                                                                                                     ,A663) ,'Cuadro tarifario'!A$2:A1405,0) -1 , 0 , 1 , 1) )   , 0  ,   OFFSET(   'Cuadro tarifario'!D$2  , MATCH(CONCATENATE( IF(F663&gt;Mes,OFFSET(NroCT!B$17, MATCH($F663,NroCT!$A$18:$A1405,0),0,1,1),Periodovigente) ,A663) ,'Cuadro tarifario'!A$2:A1405,0) -1 , 0 , 1 , 1))</f>
        <v>11000</v>
      </c>
      <c r="I663" s="135">
        <f t="shared" si="195"/>
        <v>1</v>
      </c>
      <c r="J663" s="138">
        <f t="shared" si="235"/>
        <v>11000</v>
      </c>
      <c r="K663" s="136">
        <f>IF(  AND(N663&gt;0,I663=0)          ,N663 ,                         IF(  IF( F663 ,  DAYS360(DATE(YEAR(F663),MONTH(F663),1),Mes)/30  ,  DAYS360(DATE(YEAR(E663),MONTH(E663),1),Mes)/30  )  &gt;  0 , IF(F663,   DAYS360(DATE(YEAR(F663),MONTH(F663),1),Mes)/30  ,  DAYS360(DATE(YEAR(E663),MONTH(E663),1),Mes)/30) , 0)       )</f>
        <v>0</v>
      </c>
      <c r="L663" s="137">
        <f t="shared" si="196"/>
        <v>0</v>
      </c>
      <c r="M663" s="131"/>
      <c r="N663" s="130"/>
      <c r="O663" s="130"/>
      <c r="P663" s="130"/>
      <c r="Q663" s="130"/>
      <c r="R663" s="130"/>
      <c r="S663" s="130"/>
      <c r="T663" s="130"/>
    </row>
    <row r="664" ht="15.0" customHeight="1">
      <c r="A664" s="18" t="s">
        <v>38</v>
      </c>
      <c r="B664" s="18">
        <v>1983.0</v>
      </c>
      <c r="C664" s="19">
        <v>1983.0</v>
      </c>
      <c r="D664" s="57" t="str">
        <f>IF(   ISERROR(OFFSET(PADRON!B$2,MATCH(C:C,PADRON!A$2:A1405,0)-1,0,1,1) )  ,  ,    OFFSET(PADRON!B$2,MATCH(C:C,PADRON!A$2:A1405,0)-1,0,1,1))</f>
        <v>MARCELINO, GABRIELA</v>
      </c>
      <c r="E664" s="58">
        <v>45839.0</v>
      </c>
      <c r="F664" s="133">
        <v>45870.0</v>
      </c>
      <c r="G664" s="59" t="s">
        <v>39</v>
      </c>
      <c r="H664" s="60">
        <f>IF( ISERROR( OFFSET(   'Cuadro tarifario'!D$2  , MATCH(CONCATENATE(                 IF(F664&gt;Mes,OFFSET(NroCT!B$17, MATCH($F664,NroCT!$A$18:$A1405,0),0,1,1),Periodovigente)                                                                                                                     ,A664) ,'Cuadro tarifario'!A$2:A1405,0) -1 , 0 , 1 , 1) )   , 0  ,   OFFSET(   'Cuadro tarifario'!D$2  , MATCH(CONCATENATE( IF(F664&gt;Mes,OFFSET(NroCT!B$17, MATCH($F664,NroCT!$A$18:$A1405,0),0,1,1),Periodovigente) ,A664) ,'Cuadro tarifario'!A$2:A1405,0) -1 , 0 , 1 , 1))</f>
        <v>9000</v>
      </c>
      <c r="I664" s="135">
        <f t="shared" si="195"/>
        <v>1</v>
      </c>
      <c r="J664" s="138">
        <f t="shared" si="235"/>
        <v>9000</v>
      </c>
      <c r="K664" s="136">
        <f>IF(  AND(N664&gt;0,I664=0)          ,N664 ,                         IF(  IF( F664 ,  DAYS360(DATE(YEAR(F664),MONTH(F664),1),Mes)/30  ,  DAYS360(DATE(YEAR(E664),MONTH(E664),1),Mes)/30  )  &gt;  0 , IF(F664,   DAYS360(DATE(YEAR(F664),MONTH(F664),1),Mes)/30  ,  DAYS360(DATE(YEAR(E664),MONTH(E664),1),Mes)/30) , 0)       )</f>
        <v>0</v>
      </c>
      <c r="L664" s="137">
        <f t="shared" si="196"/>
        <v>0</v>
      </c>
      <c r="M664" s="131"/>
      <c r="N664" s="130"/>
      <c r="O664" s="130"/>
      <c r="P664" s="130"/>
      <c r="Q664" s="130"/>
      <c r="R664" s="130"/>
      <c r="S664" s="130"/>
      <c r="T664" s="130"/>
    </row>
    <row r="665" ht="15.0" customHeight="1">
      <c r="A665" s="18" t="s">
        <v>40</v>
      </c>
      <c r="B665" s="18" t="s">
        <v>316</v>
      </c>
      <c r="C665" s="19">
        <v>1983.0</v>
      </c>
      <c r="D665" s="57" t="str">
        <f>IF(   ISERROR(OFFSET(PADRON!B$2,MATCH(C:C,PADRON!A$2:A1405,0)-1,0,1,1) )  ,  ,    OFFSET(PADRON!B$2,MATCH(C:C,PADRON!A$2:A1405,0)-1,0,1,1))</f>
        <v>MARCELINO, GABRIELA</v>
      </c>
      <c r="E665" s="58">
        <v>45839.0</v>
      </c>
      <c r="F665" s="133">
        <v>45870.0</v>
      </c>
      <c r="G665" s="59" t="s">
        <v>39</v>
      </c>
      <c r="H665" s="60">
        <f>IF( ISERROR( OFFSET(   'Cuadro tarifario'!D$2  , MATCH(CONCATENATE(                 IF(F665&gt;Mes,OFFSET(NroCT!B$17, MATCH($F665,NroCT!$A$18:$A1405,0),0,1,1),Periodovigente)                                                                                                                     ,A665) ,'Cuadro tarifario'!A$2:A1405,0) -1 , 0 , 1 , 1) )   , 0  ,   OFFSET(   'Cuadro tarifario'!D$2  , MATCH(CONCATENATE( IF(F665&gt;Mes,OFFSET(NroCT!B$17, MATCH($F665,NroCT!$A$18:$A1405,0),0,1,1),Periodovigente) ,A665) ,'Cuadro tarifario'!A$2:A1405,0) -1 , 0 , 1 , 1))</f>
        <v>12000</v>
      </c>
      <c r="I665" s="135">
        <f t="shared" si="195"/>
        <v>1</v>
      </c>
      <c r="J665" s="138">
        <f t="shared" si="235"/>
        <v>12000</v>
      </c>
      <c r="K665" s="136">
        <f>IF(  AND(N665&gt;0,I665=0)          ,N665 ,                         IF(  IF( F665 ,  DAYS360(DATE(YEAR(F665),MONTH(F665),1),Mes)/30  ,  DAYS360(DATE(YEAR(E665),MONTH(E665),1),Mes)/30  )  &gt;  0 , IF(F665,   DAYS360(DATE(YEAR(F665),MONTH(F665),1),Mes)/30  ,  DAYS360(DATE(YEAR(E665),MONTH(E665),1),Mes)/30) , 0)       )</f>
        <v>0</v>
      </c>
      <c r="L665" s="137">
        <f t="shared" si="196"/>
        <v>0</v>
      </c>
      <c r="M665" s="131"/>
      <c r="N665" s="130"/>
      <c r="O665" s="130"/>
      <c r="P665" s="130"/>
      <c r="Q665" s="130"/>
      <c r="R665" s="130"/>
      <c r="S665" s="130"/>
      <c r="T665" s="130"/>
    </row>
    <row r="666" ht="15.0" customHeight="1">
      <c r="A666" s="18" t="s">
        <v>71</v>
      </c>
      <c r="B666" s="18">
        <v>1984.0</v>
      </c>
      <c r="C666" s="19">
        <v>1984.0</v>
      </c>
      <c r="D666" s="57" t="str">
        <f>IF(   ISERROR(OFFSET(PADRON!B$2,MATCH(C:C,PADRON!A$2:A1405,0)-1,0,1,1) )  ,  ,    OFFSET(PADRON!B$2,MATCH(C:C,PADRON!A$2:A1405,0)-1,0,1,1))</f>
        <v>VASQUEZ, SANDRA</v>
      </c>
      <c r="E666" s="58">
        <v>45809.0</v>
      </c>
      <c r="F666" s="133">
        <v>45870.0</v>
      </c>
      <c r="G666" s="59" t="s">
        <v>39</v>
      </c>
      <c r="H666" s="60">
        <f>IF( ISERROR( OFFSET(   'Cuadro tarifario'!D$2  , MATCH(CONCATENATE(                 IF(F666&gt;Mes,OFFSET(NroCT!B$17, MATCH($F666,NroCT!$A$18:$A1405,0),0,1,1),Periodovigente)                                                                                                                     ,A666) ,'Cuadro tarifario'!A$2:A1405,0) -1 , 0 , 1 , 1) )   , 0  ,   OFFSET(   'Cuadro tarifario'!D$2  , MATCH(CONCATENATE( IF(F666&gt;Mes,OFFSET(NroCT!B$17, MATCH($F666,NroCT!$A$18:$A1405,0),0,1,1),Periodovigente) ,A666) ,'Cuadro tarifario'!A$2:A1405,0) -1 , 0 , 1 , 1))</f>
        <v>11000</v>
      </c>
      <c r="I666" s="135">
        <f t="shared" si="195"/>
        <v>2</v>
      </c>
      <c r="J666" s="138">
        <f t="shared" si="235"/>
        <v>22000</v>
      </c>
      <c r="K666" s="136">
        <f>IF(  AND(N666&gt;0,I666=0)          ,N666 ,                         IF(  IF( F666 ,  DAYS360(DATE(YEAR(F666),MONTH(F666),1),Mes)/30  ,  DAYS360(DATE(YEAR(E666),MONTH(E666),1),Mes)/30  )  &gt;  0 , IF(F666,   DAYS360(DATE(YEAR(F666),MONTH(F666),1),Mes)/30  ,  DAYS360(DATE(YEAR(E666),MONTH(E666),1),Mes)/30) , 0)       )</f>
        <v>0</v>
      </c>
      <c r="L666" s="137">
        <f t="shared" si="196"/>
        <v>0</v>
      </c>
      <c r="M666" s="131"/>
      <c r="N666" s="130"/>
      <c r="O666" s="130"/>
      <c r="P666" s="130"/>
      <c r="Q666" s="130"/>
      <c r="R666" s="130"/>
      <c r="S666" s="130"/>
      <c r="T666" s="130"/>
    </row>
    <row r="667" ht="15.0" customHeight="1">
      <c r="A667" s="18" t="s">
        <v>38</v>
      </c>
      <c r="B667" s="18">
        <v>1984.0</v>
      </c>
      <c r="C667" s="19">
        <v>1984.0</v>
      </c>
      <c r="D667" s="57" t="str">
        <f>IF(   ISERROR(OFFSET(PADRON!B$2,MATCH(C:C,PADRON!A$2:A1405,0)-1,0,1,1) )  ,  ,    OFFSET(PADRON!B$2,MATCH(C:C,PADRON!A$2:A1405,0)-1,0,1,1))</f>
        <v>VASQUEZ, SANDRA</v>
      </c>
      <c r="E667" s="58">
        <v>45809.0</v>
      </c>
      <c r="F667" s="133">
        <v>45870.0</v>
      </c>
      <c r="G667" s="59" t="s">
        <v>39</v>
      </c>
      <c r="H667" s="60">
        <f>IF( ISERROR( OFFSET(   'Cuadro tarifario'!D$2  , MATCH(CONCATENATE(                 IF(F667&gt;Mes,OFFSET(NroCT!B$17, MATCH($F667,NroCT!$A$18:$A1405,0),0,1,1),Periodovigente)                                                                                                                     ,A667) ,'Cuadro tarifario'!A$2:A1405,0) -1 , 0 , 1 , 1) )   , 0  ,   OFFSET(   'Cuadro tarifario'!D$2  , MATCH(CONCATENATE( IF(F667&gt;Mes,OFFSET(NroCT!B$17, MATCH($F667,NroCT!$A$18:$A1405,0),0,1,1),Periodovigente) ,A667) ,'Cuadro tarifario'!A$2:A1405,0) -1 , 0 , 1 , 1))</f>
        <v>9000</v>
      </c>
      <c r="I667" s="135">
        <f t="shared" si="195"/>
        <v>2</v>
      </c>
      <c r="J667" s="138">
        <f t="shared" si="235"/>
        <v>18000</v>
      </c>
      <c r="K667" s="136">
        <f>IF(  AND(N667&gt;0,I667=0)          ,N667 ,                         IF(  IF( F667 ,  DAYS360(DATE(YEAR(F667),MONTH(F667),1),Mes)/30  ,  DAYS360(DATE(YEAR(E667),MONTH(E667),1),Mes)/30  )  &gt;  0 , IF(F667,   DAYS360(DATE(YEAR(F667),MONTH(F667),1),Mes)/30  ,  DAYS360(DATE(YEAR(E667),MONTH(E667),1),Mes)/30) , 0)       )</f>
        <v>0</v>
      </c>
      <c r="L667" s="137">
        <f t="shared" si="196"/>
        <v>0</v>
      </c>
      <c r="M667" s="131"/>
      <c r="N667" s="130"/>
      <c r="O667" s="130"/>
      <c r="P667" s="130"/>
      <c r="Q667" s="130"/>
      <c r="R667" s="130"/>
      <c r="S667" s="130"/>
      <c r="T667" s="130"/>
    </row>
    <row r="668" ht="15.0" customHeight="1">
      <c r="A668" s="18" t="s">
        <v>82</v>
      </c>
      <c r="B668" s="18" t="s">
        <v>317</v>
      </c>
      <c r="C668" s="19">
        <v>1984.0</v>
      </c>
      <c r="D668" s="57" t="str">
        <f>IF(   ISERROR(OFFSET(PADRON!B$2,MATCH(C:C,PADRON!A$2:A1405,0)-1,0,1,1) )  ,  ,    OFFSET(PADRON!B$2,MATCH(C:C,PADRON!A$2:A1405,0)-1,0,1,1))</f>
        <v>VASQUEZ, SANDRA</v>
      </c>
      <c r="E668" s="58">
        <v>45809.0</v>
      </c>
      <c r="F668" s="133">
        <v>45870.0</v>
      </c>
      <c r="G668" s="59" t="s">
        <v>39</v>
      </c>
      <c r="H668" s="60">
        <f>IF( ISERROR( OFFSET(   'Cuadro tarifario'!D$2  , MATCH(CONCATENATE(                 IF(F668&gt;Mes,OFFSET(NroCT!B$17, MATCH($F668,NroCT!$A$18:$A1405,0),0,1,1),Periodovigente)                                                                                                                     ,A668) ,'Cuadro tarifario'!A$2:A1405,0) -1 , 0 , 1 , 1) )   , 0  ,   OFFSET(   'Cuadro tarifario'!D$2  , MATCH(CONCATENATE( IF(F668&gt;Mes,OFFSET(NroCT!B$17, MATCH($F668,NroCT!$A$18:$A1405,0),0,1,1),Periodovigente) ,A668) ,'Cuadro tarifario'!A$2:A1405,0) -1 , 0 , 1 , 1))</f>
        <v>12000</v>
      </c>
      <c r="I668" s="135">
        <f t="shared" si="195"/>
        <v>2</v>
      </c>
      <c r="J668" s="138">
        <f t="shared" si="235"/>
        <v>24000</v>
      </c>
      <c r="K668" s="136">
        <f>IF(  AND(N668&gt;0,I668=0)          ,N668 ,                         IF(  IF( F668 ,  DAYS360(DATE(YEAR(F668),MONTH(F668),1),Mes)/30  ,  DAYS360(DATE(YEAR(E668),MONTH(E668),1),Mes)/30  )  &gt;  0 , IF(F668,   DAYS360(DATE(YEAR(F668),MONTH(F668),1),Mes)/30  ,  DAYS360(DATE(YEAR(E668),MONTH(E668),1),Mes)/30) , 0)       )</f>
        <v>0</v>
      </c>
      <c r="L668" s="137">
        <f t="shared" si="196"/>
        <v>0</v>
      </c>
      <c r="M668" s="131"/>
      <c r="N668" s="130"/>
      <c r="O668" s="130"/>
      <c r="P668" s="130"/>
      <c r="Q668" s="130"/>
      <c r="R668" s="130"/>
      <c r="S668" s="130"/>
      <c r="T668" s="130"/>
    </row>
    <row r="669" ht="15.75" customHeight="1">
      <c r="A669" s="18" t="s">
        <v>71</v>
      </c>
      <c r="B669" s="18">
        <v>1985.0</v>
      </c>
      <c r="C669" s="19">
        <v>1985.0</v>
      </c>
      <c r="D669" s="57" t="str">
        <f>IF(   ISERROR(OFFSET(PADRON!B$2,MATCH(C:C,PADRON!A$2:A1405,0)-1,0,1,1) )  ,  ,    OFFSET(PADRON!B$2,MATCH(C:C,PADRON!A$2:A1405,0)-1,0,1,1))</f>
        <v>ROMERO, PABLO</v>
      </c>
      <c r="E669" s="58">
        <v>45839.0</v>
      </c>
      <c r="F669" s="133">
        <v>45870.0</v>
      </c>
      <c r="G669" s="59" t="s">
        <v>39</v>
      </c>
      <c r="H669" s="60">
        <f>IF( ISERROR( OFFSET(   'Cuadro tarifario'!D$2  , MATCH(CONCATENATE(                 IF(F669&gt;Mes,OFFSET(NroCT!B$17, MATCH($F669,NroCT!$A$18:$A1405,0),0,1,1),Periodovigente)                                                                                                                     ,A669) ,'Cuadro tarifario'!A$2:A1405,0) -1 , 0 , 1 , 1) )   , 0  ,   OFFSET(   'Cuadro tarifario'!D$2  , MATCH(CONCATENATE( IF(F669&gt;Mes,OFFSET(NroCT!B$17, MATCH($F669,NroCT!$A$18:$A1405,0),0,1,1),Periodovigente) ,A669) ,'Cuadro tarifario'!A$2:A1405,0) -1 , 0 , 1 , 1))</f>
        <v>11000</v>
      </c>
      <c r="I669" s="135">
        <f t="shared" si="195"/>
        <v>1</v>
      </c>
      <c r="J669" s="138">
        <f t="shared" si="235"/>
        <v>11000</v>
      </c>
      <c r="K669" s="136">
        <f>IF(  AND(N669&gt;0,I669=0)          ,N669 ,                         IF(  IF( F669 ,  DAYS360(DATE(YEAR(F669),MONTH(F669),1),Mes)/30  ,  DAYS360(DATE(YEAR(E669),MONTH(E669),1),Mes)/30  )  &gt;  0 , IF(F669,   DAYS360(DATE(YEAR(F669),MONTH(F669),1),Mes)/30  ,  DAYS360(DATE(YEAR(E669),MONTH(E669),1),Mes)/30) , 0)       )</f>
        <v>0</v>
      </c>
      <c r="L669" s="137">
        <f t="shared" si="196"/>
        <v>0</v>
      </c>
      <c r="M669" s="131"/>
      <c r="N669" s="130"/>
      <c r="O669" s="130"/>
      <c r="P669" s="130"/>
      <c r="Q669" s="130"/>
      <c r="R669" s="130"/>
      <c r="S669" s="130"/>
      <c r="T669" s="130"/>
    </row>
    <row r="670" ht="15.0" customHeight="1">
      <c r="A670" s="18" t="s">
        <v>38</v>
      </c>
      <c r="B670" s="18">
        <v>1985.0</v>
      </c>
      <c r="C670" s="19">
        <v>1985.0</v>
      </c>
      <c r="D670" s="57" t="str">
        <f>IF(   ISERROR(OFFSET(PADRON!B$2,MATCH(C:C,PADRON!A$2:A1405,0)-1,0,1,1) )  ,  ,    OFFSET(PADRON!B$2,MATCH(C:C,PADRON!A$2:A1405,0)-1,0,1,1))</f>
        <v>ROMERO, PABLO</v>
      </c>
      <c r="E670" s="58">
        <v>45839.0</v>
      </c>
      <c r="F670" s="133">
        <v>45870.0</v>
      </c>
      <c r="G670" s="59" t="s">
        <v>39</v>
      </c>
      <c r="H670" s="60">
        <f>IF( ISERROR( OFFSET(   'Cuadro tarifario'!D$2  , MATCH(CONCATENATE(                 IF(F670&gt;Mes,OFFSET(NroCT!B$17, MATCH($F670,NroCT!$A$18:$A1405,0),0,1,1),Periodovigente)                                                                                                                     ,A670) ,'Cuadro tarifario'!A$2:A1405,0) -1 , 0 , 1 , 1) )   , 0  ,   OFFSET(   'Cuadro tarifario'!D$2  , MATCH(CONCATENATE( IF(F670&gt;Mes,OFFSET(NroCT!B$17, MATCH($F670,NroCT!$A$18:$A1405,0),0,1,1),Periodovigente) ,A670) ,'Cuadro tarifario'!A$2:A1405,0) -1 , 0 , 1 , 1))</f>
        <v>9000</v>
      </c>
      <c r="I670" s="135">
        <f t="shared" si="195"/>
        <v>1</v>
      </c>
      <c r="J670" s="138">
        <f t="shared" si="235"/>
        <v>9000</v>
      </c>
      <c r="K670" s="136">
        <f>IF(  AND(N670&gt;0,I670=0)          ,N670 ,                         IF(  IF( F670 ,  DAYS360(DATE(YEAR(F670),MONTH(F670),1),Mes)/30  ,  DAYS360(DATE(YEAR(E670),MONTH(E670),1),Mes)/30  )  &gt;  0 , IF(F670,   DAYS360(DATE(YEAR(F670),MONTH(F670),1),Mes)/30  ,  DAYS360(DATE(YEAR(E670),MONTH(E670),1),Mes)/30) , 0)       )</f>
        <v>0</v>
      </c>
      <c r="L670" s="137">
        <f t="shared" si="196"/>
        <v>0</v>
      </c>
      <c r="M670" s="131"/>
      <c r="N670" s="130"/>
      <c r="O670" s="130"/>
      <c r="P670" s="130"/>
      <c r="Q670" s="130"/>
      <c r="R670" s="130"/>
      <c r="S670" s="130"/>
      <c r="T670" s="130"/>
    </row>
    <row r="671" ht="15.0" customHeight="1">
      <c r="A671" s="18" t="s">
        <v>71</v>
      </c>
      <c r="B671" s="18">
        <v>1986.0</v>
      </c>
      <c r="C671" s="19">
        <v>1986.0</v>
      </c>
      <c r="D671" s="57" t="str">
        <f>IF(   ISERROR(OFFSET(PADRON!B$2,MATCH(C:C,PADRON!A$2:A1405,0)-1,0,1,1) )  ,  ,    OFFSET(PADRON!B$2,MATCH(C:C,PADRON!A$2:A1405,0)-1,0,1,1))</f>
        <v>PELUSO, MARIA LETICIA</v>
      </c>
      <c r="E671" s="58">
        <v>45839.0</v>
      </c>
      <c r="F671" s="133">
        <v>45870.0</v>
      </c>
      <c r="G671" s="59" t="s">
        <v>39</v>
      </c>
      <c r="H671" s="60">
        <f>IF( ISERROR( OFFSET(   'Cuadro tarifario'!D$2  , MATCH(CONCATENATE(                 IF(F671&gt;Mes,OFFSET(NroCT!B$17, MATCH($F671,NroCT!$A$18:$A1405,0),0,1,1),Periodovigente)                                                                                                                     ,A671) ,'Cuadro tarifario'!A$2:A1405,0) -1 , 0 , 1 , 1) )   , 0  ,   OFFSET(   'Cuadro tarifario'!D$2  , MATCH(CONCATENATE( IF(F671&gt;Mes,OFFSET(NroCT!B$17, MATCH($F671,NroCT!$A$18:$A1405,0),0,1,1),Periodovigente) ,A671) ,'Cuadro tarifario'!A$2:A1405,0) -1 , 0 , 1 , 1))</f>
        <v>11000</v>
      </c>
      <c r="I671" s="135">
        <f t="shared" si="195"/>
        <v>1</v>
      </c>
      <c r="J671" s="138">
        <f t="shared" si="235"/>
        <v>11000</v>
      </c>
      <c r="K671" s="136">
        <f>IF(  AND(N671&gt;0,I671=0)          ,N671 ,                         IF(  IF( F671 ,  DAYS360(DATE(YEAR(F671),MONTH(F671),1),Mes)/30  ,  DAYS360(DATE(YEAR(E671),MONTH(E671),1),Mes)/30  )  &gt;  0 , IF(F671,   DAYS360(DATE(YEAR(F671),MONTH(F671),1),Mes)/30  ,  DAYS360(DATE(YEAR(E671),MONTH(E671),1),Mes)/30) , 0)       )</f>
        <v>0</v>
      </c>
      <c r="L671" s="137">
        <f t="shared" si="196"/>
        <v>0</v>
      </c>
      <c r="M671" s="131"/>
      <c r="N671" s="130"/>
      <c r="O671" s="130"/>
      <c r="P671" s="130"/>
      <c r="Q671" s="130"/>
      <c r="R671" s="130"/>
      <c r="S671" s="130"/>
      <c r="T671" s="130"/>
    </row>
    <row r="672" ht="15.0" customHeight="1">
      <c r="A672" s="18" t="s">
        <v>38</v>
      </c>
      <c r="B672" s="18">
        <v>1986.0</v>
      </c>
      <c r="C672" s="19">
        <v>1986.0</v>
      </c>
      <c r="D672" s="57" t="str">
        <f>IF(   ISERROR(OFFSET(PADRON!B$2,MATCH(C:C,PADRON!A$2:A1405,0)-1,0,1,1) )  ,  ,    OFFSET(PADRON!B$2,MATCH(C:C,PADRON!A$2:A1405,0)-1,0,1,1))</f>
        <v>PELUSO, MARIA LETICIA</v>
      </c>
      <c r="E672" s="58">
        <v>45839.0</v>
      </c>
      <c r="F672" s="133">
        <v>45870.0</v>
      </c>
      <c r="G672" s="59" t="s">
        <v>39</v>
      </c>
      <c r="H672" s="60">
        <f>IF( ISERROR( OFFSET(   'Cuadro tarifario'!D$2  , MATCH(CONCATENATE(                 IF(F672&gt;Mes,OFFSET(NroCT!B$17, MATCH($F672,NroCT!$A$18:$A1405,0),0,1,1),Periodovigente)                                                                                                                     ,A672) ,'Cuadro tarifario'!A$2:A1405,0) -1 , 0 , 1 , 1) )   , 0  ,   OFFSET(   'Cuadro tarifario'!D$2  , MATCH(CONCATENATE( IF(F672&gt;Mes,OFFSET(NroCT!B$17, MATCH($F672,NroCT!$A$18:$A1405,0),0,1,1),Periodovigente) ,A672) ,'Cuadro tarifario'!A$2:A1405,0) -1 , 0 , 1 , 1))</f>
        <v>9000</v>
      </c>
      <c r="I672" s="135">
        <f t="shared" si="195"/>
        <v>1</v>
      </c>
      <c r="J672" s="138">
        <f t="shared" si="235"/>
        <v>9000</v>
      </c>
      <c r="K672" s="136">
        <f>IF(  AND(N672&gt;0,I672=0)          ,N672 ,                         IF(  IF( F672 ,  DAYS360(DATE(YEAR(F672),MONTH(F672),1),Mes)/30  ,  DAYS360(DATE(YEAR(E672),MONTH(E672),1),Mes)/30  )  &gt;  0 , IF(F672,   DAYS360(DATE(YEAR(F672),MONTH(F672),1),Mes)/30  ,  DAYS360(DATE(YEAR(E672),MONTH(E672),1),Mes)/30) , 0)       )</f>
        <v>0</v>
      </c>
      <c r="L672" s="137">
        <f t="shared" si="196"/>
        <v>0</v>
      </c>
      <c r="M672" s="131"/>
      <c r="N672" s="130"/>
      <c r="O672" s="130"/>
      <c r="P672" s="130"/>
      <c r="Q672" s="130"/>
      <c r="R672" s="130"/>
      <c r="S672" s="130"/>
      <c r="T672" s="130"/>
    </row>
    <row r="673" ht="15.0" customHeight="1">
      <c r="A673" s="18" t="s">
        <v>40</v>
      </c>
      <c r="B673" s="18" t="s">
        <v>318</v>
      </c>
      <c r="C673" s="19">
        <v>1986.0</v>
      </c>
      <c r="D673" s="57" t="str">
        <f>IF(   ISERROR(OFFSET(PADRON!B$2,MATCH(C:C,PADRON!A$2:A1405,0)-1,0,1,1) )  ,  ,    OFFSET(PADRON!B$2,MATCH(C:C,PADRON!A$2:A1405,0)-1,0,1,1))</f>
        <v>PELUSO, MARIA LETICIA</v>
      </c>
      <c r="E673" s="58">
        <v>45839.0</v>
      </c>
      <c r="F673" s="133">
        <v>45870.0</v>
      </c>
      <c r="G673" s="59" t="s">
        <v>39</v>
      </c>
      <c r="H673" s="60">
        <f>IF( ISERROR( OFFSET(   'Cuadro tarifario'!D$2  , MATCH(CONCATENATE(                 IF(F673&gt;Mes,OFFSET(NroCT!B$17, MATCH($F673,NroCT!$A$18:$A1405,0),0,1,1),Periodovigente)                                                                                                                     ,A673) ,'Cuadro tarifario'!A$2:A1405,0) -1 , 0 , 1 , 1) )   , 0  ,   OFFSET(   'Cuadro tarifario'!D$2  , MATCH(CONCATENATE( IF(F673&gt;Mes,OFFSET(NroCT!B$17, MATCH($F673,NroCT!$A$18:$A1405,0),0,1,1),Periodovigente) ,A673) ,'Cuadro tarifario'!A$2:A1405,0) -1 , 0 , 1 , 1))</f>
        <v>12000</v>
      </c>
      <c r="I673" s="135">
        <f t="shared" si="195"/>
        <v>1</v>
      </c>
      <c r="J673" s="138">
        <f t="shared" si="235"/>
        <v>12000</v>
      </c>
      <c r="K673" s="136">
        <f>IF(  AND(N673&gt;0,I673=0)          ,N673 ,                         IF(  IF( F673 ,  DAYS360(DATE(YEAR(F673),MONTH(F673),1),Mes)/30  ,  DAYS360(DATE(YEAR(E673),MONTH(E673),1),Mes)/30  )  &gt;  0 , IF(F673,   DAYS360(DATE(YEAR(F673),MONTH(F673),1),Mes)/30  ,  DAYS360(DATE(YEAR(E673),MONTH(E673),1),Mes)/30) , 0)       )</f>
        <v>0</v>
      </c>
      <c r="L673" s="137">
        <f t="shared" si="196"/>
        <v>0</v>
      </c>
      <c r="M673" s="131"/>
      <c r="N673" s="130"/>
      <c r="O673" s="130"/>
      <c r="P673" s="130"/>
      <c r="Q673" s="130"/>
      <c r="R673" s="130"/>
      <c r="S673" s="130"/>
      <c r="T673" s="130"/>
    </row>
    <row r="674" ht="15.0" customHeight="1">
      <c r="A674" s="18" t="s">
        <v>71</v>
      </c>
      <c r="B674" s="18">
        <v>1987.0</v>
      </c>
      <c r="C674" s="19">
        <v>1987.0</v>
      </c>
      <c r="D674" s="57" t="str">
        <f>IF(   ISERROR(OFFSET(PADRON!B$2,MATCH(C:C,PADRON!A$2:A1405,0)-1,0,1,1) )  ,  ,    OFFSET(PADRON!B$2,MATCH(C:C,PADRON!A$2:A1405,0)-1,0,1,1))</f>
        <v>RODRIGUEZ, JULIO ALEJANDRO</v>
      </c>
      <c r="E674" s="58">
        <v>45839.0</v>
      </c>
      <c r="F674" s="133">
        <v>45870.0</v>
      </c>
      <c r="G674" s="59" t="s">
        <v>39</v>
      </c>
      <c r="H674" s="60">
        <f>IF( ISERROR( OFFSET(   'Cuadro tarifario'!D$2  , MATCH(CONCATENATE(                 IF(F674&gt;Mes,OFFSET(NroCT!B$17, MATCH($F674,NroCT!$A$18:$A1405,0),0,1,1),Periodovigente)                                                                                                                     ,A674) ,'Cuadro tarifario'!A$2:A1405,0) -1 , 0 , 1 , 1) )   , 0  ,   OFFSET(   'Cuadro tarifario'!D$2  , MATCH(CONCATENATE( IF(F674&gt;Mes,OFFSET(NroCT!B$17, MATCH($F674,NroCT!$A$18:$A1405,0),0,1,1),Periodovigente) ,A674) ,'Cuadro tarifario'!A$2:A1405,0) -1 , 0 , 1 , 1))</f>
        <v>11000</v>
      </c>
      <c r="I674" s="135">
        <f t="shared" si="195"/>
        <v>1</v>
      </c>
      <c r="J674" s="138">
        <f t="shared" si="235"/>
        <v>11000</v>
      </c>
      <c r="K674" s="136">
        <f>IF(  AND(N674&gt;0,I674=0)          ,N674 ,                         IF(  IF( F674 ,  DAYS360(DATE(YEAR(F674),MONTH(F674),1),Mes)/30  ,  DAYS360(DATE(YEAR(E674),MONTH(E674),1),Mes)/30  )  &gt;  0 , IF(F674,   DAYS360(DATE(YEAR(F674),MONTH(F674),1),Mes)/30  ,  DAYS360(DATE(YEAR(E674),MONTH(E674),1),Mes)/30) , 0)       )</f>
        <v>0</v>
      </c>
      <c r="L674" s="137">
        <f t="shared" si="196"/>
        <v>0</v>
      </c>
      <c r="M674" s="131"/>
      <c r="N674" s="130"/>
      <c r="O674" s="130"/>
      <c r="P674" s="130"/>
      <c r="Q674" s="130"/>
      <c r="R674" s="130"/>
      <c r="S674" s="130"/>
      <c r="T674" s="130"/>
    </row>
    <row r="675" ht="15.0" customHeight="1">
      <c r="A675" s="18" t="s">
        <v>38</v>
      </c>
      <c r="B675" s="18">
        <v>1987.0</v>
      </c>
      <c r="C675" s="19">
        <v>1987.0</v>
      </c>
      <c r="D675" s="57" t="str">
        <f>IF(   ISERROR(OFFSET(PADRON!B$2,MATCH(C:C,PADRON!A$2:A1405,0)-1,0,1,1) )  ,  ,    OFFSET(PADRON!B$2,MATCH(C:C,PADRON!A$2:A1405,0)-1,0,1,1))</f>
        <v>RODRIGUEZ, JULIO ALEJANDRO</v>
      </c>
      <c r="E675" s="58">
        <v>45839.0</v>
      </c>
      <c r="F675" s="133">
        <v>45870.0</v>
      </c>
      <c r="G675" s="59" t="s">
        <v>39</v>
      </c>
      <c r="H675" s="60">
        <f>IF( ISERROR( OFFSET(   'Cuadro tarifario'!D$2  , MATCH(CONCATENATE(                 IF(F675&gt;Mes,OFFSET(NroCT!B$17, MATCH($F675,NroCT!$A$18:$A1405,0),0,1,1),Periodovigente)                                                                                                                     ,A675) ,'Cuadro tarifario'!A$2:A1405,0) -1 , 0 , 1 , 1) )   , 0  ,   OFFSET(   'Cuadro tarifario'!D$2  , MATCH(CONCATENATE( IF(F675&gt;Mes,OFFSET(NroCT!B$17, MATCH($F675,NroCT!$A$18:$A1405,0),0,1,1),Periodovigente) ,A675) ,'Cuadro tarifario'!A$2:A1405,0) -1 , 0 , 1 , 1))</f>
        <v>9000</v>
      </c>
      <c r="I675" s="135">
        <f t="shared" si="195"/>
        <v>1</v>
      </c>
      <c r="J675" s="138">
        <f t="shared" si="235"/>
        <v>9000</v>
      </c>
      <c r="K675" s="136">
        <f>IF(  AND(N675&gt;0,I675=0)          ,N675 ,                         IF(  IF( F675 ,  DAYS360(DATE(YEAR(F675),MONTH(F675),1),Mes)/30  ,  DAYS360(DATE(YEAR(E675),MONTH(E675),1),Mes)/30  )  &gt;  0 , IF(F675,   DAYS360(DATE(YEAR(F675),MONTH(F675),1),Mes)/30  ,  DAYS360(DATE(YEAR(E675),MONTH(E675),1),Mes)/30) , 0)       )</f>
        <v>0</v>
      </c>
      <c r="L675" s="137">
        <f t="shared" si="196"/>
        <v>0</v>
      </c>
      <c r="M675" s="131"/>
      <c r="N675" s="130"/>
      <c r="O675" s="130"/>
      <c r="P675" s="130"/>
      <c r="Q675" s="130"/>
      <c r="R675" s="130"/>
      <c r="S675" s="130"/>
      <c r="T675" s="130"/>
    </row>
    <row r="676" ht="15.0" customHeight="1">
      <c r="A676" s="18" t="s">
        <v>71</v>
      </c>
      <c r="B676" s="18">
        <v>1988.0</v>
      </c>
      <c r="C676" s="19">
        <v>1988.0</v>
      </c>
      <c r="D676" s="57" t="str">
        <f>IF(   ISERROR(OFFSET(PADRON!B$2,MATCH(C:C,PADRON!A$2:A1405,0)-1,0,1,1) )  ,  ,    OFFSET(PADRON!B$2,MATCH(C:C,PADRON!A$2:A1405,0)-1,0,1,1))</f>
        <v>CACERES, FLORENCIA</v>
      </c>
      <c r="E676" s="58">
        <v>45870.0</v>
      </c>
      <c r="F676" s="133">
        <v>45931.0</v>
      </c>
      <c r="G676" s="59" t="s">
        <v>39</v>
      </c>
      <c r="H676" s="60">
        <f>IF( ISERROR( OFFSET(   'Cuadro tarifario'!D$2  , MATCH(CONCATENATE(                 IF(F676&gt;Mes,OFFSET(NroCT!B$17, MATCH($F676,NroCT!$A$18:$A1405,0),0,1,1),Periodovigente)                                                                                                                     ,A676) ,'Cuadro tarifario'!A$2:A1405,0) -1 , 0 , 1 , 1) )   , 0  ,   OFFSET(   'Cuadro tarifario'!D$2  , MATCH(CONCATENATE( IF(F676&gt;Mes,OFFSET(NroCT!B$17, MATCH($F676,NroCT!$A$18:$A1405,0),0,1,1),Periodovigente) ,A676) ,'Cuadro tarifario'!A$2:A1405,0) -1 , 0 , 1 , 1))</f>
        <v>11000</v>
      </c>
      <c r="I676" s="135">
        <f t="shared" si="195"/>
        <v>2</v>
      </c>
      <c r="J676" s="138">
        <f t="shared" si="235"/>
        <v>22000</v>
      </c>
      <c r="K676" s="136">
        <f>IF(  AND(N676&gt;0,I676=0)          ,N676 ,                         IF(  IF( F676 ,  DAYS360(DATE(YEAR(F676),MONTH(F676),1),Mes)/30  ,  DAYS360(DATE(YEAR(E676),MONTH(E676),1),Mes)/30  )  &gt;  0 , IF(F676,   DAYS360(DATE(YEAR(F676),MONTH(F676),1),Mes)/30  ,  DAYS360(DATE(YEAR(E676),MONTH(E676),1),Mes)/30) , 0)       )</f>
        <v>0</v>
      </c>
      <c r="L676" s="137">
        <f t="shared" si="196"/>
        <v>0</v>
      </c>
      <c r="M676" s="131"/>
      <c r="N676" s="130"/>
      <c r="O676" s="130"/>
      <c r="P676" s="130"/>
      <c r="Q676" s="130"/>
      <c r="R676" s="130"/>
      <c r="S676" s="130"/>
      <c r="T676" s="130"/>
    </row>
    <row r="677" ht="15.0" customHeight="1">
      <c r="A677" s="18" t="s">
        <v>38</v>
      </c>
      <c r="B677" s="18">
        <v>1988.0</v>
      </c>
      <c r="C677" s="19">
        <v>1988.0</v>
      </c>
      <c r="D677" s="57" t="str">
        <f>IF(   ISERROR(OFFSET(PADRON!B$2,MATCH(C:C,PADRON!A$2:A1405,0)-1,0,1,1) )  ,  ,    OFFSET(PADRON!B$2,MATCH(C:C,PADRON!A$2:A1405,0)-1,0,1,1))</f>
        <v>CACERES, FLORENCIA</v>
      </c>
      <c r="E677" s="58">
        <v>45870.0</v>
      </c>
      <c r="F677" s="133">
        <v>45931.0</v>
      </c>
      <c r="G677" s="59" t="s">
        <v>39</v>
      </c>
      <c r="H677" s="60">
        <f>IF( ISERROR( OFFSET(   'Cuadro tarifario'!D$2  , MATCH(CONCATENATE(                 IF(F677&gt;Mes,OFFSET(NroCT!B$17, MATCH($F677,NroCT!$A$18:$A1405,0),0,1,1),Periodovigente)                                                                                                                     ,A677) ,'Cuadro tarifario'!A$2:A1405,0) -1 , 0 , 1 , 1) )   , 0  ,   OFFSET(   'Cuadro tarifario'!D$2  , MATCH(CONCATENATE( IF(F677&gt;Mes,OFFSET(NroCT!B$17, MATCH($F677,NroCT!$A$18:$A1405,0),0,1,1),Periodovigente) ,A677) ,'Cuadro tarifario'!A$2:A1405,0) -1 , 0 , 1 , 1))</f>
        <v>9000</v>
      </c>
      <c r="I677" s="135">
        <f t="shared" si="195"/>
        <v>2</v>
      </c>
      <c r="J677" s="138">
        <f t="shared" si="235"/>
        <v>18000</v>
      </c>
      <c r="K677" s="136">
        <f>IF(  AND(N677&gt;0,I677=0)          ,N677 ,                         IF(  IF( F677 ,  DAYS360(DATE(YEAR(F677),MONTH(F677),1),Mes)/30  ,  DAYS360(DATE(YEAR(E677),MONTH(E677),1),Mes)/30  )  &gt;  0 , IF(F677,   DAYS360(DATE(YEAR(F677),MONTH(F677),1),Mes)/30  ,  DAYS360(DATE(YEAR(E677),MONTH(E677),1),Mes)/30) , 0)       )</f>
        <v>0</v>
      </c>
      <c r="L677" s="137">
        <f t="shared" si="196"/>
        <v>0</v>
      </c>
      <c r="M677" s="131"/>
      <c r="N677" s="130"/>
      <c r="O677" s="130"/>
      <c r="P677" s="130"/>
      <c r="Q677" s="130"/>
      <c r="R677" s="130"/>
      <c r="S677" s="130"/>
      <c r="T677" s="130"/>
    </row>
    <row r="678" ht="15.0" customHeight="1">
      <c r="A678" s="18" t="s">
        <v>40</v>
      </c>
      <c r="B678" s="18" t="s">
        <v>319</v>
      </c>
      <c r="C678" s="19">
        <v>1988.0</v>
      </c>
      <c r="D678" s="57" t="str">
        <f>IF(   ISERROR(OFFSET(PADRON!B$2,MATCH(C:C,PADRON!A$2:A1405,0)-1,0,1,1) )  ,  ,    OFFSET(PADRON!B$2,MATCH(C:C,PADRON!A$2:A1405,0)-1,0,1,1))</f>
        <v>CACERES, FLORENCIA</v>
      </c>
      <c r="E678" s="58">
        <v>45870.0</v>
      </c>
      <c r="F678" s="133">
        <v>45931.0</v>
      </c>
      <c r="G678" s="59" t="s">
        <v>39</v>
      </c>
      <c r="H678" s="60">
        <f>IF( ISERROR( OFFSET(   'Cuadro tarifario'!D$2  , MATCH(CONCATENATE(                 IF(F678&gt;Mes,OFFSET(NroCT!B$17, MATCH($F678,NroCT!$A$18:$A1405,0),0,1,1),Periodovigente)                                                                                                                     ,A678) ,'Cuadro tarifario'!A$2:A1405,0) -1 , 0 , 1 , 1) )   , 0  ,   OFFSET(   'Cuadro tarifario'!D$2  , MATCH(CONCATENATE( IF(F678&gt;Mes,OFFSET(NroCT!B$17, MATCH($F678,NroCT!$A$18:$A1405,0),0,1,1),Periodovigente) ,A678) ,'Cuadro tarifario'!A$2:A1405,0) -1 , 0 , 1 , 1))</f>
        <v>12000</v>
      </c>
      <c r="I678" s="135">
        <f t="shared" si="195"/>
        <v>2</v>
      </c>
      <c r="J678" s="138">
        <f t="shared" si="235"/>
        <v>24000</v>
      </c>
      <c r="K678" s="136">
        <f>IF(  AND(N678&gt;0,I678=0)          ,N678 ,                         IF(  IF( F678 ,  DAYS360(DATE(YEAR(F678),MONTH(F678),1),Mes)/30  ,  DAYS360(DATE(YEAR(E678),MONTH(E678),1),Mes)/30  )  &gt;  0 , IF(F678,   DAYS360(DATE(YEAR(F678),MONTH(F678),1),Mes)/30  ,  DAYS360(DATE(YEAR(E678),MONTH(E678),1),Mes)/30) , 0)       )</f>
        <v>0</v>
      </c>
      <c r="L678" s="137">
        <f t="shared" si="196"/>
        <v>0</v>
      </c>
      <c r="M678" s="131"/>
      <c r="N678" s="130"/>
      <c r="O678" s="130"/>
      <c r="P678" s="130"/>
      <c r="Q678" s="130"/>
      <c r="R678" s="130"/>
      <c r="S678" s="130"/>
      <c r="T678" s="130"/>
    </row>
    <row r="679" ht="15.0" customHeight="1">
      <c r="A679" s="18" t="s">
        <v>71</v>
      </c>
      <c r="B679" s="18">
        <v>1989.0</v>
      </c>
      <c r="C679" s="19">
        <v>1989.0</v>
      </c>
      <c r="D679" s="57" t="str">
        <f>IF(   ISERROR(OFFSET(PADRON!B$2,MATCH(C:C,PADRON!A$2:A1405,0)-1,0,1,1) )  ,  ,    OFFSET(PADRON!B$2,MATCH(C:C,PADRON!A$2:A1405,0)-1,0,1,1))</f>
        <v>URIEL, CRISTIAN</v>
      </c>
      <c r="E679" s="58">
        <v>45839.0</v>
      </c>
      <c r="F679" s="133">
        <v>45870.0</v>
      </c>
      <c r="G679" s="59" t="s">
        <v>39</v>
      </c>
      <c r="H679" s="60">
        <f>IF( ISERROR( OFFSET(   'Cuadro tarifario'!D$2  , MATCH(CONCATENATE(                 IF(F679&gt;Mes,OFFSET(NroCT!B$17, MATCH($F679,NroCT!$A$18:$A1405,0),0,1,1),Periodovigente)                                                                                                                     ,A679) ,'Cuadro tarifario'!A$2:A1405,0) -1 , 0 , 1 , 1) )   , 0  ,   OFFSET(   'Cuadro tarifario'!D$2  , MATCH(CONCATENATE( IF(F679&gt;Mes,OFFSET(NroCT!B$17, MATCH($F679,NroCT!$A$18:$A1405,0),0,1,1),Periodovigente) ,A679) ,'Cuadro tarifario'!A$2:A1405,0) -1 , 0 , 1 , 1))</f>
        <v>11000</v>
      </c>
      <c r="I679" s="135">
        <f t="shared" si="195"/>
        <v>1</v>
      </c>
      <c r="J679" s="138">
        <f t="shared" si="235"/>
        <v>11000</v>
      </c>
      <c r="K679" s="136">
        <f>IF(  AND(N679&gt;0,I679=0)          ,N679 ,                         IF(  IF( F679 ,  DAYS360(DATE(YEAR(F679),MONTH(F679),1),Mes)/30  ,  DAYS360(DATE(YEAR(E679),MONTH(E679),1),Mes)/30  )  &gt;  0 , IF(F679,   DAYS360(DATE(YEAR(F679),MONTH(F679),1),Mes)/30  ,  DAYS360(DATE(YEAR(E679),MONTH(E679),1),Mes)/30) , 0)       )</f>
        <v>0</v>
      </c>
      <c r="L679" s="137">
        <f t="shared" si="196"/>
        <v>0</v>
      </c>
      <c r="M679" s="131"/>
      <c r="N679" s="130"/>
      <c r="O679" s="130"/>
      <c r="P679" s="130"/>
      <c r="Q679" s="130"/>
      <c r="R679" s="130"/>
      <c r="S679" s="130"/>
      <c r="T679" s="130"/>
    </row>
    <row r="680" ht="15.0" customHeight="1">
      <c r="A680" s="18" t="s">
        <v>38</v>
      </c>
      <c r="B680" s="18">
        <v>1989.0</v>
      </c>
      <c r="C680" s="19">
        <v>1989.0</v>
      </c>
      <c r="D680" s="57" t="str">
        <f>IF(   ISERROR(OFFSET(PADRON!B$2,MATCH(C:C,PADRON!A$2:A1405,0)-1,0,1,1) )  ,  ,    OFFSET(PADRON!B$2,MATCH(C:C,PADRON!A$2:A1405,0)-1,0,1,1))</f>
        <v>URIEL, CRISTIAN</v>
      </c>
      <c r="E680" s="58">
        <v>45839.0</v>
      </c>
      <c r="F680" s="133">
        <v>45870.0</v>
      </c>
      <c r="G680" s="59" t="s">
        <v>39</v>
      </c>
      <c r="H680" s="60">
        <f>IF( ISERROR( OFFSET(   'Cuadro tarifario'!D$2  , MATCH(CONCATENATE(                 IF(F680&gt;Mes,OFFSET(NroCT!B$17, MATCH($F680,NroCT!$A$18:$A1405,0),0,1,1),Periodovigente)                                                                                                                     ,A680) ,'Cuadro tarifario'!A$2:A1405,0) -1 , 0 , 1 , 1) )   , 0  ,   OFFSET(   'Cuadro tarifario'!D$2  , MATCH(CONCATENATE( IF(F680&gt;Mes,OFFSET(NroCT!B$17, MATCH($F680,NroCT!$A$18:$A1405,0),0,1,1),Periodovigente) ,A680) ,'Cuadro tarifario'!A$2:A1405,0) -1 , 0 , 1 , 1))</f>
        <v>9000</v>
      </c>
      <c r="I680" s="135">
        <f t="shared" si="195"/>
        <v>1</v>
      </c>
      <c r="J680" s="138">
        <f t="shared" si="235"/>
        <v>9000</v>
      </c>
      <c r="K680" s="136">
        <f>IF(  AND(N680&gt;0,I680=0)          ,N680 ,                         IF(  IF( F680 ,  DAYS360(DATE(YEAR(F680),MONTH(F680),1),Mes)/30  ,  DAYS360(DATE(YEAR(E680),MONTH(E680),1),Mes)/30  )  &gt;  0 , IF(F680,   DAYS360(DATE(YEAR(F680),MONTH(F680),1),Mes)/30  ,  DAYS360(DATE(YEAR(E680),MONTH(E680),1),Mes)/30) , 0)       )</f>
        <v>0</v>
      </c>
      <c r="L680" s="137">
        <f t="shared" si="196"/>
        <v>0</v>
      </c>
      <c r="M680" s="131"/>
      <c r="N680" s="130"/>
      <c r="O680" s="130"/>
      <c r="P680" s="130"/>
      <c r="Q680" s="130"/>
      <c r="R680" s="130"/>
      <c r="S680" s="130"/>
      <c r="T680" s="130"/>
    </row>
    <row r="681" ht="15.0" customHeight="1">
      <c r="A681" s="18" t="s">
        <v>71</v>
      </c>
      <c r="B681" s="18">
        <v>1991.0</v>
      </c>
      <c r="C681" s="19">
        <v>1991.0</v>
      </c>
      <c r="D681" s="57" t="str">
        <f>IF(   ISERROR(OFFSET(PADRON!B$2,MATCH(C:C,PADRON!A$2:A1405,0)-1,0,1,1) )  ,  ,    OFFSET(PADRON!B$2,MATCH(C:C,PADRON!A$2:A1405,0)-1,0,1,1))</f>
        <v>JAIME CARLOS OSCAR</v>
      </c>
      <c r="E681" s="58">
        <v>45839.0</v>
      </c>
      <c r="F681" s="133">
        <v>45870.0</v>
      </c>
      <c r="G681" s="59" t="s">
        <v>39</v>
      </c>
      <c r="H681" s="60">
        <f>IF( ISERROR( OFFSET(   'Cuadro tarifario'!D$2  , MATCH(CONCATENATE(                 IF(F681&gt;Mes,OFFSET(NroCT!B$17, MATCH($F681,NroCT!$A$18:$A1405,0),0,1,1),Periodovigente)                                                                                                                     ,A681) ,'Cuadro tarifario'!A$2:A1405,0) -1 , 0 , 1 , 1) )   , 0  ,   OFFSET(   'Cuadro tarifario'!D$2  , MATCH(CONCATENATE( IF(F681&gt;Mes,OFFSET(NroCT!B$17, MATCH($F681,NroCT!$A$18:$A1405,0),0,1,1),Periodovigente) ,A681) ,'Cuadro tarifario'!A$2:A1405,0) -1 , 0 , 1 , 1))</f>
        <v>11000</v>
      </c>
      <c r="I681" s="135">
        <f t="shared" si="195"/>
        <v>1</v>
      </c>
      <c r="J681" s="138">
        <f t="shared" si="235"/>
        <v>11000</v>
      </c>
      <c r="K681" s="136">
        <f>IF(  AND(N681&gt;0,I681=0)          ,N681 ,                         IF(  IF( F681 ,  DAYS360(DATE(YEAR(F681),MONTH(F681),1),Mes)/30  ,  DAYS360(DATE(YEAR(E681),MONTH(E681),1),Mes)/30  )  &gt;  0 , IF(F681,   DAYS360(DATE(YEAR(F681),MONTH(F681),1),Mes)/30  ,  DAYS360(DATE(YEAR(E681),MONTH(E681),1),Mes)/30) , 0)       )</f>
        <v>0</v>
      </c>
      <c r="L681" s="137">
        <f t="shared" si="196"/>
        <v>0</v>
      </c>
      <c r="M681" s="131"/>
      <c r="N681" s="130"/>
      <c r="O681" s="130"/>
      <c r="P681" s="130"/>
      <c r="Q681" s="130"/>
      <c r="R681" s="130"/>
      <c r="S681" s="130"/>
      <c r="T681" s="130"/>
    </row>
    <row r="682" ht="15.0" customHeight="1">
      <c r="A682" s="18" t="s">
        <v>38</v>
      </c>
      <c r="B682" s="18">
        <v>1991.0</v>
      </c>
      <c r="C682" s="19">
        <v>1991.0</v>
      </c>
      <c r="D682" s="57" t="str">
        <f>IF(   ISERROR(OFFSET(PADRON!B$2,MATCH(C:C,PADRON!A$2:A1405,0)-1,0,1,1) )  ,  ,    OFFSET(PADRON!B$2,MATCH(C:C,PADRON!A$2:A1405,0)-1,0,1,1))</f>
        <v>JAIME CARLOS OSCAR</v>
      </c>
      <c r="E682" s="58">
        <v>45839.0</v>
      </c>
      <c r="F682" s="133">
        <v>45870.0</v>
      </c>
      <c r="G682" s="59" t="s">
        <v>39</v>
      </c>
      <c r="H682" s="60">
        <f>IF( ISERROR( OFFSET(   'Cuadro tarifario'!D$2  , MATCH(CONCATENATE(                 IF(F682&gt;Mes,OFFSET(NroCT!B$17, MATCH($F682,NroCT!$A$18:$A1405,0),0,1,1),Periodovigente)                                                                                                                     ,A682) ,'Cuadro tarifario'!A$2:A1405,0) -1 , 0 , 1 , 1) )   , 0  ,   OFFSET(   'Cuadro tarifario'!D$2  , MATCH(CONCATENATE( IF(F682&gt;Mes,OFFSET(NroCT!B$17, MATCH($F682,NroCT!$A$18:$A1405,0),0,1,1),Periodovigente) ,A682) ,'Cuadro tarifario'!A$2:A1405,0) -1 , 0 , 1 , 1))</f>
        <v>9000</v>
      </c>
      <c r="I682" s="135">
        <f t="shared" si="195"/>
        <v>1</v>
      </c>
      <c r="J682" s="138">
        <f t="shared" si="235"/>
        <v>9000</v>
      </c>
      <c r="K682" s="136">
        <f>IF(  AND(N682&gt;0,I682=0)          ,N682 ,                         IF(  IF( F682 ,  DAYS360(DATE(YEAR(F682),MONTH(F682),1),Mes)/30  ,  DAYS360(DATE(YEAR(E682),MONTH(E682),1),Mes)/30  )  &gt;  0 , IF(F682,   DAYS360(DATE(YEAR(F682),MONTH(F682),1),Mes)/30  ,  DAYS360(DATE(YEAR(E682),MONTH(E682),1),Mes)/30) , 0)       )</f>
        <v>0</v>
      </c>
      <c r="L682" s="137">
        <f t="shared" si="196"/>
        <v>0</v>
      </c>
      <c r="M682" s="131"/>
      <c r="N682" s="130"/>
      <c r="O682" s="130"/>
      <c r="P682" s="130"/>
      <c r="Q682" s="130"/>
      <c r="R682" s="130"/>
      <c r="S682" s="130"/>
      <c r="T682" s="130"/>
    </row>
    <row r="683" ht="15.0" customHeight="1">
      <c r="A683" s="18" t="s">
        <v>42</v>
      </c>
      <c r="B683" s="18" t="s">
        <v>320</v>
      </c>
      <c r="C683" s="19">
        <v>1991.0</v>
      </c>
      <c r="D683" s="57" t="str">
        <f>IF(   ISERROR(OFFSET(PADRON!B$2,MATCH(C:C,PADRON!A$2:A1405,0)-1,0,1,1) )  ,  ,    OFFSET(PADRON!B$2,MATCH(C:C,PADRON!A$2:A1405,0)-1,0,1,1))</f>
        <v>JAIME CARLOS OSCAR</v>
      </c>
      <c r="E683" s="58">
        <v>45992.0</v>
      </c>
      <c r="F683" s="133"/>
      <c r="G683" s="59" t="s">
        <v>39</v>
      </c>
      <c r="H683" s="60">
        <f>IF( ISERROR( OFFSET(   'Cuadro tarifario'!D$2  , MATCH(CONCATENATE(                 IF(F683&gt;Mes,OFFSET(NroCT!B$17, MATCH($F683,NroCT!$A$18:$A1405,0),0,1,1),Periodovigente)                                                                                                                     ,A683) ,'Cuadro tarifario'!A$2:A1405,0) -1 , 0 , 1 , 1) )   , 0  ,   OFFSET(   'Cuadro tarifario'!D$2  , MATCH(CONCATENATE( IF(F683&gt;Mes,OFFSET(NroCT!B$17, MATCH($F683,NroCT!$A$18:$A1405,0),0,1,1),Periodovigente) ,A683) ,'Cuadro tarifario'!A$2:A1405,0) -1 , 0 , 1 , 1))</f>
        <v>4000</v>
      </c>
      <c r="I683" s="135">
        <f t="shared" si="195"/>
        <v>0</v>
      </c>
      <c r="J683" s="138">
        <f t="shared" si="235"/>
        <v>0</v>
      </c>
      <c r="K683" s="136">
        <f>IF(  AND(N683&gt;0,I683=0)          ,N683 ,                         IF(  IF( F683 ,  DAYS360(DATE(YEAR(F683),MONTH(F683),1),Mes)/30  ,  DAYS360(DATE(YEAR(E683),MONTH(E683),1),Mes)/30  )  &gt;  0 , IF(F683,   DAYS360(DATE(YEAR(F683),MONTH(F683),1),Mes)/30  ,  DAYS360(DATE(YEAR(E683),MONTH(E683),1),Mes)/30) , 0)       )</f>
        <v>0</v>
      </c>
      <c r="L683" s="137">
        <f t="shared" si="196"/>
        <v>0</v>
      </c>
      <c r="M683" s="131"/>
      <c r="N683" s="130"/>
      <c r="O683" s="130"/>
      <c r="P683" s="130"/>
      <c r="Q683" s="130"/>
      <c r="R683" s="130"/>
      <c r="S683" s="130"/>
      <c r="T683" s="130"/>
    </row>
    <row r="684" ht="15.0" customHeight="1">
      <c r="A684" s="18" t="s">
        <v>71</v>
      </c>
      <c r="B684" s="18">
        <v>1994.0</v>
      </c>
      <c r="C684" s="19">
        <v>1994.0</v>
      </c>
      <c r="D684" s="57" t="str">
        <f>IF(   ISERROR(OFFSET(PADRON!B$2,MATCH(C:C,PADRON!A$2:A1405,0)-1,0,1,1) )  ,  ,    OFFSET(PADRON!B$2,MATCH(C:C,PADRON!A$2:A1405,0)-1,0,1,1))</f>
        <v>DIAZ MENDOZA, GUSTAVO</v>
      </c>
      <c r="E684" s="58">
        <v>45809.0</v>
      </c>
      <c r="F684" s="133">
        <v>45992.0</v>
      </c>
      <c r="G684" s="59" t="s">
        <v>39</v>
      </c>
      <c r="H684" s="60">
        <f>IF( ISERROR( OFFSET(   'Cuadro tarifario'!D$2  , MATCH(CONCATENATE(                 IF(F684&gt;Mes,OFFSET(NroCT!B$17, MATCH($F684,NroCT!$A$18:$A1405,0),0,1,1),Periodovigente)                                                                                                                     ,A684) ,'Cuadro tarifario'!A$2:A1405,0) -1 , 0 , 1 , 1) )   , 0  ,   OFFSET(   'Cuadro tarifario'!D$2  , MATCH(CONCATENATE( IF(F684&gt;Mes,OFFSET(NroCT!B$17, MATCH($F684,NroCT!$A$18:$A1405,0),0,1,1),Periodovigente) ,A684) ,'Cuadro tarifario'!A$2:A1405,0) -1 , 0 , 1 , 1))</f>
        <v>11000</v>
      </c>
      <c r="I684" s="135">
        <f t="shared" si="195"/>
        <v>6</v>
      </c>
      <c r="J684" s="138">
        <f t="shared" si="235"/>
        <v>66000</v>
      </c>
      <c r="K684" s="136">
        <f>IF(  AND(N684&gt;0,I684=0)          ,N684 ,                         IF(  IF( F684 ,  DAYS360(DATE(YEAR(F684),MONTH(F684),1),Mes)/30  ,  DAYS360(DATE(YEAR(E684),MONTH(E684),1),Mes)/30  )  &gt;  0 , IF(F684,   DAYS360(DATE(YEAR(F684),MONTH(F684),1),Mes)/30  ,  DAYS360(DATE(YEAR(E684),MONTH(E684),1),Mes)/30) , 0)       )</f>
        <v>0</v>
      </c>
      <c r="L684" s="137">
        <f t="shared" si="196"/>
        <v>0</v>
      </c>
      <c r="M684" s="131"/>
      <c r="N684" s="130"/>
      <c r="O684" s="130"/>
      <c r="P684" s="130"/>
      <c r="Q684" s="130"/>
      <c r="R684" s="130"/>
      <c r="S684" s="130"/>
      <c r="T684" s="130"/>
    </row>
    <row r="685" ht="15.0" customHeight="1">
      <c r="A685" s="18" t="s">
        <v>38</v>
      </c>
      <c r="B685" s="18">
        <v>1994.0</v>
      </c>
      <c r="C685" s="19">
        <v>1994.0</v>
      </c>
      <c r="D685" s="57" t="str">
        <f>IF(   ISERROR(OFFSET(PADRON!B$2,MATCH(C:C,PADRON!A$2:A1405,0)-1,0,1,1) )  ,  ,    OFFSET(PADRON!B$2,MATCH(C:C,PADRON!A$2:A1405,0)-1,0,1,1))</f>
        <v>DIAZ MENDOZA, GUSTAVO</v>
      </c>
      <c r="E685" s="58">
        <v>45809.0</v>
      </c>
      <c r="F685" s="133">
        <v>45992.0</v>
      </c>
      <c r="G685" s="59" t="s">
        <v>39</v>
      </c>
      <c r="H685" s="60">
        <f>IF( ISERROR( OFFSET(   'Cuadro tarifario'!D$2  , MATCH(CONCATENATE(                 IF(F685&gt;Mes,OFFSET(NroCT!B$17, MATCH($F685,NroCT!$A$18:$A1405,0),0,1,1),Periodovigente)                                                                                                                     ,A685) ,'Cuadro tarifario'!A$2:A1405,0) -1 , 0 , 1 , 1) )   , 0  ,   OFFSET(   'Cuadro tarifario'!D$2  , MATCH(CONCATENATE( IF(F685&gt;Mes,OFFSET(NroCT!B$17, MATCH($F685,NroCT!$A$18:$A1405,0),0,1,1),Periodovigente) ,A685) ,'Cuadro tarifario'!A$2:A1405,0) -1 , 0 , 1 , 1))</f>
        <v>9000</v>
      </c>
      <c r="I685" s="135">
        <f t="shared" si="195"/>
        <v>6</v>
      </c>
      <c r="J685" s="138">
        <f t="shared" si="235"/>
        <v>54000</v>
      </c>
      <c r="K685" s="136">
        <f>IF(  AND(N685&gt;0,I685=0)          ,N685 ,                         IF(  IF( F685 ,  DAYS360(DATE(YEAR(F685),MONTH(F685),1),Mes)/30  ,  DAYS360(DATE(YEAR(E685),MONTH(E685),1),Mes)/30  )  &gt;  0 , IF(F685,   DAYS360(DATE(YEAR(F685),MONTH(F685),1),Mes)/30  ,  DAYS360(DATE(YEAR(E685),MONTH(E685),1),Mes)/30) , 0)       )</f>
        <v>0</v>
      </c>
      <c r="L685" s="137">
        <f t="shared" si="196"/>
        <v>0</v>
      </c>
      <c r="M685" s="131"/>
      <c r="N685" s="130"/>
      <c r="O685" s="130"/>
      <c r="P685" s="130"/>
      <c r="Q685" s="130"/>
      <c r="R685" s="130"/>
      <c r="S685" s="130"/>
      <c r="T685" s="130"/>
    </row>
    <row r="686" ht="16.5" customHeight="1">
      <c r="A686" s="18" t="s">
        <v>48</v>
      </c>
      <c r="B686" s="18" t="s">
        <v>321</v>
      </c>
      <c r="C686" s="19">
        <v>1994.0</v>
      </c>
      <c r="D686" s="57" t="str">
        <f>IF(   ISERROR(OFFSET(PADRON!B$2,MATCH(C:C,PADRON!A$2:A1405,0)-1,0,1,1) )  ,  ,    OFFSET(PADRON!B$2,MATCH(C:C,PADRON!A$2:A1405,0)-1,0,1,1))</f>
        <v>DIAZ MENDOZA, GUSTAVO</v>
      </c>
      <c r="E686" s="58">
        <v>45809.0</v>
      </c>
      <c r="F686" s="133">
        <v>45992.0</v>
      </c>
      <c r="G686" s="59" t="s">
        <v>39</v>
      </c>
      <c r="H686" s="60">
        <f>IF( ISERROR( OFFSET(   'Cuadro tarifario'!D$2  , MATCH(CONCATENATE(                 IF(F686&gt;Mes,OFFSET(NroCT!B$17, MATCH($F686,NroCT!$A$18:$A1405,0),0,1,1),Periodovigente)                                                                                                                     ,A686) ,'Cuadro tarifario'!A$2:A1405,0) -1 , 0 , 1 , 1) )   , 0  ,   OFFSET(   'Cuadro tarifario'!D$2  , MATCH(CONCATENATE( IF(F686&gt;Mes,OFFSET(NroCT!B$17, MATCH($F686,NroCT!$A$18:$A1405,0),0,1,1),Periodovigente) ,A686) ,'Cuadro tarifario'!A$2:A1405,0) -1 , 0 , 1 , 1))</f>
        <v>12000</v>
      </c>
      <c r="I686" s="135">
        <f t="shared" si="195"/>
        <v>6</v>
      </c>
      <c r="J686" s="138">
        <f t="shared" si="235"/>
        <v>72000</v>
      </c>
      <c r="K686" s="136">
        <f>IF(  AND(N686&gt;0,I686=0)          ,N686 ,                         IF(  IF( F686 ,  DAYS360(DATE(YEAR(F686),MONTH(F686),1),Mes)/30  ,  DAYS360(DATE(YEAR(E686),MONTH(E686),1),Mes)/30  )  &gt;  0 , IF(F686,   DAYS360(DATE(YEAR(F686),MONTH(F686),1),Mes)/30  ,  DAYS360(DATE(YEAR(E686),MONTH(E686),1),Mes)/30) , 0)       )</f>
        <v>0</v>
      </c>
      <c r="L686" s="137">
        <f t="shared" si="196"/>
        <v>0</v>
      </c>
      <c r="M686" s="131"/>
      <c r="N686" s="130"/>
      <c r="O686" s="130"/>
      <c r="P686" s="130"/>
      <c r="Q686" s="130"/>
      <c r="R686" s="130"/>
      <c r="S686" s="130"/>
      <c r="T686" s="130"/>
    </row>
    <row r="687" ht="15.0" customHeight="1">
      <c r="A687" s="18" t="s">
        <v>71</v>
      </c>
      <c r="B687" s="18">
        <v>1996.0</v>
      </c>
      <c r="C687" s="19">
        <v>1996.0</v>
      </c>
      <c r="D687" s="57" t="str">
        <f>IF(   ISERROR(OFFSET(PADRON!B$2,MATCH(C:C,PADRON!A$2:A1405,0)-1,0,1,1) )  ,  ,    OFFSET(PADRON!B$2,MATCH(C:C,PADRON!A$2:A1405,0)-1,0,1,1))</f>
        <v>BETROSQUI, GERMÀN</v>
      </c>
      <c r="E687" s="58">
        <v>45748.0</v>
      </c>
      <c r="F687" s="133"/>
      <c r="G687" s="59" t="s">
        <v>39</v>
      </c>
      <c r="H687" s="60">
        <f>IF( ISERROR( OFFSET(   'Cuadro tarifario'!D$2  , MATCH(CONCATENATE(                 IF(F687&gt;Mes,OFFSET(NroCT!B$17, MATCH($F687,NroCT!$A$18:$A1405,0),0,1,1),Periodovigente)                                                                                                                     ,A687) ,'Cuadro tarifario'!A$2:A1405,0) -1 , 0 , 1 , 1) )   , 0  ,   OFFSET(   'Cuadro tarifario'!D$2  , MATCH(CONCATENATE( IF(F687&gt;Mes,OFFSET(NroCT!B$17, MATCH($F687,NroCT!$A$18:$A1405,0),0,1,1),Periodovigente) ,A687) ,'Cuadro tarifario'!A$2:A1405,0) -1 , 0 , 1 , 1))</f>
        <v>11000</v>
      </c>
      <c r="I687" s="135">
        <f t="shared" si="195"/>
        <v>0</v>
      </c>
      <c r="J687" s="138">
        <f t="shared" si="235"/>
        <v>0</v>
      </c>
      <c r="K687" s="136">
        <f>IF(  AND(N687&gt;0,I687=0)          ,N687 ,                         IF(  IF( F687 ,  DAYS360(DATE(YEAR(F687),MONTH(F687),1),Mes)/30  ,  DAYS360(DATE(YEAR(E687),MONTH(E687),1),Mes)/30  )  &gt;  0 , IF(F687,   DAYS360(DATE(YEAR(F687),MONTH(F687),1),Mes)/30  ,  DAYS360(DATE(YEAR(E687),MONTH(E687),1),Mes)/30) , 0)       )</f>
        <v>4</v>
      </c>
      <c r="L687" s="137">
        <f t="shared" si="196"/>
        <v>44000</v>
      </c>
      <c r="M687" s="131"/>
      <c r="N687" s="130"/>
      <c r="O687" s="130"/>
      <c r="P687" s="130"/>
      <c r="Q687" s="130"/>
      <c r="R687" s="130"/>
      <c r="S687" s="130"/>
      <c r="T687" s="130"/>
    </row>
    <row r="688" ht="15.0" customHeight="1">
      <c r="A688" s="18" t="s">
        <v>38</v>
      </c>
      <c r="B688" s="18">
        <v>1996.0</v>
      </c>
      <c r="C688" s="19">
        <v>1996.0</v>
      </c>
      <c r="D688" s="57" t="str">
        <f>IF(   ISERROR(OFFSET(PADRON!B$2,MATCH(C:C,PADRON!A$2:A1405,0)-1,0,1,1) )  ,  ,    OFFSET(PADRON!B$2,MATCH(C:C,PADRON!A$2:A1405,0)-1,0,1,1))</f>
        <v>BETROSQUI, GERMÀN</v>
      </c>
      <c r="E688" s="58">
        <v>45748.0</v>
      </c>
      <c r="F688" s="133"/>
      <c r="G688" s="59" t="s">
        <v>39</v>
      </c>
      <c r="H688" s="60">
        <f>IF( ISERROR( OFFSET(   'Cuadro tarifario'!D$2  , MATCH(CONCATENATE(                 IF(F688&gt;Mes,OFFSET(NroCT!B$17, MATCH($F688,NroCT!$A$18:$A1405,0),0,1,1),Periodovigente)                                                                                                                     ,A688) ,'Cuadro tarifario'!A$2:A1405,0) -1 , 0 , 1 , 1) )   , 0  ,   OFFSET(   'Cuadro tarifario'!D$2  , MATCH(CONCATENATE( IF(F688&gt;Mes,OFFSET(NroCT!B$17, MATCH($F688,NroCT!$A$18:$A1405,0),0,1,1),Periodovigente) ,A688) ,'Cuadro tarifario'!A$2:A1405,0) -1 , 0 , 1 , 1))</f>
        <v>9000</v>
      </c>
      <c r="I688" s="135">
        <f t="shared" si="195"/>
        <v>0</v>
      </c>
      <c r="J688" s="138">
        <f t="shared" si="235"/>
        <v>0</v>
      </c>
      <c r="K688" s="136">
        <f>IF(  AND(N688&gt;0,I688=0)          ,N688 ,                         IF(  IF( F688 ,  DAYS360(DATE(YEAR(F688),MONTH(F688),1),Mes)/30  ,  DAYS360(DATE(YEAR(E688),MONTH(E688),1),Mes)/30  )  &gt;  0 , IF(F688,   DAYS360(DATE(YEAR(F688),MONTH(F688),1),Mes)/30  ,  DAYS360(DATE(YEAR(E688),MONTH(E688),1),Mes)/30) , 0)       )</f>
        <v>4</v>
      </c>
      <c r="L688" s="137">
        <f t="shared" si="196"/>
        <v>36000</v>
      </c>
      <c r="M688" s="131"/>
      <c r="N688" s="130"/>
      <c r="O688" s="130"/>
      <c r="P688" s="130"/>
      <c r="Q688" s="130"/>
      <c r="R688" s="130"/>
      <c r="S688" s="130"/>
      <c r="T688" s="130"/>
    </row>
    <row r="689" ht="15.75" customHeight="1">
      <c r="A689" s="18" t="s">
        <v>40</v>
      </c>
      <c r="B689" s="18" t="s">
        <v>322</v>
      </c>
      <c r="C689" s="19">
        <v>1996.0</v>
      </c>
      <c r="D689" s="57" t="str">
        <f>IF(   ISERROR(OFFSET(PADRON!B$2,MATCH(C:C,PADRON!A$2:A1405,0)-1,0,1,1) )  ,  ,    OFFSET(PADRON!B$2,MATCH(C:C,PADRON!A$2:A1405,0)-1,0,1,1))</f>
        <v>BETROSQUI, GERMÀN</v>
      </c>
      <c r="E689" s="58">
        <v>45748.0</v>
      </c>
      <c r="F689" s="133"/>
      <c r="G689" s="59" t="s">
        <v>39</v>
      </c>
      <c r="H689" s="60">
        <f>IF( ISERROR( OFFSET(   'Cuadro tarifario'!D$2  , MATCH(CONCATENATE(                 IF(F689&gt;Mes,OFFSET(NroCT!B$17, MATCH($F689,NroCT!$A$18:$A1405,0),0,1,1),Periodovigente)                                                                                                                     ,A689) ,'Cuadro tarifario'!A$2:A1405,0) -1 , 0 , 1 , 1) )   , 0  ,   OFFSET(   'Cuadro tarifario'!D$2  , MATCH(CONCATENATE( IF(F689&gt;Mes,OFFSET(NroCT!B$17, MATCH($F689,NroCT!$A$18:$A1405,0),0,1,1),Periodovigente) ,A689) ,'Cuadro tarifario'!A$2:A1405,0) -1 , 0 , 1 , 1))</f>
        <v>12000</v>
      </c>
      <c r="I689" s="135">
        <f t="shared" si="195"/>
        <v>0</v>
      </c>
      <c r="J689" s="138">
        <f t="shared" si="235"/>
        <v>0</v>
      </c>
      <c r="K689" s="136">
        <f>IF(  AND(N689&gt;0,I689=0)          ,N689 ,                         IF(  IF( F689 ,  DAYS360(DATE(YEAR(F689),MONTH(F689),1),Mes)/30  ,  DAYS360(DATE(YEAR(E689),MONTH(E689),1),Mes)/30  )  &gt;  0 , IF(F689,   DAYS360(DATE(YEAR(F689),MONTH(F689),1),Mes)/30  ,  DAYS360(DATE(YEAR(E689),MONTH(E689),1),Mes)/30) , 0)       )</f>
        <v>4</v>
      </c>
      <c r="L689" s="137">
        <f t="shared" si="196"/>
        <v>48000</v>
      </c>
      <c r="M689" s="131"/>
      <c r="N689" s="130"/>
      <c r="O689" s="130"/>
      <c r="P689" s="130"/>
      <c r="Q689" s="130"/>
      <c r="R689" s="130"/>
      <c r="S689" s="130"/>
      <c r="T689" s="130"/>
    </row>
    <row r="690" ht="15.0" customHeight="1">
      <c r="A690" s="18" t="s">
        <v>42</v>
      </c>
      <c r="B690" s="18" t="s">
        <v>323</v>
      </c>
      <c r="C690" s="19">
        <v>1996.0</v>
      </c>
      <c r="D690" s="57" t="str">
        <f>IF(   ISERROR(OFFSET(PADRON!B$2,MATCH(C:C,PADRON!A$2:A1405,0)-1,0,1,1) )  ,  ,    OFFSET(PADRON!B$2,MATCH(C:C,PADRON!A$2:A1405,0)-1,0,1,1))</f>
        <v>BETROSQUI, GERMÀN</v>
      </c>
      <c r="E690" s="58">
        <v>45992.0</v>
      </c>
      <c r="F690" s="133"/>
      <c r="G690" s="59" t="s">
        <v>39</v>
      </c>
      <c r="H690" s="60">
        <f>IF( ISERROR( OFFSET(   'Cuadro tarifario'!D$2  , MATCH(CONCATENATE(                 IF(F690&gt;Mes,OFFSET(NroCT!B$17, MATCH($F690,NroCT!$A$18:$A1405,0),0,1,1),Periodovigente)                                                                                                                     ,A690) ,'Cuadro tarifario'!A$2:A1405,0) -1 , 0 , 1 , 1) )   , 0  ,   OFFSET(   'Cuadro tarifario'!D$2  , MATCH(CONCATENATE( IF(F690&gt;Mes,OFFSET(NroCT!B$17, MATCH($F690,NroCT!$A$18:$A1405,0),0,1,1),Periodovigente) ,A690) ,'Cuadro tarifario'!A$2:A1405,0) -1 , 0 , 1 , 1))</f>
        <v>4000</v>
      </c>
      <c r="I690" s="135">
        <f t="shared" si="195"/>
        <v>0</v>
      </c>
      <c r="J690" s="138">
        <f t="shared" si="235"/>
        <v>0</v>
      </c>
      <c r="K690" s="136">
        <f>IF(  AND(N690&gt;0,I690=0)          ,N690 ,                         IF(  IF( F690 ,  DAYS360(DATE(YEAR(F690),MONTH(F690),1),Mes)/30  ,  DAYS360(DATE(YEAR(E690),MONTH(E690),1),Mes)/30  )  &gt;  0 , IF(F690,   DAYS360(DATE(YEAR(F690),MONTH(F690),1),Mes)/30  ,  DAYS360(DATE(YEAR(E690),MONTH(E690),1),Mes)/30) , 0)       )</f>
        <v>0</v>
      </c>
      <c r="L690" s="137">
        <f t="shared" si="196"/>
        <v>0</v>
      </c>
      <c r="M690" s="131"/>
      <c r="N690" s="130"/>
      <c r="O690" s="130"/>
      <c r="P690" s="130"/>
      <c r="Q690" s="130"/>
      <c r="R690" s="130"/>
      <c r="S690" s="130"/>
      <c r="T690" s="130"/>
    </row>
    <row r="691" ht="15.0" customHeight="1">
      <c r="A691" s="18" t="s">
        <v>71</v>
      </c>
      <c r="B691" s="18">
        <v>2000.0</v>
      </c>
      <c r="C691" s="19">
        <v>2000.0</v>
      </c>
      <c r="D691" s="57" t="str">
        <f>IF(   ISERROR(OFFSET(PADRON!B$2,MATCH(C:C,PADRON!A$2:A1405,0)-1,0,1,1) )  ,  ,    OFFSET(PADRON!B$2,MATCH(C:C,PADRON!A$2:A1405,0)-1,0,1,1))</f>
        <v>LODOLA, MARCELO FELIPE</v>
      </c>
      <c r="E691" s="58">
        <v>45839.0</v>
      </c>
      <c r="F691" s="133">
        <v>45870.0</v>
      </c>
      <c r="G691" s="59" t="s">
        <v>39</v>
      </c>
      <c r="H691" s="60">
        <f>IF( ISERROR( OFFSET(   'Cuadro tarifario'!D$2  , MATCH(CONCATENATE(                 IF(F691&gt;Mes,OFFSET(NroCT!B$17, MATCH($F691,NroCT!$A$18:$A1405,0),0,1,1),Periodovigente)                                                                                                                     ,A691) ,'Cuadro tarifario'!A$2:A1405,0) -1 , 0 , 1 , 1) )   , 0  ,   OFFSET(   'Cuadro tarifario'!D$2  , MATCH(CONCATENATE( IF(F691&gt;Mes,OFFSET(NroCT!B$17, MATCH($F691,NroCT!$A$18:$A1405,0),0,1,1),Periodovigente) ,A691) ,'Cuadro tarifario'!A$2:A1405,0) -1 , 0 , 1 , 1))</f>
        <v>11000</v>
      </c>
      <c r="I691" s="135">
        <f t="shared" si="195"/>
        <v>1</v>
      </c>
      <c r="J691" s="138">
        <f t="shared" si="235"/>
        <v>11000</v>
      </c>
      <c r="K691" s="136">
        <f>IF(  AND(N691&gt;0,I691=0)          ,N691 ,                         IF(  IF( F691 ,  DAYS360(DATE(YEAR(F691),MONTH(F691),1),Mes)/30  ,  DAYS360(DATE(YEAR(E691),MONTH(E691),1),Mes)/30  )  &gt;  0 , IF(F691,   DAYS360(DATE(YEAR(F691),MONTH(F691),1),Mes)/30  ,  DAYS360(DATE(YEAR(E691),MONTH(E691),1),Mes)/30) , 0)       )</f>
        <v>0</v>
      </c>
      <c r="L691" s="137">
        <f t="shared" si="196"/>
        <v>0</v>
      </c>
      <c r="M691" s="131"/>
      <c r="N691" s="130"/>
      <c r="O691" s="130"/>
      <c r="P691" s="130"/>
      <c r="Q691" s="130"/>
      <c r="R691" s="130"/>
      <c r="S691" s="130"/>
      <c r="T691" s="130"/>
    </row>
    <row r="692" ht="15.0" customHeight="1">
      <c r="A692" s="18" t="s">
        <v>38</v>
      </c>
      <c r="B692" s="18">
        <v>2000.0</v>
      </c>
      <c r="C692" s="19">
        <v>2000.0</v>
      </c>
      <c r="D692" s="57" t="str">
        <f>IF(   ISERROR(OFFSET(PADRON!B$2,MATCH(C:C,PADRON!A$2:A1405,0)-1,0,1,1) )  ,  ,    OFFSET(PADRON!B$2,MATCH(C:C,PADRON!A$2:A1405,0)-1,0,1,1))</f>
        <v>LODOLA, MARCELO FELIPE</v>
      </c>
      <c r="E692" s="58">
        <v>45839.0</v>
      </c>
      <c r="F692" s="133">
        <v>45870.0</v>
      </c>
      <c r="G692" s="59" t="s">
        <v>39</v>
      </c>
      <c r="H692" s="60">
        <f>IF( ISERROR( OFFSET(   'Cuadro tarifario'!D$2  , MATCH(CONCATENATE(                 IF(F692&gt;Mes,OFFSET(NroCT!B$17, MATCH($F692,NroCT!$A$18:$A1405,0),0,1,1),Periodovigente)                                                                                                                     ,A692) ,'Cuadro tarifario'!A$2:A1405,0) -1 , 0 , 1 , 1) )   , 0  ,   OFFSET(   'Cuadro tarifario'!D$2  , MATCH(CONCATENATE( IF(F692&gt;Mes,OFFSET(NroCT!B$17, MATCH($F692,NroCT!$A$18:$A1405,0),0,1,1),Periodovigente) ,A692) ,'Cuadro tarifario'!A$2:A1405,0) -1 , 0 , 1 , 1))</f>
        <v>9000</v>
      </c>
      <c r="I692" s="135">
        <f t="shared" si="195"/>
        <v>1</v>
      </c>
      <c r="J692" s="138">
        <f t="shared" si="235"/>
        <v>9000</v>
      </c>
      <c r="K692" s="136">
        <f>IF(  AND(N692&gt;0,I692=0)          ,N692 ,                         IF(  IF( F692 ,  DAYS360(DATE(YEAR(F692),MONTH(F692),1),Mes)/30  ,  DAYS360(DATE(YEAR(E692),MONTH(E692),1),Mes)/30  )  &gt;  0 , IF(F692,   DAYS360(DATE(YEAR(F692),MONTH(F692),1),Mes)/30  ,  DAYS360(DATE(YEAR(E692),MONTH(E692),1),Mes)/30) , 0)       )</f>
        <v>0</v>
      </c>
      <c r="L692" s="137">
        <f t="shared" si="196"/>
        <v>0</v>
      </c>
      <c r="M692" s="131"/>
      <c r="N692" s="130"/>
      <c r="O692" s="130"/>
      <c r="P692" s="130"/>
      <c r="Q692" s="130"/>
      <c r="R692" s="130"/>
      <c r="S692" s="130"/>
      <c r="T692" s="130"/>
    </row>
    <row r="693">
      <c r="A693" s="33" t="s">
        <v>71</v>
      </c>
      <c r="B693" s="33">
        <v>2005.0</v>
      </c>
      <c r="C693" s="19">
        <v>2005.0</v>
      </c>
      <c r="D693" s="34" t="str">
        <f>if(   iserror(offset(PADRON!B$2,match(C:C,PADRON!A$2:A1405,0)-1,0,1,1) )  ,  ,    offset(PADRON!B$2,match(C:C,PADRON!A$2:A1405,0)-1,0,1,1))</f>
        <v>SPACAPAN, M.VICTORIA</v>
      </c>
      <c r="E693" s="22">
        <v>45839.0</v>
      </c>
      <c r="F693" s="22">
        <v>45870.0</v>
      </c>
      <c r="G693" s="23" t="s">
        <v>39</v>
      </c>
      <c r="H693" s="35">
        <f>IF( ISERROR( OFFSET(   'Cuadro tarifario'!D$2  , MATCH(CONCATENATE(                 IF(F693&gt;Mes,OFFSET(NroCT!B$17, MATCH($F693,NroCT!$A$18:$A1405,0),0,1,1),Periodovigente)                                                                                                                     ,A693) ,'Cuadro tarifario'!A$2:A1405,0) -1 , 0 , 1 , 1) )   , 0  ,   OFFSET(   'Cuadro tarifario'!D$2  , MATCH(CONCATENATE( IF(F693&gt;Mes,OFFSET(NroCT!B$17, MATCH($F693,NroCT!$A$18:$A1405,0),0,1,1),Periodovigente) ,A693) ,'Cuadro tarifario'!A$2:A1405,0) -1 , 0 , 1 , 1))</f>
        <v>11000</v>
      </c>
      <c r="I693" s="36">
        <f t="shared" ref="I693:I696" si="236">Int(If(F693,DAYS360(          date(Year(E693),Month(E693),1),         date(Year(F693)     ,      Month(F693),1 )    )            /30,0 ))</f>
        <v>1</v>
      </c>
      <c r="J693" s="37">
        <f t="shared" si="235"/>
        <v>11000</v>
      </c>
      <c r="K693" s="38">
        <f>if(  and(N693&gt;0,I693=0)          ,N693 ,                         If(  If( F693 ,  DAYS360(date(year(F693),month(F693),1),Mes)/30  ,  DAYS360(date(year(E693),month(E693),1),Mes)/30  )  &gt;  0 , If(F693,   DAYS360(date(year(F693),month(F693),1),Mes)/30  ,  DAYS360(date(year(E693),month(E693),1),Mes)/30) , 0)       )</f>
        <v>0</v>
      </c>
      <c r="L693" s="39">
        <f t="shared" ref="L693:L696" si="237">If(Iserror(K:K*H:H)   ,  0   ,   K:K*H:H)</f>
        <v>0</v>
      </c>
      <c r="M693" s="40"/>
      <c r="N693" s="29">
        <f>IF( ISERROR(OFFSET(SECUESTRADOS!D$1,MATCH(B693,SECUESTRADOS!A$2:A1405,0),0)) ,0 ,  OFFSET(SECUESTRADOS!D$1,MATCH(B693,SECUESTRADOS!A$2:A1405,0),0)  )</f>
        <v>0</v>
      </c>
      <c r="O693" s="30"/>
      <c r="P693" s="17" t="str">
        <f t="shared" ref="P693:P1368" si="238">IF(I693,A693)</f>
        <v>.socio</v>
      </c>
      <c r="Q693" s="17" t="str">
        <f>IF(AND(A693=A130,B693=B130,C693=C130),"Repetido","")</f>
        <v/>
      </c>
      <c r="R693" s="31"/>
      <c r="S693" s="31"/>
      <c r="T693" s="31"/>
    </row>
    <row r="694">
      <c r="A694" s="42" t="s">
        <v>38</v>
      </c>
      <c r="B694" s="42">
        <v>2005.0</v>
      </c>
      <c r="C694" s="19">
        <v>2005.0</v>
      </c>
      <c r="D694" s="34" t="str">
        <f>if(   iserror(offset(PADRON!B$2,match(C:C,PADRON!A$2:A1405,0)-1,0,1,1) )  ,  ,    offset(PADRON!B$2,match(C:C,PADRON!A$2:A1405,0)-1,0,1,1))</f>
        <v>SPACAPAN, M.VICTORIA</v>
      </c>
      <c r="E694" s="22">
        <v>45839.0</v>
      </c>
      <c r="F694" s="22">
        <v>45870.0</v>
      </c>
      <c r="G694" s="23" t="s">
        <v>39</v>
      </c>
      <c r="H694" s="35">
        <f>IF( ISERROR( OFFSET(   'Cuadro tarifario'!D$2  , MATCH(CONCATENATE(                 IF(F694&gt;Mes,OFFSET(NroCT!B$17, MATCH($F694,NroCT!$A$18:$A1405,0),0,1,1),Periodovigente)                                                                                                                     ,A694) ,'Cuadro tarifario'!A$2:A1405,0) -1 , 0 , 1 , 1) )   , 0  ,   OFFSET(   'Cuadro tarifario'!D$2  , MATCH(CONCATENATE( IF(F694&gt;Mes,OFFSET(NroCT!B$17, MATCH($F694,NroCT!$A$18:$A1405,0),0,1,1),Periodovigente) ,A694) ,'Cuadro tarifario'!A$2:A1405,0) -1 , 0 , 1 , 1))</f>
        <v>9000</v>
      </c>
      <c r="I694" s="36">
        <f t="shared" si="236"/>
        <v>1</v>
      </c>
      <c r="J694" s="37">
        <f t="shared" si="235"/>
        <v>9000</v>
      </c>
      <c r="K694" s="38">
        <f>if(  and(N694&gt;0,I694=0)          ,N694 ,                         If(  If( F694 ,  DAYS360(date(year(F694),month(F694),1),Mes)/30  ,  DAYS360(date(year(E694),month(E694),1),Mes)/30  )  &gt;  0 , If(F694,   DAYS360(date(year(F694),month(F694),1),Mes)/30  ,  DAYS360(date(year(E694),month(E694),1),Mes)/30) , 0)       )</f>
        <v>0</v>
      </c>
      <c r="L694" s="39">
        <f t="shared" si="237"/>
        <v>0</v>
      </c>
      <c r="M694" s="40"/>
      <c r="N694" s="29">
        <f>IF( ISERROR(OFFSET(SECUESTRADOS!D$1,MATCH(B694,SECUESTRADOS!A$2:A1405,0),0)) ,0 ,  OFFSET(SECUESTRADOS!D$1,MATCH(B694,SECUESTRADOS!A$2:A1405,0),0)  )</f>
        <v>0</v>
      </c>
      <c r="O694" s="30"/>
      <c r="P694" s="17" t="str">
        <f t="shared" si="238"/>
        <v>Bono canon</v>
      </c>
      <c r="Q694" s="17" t="str">
        <f t="shared" ref="Q694:Q695" si="239">IF(AND(A694=A693,B694=B693,C694=C693),"Repetido","")</f>
        <v/>
      </c>
      <c r="R694" s="31"/>
      <c r="S694" s="31"/>
      <c r="T694" s="31"/>
    </row>
    <row r="695">
      <c r="A695" s="42" t="s">
        <v>40</v>
      </c>
      <c r="B695" s="42" t="s">
        <v>324</v>
      </c>
      <c r="C695" s="19">
        <v>2005.0</v>
      </c>
      <c r="D695" s="34" t="str">
        <f>if(   iserror(offset(PADRON!B$2,match(C:C,PADRON!A$2:A1405,0)-1,0,1,1) )  ,  ,    offset(PADRON!B$2,match(C:C,PADRON!A$2:A1405,0)-1,0,1,1))</f>
        <v>SPACAPAN, M.VICTORIA</v>
      </c>
      <c r="E695" s="22">
        <v>45839.0</v>
      </c>
      <c r="F695" s="22">
        <v>45870.0</v>
      </c>
      <c r="G695" s="23" t="s">
        <v>39</v>
      </c>
      <c r="H695" s="35">
        <f>IF( ISERROR( OFFSET(   'Cuadro tarifario'!D$2  , MATCH(CONCATENATE(                 IF(F695&gt;Mes,OFFSET(NroCT!B$17, MATCH($F695,NroCT!$A$18:$A1405,0),0,1,1),Periodovigente)                                                                                                                     ,A695) ,'Cuadro tarifario'!A$2:A1405,0) -1 , 0 , 1 , 1) )   , 0  ,   OFFSET(   'Cuadro tarifario'!D$2  , MATCH(CONCATENATE( IF(F695&gt;Mes,OFFSET(NroCT!B$17, MATCH($F695,NroCT!$A$18:$A1405,0),0,1,1),Periodovigente) ,A695) ,'Cuadro tarifario'!A$2:A1405,0) -1 , 0 , 1 , 1))</f>
        <v>12000</v>
      </c>
      <c r="I695" s="36">
        <f t="shared" si="236"/>
        <v>1</v>
      </c>
      <c r="J695" s="37">
        <f t="shared" si="235"/>
        <v>12000</v>
      </c>
      <c r="K695" s="38">
        <f>if(  and(N695&gt;0,I695=0)          ,N695 ,                         If(  If( F695 ,  DAYS360(date(year(F695),month(F695),1),Mes)/30  ,  DAYS360(date(year(E695),month(E695),1),Mes)/30  )  &gt;  0 , If(F695,   DAYS360(date(year(F695),month(F695),1),Mes)/30  ,  DAYS360(date(year(E695),month(E695),1),Mes)/30) , 0)       )</f>
        <v>0</v>
      </c>
      <c r="L695" s="39">
        <f t="shared" si="237"/>
        <v>0</v>
      </c>
      <c r="M695" s="40"/>
      <c r="N695" s="29">
        <f>IF( ISERROR(OFFSET(SECUESTRADOS!D$1,MATCH(B695,SECUESTRADOS!A$2:A1405,0),0)) ,0 ,  OFFSET(SECUESTRADOS!D$1,MATCH(B695,SECUESTRADOS!A$2:A1405,0),0)  )</f>
        <v>0</v>
      </c>
      <c r="O695" s="30"/>
      <c r="P695" s="17" t="str">
        <f t="shared" si="238"/>
        <v>cuna windsurf</v>
      </c>
      <c r="Q695" s="17" t="str">
        <f t="shared" si="239"/>
        <v/>
      </c>
      <c r="R695" s="31"/>
      <c r="S695" s="31"/>
      <c r="T695" s="31"/>
    </row>
    <row r="696" ht="18.0" customHeight="1">
      <c r="A696" s="54" t="s">
        <v>71</v>
      </c>
      <c r="B696" s="54">
        <v>2006.0</v>
      </c>
      <c r="C696" s="19">
        <v>2006.0</v>
      </c>
      <c r="D696" s="34" t="str">
        <f>if(   iserror(offset(PADRON!B$2,match(C:C,PADRON!A$2:A1405,0)-1,0,1,1) )  ,  ,    offset(PADRON!B$2,match(C:C,PADRON!A$2:A1405,0)-1,0,1,1))</f>
        <v>NIÑO GOMEZ, MARIANO</v>
      </c>
      <c r="E696" s="22">
        <v>45839.0</v>
      </c>
      <c r="F696" s="22">
        <v>45870.0</v>
      </c>
      <c r="G696" s="23" t="s">
        <v>39</v>
      </c>
      <c r="H696" s="35">
        <f>IF( ISERROR( OFFSET(   'Cuadro tarifario'!D$2  , MATCH(CONCATENATE(                 IF(F696&gt;Mes,OFFSET(NroCT!B$17, MATCH($F696,NroCT!$A$18:$A1405,0),0,1,1),Periodovigente)                                                                                                                     ,A696) ,'Cuadro tarifario'!A$2:A1405,0) -1 , 0 , 1 , 1) )   , 0  ,   OFFSET(   'Cuadro tarifario'!D$2  , MATCH(CONCATENATE( IF(F696&gt;Mes,OFFSET(NroCT!B$17, MATCH($F696,NroCT!$A$18:$A1405,0),0,1,1),Periodovigente) ,A696) ,'Cuadro tarifario'!A$2:A1405,0) -1 , 0 , 1 , 1))</f>
        <v>11000</v>
      </c>
      <c r="I696" s="36">
        <f t="shared" si="236"/>
        <v>1</v>
      </c>
      <c r="J696" s="37">
        <f t="shared" si="235"/>
        <v>11000</v>
      </c>
      <c r="K696" s="38">
        <f>if(  and(N696&gt;0,I696=0)          ,N696 ,                         If(  If( F696 ,  DAYS360(date(year(F696),month(F696),1),Mes)/30  ,  DAYS360(date(year(E696),month(E696),1),Mes)/30  )  &gt;  0 , If(F696,   DAYS360(date(year(F696),month(F696),1),Mes)/30  ,  DAYS360(date(year(E696),month(E696),1),Mes)/30) , 0)       )</f>
        <v>0</v>
      </c>
      <c r="L696" s="39">
        <f t="shared" si="237"/>
        <v>0</v>
      </c>
      <c r="M696" s="40"/>
      <c r="N696" s="29">
        <f>IF( ISERROR(OFFSET(SECUESTRADOS!D$1,MATCH(B696,SECUESTRADOS!A$2:A1405,0),0)) ,0 ,  OFFSET(SECUESTRADOS!D$1,MATCH(B696,SECUESTRADOS!A$2:A1405,0),0)  )</f>
        <v>0</v>
      </c>
      <c r="O696" s="30"/>
      <c r="P696" s="17" t="str">
        <f t="shared" si="238"/>
        <v>.socio</v>
      </c>
      <c r="Q696" s="17" t="str">
        <f>IF(AND(A696=A162,B696=B162,C696=C162),"Repetido","")</f>
        <v/>
      </c>
      <c r="R696" s="31"/>
      <c r="S696" s="31"/>
      <c r="T696" s="31"/>
    </row>
    <row r="697">
      <c r="A697" s="18" t="s">
        <v>38</v>
      </c>
      <c r="B697" s="18">
        <v>2006.0</v>
      </c>
      <c r="C697" s="19">
        <v>2006.0</v>
      </c>
      <c r="D697" s="20" t="str">
        <f>IF(   ISERROR(OFFSET(PADRON!B$2,MATCH(C:C,PADRON!A$2:A1405,0)-1,0,1,1) )  ,  ,    OFFSET(PADRON!B$2,MATCH(C:C,PADRON!A$2:A1405,0)-1,0,1,1))</f>
        <v>NIÑO GOMEZ, MARIANO</v>
      </c>
      <c r="E697" s="21">
        <v>45839.0</v>
      </c>
      <c r="F697" s="21">
        <v>45870.0</v>
      </c>
      <c r="G697" s="23" t="s">
        <v>39</v>
      </c>
      <c r="H697" s="24">
        <f>IF( ISERROR( OFFSET(   'Cuadro tarifario'!D$2  , MATCH(CONCATENATE(                 IF(F697&gt;Mes,OFFSET(NroCT!B$17, MATCH($F697,NroCT!$A$18:$A1405,0),0,1,1),Periodovigente)                                                                                                                     ,A697) ,'Cuadro tarifario'!A$2:A1405,0) -1 , 0 , 1 , 1) )   , 0  ,   OFFSET(   'Cuadro tarifario'!D$2  , MATCH(CONCATENATE( IF(F697&gt;Mes,OFFSET(NroCT!B$17, MATCH($F697,NroCT!$A$18:$A1405,0),0,1,1),Periodovigente) ,A697) ,'Cuadro tarifario'!A$2:A1405,0) -1 , 0 , 1 , 1))</f>
        <v>9000</v>
      </c>
      <c r="I697" s="25">
        <f>INT(IF(F697,DAYS360(          DATE(YEAR(E697),MONTH(E697),1),         DATE(YEAR(F697)     ,      MONTH(F697),1 )    )            /30,0 ))</f>
        <v>1</v>
      </c>
      <c r="J697" s="24">
        <f t="shared" si="235"/>
        <v>9000</v>
      </c>
      <c r="K697" s="26">
        <f>IF(  AND(N697&gt;0,I697=0)          ,N697 ,                         IF(  IF( F697 ,  DAYS360(DATE(YEAR(F697),MONTH(F697),1),Mes)/30  ,  DAYS360(DATE(YEAR(E697),MONTH(E697),1),Mes)/30  )  &gt;  0 , IF(F697,   DAYS360(DATE(YEAR(F697),MONTH(F697),1),Mes)/30  ,  DAYS360(DATE(YEAR(E697),MONTH(E697),1),Mes)/30) , 0)       )</f>
        <v>0</v>
      </c>
      <c r="L697" s="27">
        <f>IF(ISERROR(K:K*H:H)   ,  0   ,   K:K*H:H)</f>
        <v>0</v>
      </c>
      <c r="M697" s="28"/>
      <c r="N697" s="29">
        <f>IF( ISERROR(OFFSET(SECUESTRADOS!D$1,MATCH(B697,SECUESTRADOS!A$2:A1405,0),0)) ,0 ,  OFFSET(SECUESTRADOS!D$1,MATCH(B697,SECUESTRADOS!A$2:A1405,0),0)  )</f>
        <v>0</v>
      </c>
      <c r="O697" s="30"/>
      <c r="P697" s="17" t="str">
        <f t="shared" si="238"/>
        <v>Bono canon</v>
      </c>
      <c r="Q697" s="17" t="str">
        <f>IF(AND(A697=A696,B697=B696,C697=C696),"Repetido","")</f>
        <v/>
      </c>
      <c r="R697" s="31"/>
      <c r="S697" s="31"/>
      <c r="T697" s="31"/>
    </row>
    <row r="698">
      <c r="A698" s="41" t="s">
        <v>71</v>
      </c>
      <c r="B698" s="41">
        <v>2008.0</v>
      </c>
      <c r="C698" s="19">
        <v>2008.0</v>
      </c>
      <c r="D698" s="34" t="str">
        <f>if(   iserror(offset(PADRON!B$2,match(C:C,PADRON!A$2:A1405,0)-1,0,1,1) )  ,  ,    offset(PADRON!B$2,match(C:C,PADRON!A$2:A1405,0)-1,0,1,1))</f>
        <v>COTELO, MARA</v>
      </c>
      <c r="E698" s="22">
        <v>45778.0</v>
      </c>
      <c r="F698" s="22"/>
      <c r="G698" s="23" t="s">
        <v>39</v>
      </c>
      <c r="H698" s="35">
        <f>IF( ISERROR( OFFSET(   'Cuadro tarifario'!D$2  , MATCH(CONCATENATE(                 IF(F698&gt;Mes,OFFSET(NroCT!B$17, MATCH($F698,NroCT!$A$18:$A1405,0),0,1,1),Periodovigente)                                                                                                                     ,A698) ,'Cuadro tarifario'!A$2:A1405,0) -1 , 0 , 1 , 1) )   , 0  ,   OFFSET(   'Cuadro tarifario'!D$2  , MATCH(CONCATENATE( IF(F698&gt;Mes,OFFSET(NroCT!B$17, MATCH($F698,NroCT!$A$18:$A1405,0),0,1,1),Periodovigente) ,A698) ,'Cuadro tarifario'!A$2:A1405,0) -1 , 0 , 1 , 1))</f>
        <v>11000</v>
      </c>
      <c r="I698" s="36">
        <f t="shared" ref="I698:I699" si="240">Int(If(F698,DAYS360(          date(Year(E698),Month(E698),1),         date(Year(F698)     ,      Month(F698),1 )    )            /30,0 ))</f>
        <v>0</v>
      </c>
      <c r="J698" s="37">
        <f t="shared" si="235"/>
        <v>0</v>
      </c>
      <c r="K698" s="38">
        <f>if(  and(N698&gt;0,I698=0)          ,N698 ,                         If(  If( F698 ,  DAYS360(date(year(F698),month(F698),1),Mes)/30  ,  DAYS360(date(year(E698),month(E698),1),Mes)/30  )  &gt;  0 , If(F698,   DAYS360(date(year(F698),month(F698),1),Mes)/30  ,  DAYS360(date(year(E698),month(E698),1),Mes)/30) , 0)       )</f>
        <v>3</v>
      </c>
      <c r="L698" s="39">
        <f t="shared" ref="L698:L699" si="241">If(Iserror(K:K*H:H)   ,  0   ,   K:K*H:H)</f>
        <v>33000</v>
      </c>
      <c r="M698" s="40"/>
      <c r="N698" s="29">
        <f>IF( ISERROR(OFFSET(SECUESTRADOS!D$1,MATCH(B698,SECUESTRADOS!A$2:A1405,0),0)) ,0 ,  OFFSET(SECUESTRADOS!D$1,MATCH(B698,SECUESTRADOS!A$2:A1405,0),0)  )</f>
        <v>0</v>
      </c>
      <c r="O698" s="30"/>
      <c r="P698" s="17" t="b">
        <f t="shared" si="238"/>
        <v>0</v>
      </c>
      <c r="Q698" s="17" t="str">
        <f t="shared" ref="Q698:Q699" si="242">IF(AND(A698=#REF!,B698=#REF!,C698=#REF!),"Repetido","")</f>
        <v>#REF!</v>
      </c>
      <c r="R698" s="31"/>
      <c r="S698" s="31"/>
      <c r="T698" s="31"/>
    </row>
    <row r="699">
      <c r="A699" s="54" t="s">
        <v>38</v>
      </c>
      <c r="B699" s="54">
        <v>2008.0</v>
      </c>
      <c r="C699" s="19">
        <v>2008.0</v>
      </c>
      <c r="D699" s="34" t="str">
        <f>if(   iserror(offset(PADRON!B$2,match(C:C,PADRON!A$2:A1405,0)-1,0,1,1) )  ,  ,    offset(PADRON!B$2,match(C:C,PADRON!A$2:A1405,0)-1,0,1,1))</f>
        <v>COTELO, MARA</v>
      </c>
      <c r="E699" s="22">
        <v>45778.0</v>
      </c>
      <c r="F699" s="22"/>
      <c r="G699" s="23" t="s">
        <v>39</v>
      </c>
      <c r="H699" s="35">
        <f>IF( ISERROR( OFFSET(   'Cuadro tarifario'!D$2  , MATCH(CONCATENATE(                 IF(F699&gt;Mes,OFFSET(NroCT!B$17, MATCH($F699,NroCT!$A$18:$A1405,0),0,1,1),Periodovigente)                                                                                                                     ,A699) ,'Cuadro tarifario'!A$2:A1405,0) -1 , 0 , 1 , 1) )   , 0  ,   OFFSET(   'Cuadro tarifario'!D$2  , MATCH(CONCATENATE( IF(F699&gt;Mes,OFFSET(NroCT!B$17, MATCH($F699,NroCT!$A$18:$A1405,0),0,1,1),Periodovigente) ,A699) ,'Cuadro tarifario'!A$2:A1405,0) -1 , 0 , 1 , 1))</f>
        <v>9000</v>
      </c>
      <c r="I699" s="36">
        <f t="shared" si="240"/>
        <v>0</v>
      </c>
      <c r="J699" s="37">
        <f t="shared" si="235"/>
        <v>0</v>
      </c>
      <c r="K699" s="38">
        <f>if(  and(N699&gt;0,I699=0)          ,N699 ,                         If(  If( F699 ,  DAYS360(date(year(F699),month(F699),1),Mes)/30  ,  DAYS360(date(year(E699),month(E699),1),Mes)/30  )  &gt;  0 , If(F699,   DAYS360(date(year(F699),month(F699),1),Mes)/30  ,  DAYS360(date(year(E699),month(E699),1),Mes)/30) , 0)       )</f>
        <v>3</v>
      </c>
      <c r="L699" s="39">
        <f t="shared" si="241"/>
        <v>27000</v>
      </c>
      <c r="M699" s="40"/>
      <c r="N699" s="29">
        <f>IF( ISERROR(OFFSET(SECUESTRADOS!D$1,MATCH(B699,SECUESTRADOS!A$2:A1405,0),0)) ,0 ,  OFFSET(SECUESTRADOS!D$1,MATCH(B699,SECUESTRADOS!A$2:A1405,0),0)  )</f>
        <v>0</v>
      </c>
      <c r="O699" s="30"/>
      <c r="P699" s="17" t="b">
        <f t="shared" si="238"/>
        <v>0</v>
      </c>
      <c r="Q699" s="17" t="str">
        <f t="shared" si="242"/>
        <v>#REF!</v>
      </c>
      <c r="R699" s="31"/>
      <c r="S699" s="31"/>
      <c r="T699" s="31"/>
    </row>
    <row r="700">
      <c r="A700" s="18" t="s">
        <v>40</v>
      </c>
      <c r="B700" s="18" t="s">
        <v>325</v>
      </c>
      <c r="C700" s="19">
        <v>2008.0</v>
      </c>
      <c r="D700" s="20" t="str">
        <f>IF(   ISERROR(OFFSET(PADRON!B$2,MATCH(C:C,PADRON!A$2:A1405,0)-1,0,1,1) )  ,  ,    OFFSET(PADRON!B$2,MATCH(C:C,PADRON!A$2:A1405,0)-1,0,1,1))</f>
        <v>COTELO, MARA</v>
      </c>
      <c r="E700" s="21">
        <v>45778.0</v>
      </c>
      <c r="F700" s="21"/>
      <c r="G700" s="23" t="s">
        <v>39</v>
      </c>
      <c r="H700" s="24">
        <f>IF( ISERROR( OFFSET(   'Cuadro tarifario'!D$2  , MATCH(CONCATENATE(                 IF(F700&gt;Mes,OFFSET(NroCT!B$17, MATCH($F700,NroCT!$A$18:$A1405,0),0,1,1),Periodovigente)                                                                                                                     ,A700) ,'Cuadro tarifario'!A$2:A1405,0) -1 , 0 , 1 , 1) )   , 0  ,   OFFSET(   'Cuadro tarifario'!D$2  , MATCH(CONCATENATE( IF(F700&gt;Mes,OFFSET(NroCT!B$17, MATCH($F700,NroCT!$A$18:$A1405,0),0,1,1),Periodovigente) ,A700) ,'Cuadro tarifario'!A$2:A1405,0) -1 , 0 , 1 , 1))</f>
        <v>12000</v>
      </c>
      <c r="I700" s="25">
        <f>INT(IF(F700,DAYS360(          DATE(YEAR(E700),MONTH(E700),1),         DATE(YEAR(F700)     ,      MONTH(F700),1 )    )            /30,0 ))</f>
        <v>0</v>
      </c>
      <c r="J700" s="24">
        <f t="shared" si="235"/>
        <v>0</v>
      </c>
      <c r="K700" s="26">
        <f>IF(  AND(N700&gt;0,I700=0)          ,N700 ,                         IF(  IF( F700 ,  DAYS360(DATE(YEAR(F700),MONTH(F700),1),Mes)/30  ,  DAYS360(DATE(YEAR(E700),MONTH(E700),1),Mes)/30  )  &gt;  0 , IF(F700,   DAYS360(DATE(YEAR(F700),MONTH(F700),1),Mes)/30  ,  DAYS360(DATE(YEAR(E700),MONTH(E700),1),Mes)/30) , 0)       )</f>
        <v>3</v>
      </c>
      <c r="L700" s="27">
        <f>IF(ISERROR(K:K*H:H)   ,  0   ,   K:K*H:H)</f>
        <v>36000</v>
      </c>
      <c r="M700" s="28"/>
      <c r="N700" s="29">
        <f>IF( ISERROR(OFFSET(SECUESTRADOS!D$1,MATCH(B700,SECUESTRADOS!A$2:A1405,0),0)) ,0 ,  OFFSET(SECUESTRADOS!D$1,MATCH(B700,SECUESTRADOS!A$2:A1405,0),0)  )</f>
        <v>0</v>
      </c>
      <c r="O700" s="30"/>
      <c r="P700" s="17" t="b">
        <f t="shared" si="238"/>
        <v>0</v>
      </c>
      <c r="Q700" s="17" t="str">
        <f>IF(AND(A700=A699,B700=B699,C700=C699),"Repetido","")</f>
        <v/>
      </c>
      <c r="R700" s="31"/>
      <c r="S700" s="31"/>
      <c r="T700" s="31"/>
    </row>
    <row r="701">
      <c r="A701" s="54" t="s">
        <v>71</v>
      </c>
      <c r="B701" s="54">
        <v>2013.0</v>
      </c>
      <c r="C701" s="19">
        <v>2013.0</v>
      </c>
      <c r="D701" s="34" t="str">
        <f>if(   iserror(offset(PADRON!B$2,match(C:C,PADRON!A$2:A1405,0)-1,0,1,1) )  ,  ,    offset(PADRON!B$2,match(C:C,PADRON!A$2:A1405,0)-1,0,1,1))</f>
        <v>CAMPOS, PABLO FERNANDO</v>
      </c>
      <c r="E701" s="22">
        <v>45839.0</v>
      </c>
      <c r="F701" s="22">
        <v>45870.0</v>
      </c>
      <c r="G701" s="23" t="s">
        <v>39</v>
      </c>
      <c r="H701" s="35">
        <f>IF( ISERROR( OFFSET(   'Cuadro tarifario'!D$2  , MATCH(CONCATENATE(                 IF(F701&gt;Mes,OFFSET(NroCT!B$17, MATCH($F701,NroCT!$A$18:$A1405,0),0,1,1),Periodovigente)                                                                                                                     ,A701) ,'Cuadro tarifario'!A$2:A1405,0) -1 , 0 , 1 , 1) )   , 0  ,   OFFSET(   'Cuadro tarifario'!D$2  , MATCH(CONCATENATE( IF(F701&gt;Mes,OFFSET(NroCT!B$17, MATCH($F701,NroCT!$A$18:$A1405,0),0,1,1),Periodovigente) ,A701) ,'Cuadro tarifario'!A$2:A1405,0) -1 , 0 , 1 , 1))</f>
        <v>11000</v>
      </c>
      <c r="I701" s="36">
        <f>Int(If(F701,DAYS360(          date(Year(E701),Month(E701),1),         date(Year(F701)     ,      Month(F701),1 )    )            /30,0 ))</f>
        <v>1</v>
      </c>
      <c r="J701" s="37">
        <f t="shared" si="235"/>
        <v>11000</v>
      </c>
      <c r="K701" s="38">
        <f>if(  and(N701&gt;0,I701=0)          ,N701 ,                         If(  If( F701 ,  DAYS360(date(year(F701),month(F701),1),Mes)/30  ,  DAYS360(date(year(E701),month(E701),1),Mes)/30  )  &gt;  0 , If(F701,   DAYS360(date(year(F701),month(F701),1),Mes)/30  ,  DAYS360(date(year(E701),month(E701),1),Mes)/30) , 0)       )</f>
        <v>0</v>
      </c>
      <c r="L701" s="39">
        <f>If(Iserror(K:K*H:H)   ,  0   ,   K:K*H:H)</f>
        <v>0</v>
      </c>
      <c r="M701" s="40"/>
      <c r="N701" s="29">
        <f>IF( ISERROR(OFFSET(SECUESTRADOS!D$1,MATCH(B701,SECUESTRADOS!A$2:A1405,0),0)) ,0 ,  OFFSET(SECUESTRADOS!D$1,MATCH(B701,SECUESTRADOS!A$2:A1405,0),0)  )</f>
        <v>0</v>
      </c>
      <c r="O701" s="30"/>
      <c r="P701" s="17" t="str">
        <f t="shared" si="238"/>
        <v>.socio</v>
      </c>
      <c r="Q701" s="17" t="str">
        <f>IF(AND(A701=#REF!,B701=#REF!,C701=#REF!),"Repetido","")</f>
        <v>#REF!</v>
      </c>
      <c r="R701" s="31"/>
      <c r="S701" s="31"/>
      <c r="T701" s="31"/>
    </row>
    <row r="702">
      <c r="A702" s="18" t="s">
        <v>38</v>
      </c>
      <c r="B702" s="18">
        <v>2013.0</v>
      </c>
      <c r="C702" s="19">
        <v>2013.0</v>
      </c>
      <c r="D702" s="20" t="str">
        <f>IF(   ISERROR(OFFSET(PADRON!B$2,MATCH(C:C,PADRON!A$2:A1405,0)-1,0,1,1) )  ,  ,    OFFSET(PADRON!B$2,MATCH(C:C,PADRON!A$2:A1405,0)-1,0,1,1))</f>
        <v>CAMPOS, PABLO FERNANDO</v>
      </c>
      <c r="E702" s="21">
        <v>45839.0</v>
      </c>
      <c r="F702" s="21">
        <v>45870.0</v>
      </c>
      <c r="G702" s="23" t="s">
        <v>39</v>
      </c>
      <c r="H702" s="24">
        <f>IF( ISERROR( OFFSET(   'Cuadro tarifario'!D$2  , MATCH(CONCATENATE(                 IF(F702&gt;Mes,OFFSET(NroCT!B$17, MATCH($F702,NroCT!$A$18:$A1405,0),0,1,1),Periodovigente)                                                                                                                     ,A702) ,'Cuadro tarifario'!A$2:A1405,0) -1 , 0 , 1 , 1) )   , 0  ,   OFFSET(   'Cuadro tarifario'!D$2  , MATCH(CONCATENATE( IF(F702&gt;Mes,OFFSET(NroCT!B$17, MATCH($F702,NroCT!$A$18:$A1405,0),0,1,1),Periodovigente) ,A702) ,'Cuadro tarifario'!A$2:A1405,0) -1 , 0 , 1 , 1))</f>
        <v>9000</v>
      </c>
      <c r="I702" s="25">
        <f t="shared" ref="I702:I704" si="243">INT(IF(F702,DAYS360(          DATE(YEAR(E702),MONTH(E702),1),         DATE(YEAR(F702)     ,      MONTH(F702),1 )    )            /30,0 ))</f>
        <v>1</v>
      </c>
      <c r="J702" s="24">
        <f t="shared" si="235"/>
        <v>9000</v>
      </c>
      <c r="K702" s="26">
        <f>IF(  AND(N702&gt;0,I702=0)          ,N702 ,                         IF(  IF( F702 ,  DAYS360(DATE(YEAR(F702),MONTH(F702),1),Mes)/30  ,  DAYS360(DATE(YEAR(E702),MONTH(E702),1),Mes)/30  )  &gt;  0 , IF(F702,   DAYS360(DATE(YEAR(F702),MONTH(F702),1),Mes)/30  ,  DAYS360(DATE(YEAR(E702),MONTH(E702),1),Mes)/30) , 0)       )</f>
        <v>0</v>
      </c>
      <c r="L702" s="27">
        <f t="shared" ref="L702:L704" si="244">IF(ISERROR(K:K*H:H)   ,  0   ,   K:K*H:H)</f>
        <v>0</v>
      </c>
      <c r="M702" s="28"/>
      <c r="N702" s="29">
        <f>IF( ISERROR(OFFSET(SECUESTRADOS!D$1,MATCH(B702,SECUESTRADOS!A$2:A1405,0),0)) ,0 ,  OFFSET(SECUESTRADOS!D$1,MATCH(B702,SECUESTRADOS!A$2:A1405,0),0)  )</f>
        <v>0</v>
      </c>
      <c r="O702" s="30"/>
      <c r="P702" s="17" t="str">
        <f t="shared" si="238"/>
        <v>Bono canon</v>
      </c>
      <c r="Q702" s="17" t="str">
        <f t="shared" ref="Q702:Q703" si="245">IF(AND(A702=A701,B702=B701,C702=C701),"Repetido","")</f>
        <v/>
      </c>
      <c r="R702" s="31"/>
      <c r="S702" s="31"/>
      <c r="T702" s="31"/>
    </row>
    <row r="703">
      <c r="A703" s="18" t="s">
        <v>40</v>
      </c>
      <c r="B703" s="18" t="s">
        <v>326</v>
      </c>
      <c r="C703" s="19">
        <v>2013.0</v>
      </c>
      <c r="D703" s="20" t="str">
        <f>IF(   ISERROR(OFFSET(PADRON!B$2,MATCH(C:C,PADRON!A$2:A1405,0)-1,0,1,1) )  ,  ,    OFFSET(PADRON!B$2,MATCH(C:C,PADRON!A$2:A1405,0)-1,0,1,1))</f>
        <v>CAMPOS, PABLO FERNANDO</v>
      </c>
      <c r="E703" s="21">
        <v>45839.0</v>
      </c>
      <c r="F703" s="21">
        <v>45870.0</v>
      </c>
      <c r="G703" s="23" t="s">
        <v>39</v>
      </c>
      <c r="H703" s="24">
        <f>IF( ISERROR( OFFSET(   'Cuadro tarifario'!D$2  , MATCH(CONCATENATE(                 IF(F703&gt;Mes,OFFSET(NroCT!B$17, MATCH($F703,NroCT!$A$18:$A1405,0),0,1,1),Periodovigente)                                                                                                                     ,A703) ,'Cuadro tarifario'!A$2:A1405,0) -1 , 0 , 1 , 1) )   , 0  ,   OFFSET(   'Cuadro tarifario'!D$2  , MATCH(CONCATENATE( IF(F703&gt;Mes,OFFSET(NroCT!B$17, MATCH($F703,NroCT!$A$18:$A1405,0),0,1,1),Periodovigente) ,A703) ,'Cuadro tarifario'!A$2:A1405,0) -1 , 0 , 1 , 1))</f>
        <v>12000</v>
      </c>
      <c r="I703" s="25">
        <f t="shared" si="243"/>
        <v>1</v>
      </c>
      <c r="J703" s="24">
        <f t="shared" si="235"/>
        <v>12000</v>
      </c>
      <c r="K703" s="26">
        <f>IF(  AND(N703&gt;0,I703=0)          ,N703 ,                         IF(  IF( F703 ,  DAYS360(DATE(YEAR(F703),MONTH(F703),1),Mes)/30  ,  DAYS360(DATE(YEAR(E703),MONTH(E703),1),Mes)/30  )  &gt;  0 , IF(F703,   DAYS360(DATE(YEAR(F703),MONTH(F703),1),Mes)/30  ,  DAYS360(DATE(YEAR(E703),MONTH(E703),1),Mes)/30) , 0)       )</f>
        <v>0</v>
      </c>
      <c r="L703" s="27">
        <f t="shared" si="244"/>
        <v>0</v>
      </c>
      <c r="M703" s="28"/>
      <c r="N703" s="29">
        <f>IF( ISERROR(OFFSET(SECUESTRADOS!D$1,MATCH(B703,SECUESTRADOS!A$2:A1405,0),0)) ,0 ,  OFFSET(SECUESTRADOS!D$1,MATCH(B703,SECUESTRADOS!A$2:A1405,0),0)  )</f>
        <v>0</v>
      </c>
      <c r="O703" s="30"/>
      <c r="P703" s="17" t="str">
        <f t="shared" si="238"/>
        <v>cuna windsurf</v>
      </c>
      <c r="Q703" s="17" t="str">
        <f t="shared" si="245"/>
        <v/>
      </c>
      <c r="R703" s="31"/>
      <c r="S703" s="31"/>
      <c r="T703" s="31"/>
    </row>
    <row r="704">
      <c r="A704" s="18" t="s">
        <v>71</v>
      </c>
      <c r="B704" s="18">
        <v>2015.0</v>
      </c>
      <c r="C704" s="19">
        <v>2015.0</v>
      </c>
      <c r="D704" s="20" t="str">
        <f>IF(   ISERROR(OFFSET(PADRON!B$2,MATCH(C:C,PADRON!A$2:A1405,0)-1,0,1,1) )  ,  ,    OFFSET(PADRON!B$2,MATCH(C:C,PADRON!A$2:A1405,0)-1,0,1,1))</f>
        <v>RAMIREZ, DIANA SOFIA</v>
      </c>
      <c r="E704" s="21">
        <v>45839.0</v>
      </c>
      <c r="F704" s="21">
        <v>45870.0</v>
      </c>
      <c r="G704" s="23" t="s">
        <v>39</v>
      </c>
      <c r="H704" s="24">
        <f>IF( ISERROR( OFFSET(   'Cuadro tarifario'!D$2  , MATCH(CONCATENATE(                 IF(F704&gt;Mes,OFFSET(NroCT!B$17, MATCH($F704,NroCT!$A$18:$A1405,0),0,1,1),Periodovigente)                                                                                                                     ,A704) ,'Cuadro tarifario'!A$2:A1405,0) -1 , 0 , 1 , 1) )   , 0  ,   OFFSET(   'Cuadro tarifario'!D$2  , MATCH(CONCATENATE( IF(F704&gt;Mes,OFFSET(NroCT!B$17, MATCH($F704,NroCT!$A$18:$A1405,0),0,1,1),Periodovigente) ,A704) ,'Cuadro tarifario'!A$2:A1405,0) -1 , 0 , 1 , 1))</f>
        <v>11000</v>
      </c>
      <c r="I704" s="25">
        <f t="shared" si="243"/>
        <v>1</v>
      </c>
      <c r="J704" s="24">
        <f t="shared" si="235"/>
        <v>11000</v>
      </c>
      <c r="K704" s="26">
        <f>IF(  AND(N704&gt;0,I704=0)          ,N704 ,                         IF(  IF( F704 ,  DAYS360(DATE(YEAR(F704),MONTH(F704),1),Mes)/30  ,  DAYS360(DATE(YEAR(E704),MONTH(E704),1),Mes)/30  )  &gt;  0 , IF(F704,   DAYS360(DATE(YEAR(F704),MONTH(F704),1),Mes)/30  ,  DAYS360(DATE(YEAR(E704),MONTH(E704),1),Mes)/30) , 0)       )</f>
        <v>0</v>
      </c>
      <c r="L704" s="27">
        <f t="shared" si="244"/>
        <v>0</v>
      </c>
      <c r="M704" s="28"/>
      <c r="N704" s="29">
        <f>IF( ISERROR(OFFSET(SECUESTRADOS!D$1,MATCH(B704,SECUESTRADOS!A$2:A1405,0),0)) ,0 ,  OFFSET(SECUESTRADOS!D$1,MATCH(B704,SECUESTRADOS!A$2:A1405,0),0)  )</f>
        <v>0</v>
      </c>
      <c r="O704" s="30"/>
      <c r="P704" s="17" t="str">
        <f t="shared" si="238"/>
        <v>.socio</v>
      </c>
      <c r="Q704" s="17" t="str">
        <f t="shared" ref="Q704:Q706" si="246">IF(AND(A704=#REF!,B704=#REF!,C704=#REF!),"Repetido","")</f>
        <v>#REF!</v>
      </c>
      <c r="R704" s="31"/>
      <c r="S704" s="31"/>
      <c r="T704" s="31"/>
    </row>
    <row r="705">
      <c r="A705" s="54" t="s">
        <v>38</v>
      </c>
      <c r="B705" s="54">
        <v>2015.0</v>
      </c>
      <c r="C705" s="19">
        <v>2015.0</v>
      </c>
      <c r="D705" s="34" t="str">
        <f>if(   iserror(offset(PADRON!B$2,match(C:C,PADRON!A$2:A1405,0)-1,0,1,1) )  ,  ,    offset(PADRON!B$2,match(C:C,PADRON!A$2:A1405,0)-1,0,1,1))</f>
        <v>RAMIREZ, DIANA SOFIA</v>
      </c>
      <c r="E705" s="22">
        <v>45839.0</v>
      </c>
      <c r="F705" s="22">
        <v>45870.0</v>
      </c>
      <c r="G705" s="23" t="s">
        <v>39</v>
      </c>
      <c r="H705" s="35">
        <f>IF( ISERROR( OFFSET(   'Cuadro tarifario'!D$2  , MATCH(CONCATENATE(                 IF(F705&gt;Mes,OFFSET(NroCT!B$17, MATCH($F705,NroCT!$A$18:$A1405,0),0,1,1),Periodovigente)                                                                                                                     ,A705) ,'Cuadro tarifario'!A$2:A1405,0) -1 , 0 , 1 , 1) )   , 0  ,   OFFSET(   'Cuadro tarifario'!D$2  , MATCH(CONCATENATE( IF(F705&gt;Mes,OFFSET(NroCT!B$17, MATCH($F705,NroCT!$A$18:$A1405,0),0,1,1),Periodovigente) ,A705) ,'Cuadro tarifario'!A$2:A1405,0) -1 , 0 , 1 , 1))</f>
        <v>9000</v>
      </c>
      <c r="I705" s="36">
        <f>Int(If(F705,DAYS360(          date(Year(E705),Month(E705),1),         date(Year(F705)     ,      Month(F705),1 )    )            /30,0 ))</f>
        <v>1</v>
      </c>
      <c r="J705" s="37">
        <f t="shared" si="235"/>
        <v>9000</v>
      </c>
      <c r="K705" s="38">
        <f>if(  and(N705&gt;0,I705=0)          ,N705 ,                         If(  If( F705 ,  DAYS360(date(year(F705),month(F705),1),Mes)/30  ,  DAYS360(date(year(E705),month(E705),1),Mes)/30  )  &gt;  0 , If(F705,   DAYS360(date(year(F705),month(F705),1),Mes)/30  ,  DAYS360(date(year(E705),month(E705),1),Mes)/30) , 0)       )</f>
        <v>0</v>
      </c>
      <c r="L705" s="39">
        <f>If(Iserror(K:K*H:H)   ,  0   ,   K:K*H:H)</f>
        <v>0</v>
      </c>
      <c r="M705" s="40"/>
      <c r="N705" s="29">
        <f>IF( ISERROR(OFFSET(SECUESTRADOS!D$1,MATCH(B705,SECUESTRADOS!A$2:A1405,0),0)) ,0 ,  OFFSET(SECUESTRADOS!D$1,MATCH(B705,SECUESTRADOS!A$2:A1405,0),0)  )</f>
        <v>0</v>
      </c>
      <c r="O705" s="30"/>
      <c r="P705" s="17" t="str">
        <f t="shared" si="238"/>
        <v>Bono canon</v>
      </c>
      <c r="Q705" s="17" t="str">
        <f t="shared" si="246"/>
        <v>#REF!</v>
      </c>
      <c r="R705" s="31"/>
      <c r="S705" s="31"/>
      <c r="T705" s="31"/>
    </row>
    <row r="706">
      <c r="A706" s="18" t="s">
        <v>71</v>
      </c>
      <c r="B706" s="18">
        <v>2016.0</v>
      </c>
      <c r="C706" s="19">
        <v>2016.0</v>
      </c>
      <c r="D706" s="20" t="str">
        <f>IF(   ISERROR(OFFSET(PADRON!B$2,MATCH(C:C,PADRON!A$2:A1405,0)-1,0,1,1) )  ,  ,    OFFSET(PADRON!B$2,MATCH(C:C,PADRON!A$2:A1405,0)-1,0,1,1))</f>
        <v>BERARDINELLI, LIA FERNANDA</v>
      </c>
      <c r="E706" s="21">
        <v>45809.0</v>
      </c>
      <c r="F706" s="21">
        <v>45870.0</v>
      </c>
      <c r="G706" s="23" t="s">
        <v>39</v>
      </c>
      <c r="H706" s="24">
        <f>IF( ISERROR( OFFSET(   'Cuadro tarifario'!D$2  , MATCH(CONCATENATE(                 IF(F706&gt;Mes,OFFSET(NroCT!B$17, MATCH($F706,NroCT!$A$18:$A1405,0),0,1,1),Periodovigente)                                                                                                                     ,A706) ,'Cuadro tarifario'!A$2:A1405,0) -1 , 0 , 1 , 1) )   , 0  ,   OFFSET(   'Cuadro tarifario'!D$2  , MATCH(CONCATENATE( IF(F706&gt;Mes,OFFSET(NroCT!B$17, MATCH($F706,NroCT!$A$18:$A1405,0),0,1,1),Periodovigente) ,A706) ,'Cuadro tarifario'!A$2:A1405,0) -1 , 0 , 1 , 1))</f>
        <v>11000</v>
      </c>
      <c r="I706" s="25">
        <f t="shared" ref="I706:I707" si="247">INT(IF(F706,DAYS360(          DATE(YEAR(E706),MONTH(E706),1),         DATE(YEAR(F706)     ,      MONTH(F706),1 )    )            /30,0 ))</f>
        <v>2</v>
      </c>
      <c r="J706" s="24">
        <f t="shared" si="235"/>
        <v>22000</v>
      </c>
      <c r="K706" s="26">
        <f>IF(  AND(N706&gt;0,I706=0)          ,N706 ,                         IF(  IF( F706 ,  DAYS360(DATE(YEAR(F706),MONTH(F706),1),Mes)/30  ,  DAYS360(DATE(YEAR(E706),MONTH(E706),1),Mes)/30  )  &gt;  0 , IF(F706,   DAYS360(DATE(YEAR(F706),MONTH(F706),1),Mes)/30  ,  DAYS360(DATE(YEAR(E706),MONTH(E706),1),Mes)/30) , 0)       )</f>
        <v>0</v>
      </c>
      <c r="L706" s="27">
        <f t="shared" ref="L706:L707" si="248">IF(ISERROR(K:K*H:H)   ,  0   ,   K:K*H:H)</f>
        <v>0</v>
      </c>
      <c r="M706" s="28"/>
      <c r="N706" s="29">
        <f>IF( ISERROR(OFFSET(SECUESTRADOS!D$1,MATCH(B706,SECUESTRADOS!A$2:A1405,0),0)) ,0 ,  OFFSET(SECUESTRADOS!D$1,MATCH(B706,SECUESTRADOS!A$2:A1405,0),0)  )</f>
        <v>0</v>
      </c>
      <c r="O706" s="30"/>
      <c r="P706" s="17" t="str">
        <f t="shared" si="238"/>
        <v>.socio</v>
      </c>
      <c r="Q706" s="17" t="str">
        <f t="shared" si="246"/>
        <v>#REF!</v>
      </c>
      <c r="R706" s="31"/>
      <c r="S706" s="31"/>
      <c r="T706" s="31"/>
    </row>
    <row r="707">
      <c r="A707" s="18" t="s">
        <v>38</v>
      </c>
      <c r="B707" s="18">
        <v>2016.0</v>
      </c>
      <c r="C707" s="19">
        <v>2016.0</v>
      </c>
      <c r="D707" s="20" t="str">
        <f>IF(   ISERROR(OFFSET(PADRON!B$2,MATCH(C:C,PADRON!A$2:A1405,0)-1,0,1,1) )  ,  ,    OFFSET(PADRON!B$2,MATCH(C:C,PADRON!A$2:A1405,0)-1,0,1,1))</f>
        <v>BERARDINELLI, LIA FERNANDA</v>
      </c>
      <c r="E707" s="21">
        <v>45809.0</v>
      </c>
      <c r="F707" s="21">
        <v>45870.0</v>
      </c>
      <c r="G707" s="23" t="s">
        <v>39</v>
      </c>
      <c r="H707" s="24">
        <f>IF( ISERROR( OFFSET(   'Cuadro tarifario'!D$2  , MATCH(CONCATENATE(                 IF(F707&gt;Mes,OFFSET(NroCT!B$17, MATCH($F707,NroCT!$A$18:$A1405,0),0,1,1),Periodovigente)                                                                                                                     ,A707) ,'Cuadro tarifario'!A$2:A1405,0) -1 , 0 , 1 , 1) )   , 0  ,   OFFSET(   'Cuadro tarifario'!D$2  , MATCH(CONCATENATE( IF(F707&gt;Mes,OFFSET(NroCT!B$17, MATCH($F707,NroCT!$A$18:$A1405,0),0,1,1),Periodovigente) ,A707) ,'Cuadro tarifario'!A$2:A1405,0) -1 , 0 , 1 , 1))</f>
        <v>9000</v>
      </c>
      <c r="I707" s="25">
        <f t="shared" si="247"/>
        <v>2</v>
      </c>
      <c r="J707" s="24">
        <f t="shared" si="235"/>
        <v>18000</v>
      </c>
      <c r="K707" s="26">
        <f>IF(  AND(N707&gt;0,I707=0)          ,N707 ,                         IF(  IF( F707 ,  DAYS360(DATE(YEAR(F707),MONTH(F707),1),Mes)/30  ,  DAYS360(DATE(YEAR(E707),MONTH(E707),1),Mes)/30  )  &gt;  0 , IF(F707,   DAYS360(DATE(YEAR(F707),MONTH(F707),1),Mes)/30  ,  DAYS360(DATE(YEAR(E707),MONTH(E707),1),Mes)/30) , 0)       )</f>
        <v>0</v>
      </c>
      <c r="L707" s="27">
        <f t="shared" si="248"/>
        <v>0</v>
      </c>
      <c r="M707" s="28"/>
      <c r="N707" s="29">
        <f>IF( ISERROR(OFFSET(SECUESTRADOS!D$1,MATCH(B707,SECUESTRADOS!A$2:A1405,0),0)) ,0 ,  OFFSET(SECUESTRADOS!D$1,MATCH(B707,SECUESTRADOS!A$2:A1405,0),0)  )</f>
        <v>0</v>
      </c>
      <c r="O707" s="30"/>
      <c r="P707" s="17" t="str">
        <f t="shared" si="238"/>
        <v>Bono canon</v>
      </c>
      <c r="Q707" s="17" t="str">
        <f>IF(AND(A707=A706,B707=B706,C707=C706),"Repetido","")</f>
        <v/>
      </c>
      <c r="R707" s="31"/>
      <c r="S707" s="31"/>
      <c r="T707" s="31"/>
    </row>
    <row r="708" ht="16.5" customHeight="1">
      <c r="A708" s="54" t="s">
        <v>40</v>
      </c>
      <c r="B708" s="54" t="s">
        <v>327</v>
      </c>
      <c r="C708" s="19">
        <v>2016.0</v>
      </c>
      <c r="D708" s="34" t="str">
        <f>if(   iserror(offset(PADRON!B$2,match(C:C,PADRON!A$2:A1405,0)-1,0,1,1) )  ,  ,    offset(PADRON!B$2,match(C:C,PADRON!A$2:A1405,0)-1,0,1,1))</f>
        <v>BERARDINELLI, LIA FERNANDA</v>
      </c>
      <c r="E708" s="22">
        <v>45809.0</v>
      </c>
      <c r="F708" s="22">
        <v>45870.0</v>
      </c>
      <c r="G708" s="23" t="s">
        <v>39</v>
      </c>
      <c r="H708" s="35">
        <f>IF( ISERROR( OFFSET(   'Cuadro tarifario'!D$2  , MATCH(CONCATENATE(                 IF(F708&gt;Mes,OFFSET(NroCT!B$17, MATCH($F708,NroCT!$A$18:$A1405,0),0,1,1),Periodovigente)                                                                                                                     ,A708) ,'Cuadro tarifario'!A$2:A1405,0) -1 , 0 , 1 , 1) )   , 0  ,   OFFSET(   'Cuadro tarifario'!D$2  , MATCH(CONCATENATE( IF(F708&gt;Mes,OFFSET(NroCT!B$17, MATCH($F708,NroCT!$A$18:$A1405,0),0,1,1),Periodovigente) ,A708) ,'Cuadro tarifario'!A$2:A1405,0) -1 , 0 , 1 , 1))</f>
        <v>12000</v>
      </c>
      <c r="I708" s="36">
        <f>Int(If(F708,DAYS360(          date(Year(E708),Month(E708),1),         date(Year(F708)     ,      Month(F708),1 )    )            /30,0 ))</f>
        <v>2</v>
      </c>
      <c r="J708" s="37">
        <f t="shared" si="235"/>
        <v>24000</v>
      </c>
      <c r="K708" s="38">
        <f>if(  and(N708&gt;0,I708=0)          ,N708 ,                         If(  If( F708 ,  DAYS360(date(year(F708),month(F708),1),Mes)/30  ,  DAYS360(date(year(E708),month(E708),1),Mes)/30  )  &gt;  0 , If(F708,   DAYS360(date(year(F708),month(F708),1),Mes)/30  ,  DAYS360(date(year(E708),month(E708),1),Mes)/30) , 0)       )</f>
        <v>0</v>
      </c>
      <c r="L708" s="39">
        <f>If(Iserror(K:K*H:H)   ,  0   ,   K:K*H:H)</f>
        <v>0</v>
      </c>
      <c r="M708" s="40"/>
      <c r="N708" s="29">
        <f>IF( ISERROR(OFFSET(SECUESTRADOS!D$1,MATCH(B708,SECUESTRADOS!A$2:A1405,0),0)) ,0 ,  OFFSET(SECUESTRADOS!D$1,MATCH(B708,SECUESTRADOS!A$2:A1405,0),0)  )</f>
        <v>0</v>
      </c>
      <c r="O708" s="30"/>
      <c r="P708" s="17" t="str">
        <f t="shared" si="238"/>
        <v>cuna windsurf</v>
      </c>
      <c r="Q708" s="17" t="str">
        <f>IF(AND(A708=#REF!,B708=#REF!,C708=#REF!),"Repetido","")</f>
        <v>#REF!</v>
      </c>
      <c r="R708" s="31"/>
      <c r="S708" s="31"/>
      <c r="T708" s="31"/>
    </row>
    <row r="709">
      <c r="A709" s="18" t="s">
        <v>38</v>
      </c>
      <c r="B709" s="18">
        <v>2022.0</v>
      </c>
      <c r="C709" s="19">
        <v>2022.0</v>
      </c>
      <c r="D709" s="20" t="str">
        <f>IF(   ISERROR(OFFSET(PADRON!B$2,MATCH(C:C,PADRON!A$2:A1405,0)-1,0,1,1) )  ,  ,    OFFSET(PADRON!B$2,MATCH(C:C,PADRON!A$2:A1405,0)-1,0,1,1))</f>
        <v>FLORES, EDGARDO HUGO</v>
      </c>
      <c r="E709" s="21">
        <v>45809.0</v>
      </c>
      <c r="F709" s="21">
        <v>45870.0</v>
      </c>
      <c r="G709" s="23" t="s">
        <v>39</v>
      </c>
      <c r="H709" s="24">
        <f>IF( ISERROR( OFFSET(   'Cuadro tarifario'!D$2  , MATCH(CONCATENATE(                 IF(F709&gt;Mes,OFFSET(NroCT!B$17, MATCH($F709,NroCT!$A$18:$A1405,0),0,1,1),Periodovigente)                                                                                                                     ,A709) ,'Cuadro tarifario'!A$2:A1405,0) -1 , 0 , 1 , 1) )   , 0  ,   OFFSET(   'Cuadro tarifario'!D$2  , MATCH(CONCATENATE( IF(F709&gt;Mes,OFFSET(NroCT!B$17, MATCH($F709,NroCT!$A$18:$A1405,0),0,1,1),Periodovigente) ,A709) ,'Cuadro tarifario'!A$2:A1405,0) -1 , 0 , 1 , 1))</f>
        <v>9000</v>
      </c>
      <c r="I709" s="25">
        <f t="shared" ref="I709:I710" si="249">INT(IF(F709,DAYS360(          DATE(YEAR(E709),MONTH(E709),1),         DATE(YEAR(F709)     ,      MONTH(F709),1 )    )            /30,0 ))</f>
        <v>2</v>
      </c>
      <c r="J709" s="24">
        <f t="shared" si="235"/>
        <v>18000</v>
      </c>
      <c r="K709" s="26">
        <f>IF(  AND(N709&gt;0,I709=0)          ,N709 ,                         IF(  IF( F709 ,  DAYS360(DATE(YEAR(F709),MONTH(F709),1),Mes)/30  ,  DAYS360(DATE(YEAR(E709),MONTH(E709),1),Mes)/30  )  &gt;  0 , IF(F709,   DAYS360(DATE(YEAR(F709),MONTH(F709),1),Mes)/30  ,  DAYS360(DATE(YEAR(E709),MONTH(E709),1),Mes)/30) , 0)       )</f>
        <v>0</v>
      </c>
      <c r="L709" s="27">
        <f t="shared" ref="L709:L710" si="250">IF(ISERROR(K:K*H:H)   ,  0   ,   K:K*H:H)</f>
        <v>0</v>
      </c>
      <c r="M709" s="28"/>
      <c r="N709" s="29">
        <f>IF( ISERROR(OFFSET(SECUESTRADOS!D$1,MATCH(B709,SECUESTRADOS!A$2:A1405,0),0)) ,0 ,  OFFSET(SECUESTRADOS!D$1,MATCH(B709,SECUESTRADOS!A$2:A1405,0),0)  )</f>
        <v>0</v>
      </c>
      <c r="O709" s="30"/>
      <c r="P709" s="17" t="str">
        <f t="shared" si="238"/>
        <v>Bono canon</v>
      </c>
      <c r="Q709" s="17" t="str">
        <f t="shared" ref="Q709:Q710" si="251">IF(AND(A709=A708,B709=B708,C709=C708),"Repetido","")</f>
        <v/>
      </c>
      <c r="R709" s="31"/>
      <c r="S709" s="31"/>
      <c r="T709" s="31"/>
    </row>
    <row r="710">
      <c r="A710" s="18" t="s">
        <v>38</v>
      </c>
      <c r="B710" s="18">
        <v>2022.0</v>
      </c>
      <c r="C710" s="19">
        <v>2022.0</v>
      </c>
      <c r="D710" s="20" t="str">
        <f>IF(   ISERROR(OFFSET(PADRON!B$2,MATCH(C:C,PADRON!A$2:A1405,0)-1,0,1,1) )  ,  ,    OFFSET(PADRON!B$2,MATCH(C:C,PADRON!A$2:A1405,0)-1,0,1,1))</f>
        <v>FLORES, EDGARDO HUGO</v>
      </c>
      <c r="E710" s="21">
        <v>45809.0</v>
      </c>
      <c r="F710" s="21">
        <v>45870.0</v>
      </c>
      <c r="G710" s="23" t="s">
        <v>39</v>
      </c>
      <c r="H710" s="24">
        <f>IF( ISERROR( OFFSET(   'Cuadro tarifario'!D$2  , MATCH(CONCATENATE(                 IF(F710&gt;Mes,OFFSET(NroCT!B$17, MATCH($F710,NroCT!$A$18:$A1405,0),0,1,1),Periodovigente)                                                                                                                     ,A710) ,'Cuadro tarifario'!A$2:A1405,0) -1 , 0 , 1 , 1) )   , 0  ,   OFFSET(   'Cuadro tarifario'!D$2  , MATCH(CONCATENATE( IF(F710&gt;Mes,OFFSET(NroCT!B$17, MATCH($F710,NroCT!$A$18:$A1405,0),0,1,1),Periodovigente) ,A710) ,'Cuadro tarifario'!A$2:A1405,0) -1 , 0 , 1 , 1))</f>
        <v>9000</v>
      </c>
      <c r="I710" s="25">
        <f t="shared" si="249"/>
        <v>2</v>
      </c>
      <c r="J710" s="24">
        <f t="shared" si="235"/>
        <v>18000</v>
      </c>
      <c r="K710" s="26">
        <f>IF(  AND(N710&gt;0,I710=0)          ,N710 ,                         IF(  IF( F710 ,  DAYS360(DATE(YEAR(F710),MONTH(F710),1),Mes)/30  ,  DAYS360(DATE(YEAR(E710),MONTH(E710),1),Mes)/30  )  &gt;  0 , IF(F710,   DAYS360(DATE(YEAR(F710),MONTH(F710),1),Mes)/30  ,  DAYS360(DATE(YEAR(E710),MONTH(E710),1),Mes)/30) , 0)       )</f>
        <v>0</v>
      </c>
      <c r="L710" s="27">
        <f t="shared" si="250"/>
        <v>0</v>
      </c>
      <c r="M710" s="28"/>
      <c r="N710" s="29">
        <f>IF( ISERROR(OFFSET(SECUESTRADOS!D$1,MATCH(B710,SECUESTRADOS!A$2:A1405,0),0)) ,0 ,  OFFSET(SECUESTRADOS!D$1,MATCH(B710,SECUESTRADOS!A$2:A1405,0),0)  )</f>
        <v>0</v>
      </c>
      <c r="O710" s="30"/>
      <c r="P710" s="17" t="str">
        <f t="shared" si="238"/>
        <v>Bono canon</v>
      </c>
      <c r="Q710" s="17" t="str">
        <f t="shared" si="251"/>
        <v>Repetido</v>
      </c>
      <c r="R710" s="31"/>
      <c r="S710" s="31"/>
      <c r="T710" s="31"/>
    </row>
    <row r="711">
      <c r="A711" s="54" t="s">
        <v>71</v>
      </c>
      <c r="B711" s="54">
        <v>2025.0</v>
      </c>
      <c r="C711" s="19">
        <v>2025.0</v>
      </c>
      <c r="D711" s="34" t="str">
        <f>if(   iserror(offset(PADRON!B$2,match(C:C,PADRON!A$2:A1405,0)-1,0,1,1) )  ,  ,    offset(PADRON!B$2,match(C:C,PADRON!A$2:A1405,0)-1,0,1,1))</f>
        <v>TORRES, VICTOR</v>
      </c>
      <c r="E711" s="21">
        <v>45839.0</v>
      </c>
      <c r="F711" s="22">
        <v>45870.0</v>
      </c>
      <c r="G711" s="23" t="s">
        <v>39</v>
      </c>
      <c r="H711" s="35">
        <f>IF( ISERROR( OFFSET(   'Cuadro tarifario'!D$2  , MATCH(CONCATENATE(                 IF(F711&gt;Mes,OFFSET(NroCT!B$17, MATCH($F711,NroCT!$A$18:$A1405,0),0,1,1),Periodovigente)                                                                                                                     ,A711) ,'Cuadro tarifario'!A$2:A1405,0) -1 , 0 , 1 , 1) )   , 0  ,   OFFSET(   'Cuadro tarifario'!D$2  , MATCH(CONCATENATE( IF(F711&gt;Mes,OFFSET(NroCT!B$17, MATCH($F711,NroCT!$A$18:$A1405,0),0,1,1),Periodovigente) ,A711) ,'Cuadro tarifario'!A$2:A1405,0) -1 , 0 , 1 , 1))</f>
        <v>11000</v>
      </c>
      <c r="I711" s="36">
        <f>Int(If(F711,DAYS360(          date(Year(E711),Month(E711),1),         date(Year(F711)     ,      Month(F711),1 )    )            /30,0 ))</f>
        <v>1</v>
      </c>
      <c r="J711" s="37">
        <f t="shared" si="235"/>
        <v>11000</v>
      </c>
      <c r="K711" s="38">
        <f>if(  and(N711&gt;0,I711=0)          ,N711 ,                         If(  If( F711 ,  DAYS360(date(year(F711),month(F711),1),Mes)/30  ,  DAYS360(date(year(E711),month(E711),1),Mes)/30  )  &gt;  0 , If(F711,   DAYS360(date(year(F711),month(F711),1),Mes)/30  ,  DAYS360(date(year(E711),month(E711),1),Mes)/30) , 0)       )</f>
        <v>0</v>
      </c>
      <c r="L711" s="39">
        <f>If(Iserror(K:K*H:H)   ,  0   ,   K:K*H:H)</f>
        <v>0</v>
      </c>
      <c r="M711" s="40"/>
      <c r="N711" s="29">
        <f>IF( ISERROR(OFFSET(SECUESTRADOS!D$1,MATCH(B711,SECUESTRADOS!A$2:A1405,0),0)) ,0 ,  OFFSET(SECUESTRADOS!D$1,MATCH(B711,SECUESTRADOS!A$2:A1405,0),0)  )</f>
        <v>0</v>
      </c>
      <c r="O711" s="30"/>
      <c r="P711" s="17" t="str">
        <f t="shared" si="238"/>
        <v>.socio</v>
      </c>
      <c r="Q711" s="17" t="str">
        <f>IF(AND(A711=#REF!,B711=#REF!,C711=#REF!),"Repetido","")</f>
        <v>#REF!</v>
      </c>
      <c r="R711" s="31"/>
      <c r="S711" s="31"/>
      <c r="T711" s="31"/>
    </row>
    <row r="712">
      <c r="A712" s="18" t="s">
        <v>38</v>
      </c>
      <c r="B712" s="18">
        <v>2025.0</v>
      </c>
      <c r="C712" s="19">
        <v>2025.0</v>
      </c>
      <c r="D712" s="20" t="str">
        <f>IF(   ISERROR(OFFSET(PADRON!B$2,MATCH(C:C,PADRON!A$2:A1405,0)-1,0,1,1) )  ,  ,    OFFSET(PADRON!B$2,MATCH(C:C,PADRON!A$2:A1405,0)-1,0,1,1))</f>
        <v>TORRES, VICTOR</v>
      </c>
      <c r="E712" s="22">
        <v>45839.0</v>
      </c>
      <c r="F712" s="21">
        <v>45870.0</v>
      </c>
      <c r="G712" s="23" t="s">
        <v>39</v>
      </c>
      <c r="H712" s="24">
        <f>IF( ISERROR( OFFSET(   'Cuadro tarifario'!D$2  , MATCH(CONCATENATE(                 IF(F712&gt;Mes,OFFSET(NroCT!B$17, MATCH($F712,NroCT!$A$18:$A1405,0),0,1,1),Periodovigente)                                                                                                                     ,A712) ,'Cuadro tarifario'!A$2:A1405,0) -1 , 0 , 1 , 1) )   , 0  ,   OFFSET(   'Cuadro tarifario'!D$2  , MATCH(CONCATENATE( IF(F712&gt;Mes,OFFSET(NroCT!B$17, MATCH($F712,NroCT!$A$18:$A1405,0),0,1,1),Periodovigente) ,A712) ,'Cuadro tarifario'!A$2:A1405,0) -1 , 0 , 1 , 1))</f>
        <v>9000</v>
      </c>
      <c r="I712" s="25">
        <f t="shared" ref="I712:I1368" si="252">INT(IF(F712,DAYS360(          DATE(YEAR(E712),MONTH(E712),1),         DATE(YEAR(F712)     ,      MONTH(F712),1 )    )            /30,0 ))</f>
        <v>1</v>
      </c>
      <c r="J712" s="24">
        <f t="shared" si="235"/>
        <v>9000</v>
      </c>
      <c r="K712" s="26">
        <f>IF(  AND(N712&gt;0,I712=0)          ,N712 ,                         IF(  IF( F712 ,  DAYS360(DATE(YEAR(F712),MONTH(F712),1),Mes)/30  ,  DAYS360(DATE(YEAR(E712),MONTH(E712),1),Mes)/30  )  &gt;  0 , IF(F712,   DAYS360(DATE(YEAR(F712),MONTH(F712),1),Mes)/30  ,  DAYS360(DATE(YEAR(E712),MONTH(E712),1),Mes)/30) , 0)       )</f>
        <v>0</v>
      </c>
      <c r="L712" s="27">
        <f t="shared" ref="L712:L1368" si="253">IF(ISERROR(K:K*H:H)   ,  0   ,   K:K*H:H)</f>
        <v>0</v>
      </c>
      <c r="M712" s="65"/>
      <c r="N712" s="29">
        <f>IF( ISERROR(OFFSET(SECUESTRADOS!D$1,MATCH(B712,SECUESTRADOS!A$2:A1405,0),0)) ,0 ,  OFFSET(SECUESTRADOS!D$1,MATCH(B712,SECUESTRADOS!A$2:A1405,0),0)  )</f>
        <v>0</v>
      </c>
      <c r="O712" s="30"/>
      <c r="P712" s="17" t="str">
        <f t="shared" si="238"/>
        <v>Bono canon</v>
      </c>
      <c r="Q712" s="17" t="str">
        <f>IF(AND(A712=A711,B712=B711,C712=C711),"Repetido","")</f>
        <v/>
      </c>
      <c r="R712" s="31"/>
      <c r="S712" s="31"/>
      <c r="T712" s="31"/>
    </row>
    <row r="713" ht="13.5" customHeight="1">
      <c r="A713" s="18" t="s">
        <v>48</v>
      </c>
      <c r="B713" s="18" t="s">
        <v>328</v>
      </c>
      <c r="C713" s="19">
        <v>2025.0</v>
      </c>
      <c r="D713" s="20" t="str">
        <f>IF(   ISERROR(OFFSET(PADRON!B$2,MATCH(C:C,PADRON!A$2:A1405,0)-1,0,1,1) )  ,  ,    OFFSET(PADRON!B$2,MATCH(C:C,PADRON!A$2:A1405,0)-1,0,1,1))</f>
        <v>TORRES, VICTOR</v>
      </c>
      <c r="E713" s="21">
        <v>45839.0</v>
      </c>
      <c r="F713" s="21">
        <v>45870.0</v>
      </c>
      <c r="G713" s="23" t="s">
        <v>39</v>
      </c>
      <c r="H713" s="24">
        <f>IF( ISERROR( OFFSET(   'Cuadro tarifario'!D$2  , MATCH(CONCATENATE(                 IF(F713&gt;Mes,OFFSET(NroCT!B$17, MATCH($F713,NroCT!$A$18:$A1405,0),0,1,1),Periodovigente)                                                                                                                     ,A713) ,'Cuadro tarifario'!A$2:A1405,0) -1 , 0 , 1 , 1) )   , 0  ,   OFFSET(   'Cuadro tarifario'!D$2  , MATCH(CONCATENATE( IF(F713&gt;Mes,OFFSET(NroCT!B$17, MATCH($F713,NroCT!$A$18:$A1405,0),0,1,1),Periodovigente) ,A713) ,'Cuadro tarifario'!A$2:A1405,0) -1 , 0 , 1 , 1))</f>
        <v>12000</v>
      </c>
      <c r="I713" s="25">
        <f t="shared" si="252"/>
        <v>1</v>
      </c>
      <c r="J713" s="24">
        <f t="shared" si="235"/>
        <v>12000</v>
      </c>
      <c r="K713" s="26">
        <f>IF(  AND(N713&gt;0,I713=0)          ,N713 ,                         IF(  IF( F713 ,  DAYS360(DATE(YEAR(F713),MONTH(F713),1),Mes)/30  ,  DAYS360(DATE(YEAR(E713),MONTH(E713),1),Mes)/30  )  &gt;  0 , IF(F713,   DAYS360(DATE(YEAR(F713),MONTH(F713),1),Mes)/30  ,  DAYS360(DATE(YEAR(E713),MONTH(E713),1),Mes)/30) , 0)       )</f>
        <v>0</v>
      </c>
      <c r="L713" s="27">
        <f t="shared" si="253"/>
        <v>0</v>
      </c>
      <c r="M713" s="28"/>
      <c r="N713" s="29">
        <f>IF( ISERROR(OFFSET(SECUESTRADOS!D$1,MATCH(B713,SECUESTRADOS!A$2:A1405,0),0)) ,0 ,  OFFSET(SECUESTRADOS!D$1,MATCH(B713,SECUESTRADOS!A$2:A1405,0),0)  )</f>
        <v>0</v>
      </c>
      <c r="O713" s="30"/>
      <c r="P713" s="17" t="str">
        <f t="shared" si="238"/>
        <v>velero</v>
      </c>
      <c r="Q713" s="17" t="str">
        <f>IF(AND(A713=#REF!,B713=#REF!,C713=#REF!),"Repetido","")</f>
        <v>#REF!</v>
      </c>
      <c r="R713" s="31"/>
      <c r="S713" s="31"/>
      <c r="T713" s="31"/>
    </row>
    <row r="714">
      <c r="A714" s="18" t="s">
        <v>71</v>
      </c>
      <c r="B714" s="18">
        <v>2026.0</v>
      </c>
      <c r="C714" s="19">
        <v>2026.0</v>
      </c>
      <c r="D714" s="20" t="str">
        <f>IF(   ISERROR(OFFSET(PADRON!B$2,MATCH(C:C,PADRON!A$2:A1405,0)-1,0,1,1) )  ,  ,    OFFSET(PADRON!B$2,MATCH(C:C,PADRON!A$2:A1405,0)-1,0,1,1))</f>
        <v>FERNANDEZ, MA. LORENA</v>
      </c>
      <c r="E714" s="22">
        <v>45809.0</v>
      </c>
      <c r="F714" s="21">
        <v>45870.0</v>
      </c>
      <c r="G714" s="23" t="s">
        <v>39</v>
      </c>
      <c r="H714" s="24">
        <f>IF( ISERROR( OFFSET(   'Cuadro tarifario'!D$2  , MATCH(CONCATENATE(                 IF(F714&gt;Mes,OFFSET(NroCT!B$17, MATCH($F714,NroCT!$A$18:$A1405,0),0,1,1),Periodovigente)                                                                                                                     ,A714) ,'Cuadro tarifario'!A$2:A1405,0) -1 , 0 , 1 , 1) )   , 0  ,   OFFSET(   'Cuadro tarifario'!D$2  , MATCH(CONCATENATE( IF(F714&gt;Mes,OFFSET(NroCT!B$17, MATCH($F714,NroCT!$A$18:$A1405,0),0,1,1),Periodovigente) ,A714) ,'Cuadro tarifario'!A$2:A1405,0) -1 , 0 , 1 , 1))</f>
        <v>11000</v>
      </c>
      <c r="I714" s="25">
        <f t="shared" si="252"/>
        <v>2</v>
      </c>
      <c r="J714" s="24">
        <f t="shared" si="235"/>
        <v>22000</v>
      </c>
      <c r="K714" s="26">
        <f>IF(  AND(N714&gt;0,I714=0)          ,N714 ,                         IF(  IF( F714 ,  DAYS360(DATE(YEAR(F714),MONTH(F714),1),Mes)/30  ,  DAYS360(DATE(YEAR(E714),MONTH(E714),1),Mes)/30  )  &gt;  0 , IF(F714,   DAYS360(DATE(YEAR(F714),MONTH(F714),1),Mes)/30  ,  DAYS360(DATE(YEAR(E714),MONTH(E714),1),Mes)/30) , 0)       )</f>
        <v>0</v>
      </c>
      <c r="L714" s="27">
        <f t="shared" si="253"/>
        <v>0</v>
      </c>
      <c r="M714" s="65"/>
      <c r="N714" s="29">
        <f>IF( ISERROR(OFFSET(SECUESTRADOS!D$1,MATCH(B714,SECUESTRADOS!A$2:A1405,0),0)) ,0 ,  OFFSET(SECUESTRADOS!D$1,MATCH(B714,SECUESTRADOS!A$2:A1405,0),0)  )</f>
        <v>0</v>
      </c>
      <c r="O714" s="30"/>
      <c r="P714" s="17" t="str">
        <f t="shared" si="238"/>
        <v>.socio</v>
      </c>
      <c r="Q714" s="17" t="str">
        <f t="shared" ref="Q714:Q716" si="254">IF(AND(A714=A713,B714=B713,C714=C713),"Repetido","")</f>
        <v/>
      </c>
      <c r="R714" s="31"/>
      <c r="S714" s="31"/>
      <c r="T714" s="31"/>
    </row>
    <row r="715" ht="13.5" customHeight="1">
      <c r="A715" s="18" t="s">
        <v>38</v>
      </c>
      <c r="B715" s="18">
        <v>2026.0</v>
      </c>
      <c r="C715" s="19">
        <v>2026.0</v>
      </c>
      <c r="D715" s="20" t="str">
        <f>IF(   ISERROR(OFFSET(PADRON!B$2,MATCH(C:C,PADRON!A$2:A1405,0)-1,0,1,1) )  ,  ,    OFFSET(PADRON!B$2,MATCH(C:C,PADRON!A$2:A1405,0)-1,0,1,1))</f>
        <v>FERNANDEZ, MA. LORENA</v>
      </c>
      <c r="E715" s="21">
        <v>45809.0</v>
      </c>
      <c r="F715" s="21">
        <v>45870.0</v>
      </c>
      <c r="G715" s="23" t="s">
        <v>39</v>
      </c>
      <c r="H715" s="24">
        <f>IF( ISERROR( OFFSET(   'Cuadro tarifario'!D$2  , MATCH(CONCATENATE(                 IF(F715&gt;Mes,OFFSET(NroCT!B$17, MATCH($F715,NroCT!$A$18:$A1405,0),0,1,1),Periodovigente)                                                                                                                     ,A715) ,'Cuadro tarifario'!A$2:A1405,0) -1 , 0 , 1 , 1) )   , 0  ,   OFFSET(   'Cuadro tarifario'!D$2  , MATCH(CONCATENATE( IF(F715&gt;Mes,OFFSET(NroCT!B$17, MATCH($F715,NroCT!$A$18:$A1405,0),0,1,1),Periodovigente) ,A715) ,'Cuadro tarifario'!A$2:A1405,0) -1 , 0 , 1 , 1))</f>
        <v>9000</v>
      </c>
      <c r="I715" s="25">
        <f t="shared" si="252"/>
        <v>2</v>
      </c>
      <c r="J715" s="24">
        <f t="shared" si="235"/>
        <v>18000</v>
      </c>
      <c r="K715" s="26">
        <f>IF(  AND(N715&gt;0,I715=0)          ,N715 ,                         IF(  IF( F715 ,  DAYS360(DATE(YEAR(F715),MONTH(F715),1),Mes)/30  ,  DAYS360(DATE(YEAR(E715),MONTH(E715),1),Mes)/30  )  &gt;  0 , IF(F715,   DAYS360(DATE(YEAR(F715),MONTH(F715),1),Mes)/30  ,  DAYS360(DATE(YEAR(E715),MONTH(E715),1),Mes)/30) , 0)       )</f>
        <v>0</v>
      </c>
      <c r="L715" s="27">
        <f t="shared" si="253"/>
        <v>0</v>
      </c>
      <c r="M715" s="28"/>
      <c r="N715" s="29">
        <f>IF( ISERROR(OFFSET(SECUESTRADOS!D$1,MATCH(B715,SECUESTRADOS!A$2:A1405,0),0)) ,0 ,  OFFSET(SECUESTRADOS!D$1,MATCH(B715,SECUESTRADOS!A$2:A1405,0),0)  )</f>
        <v>0</v>
      </c>
      <c r="O715" s="30"/>
      <c r="P715" s="17" t="str">
        <f t="shared" si="238"/>
        <v>Bono canon</v>
      </c>
      <c r="Q715" s="17" t="str">
        <f t="shared" si="254"/>
        <v/>
      </c>
      <c r="R715" s="31"/>
      <c r="S715" s="31"/>
      <c r="T715" s="31"/>
    </row>
    <row r="716" ht="13.5" customHeight="1">
      <c r="A716" s="18" t="s">
        <v>40</v>
      </c>
      <c r="B716" s="18" t="s">
        <v>329</v>
      </c>
      <c r="C716" s="19">
        <v>2026.0</v>
      </c>
      <c r="D716" s="20" t="str">
        <f>IF(   ISERROR(OFFSET(PADRON!B$2,MATCH(C:C,PADRON!A$2:A1405,0)-1,0,1,1) )  ,  ,    OFFSET(PADRON!B$2,MATCH(C:C,PADRON!A$2:A1405,0)-1,0,1,1))</f>
        <v>FERNANDEZ, MA. LORENA</v>
      </c>
      <c r="E716" s="21">
        <v>45809.0</v>
      </c>
      <c r="F716" s="21">
        <v>45870.0</v>
      </c>
      <c r="G716" s="23" t="s">
        <v>39</v>
      </c>
      <c r="H716" s="24">
        <f>IF( ISERROR( OFFSET(   'Cuadro tarifario'!D$2  , MATCH(CONCATENATE(                 IF(F716&gt;Mes,OFFSET(NroCT!B$17, MATCH($F716,NroCT!$A$18:$A1405,0),0,1,1),Periodovigente)                                                                                                                     ,A716) ,'Cuadro tarifario'!A$2:A1405,0) -1 , 0 , 1 , 1) )   , 0  ,   OFFSET(   'Cuadro tarifario'!D$2  , MATCH(CONCATENATE( IF(F716&gt;Mes,OFFSET(NroCT!B$17, MATCH($F716,NroCT!$A$18:$A1405,0),0,1,1),Periodovigente) ,A716) ,'Cuadro tarifario'!A$2:A1405,0) -1 , 0 , 1 , 1))</f>
        <v>12000</v>
      </c>
      <c r="I716" s="25">
        <f t="shared" si="252"/>
        <v>2</v>
      </c>
      <c r="J716" s="24">
        <f t="shared" si="235"/>
        <v>24000</v>
      </c>
      <c r="K716" s="26">
        <f>IF(  AND(N716&gt;0,I716=0)          ,N716 ,                         IF(  IF( F716 ,  DAYS360(DATE(YEAR(F716),MONTH(F716),1),Mes)/30  ,  DAYS360(DATE(YEAR(E716),MONTH(E716),1),Mes)/30  )  &gt;  0 , IF(F716,   DAYS360(DATE(YEAR(F716),MONTH(F716),1),Mes)/30  ,  DAYS360(DATE(YEAR(E716),MONTH(E716),1),Mes)/30) , 0)       )</f>
        <v>0</v>
      </c>
      <c r="L716" s="27">
        <f t="shared" si="253"/>
        <v>0</v>
      </c>
      <c r="M716" s="28"/>
      <c r="N716" s="29">
        <f>IF( ISERROR(OFFSET(SECUESTRADOS!D$1,MATCH(B716,SECUESTRADOS!A$2:A1405,0),0)) ,0 ,  OFFSET(SECUESTRADOS!D$1,MATCH(B716,SECUESTRADOS!A$2:A1405,0),0)  )</f>
        <v>0</v>
      </c>
      <c r="O716" s="30"/>
      <c r="P716" s="17" t="str">
        <f t="shared" si="238"/>
        <v>cuna windsurf</v>
      </c>
      <c r="Q716" s="17" t="str">
        <f t="shared" si="254"/>
        <v/>
      </c>
      <c r="R716" s="31"/>
      <c r="S716" s="31"/>
      <c r="T716" s="31"/>
    </row>
    <row r="717">
      <c r="A717" s="18" t="s">
        <v>71</v>
      </c>
      <c r="B717" s="18">
        <v>2027.0</v>
      </c>
      <c r="C717" s="19">
        <v>2027.0</v>
      </c>
      <c r="D717" s="20" t="str">
        <f>IF(   ISERROR(OFFSET(PADRON!B$2,MATCH(C:C,PADRON!A$2:A1405,0)-1,0,1,1) )  ,  ,    OFFSET(PADRON!B$2,MATCH(C:C,PADRON!A$2:A1405,0)-1,0,1,1))</f>
        <v>RISCOSA, GUSTAVO</v>
      </c>
      <c r="E717" s="22">
        <v>45839.0</v>
      </c>
      <c r="F717" s="21">
        <v>45870.0</v>
      </c>
      <c r="G717" s="23" t="s">
        <v>39</v>
      </c>
      <c r="H717" s="24">
        <f>IF( ISERROR( OFFSET(   'Cuadro tarifario'!D$2  , MATCH(CONCATENATE(                 IF(F717&gt;Mes,OFFSET(NroCT!B$17, MATCH($F717,NroCT!$A$18:$A1405,0),0,1,1),Periodovigente)                                                                                                                     ,A717) ,'Cuadro tarifario'!A$2:A1405,0) -1 , 0 , 1 , 1) )   , 0  ,   OFFSET(   'Cuadro tarifario'!D$2  , MATCH(CONCATENATE( IF(F717&gt;Mes,OFFSET(NroCT!B$17, MATCH($F717,NroCT!$A$18:$A1405,0),0,1,1),Periodovigente) ,A717) ,'Cuadro tarifario'!A$2:A1405,0) -1 , 0 , 1 , 1))</f>
        <v>11000</v>
      </c>
      <c r="I717" s="25">
        <f t="shared" si="252"/>
        <v>1</v>
      </c>
      <c r="J717" s="24">
        <f t="shared" si="235"/>
        <v>11000</v>
      </c>
      <c r="K717" s="26">
        <f>IF(  AND(N717&gt;0,I717=0)          ,N717 ,                         IF(  IF( F717 ,  DAYS360(DATE(YEAR(F717),MONTH(F717),1),Mes)/30  ,  DAYS360(DATE(YEAR(E717),MONTH(E717),1),Mes)/30  )  &gt;  0 , IF(F717,   DAYS360(DATE(YEAR(F717),MONTH(F717),1),Mes)/30  ,  DAYS360(DATE(YEAR(E717),MONTH(E717),1),Mes)/30) , 0)       )</f>
        <v>0</v>
      </c>
      <c r="L717" s="27">
        <f t="shared" si="253"/>
        <v>0</v>
      </c>
      <c r="M717" s="65"/>
      <c r="N717" s="29">
        <f>IF( ISERROR(OFFSET(SECUESTRADOS!D$1,MATCH(B717,SECUESTRADOS!A$2:A1405,0),0)) ,0 ,  OFFSET(SECUESTRADOS!D$1,MATCH(B717,SECUESTRADOS!A$2:A1405,0),0)  )</f>
        <v>0</v>
      </c>
      <c r="O717" s="30"/>
      <c r="P717" s="17" t="str">
        <f t="shared" si="238"/>
        <v>.socio</v>
      </c>
      <c r="Q717" s="17" t="str">
        <f>IF(AND(A717=#REF!,B717=#REF!,C717=#REF!),"Repetido","")</f>
        <v>#REF!</v>
      </c>
      <c r="R717" s="31"/>
      <c r="S717" s="31"/>
      <c r="T717" s="31"/>
    </row>
    <row r="718">
      <c r="A718" s="18" t="s">
        <v>38</v>
      </c>
      <c r="B718" s="18">
        <v>2027.0</v>
      </c>
      <c r="C718" s="19">
        <v>2027.0</v>
      </c>
      <c r="D718" s="20" t="str">
        <f>IF(   ISERROR(OFFSET(PADRON!B$2,MATCH(C:C,PADRON!A$2:A1405,0)-1,0,1,1) )  ,  ,    OFFSET(PADRON!B$2,MATCH(C:C,PADRON!A$2:A1405,0)-1,0,1,1))</f>
        <v>RISCOSA, GUSTAVO</v>
      </c>
      <c r="E718" s="21">
        <v>45839.0</v>
      </c>
      <c r="F718" s="21">
        <v>45870.0</v>
      </c>
      <c r="G718" s="32" t="s">
        <v>39</v>
      </c>
      <c r="H718" s="24">
        <f>IF( ISERROR( OFFSET(   'Cuadro tarifario'!D$2  , MATCH(CONCATENATE(                 IF(F718&gt;Mes,OFFSET(NroCT!B$17, MATCH($F718,NroCT!$A$18:$A1405,0),0,1,1),Periodovigente)                                                                                                                     ,A718) ,'Cuadro tarifario'!A$2:A1405,0) -1 , 0 , 1 , 1) )   , 0  ,   OFFSET(   'Cuadro tarifario'!D$2  , MATCH(CONCATENATE( IF(F718&gt;Mes,OFFSET(NroCT!B$17, MATCH($F718,NroCT!$A$18:$A1405,0),0,1,1),Periodovigente) ,A718) ,'Cuadro tarifario'!A$2:A1405,0) -1 , 0 , 1 , 1))</f>
        <v>9000</v>
      </c>
      <c r="I718" s="25">
        <f t="shared" si="252"/>
        <v>1</v>
      </c>
      <c r="J718" s="24">
        <f t="shared" si="235"/>
        <v>9000</v>
      </c>
      <c r="K718" s="26">
        <f>IF(  AND(N718&gt;0,I718=0)          ,N718 ,                         IF(  IF( F718 ,  DAYS360(DATE(YEAR(F718),MONTH(F718),1),Mes)/30  ,  DAYS360(DATE(YEAR(E718),MONTH(E718),1),Mes)/30  )  &gt;  0 , IF(F718,   DAYS360(DATE(YEAR(F718),MONTH(F718),1),Mes)/30  ,  DAYS360(DATE(YEAR(E718),MONTH(E718),1),Mes)/30) , 0)       )</f>
        <v>0</v>
      </c>
      <c r="L718" s="27">
        <f t="shared" si="253"/>
        <v>0</v>
      </c>
      <c r="M718" s="28"/>
      <c r="N718" s="29">
        <f>IF( ISERROR(OFFSET(SECUESTRADOS!D$1,MATCH(B718,SECUESTRADOS!A$2:A1405,0),0)) ,0 ,  OFFSET(SECUESTRADOS!D$1,MATCH(B718,SECUESTRADOS!A$2:A1405,0),0)  )</f>
        <v>0</v>
      </c>
      <c r="O718" s="30"/>
      <c r="P718" s="17" t="str">
        <f t="shared" si="238"/>
        <v>Bono canon</v>
      </c>
      <c r="Q718" s="17" t="str">
        <f>IF(AND(A718=A717,B718=B717,C718=C717),"Repetido","")</f>
        <v/>
      </c>
      <c r="R718" s="31"/>
      <c r="S718" s="31"/>
      <c r="T718" s="31"/>
    </row>
    <row r="719">
      <c r="A719" s="18" t="s">
        <v>71</v>
      </c>
      <c r="B719" s="18">
        <v>2029.0</v>
      </c>
      <c r="C719" s="19">
        <v>2029.0</v>
      </c>
      <c r="D719" s="20" t="str">
        <f>IF(   ISERROR(OFFSET(PADRON!B$2,MATCH(C:C,PADRON!A$2:A1405,0)-1,0,1,1) )  ,  ,    OFFSET(PADRON!B$2,MATCH(C:C,PADRON!A$2:A1405,0)-1,0,1,1))</f>
        <v>BARRIONUEVO, LORENA</v>
      </c>
      <c r="E719" s="22">
        <v>45839.0</v>
      </c>
      <c r="F719" s="21">
        <v>45870.0</v>
      </c>
      <c r="G719" s="23" t="s">
        <v>39</v>
      </c>
      <c r="H719" s="24">
        <f>IF( ISERROR( OFFSET(   'Cuadro tarifario'!D$2  , MATCH(CONCATENATE(                 IF(F719&gt;Mes,OFFSET(NroCT!B$17, MATCH($F719,NroCT!$A$18:$A1405,0),0,1,1),Periodovigente)                                                                                                                     ,A719) ,'Cuadro tarifario'!A$2:A1405,0) -1 , 0 , 1 , 1) )   , 0  ,   OFFSET(   'Cuadro tarifario'!D$2  , MATCH(CONCATENATE( IF(F719&gt;Mes,OFFSET(NroCT!B$17, MATCH($F719,NroCT!$A$18:$A1405,0),0,1,1),Periodovigente) ,A719) ,'Cuadro tarifario'!A$2:A1405,0) -1 , 0 , 1 , 1))</f>
        <v>11000</v>
      </c>
      <c r="I719" s="25">
        <f t="shared" si="252"/>
        <v>1</v>
      </c>
      <c r="J719" s="24">
        <f t="shared" si="235"/>
        <v>11000</v>
      </c>
      <c r="K719" s="26">
        <f>IF(  AND(N719&gt;0,I719=0)          ,N719 ,                         IF(  IF( F719 ,  DAYS360(DATE(YEAR(F719),MONTH(F719),1),Mes)/30  ,  DAYS360(DATE(YEAR(E719),MONTH(E719),1),Mes)/30  )  &gt;  0 , IF(F719,   DAYS360(DATE(YEAR(F719),MONTH(F719),1),Mes)/30  ,  DAYS360(DATE(YEAR(E719),MONTH(E719),1),Mes)/30) , 0)       )</f>
        <v>0</v>
      </c>
      <c r="L719" s="27">
        <f t="shared" si="253"/>
        <v>0</v>
      </c>
      <c r="M719" s="65"/>
      <c r="N719" s="29">
        <f>IF( ISERROR(OFFSET(SECUESTRADOS!D$1,MATCH(B719,SECUESTRADOS!A$2:A1405,0),0)) ,0 ,  OFFSET(SECUESTRADOS!D$1,MATCH(B719,SECUESTRADOS!A$2:A1405,0),0)  )</f>
        <v>0</v>
      </c>
      <c r="O719" s="30"/>
      <c r="P719" s="17" t="str">
        <f t="shared" si="238"/>
        <v>.socio</v>
      </c>
      <c r="Q719" s="17" t="str">
        <f>IF(AND(A719=#REF!,B719=#REF!,C719=#REF!),"Repetido","")</f>
        <v>#REF!</v>
      </c>
      <c r="R719" s="31"/>
      <c r="S719" s="31"/>
      <c r="T719" s="31"/>
    </row>
    <row r="720">
      <c r="A720" s="18" t="s">
        <v>38</v>
      </c>
      <c r="B720" s="18">
        <v>2029.0</v>
      </c>
      <c r="C720" s="19">
        <v>2029.0</v>
      </c>
      <c r="D720" s="20" t="str">
        <f>IF(   ISERROR(OFFSET(PADRON!B$2,MATCH(C:C,PADRON!A$2:A1405,0)-1,0,1,1) )  ,  ,    OFFSET(PADRON!B$2,MATCH(C:C,PADRON!A$2:A1405,0)-1,0,1,1))</f>
        <v>BARRIONUEVO, LORENA</v>
      </c>
      <c r="E720" s="21">
        <v>45839.0</v>
      </c>
      <c r="F720" s="21">
        <v>45870.0</v>
      </c>
      <c r="G720" s="23" t="s">
        <v>39</v>
      </c>
      <c r="H720" s="24">
        <f>IF( ISERROR( OFFSET(   'Cuadro tarifario'!D$2  , MATCH(CONCATENATE(                 IF(F720&gt;Mes,OFFSET(NroCT!B$17, MATCH($F720,NroCT!$A$18:$A1405,0),0,1,1),Periodovigente)                                                                                                                     ,A720) ,'Cuadro tarifario'!A$2:A1405,0) -1 , 0 , 1 , 1) )   , 0  ,   OFFSET(   'Cuadro tarifario'!D$2  , MATCH(CONCATENATE( IF(F720&gt;Mes,OFFSET(NroCT!B$17, MATCH($F720,NroCT!$A$18:$A1405,0),0,1,1),Periodovigente) ,A720) ,'Cuadro tarifario'!A$2:A1405,0) -1 , 0 , 1 , 1))</f>
        <v>9000</v>
      </c>
      <c r="I720" s="25">
        <f t="shared" si="252"/>
        <v>1</v>
      </c>
      <c r="J720" s="24">
        <f t="shared" si="235"/>
        <v>9000</v>
      </c>
      <c r="K720" s="26">
        <f>IF(  AND(N720&gt;0,I720=0)          ,N720 ,                         IF(  IF( F720 ,  DAYS360(DATE(YEAR(F720),MONTH(F720),1),Mes)/30  ,  DAYS360(DATE(YEAR(E720),MONTH(E720),1),Mes)/30  )  &gt;  0 , IF(F720,   DAYS360(DATE(YEAR(F720),MONTH(F720),1),Mes)/30  ,  DAYS360(DATE(YEAR(E720),MONTH(E720),1),Mes)/30) , 0)       )</f>
        <v>0</v>
      </c>
      <c r="L720" s="27">
        <f t="shared" si="253"/>
        <v>0</v>
      </c>
      <c r="M720" s="28"/>
      <c r="N720" s="29">
        <f>IF( ISERROR(OFFSET(SECUESTRADOS!D$1,MATCH(B720,SECUESTRADOS!A$2:A1405,0),0)) ,0 ,  OFFSET(SECUESTRADOS!D$1,MATCH(B720,SECUESTRADOS!A$2:A1405,0),0)  )</f>
        <v>0</v>
      </c>
      <c r="O720" s="30"/>
      <c r="P720" s="17" t="str">
        <f t="shared" si="238"/>
        <v>Bono canon</v>
      </c>
      <c r="Q720" s="17" t="str">
        <f t="shared" ref="Q720:Q721" si="255">IF(AND(A720=A719,B720=B719,C720=C719),"Repetido","")</f>
        <v/>
      </c>
      <c r="R720" s="31"/>
      <c r="S720" s="31"/>
      <c r="T720" s="31"/>
    </row>
    <row r="721">
      <c r="A721" s="18" t="s">
        <v>40</v>
      </c>
      <c r="B721" s="18" t="s">
        <v>330</v>
      </c>
      <c r="C721" s="19">
        <v>2029.0</v>
      </c>
      <c r="D721" s="20" t="str">
        <f>IF(   ISERROR(OFFSET(PADRON!B$2,MATCH(C:C,PADRON!A$2:A1405,0)-1,0,1,1) )  ,  ,    OFFSET(PADRON!B$2,MATCH(C:C,PADRON!A$2:A1405,0)-1,0,1,1))</f>
        <v>BARRIONUEVO, LORENA</v>
      </c>
      <c r="E721" s="21">
        <v>45839.0</v>
      </c>
      <c r="F721" s="21">
        <v>45870.0</v>
      </c>
      <c r="G721" s="23" t="s">
        <v>39</v>
      </c>
      <c r="H721" s="24">
        <f>IF( ISERROR( OFFSET(   'Cuadro tarifario'!D$2  , MATCH(CONCATENATE(                 IF(F721&gt;Mes,OFFSET(NroCT!B$17, MATCH($F721,NroCT!$A$18:$A1405,0),0,1,1),Periodovigente)                                                                                                                     ,A721) ,'Cuadro tarifario'!A$2:A1405,0) -1 , 0 , 1 , 1) )   , 0  ,   OFFSET(   'Cuadro tarifario'!D$2  , MATCH(CONCATENATE( IF(F721&gt;Mes,OFFSET(NroCT!B$17, MATCH($F721,NroCT!$A$18:$A1405,0),0,1,1),Periodovigente) ,A721) ,'Cuadro tarifario'!A$2:A1405,0) -1 , 0 , 1 , 1))</f>
        <v>12000</v>
      </c>
      <c r="I721" s="25">
        <f t="shared" si="252"/>
        <v>1</v>
      </c>
      <c r="J721" s="24">
        <f t="shared" si="235"/>
        <v>12000</v>
      </c>
      <c r="K721" s="26">
        <f>IF(  AND(N721&gt;0,I721=0)          ,N721 ,                         IF(  IF( F721 ,  DAYS360(DATE(YEAR(F721),MONTH(F721),1),Mes)/30  ,  DAYS360(DATE(YEAR(E721),MONTH(E721),1),Mes)/30  )  &gt;  0 , IF(F721,   DAYS360(DATE(YEAR(F721),MONTH(F721),1),Mes)/30  ,  DAYS360(DATE(YEAR(E721),MONTH(E721),1),Mes)/30) , 0)       )</f>
        <v>0</v>
      </c>
      <c r="L721" s="27">
        <f t="shared" si="253"/>
        <v>0</v>
      </c>
      <c r="M721" s="28"/>
      <c r="N721" s="29">
        <f>IF( ISERROR(OFFSET(SECUESTRADOS!D$1,MATCH(B721,SECUESTRADOS!A$2:A1405,0),0)) ,0 ,  OFFSET(SECUESTRADOS!D$1,MATCH(B721,SECUESTRADOS!A$2:A1405,0),0)  )</f>
        <v>0</v>
      </c>
      <c r="O721" s="30"/>
      <c r="P721" s="17" t="str">
        <f t="shared" si="238"/>
        <v>cuna windsurf</v>
      </c>
      <c r="Q721" s="17" t="str">
        <f t="shared" si="255"/>
        <v/>
      </c>
      <c r="R721" s="31"/>
      <c r="S721" s="31"/>
      <c r="T721" s="31"/>
    </row>
    <row r="722">
      <c r="A722" s="18" t="s">
        <v>71</v>
      </c>
      <c r="B722" s="18">
        <v>2030.0</v>
      </c>
      <c r="C722" s="19">
        <v>2030.0</v>
      </c>
      <c r="D722" s="20" t="str">
        <f>IF(   ISERROR(OFFSET(PADRON!B$2,MATCH(C:C,PADRON!A$2:A1405,0)-1,0,1,1) )  ,  ,    OFFSET(PADRON!B$2,MATCH(C:C,PADRON!A$2:A1405,0)-1,0,1,1))</f>
        <v>LEYENDA, MARIA ALEJANDRA</v>
      </c>
      <c r="E722" s="22">
        <v>45839.0</v>
      </c>
      <c r="F722" s="21">
        <v>45870.0</v>
      </c>
      <c r="G722" s="23" t="s">
        <v>39</v>
      </c>
      <c r="H722" s="24">
        <f>IF( ISERROR( OFFSET(   'Cuadro tarifario'!D$2  , MATCH(CONCATENATE(                 IF(F722&gt;Mes,OFFSET(NroCT!B$17, MATCH($F722,NroCT!$A$18:$A1405,0),0,1,1),Periodovigente)                                                                                                                     ,A722) ,'Cuadro tarifario'!A$2:A1405,0) -1 , 0 , 1 , 1) )   , 0  ,   OFFSET(   'Cuadro tarifario'!D$2  , MATCH(CONCATENATE( IF(F722&gt;Mes,OFFSET(NroCT!B$17, MATCH($F722,NroCT!$A$18:$A1405,0),0,1,1),Periodovigente) ,A722) ,'Cuadro tarifario'!A$2:A1405,0) -1 , 0 , 1 , 1))</f>
        <v>11000</v>
      </c>
      <c r="I722" s="25">
        <f t="shared" si="252"/>
        <v>1</v>
      </c>
      <c r="J722" s="24">
        <f t="shared" si="235"/>
        <v>11000</v>
      </c>
      <c r="K722" s="26">
        <f>IF(  AND(N722&gt;0,I722=0)          ,N722 ,                         IF(  IF( F722 ,  DAYS360(DATE(YEAR(F722),MONTH(F722),1),Mes)/30  ,  DAYS360(DATE(YEAR(E722),MONTH(E722),1),Mes)/30  )  &gt;  0 , IF(F722,   DAYS360(DATE(YEAR(F722),MONTH(F722),1),Mes)/30  ,  DAYS360(DATE(YEAR(E722),MONTH(E722),1),Mes)/30) , 0)       )</f>
        <v>0</v>
      </c>
      <c r="L722" s="27">
        <f t="shared" si="253"/>
        <v>0</v>
      </c>
      <c r="M722" s="65"/>
      <c r="N722" s="29">
        <f>IF( ISERROR(OFFSET(SECUESTRADOS!D$1,MATCH(B722,SECUESTRADOS!A$2:A1405,0),0)) ,0 ,  OFFSET(SECUESTRADOS!D$1,MATCH(B722,SECUESTRADOS!A$2:A1405,0),0)  )</f>
        <v>0</v>
      </c>
      <c r="O722" s="30"/>
      <c r="P722" s="17" t="str">
        <f t="shared" si="238"/>
        <v>.socio</v>
      </c>
      <c r="Q722" s="17" t="str">
        <f>IF(AND(A722=#REF!,B722=#REF!,C722=#REF!),"Repetido","")</f>
        <v>#REF!</v>
      </c>
      <c r="R722" s="31"/>
      <c r="S722" s="31"/>
      <c r="T722" s="31"/>
    </row>
    <row r="723">
      <c r="A723" s="18" t="s">
        <v>38</v>
      </c>
      <c r="B723" s="18">
        <v>2030.0</v>
      </c>
      <c r="C723" s="19">
        <v>2030.0</v>
      </c>
      <c r="D723" s="20" t="str">
        <f>IF(   ISERROR(OFFSET(PADRON!B$2,MATCH(C:C,PADRON!A$2:A1405,0)-1,0,1,1) )  ,  ,    OFFSET(PADRON!B$2,MATCH(C:C,PADRON!A$2:A1405,0)-1,0,1,1))</f>
        <v>LEYENDA, MARIA ALEJANDRA</v>
      </c>
      <c r="E723" s="21">
        <v>45839.0</v>
      </c>
      <c r="F723" s="21">
        <v>45870.0</v>
      </c>
      <c r="G723" s="23" t="s">
        <v>39</v>
      </c>
      <c r="H723" s="24">
        <f>IF( ISERROR( OFFSET(   'Cuadro tarifario'!D$2  , MATCH(CONCATENATE(                 IF(F723&gt;Mes,OFFSET(NroCT!B$17, MATCH($F723,NroCT!$A$18:$A1405,0),0,1,1),Periodovigente)                                                                                                                     ,A723) ,'Cuadro tarifario'!A$2:A1405,0) -1 , 0 , 1 , 1) )   , 0  ,   OFFSET(   'Cuadro tarifario'!D$2  , MATCH(CONCATENATE( IF(F723&gt;Mes,OFFSET(NroCT!B$17, MATCH($F723,NroCT!$A$18:$A1405,0),0,1,1),Periodovigente) ,A723) ,'Cuadro tarifario'!A$2:A1405,0) -1 , 0 , 1 , 1))</f>
        <v>9000</v>
      </c>
      <c r="I723" s="25">
        <f t="shared" si="252"/>
        <v>1</v>
      </c>
      <c r="J723" s="24">
        <f t="shared" si="235"/>
        <v>9000</v>
      </c>
      <c r="K723" s="26">
        <f>IF(  AND(N723&gt;0,I723=0)          ,N723 ,                         IF(  IF( F723 ,  DAYS360(DATE(YEAR(F723),MONTH(F723),1),Mes)/30  ,  DAYS360(DATE(YEAR(E723),MONTH(E723),1),Mes)/30  )  &gt;  0 , IF(F723,   DAYS360(DATE(YEAR(F723),MONTH(F723),1),Mes)/30  ,  DAYS360(DATE(YEAR(E723),MONTH(E723),1),Mes)/30) , 0)       )</f>
        <v>0</v>
      </c>
      <c r="L723" s="27">
        <f t="shared" si="253"/>
        <v>0</v>
      </c>
      <c r="M723" s="28"/>
      <c r="N723" s="29">
        <f>IF( ISERROR(OFFSET(SECUESTRADOS!D$1,MATCH(B723,SECUESTRADOS!A$2:A1405,0),0)) ,0 ,  OFFSET(SECUESTRADOS!D$1,MATCH(B723,SECUESTRADOS!A$2:A1405,0),0)  )</f>
        <v>0</v>
      </c>
      <c r="O723" s="30"/>
      <c r="P723" s="17" t="str">
        <f t="shared" si="238"/>
        <v>Bono canon</v>
      </c>
      <c r="Q723" s="17" t="str">
        <f>IF(AND(A723=A722,B723=B722,C723=C722),"Repetido","")</f>
        <v/>
      </c>
      <c r="R723" s="31"/>
      <c r="S723" s="31"/>
      <c r="T723" s="31"/>
    </row>
    <row r="724">
      <c r="A724" s="18" t="s">
        <v>40</v>
      </c>
      <c r="B724" s="18" t="s">
        <v>331</v>
      </c>
      <c r="C724" s="19">
        <v>2030.0</v>
      </c>
      <c r="D724" s="20" t="str">
        <f>IF(   ISERROR(OFFSET(PADRON!B$2,MATCH(C:C,PADRON!A$2:A1405,0)-1,0,1,1) )  ,  ,    OFFSET(PADRON!B$2,MATCH(C:C,PADRON!A$2:A1405,0)-1,0,1,1))</f>
        <v>LEYENDA, MARIA ALEJANDRA</v>
      </c>
      <c r="E724" s="21">
        <v>45839.0</v>
      </c>
      <c r="F724" s="21">
        <v>45870.0</v>
      </c>
      <c r="G724" s="23" t="s">
        <v>39</v>
      </c>
      <c r="H724" s="24">
        <f>IF( ISERROR( OFFSET(   'Cuadro tarifario'!D$2  , MATCH(CONCATENATE(                 IF(F724&gt;Mes,OFFSET(NroCT!B$17, MATCH($F724,NroCT!$A$18:$A1405,0),0,1,1),Periodovigente)                                                                                                                     ,A724) ,'Cuadro tarifario'!A$2:A1405,0) -1 , 0 , 1 , 1) )   , 0  ,   OFFSET(   'Cuadro tarifario'!D$2  , MATCH(CONCATENATE( IF(F724&gt;Mes,OFFSET(NroCT!B$17, MATCH($F724,NroCT!$A$18:$A1405,0),0,1,1),Periodovigente) ,A724) ,'Cuadro tarifario'!A$2:A1405,0) -1 , 0 , 1 , 1))</f>
        <v>12000</v>
      </c>
      <c r="I724" s="25">
        <f t="shared" si="252"/>
        <v>1</v>
      </c>
      <c r="J724" s="24">
        <f t="shared" si="235"/>
        <v>12000</v>
      </c>
      <c r="K724" s="26">
        <f>IF(  AND(N724&gt;0,I724=0)          ,N724 ,                         IF(  IF( F724 ,  DAYS360(DATE(YEAR(F724),MONTH(F724),1),Mes)/30  ,  DAYS360(DATE(YEAR(E724),MONTH(E724),1),Mes)/30  )  &gt;  0 , IF(F724,   DAYS360(DATE(YEAR(F724),MONTH(F724),1),Mes)/30  ,  DAYS360(DATE(YEAR(E724),MONTH(E724),1),Mes)/30) , 0)       )</f>
        <v>0</v>
      </c>
      <c r="L724" s="27">
        <f t="shared" si="253"/>
        <v>0</v>
      </c>
      <c r="M724" s="28"/>
      <c r="N724" s="29">
        <f>IF( ISERROR(OFFSET(SECUESTRADOS!D$1,MATCH(B724,SECUESTRADOS!A$2:A1405,0),0)) ,0 ,  OFFSET(SECUESTRADOS!D$1,MATCH(B724,SECUESTRADOS!A$2:A1405,0),0)  )</f>
        <v>0</v>
      </c>
      <c r="O724" s="30"/>
      <c r="P724" s="17" t="str">
        <f t="shared" si="238"/>
        <v>cuna windsurf</v>
      </c>
      <c r="Q724" s="17" t="str">
        <f t="shared" ref="Q724:Q725" si="256">IF(AND(A724=#REF!,B724=#REF!,C724=#REF!),"Repetido","")</f>
        <v>#REF!</v>
      </c>
      <c r="R724" s="31"/>
      <c r="S724" s="31"/>
      <c r="T724" s="31"/>
    </row>
    <row r="725" ht="12.75" customHeight="1">
      <c r="A725" s="18" t="s">
        <v>71</v>
      </c>
      <c r="B725" s="18">
        <v>2031.0</v>
      </c>
      <c r="C725" s="19">
        <v>2031.0</v>
      </c>
      <c r="D725" s="20" t="str">
        <f>IF(   ISERROR(OFFSET(PADRON!B$2,MATCH(C:C,PADRON!A$2:A1405,0)-1,0,1,1) )  ,  ,    OFFSET(PADRON!B$2,MATCH(C:C,PADRON!A$2:A1405,0)-1,0,1,1))</f>
        <v>GUGLIARA, JORGE DANIEL</v>
      </c>
      <c r="E725" s="22">
        <v>45839.0</v>
      </c>
      <c r="F725" s="21">
        <v>45870.0</v>
      </c>
      <c r="G725" s="23" t="s">
        <v>39</v>
      </c>
      <c r="H725" s="24">
        <f>IF( ISERROR( OFFSET(   'Cuadro tarifario'!D$2  , MATCH(CONCATENATE(                 IF(F725&gt;Mes,OFFSET(NroCT!B$17, MATCH($F725,NroCT!$A$18:$A1405,0),0,1,1),Periodovigente)                                                                                                                     ,A725) ,'Cuadro tarifario'!A$2:A1405,0) -1 , 0 , 1 , 1) )   , 0  ,   OFFSET(   'Cuadro tarifario'!D$2  , MATCH(CONCATENATE( IF(F725&gt;Mes,OFFSET(NroCT!B$17, MATCH($F725,NroCT!$A$18:$A1405,0),0,1,1),Periodovigente) ,A725) ,'Cuadro tarifario'!A$2:A1405,0) -1 , 0 , 1 , 1))</f>
        <v>11000</v>
      </c>
      <c r="I725" s="25">
        <f t="shared" si="252"/>
        <v>1</v>
      </c>
      <c r="J725" s="24">
        <f t="shared" si="235"/>
        <v>11000</v>
      </c>
      <c r="K725" s="26">
        <f>IF(  AND(N725&gt;0,I725=0)          ,N725 ,                         IF(  IF( F725 ,  DAYS360(DATE(YEAR(F725),MONTH(F725),1),Mes)/30  ,  DAYS360(DATE(YEAR(E725),MONTH(E725),1),Mes)/30  )  &gt;  0 , IF(F725,   DAYS360(DATE(YEAR(F725),MONTH(F725),1),Mes)/30  ,  DAYS360(DATE(YEAR(E725),MONTH(E725),1),Mes)/30) , 0)       )</f>
        <v>0</v>
      </c>
      <c r="L725" s="27">
        <f t="shared" si="253"/>
        <v>0</v>
      </c>
      <c r="M725" s="65"/>
      <c r="N725" s="29">
        <f>IF( ISERROR(OFFSET(SECUESTRADOS!D$1,MATCH(B725,SECUESTRADOS!A$2:A1405,0),0)) ,0 ,  OFFSET(SECUESTRADOS!D$1,MATCH(B725,SECUESTRADOS!A$2:A1405,0),0)  )</f>
        <v>0</v>
      </c>
      <c r="O725" s="30"/>
      <c r="P725" s="17" t="str">
        <f t="shared" si="238"/>
        <v>.socio</v>
      </c>
      <c r="Q725" s="17" t="str">
        <f t="shared" si="256"/>
        <v>#REF!</v>
      </c>
      <c r="R725" s="31"/>
      <c r="S725" s="31"/>
      <c r="T725" s="31"/>
    </row>
    <row r="726">
      <c r="A726" s="18" t="s">
        <v>38</v>
      </c>
      <c r="B726" s="18">
        <v>2031.0</v>
      </c>
      <c r="C726" s="19">
        <v>2031.0</v>
      </c>
      <c r="D726" s="20" t="str">
        <f>IF(   ISERROR(OFFSET(PADRON!B$2,MATCH(C:C,PADRON!A$2:A1405,0)-1,0,1,1) )  ,  ,    OFFSET(PADRON!B$2,MATCH(C:C,PADRON!A$2:A1405,0)-1,0,1,1))</f>
        <v>GUGLIARA, JORGE DANIEL</v>
      </c>
      <c r="E726" s="21">
        <v>45839.0</v>
      </c>
      <c r="F726" s="21">
        <v>45870.0</v>
      </c>
      <c r="G726" s="23" t="s">
        <v>39</v>
      </c>
      <c r="H726" s="24">
        <f>IF( ISERROR( OFFSET(   'Cuadro tarifario'!D$2  , MATCH(CONCATENATE(                 IF(F726&gt;Mes,OFFSET(NroCT!B$17, MATCH($F726,NroCT!$A$18:$A1405,0),0,1,1),Periodovigente)                                                                                                                     ,A726) ,'Cuadro tarifario'!A$2:A1405,0) -1 , 0 , 1 , 1) )   , 0  ,   OFFSET(   'Cuadro tarifario'!D$2  , MATCH(CONCATENATE( IF(F726&gt;Mes,OFFSET(NroCT!B$17, MATCH($F726,NroCT!$A$18:$A1405,0),0,1,1),Periodovigente) ,A726) ,'Cuadro tarifario'!A$2:A1405,0) -1 , 0 , 1 , 1))</f>
        <v>9000</v>
      </c>
      <c r="I726" s="25">
        <f t="shared" si="252"/>
        <v>1</v>
      </c>
      <c r="J726" s="24">
        <f t="shared" si="235"/>
        <v>9000</v>
      </c>
      <c r="K726" s="26">
        <f>IF(  AND(N726&gt;0,I726=0)          ,N726 ,                         IF(  IF( F726 ,  DAYS360(DATE(YEAR(F726),MONTH(F726),1),Mes)/30  ,  DAYS360(DATE(YEAR(E726),MONTH(E726),1),Mes)/30  )  &gt;  0 , IF(F726,   DAYS360(DATE(YEAR(F726),MONTH(F726),1),Mes)/30  ,  DAYS360(DATE(YEAR(E726),MONTH(E726),1),Mes)/30) , 0)       )</f>
        <v>0</v>
      </c>
      <c r="L726" s="27">
        <f t="shared" si="253"/>
        <v>0</v>
      </c>
      <c r="M726" s="28"/>
      <c r="N726" s="29">
        <f>IF( ISERROR(OFFSET(SECUESTRADOS!D$1,MATCH(B726,SECUESTRADOS!A$2:A1405,0),0)) ,0 ,  OFFSET(SECUESTRADOS!D$1,MATCH(B726,SECUESTRADOS!A$2:A1405,0),0)  )</f>
        <v>0</v>
      </c>
      <c r="O726" s="30"/>
      <c r="P726" s="17" t="str">
        <f t="shared" si="238"/>
        <v>Bono canon</v>
      </c>
      <c r="Q726" s="17" t="str">
        <f t="shared" ref="Q726:Q729" si="257">IF(AND(A726=A725,B726=B725,C726=C725),"Repetido","")</f>
        <v/>
      </c>
      <c r="R726" s="31"/>
      <c r="S726" s="31"/>
      <c r="T726" s="31"/>
    </row>
    <row r="727">
      <c r="A727" s="18" t="s">
        <v>71</v>
      </c>
      <c r="B727" s="18">
        <v>2032.0</v>
      </c>
      <c r="C727" s="19">
        <v>2032.0</v>
      </c>
      <c r="D727" s="20" t="str">
        <f>IF(   ISERROR(OFFSET(PADRON!B$2,MATCH(C:C,PADRON!A$2:A1405,0)-1,0,1,1) )  ,  ,    OFFSET(PADRON!B$2,MATCH(C:C,PADRON!A$2:A1405,0)-1,0,1,1))</f>
        <v>ESTEBAN, SILVIA FABIANA</v>
      </c>
      <c r="E727" s="22">
        <v>45839.0</v>
      </c>
      <c r="F727" s="21">
        <v>45870.0</v>
      </c>
      <c r="G727" s="23" t="s">
        <v>39</v>
      </c>
      <c r="H727" s="24">
        <f>IF( ISERROR( OFFSET(   'Cuadro tarifario'!D$2  , MATCH(CONCATENATE(                 IF(F727&gt;Mes,OFFSET(NroCT!B$17, MATCH($F727,NroCT!$A$18:$A1405,0),0,1,1),Periodovigente)                                                                                                                     ,A727) ,'Cuadro tarifario'!A$2:A1405,0) -1 , 0 , 1 , 1) )   , 0  ,   OFFSET(   'Cuadro tarifario'!D$2  , MATCH(CONCATENATE( IF(F727&gt;Mes,OFFSET(NroCT!B$17, MATCH($F727,NroCT!$A$18:$A1405,0),0,1,1),Periodovigente) ,A727) ,'Cuadro tarifario'!A$2:A1405,0) -1 , 0 , 1 , 1))</f>
        <v>11000</v>
      </c>
      <c r="I727" s="25">
        <f t="shared" si="252"/>
        <v>1</v>
      </c>
      <c r="J727" s="24">
        <f t="shared" si="235"/>
        <v>11000</v>
      </c>
      <c r="K727" s="26">
        <f>IF(  AND(N727&gt;0,I727=0)          ,N727 ,                         IF(  IF( F727 ,  DAYS360(DATE(YEAR(F727),MONTH(F727),1),Mes)/30  ,  DAYS360(DATE(YEAR(E727),MONTH(E727),1),Mes)/30  )  &gt;  0 , IF(F727,   DAYS360(DATE(YEAR(F727),MONTH(F727),1),Mes)/30  ,  DAYS360(DATE(YEAR(E727),MONTH(E727),1),Mes)/30) , 0)       )</f>
        <v>0</v>
      </c>
      <c r="L727" s="27">
        <f t="shared" si="253"/>
        <v>0</v>
      </c>
      <c r="M727" s="65"/>
      <c r="N727" s="29">
        <f>IF( ISERROR(OFFSET(SECUESTRADOS!D$1,MATCH(B727,SECUESTRADOS!A$2:A1405,0),0)) ,0 ,  OFFSET(SECUESTRADOS!D$1,MATCH(B727,SECUESTRADOS!A$2:A1405,0),0)  )</f>
        <v>0</v>
      </c>
      <c r="O727" s="30"/>
      <c r="P727" s="17" t="str">
        <f t="shared" si="238"/>
        <v>.socio</v>
      </c>
      <c r="Q727" s="17" t="str">
        <f t="shared" si="257"/>
        <v/>
      </c>
      <c r="R727" s="31"/>
      <c r="S727" s="31"/>
      <c r="T727" s="31"/>
    </row>
    <row r="728">
      <c r="A728" s="18" t="s">
        <v>38</v>
      </c>
      <c r="B728" s="18">
        <v>2032.0</v>
      </c>
      <c r="C728" s="19">
        <v>2032.0</v>
      </c>
      <c r="D728" s="20" t="str">
        <f>IF(   ISERROR(OFFSET(PADRON!B$2,MATCH(C:C,PADRON!A$2:A1405,0)-1,0,1,1) )  ,  ,    OFFSET(PADRON!B$2,MATCH(C:C,PADRON!A$2:A1405,0)-1,0,1,1))</f>
        <v>ESTEBAN, SILVIA FABIANA</v>
      </c>
      <c r="E728" s="21">
        <v>45839.0</v>
      </c>
      <c r="F728" s="21">
        <v>45870.0</v>
      </c>
      <c r="G728" s="23" t="s">
        <v>39</v>
      </c>
      <c r="H728" s="24">
        <f>IF( ISERROR( OFFSET(   'Cuadro tarifario'!D$2  , MATCH(CONCATENATE(                 IF(F728&gt;Mes,OFFSET(NroCT!B$17, MATCH($F728,NroCT!$A$18:$A1405,0),0,1,1),Periodovigente)                                                                                                                     ,A728) ,'Cuadro tarifario'!A$2:A1405,0) -1 , 0 , 1 , 1) )   , 0  ,   OFFSET(   'Cuadro tarifario'!D$2  , MATCH(CONCATENATE( IF(F728&gt;Mes,OFFSET(NroCT!B$17, MATCH($F728,NroCT!$A$18:$A1405,0),0,1,1),Periodovigente) ,A728) ,'Cuadro tarifario'!A$2:A1405,0) -1 , 0 , 1 , 1))</f>
        <v>9000</v>
      </c>
      <c r="I728" s="25">
        <f t="shared" si="252"/>
        <v>1</v>
      </c>
      <c r="J728" s="24">
        <f t="shared" si="235"/>
        <v>9000</v>
      </c>
      <c r="K728" s="26">
        <f>IF(  AND(N728&gt;0,I728=0)          ,N728 ,                         IF(  IF( F728 ,  DAYS360(DATE(YEAR(F728),MONTH(F728),1),Mes)/30  ,  DAYS360(DATE(YEAR(E728),MONTH(E728),1),Mes)/30  )  &gt;  0 , IF(F728,   DAYS360(DATE(YEAR(F728),MONTH(F728),1),Mes)/30  ,  DAYS360(DATE(YEAR(E728),MONTH(E728),1),Mes)/30) , 0)       )</f>
        <v>0</v>
      </c>
      <c r="L728" s="27">
        <f t="shared" si="253"/>
        <v>0</v>
      </c>
      <c r="M728" s="28"/>
      <c r="N728" s="29">
        <f>IF( ISERROR(OFFSET(SECUESTRADOS!D$1,MATCH(B728,SECUESTRADOS!A$2:A1405,0),0)) ,0 ,  OFFSET(SECUESTRADOS!D$1,MATCH(B728,SECUESTRADOS!A$2:A1405,0),0)  )</f>
        <v>0</v>
      </c>
      <c r="O728" s="30"/>
      <c r="P728" s="17" t="str">
        <f t="shared" si="238"/>
        <v>Bono canon</v>
      </c>
      <c r="Q728" s="17" t="str">
        <f t="shared" si="257"/>
        <v/>
      </c>
      <c r="R728" s="31"/>
      <c r="S728" s="31"/>
      <c r="T728" s="31"/>
    </row>
    <row r="729">
      <c r="A729" s="18" t="s">
        <v>40</v>
      </c>
      <c r="B729" s="18" t="s">
        <v>332</v>
      </c>
      <c r="C729" s="19">
        <v>2032.0</v>
      </c>
      <c r="D729" s="20" t="str">
        <f>IF(   ISERROR(OFFSET(PADRON!B$2,MATCH(C:C,PADRON!A$2:A1405,0)-1,0,1,1) )  ,  ,    OFFSET(PADRON!B$2,MATCH(C:C,PADRON!A$2:A1405,0)-1,0,1,1))</f>
        <v>ESTEBAN, SILVIA FABIANA</v>
      </c>
      <c r="E729" s="21">
        <v>45839.0</v>
      </c>
      <c r="F729" s="21">
        <v>45870.0</v>
      </c>
      <c r="G729" s="23" t="s">
        <v>39</v>
      </c>
      <c r="H729" s="24">
        <f>IF( ISERROR( OFFSET(   'Cuadro tarifario'!D$2  , MATCH(CONCATENATE(                 IF(F729&gt;Mes,OFFSET(NroCT!B$17, MATCH($F729,NroCT!$A$18:$A1405,0),0,1,1),Periodovigente)                                                                                                                     ,A729) ,'Cuadro tarifario'!A$2:A1405,0) -1 , 0 , 1 , 1) )   , 0  ,   OFFSET(   'Cuadro tarifario'!D$2  , MATCH(CONCATENATE( IF(F729&gt;Mes,OFFSET(NroCT!B$17, MATCH($F729,NroCT!$A$18:$A1405,0),0,1,1),Periodovigente) ,A729) ,'Cuadro tarifario'!A$2:A1405,0) -1 , 0 , 1 , 1))</f>
        <v>12000</v>
      </c>
      <c r="I729" s="25">
        <f t="shared" si="252"/>
        <v>1</v>
      </c>
      <c r="J729" s="24">
        <f t="shared" si="235"/>
        <v>12000</v>
      </c>
      <c r="K729" s="26">
        <f>IF(  AND(N729&gt;0,I729=0)          ,N729 ,                         IF(  IF( F729 ,  DAYS360(DATE(YEAR(F729),MONTH(F729),1),Mes)/30  ,  DAYS360(DATE(YEAR(E729),MONTH(E729),1),Mes)/30  )  &gt;  0 , IF(F729,   DAYS360(DATE(YEAR(F729),MONTH(F729),1),Mes)/30  ,  DAYS360(DATE(YEAR(E729),MONTH(E729),1),Mes)/30) , 0)       )</f>
        <v>0</v>
      </c>
      <c r="L729" s="27">
        <f t="shared" si="253"/>
        <v>0</v>
      </c>
      <c r="M729" s="28"/>
      <c r="N729" s="29">
        <f>IF( ISERROR(OFFSET(SECUESTRADOS!D$1,MATCH(B729,SECUESTRADOS!A$2:A1405,0),0)) ,0 ,  OFFSET(SECUESTRADOS!D$1,MATCH(B729,SECUESTRADOS!A$2:A1405,0),0)  )</f>
        <v>0</v>
      </c>
      <c r="O729" s="30"/>
      <c r="P729" s="17" t="str">
        <f t="shared" si="238"/>
        <v>cuna windsurf</v>
      </c>
      <c r="Q729" s="17" t="str">
        <f t="shared" si="257"/>
        <v/>
      </c>
      <c r="R729" s="31"/>
      <c r="S729" s="31"/>
      <c r="T729" s="31"/>
    </row>
    <row r="730">
      <c r="A730" s="18" t="s">
        <v>71</v>
      </c>
      <c r="B730" s="18">
        <v>2033.0</v>
      </c>
      <c r="C730" s="19">
        <v>2033.0</v>
      </c>
      <c r="D730" s="20" t="str">
        <f>IF(   ISERROR(OFFSET(PADRON!B$2,MATCH(C:C,PADRON!A$2:A1405,0)-1,0,1,1) )  ,  ,    OFFSET(PADRON!B$2,MATCH(C:C,PADRON!A$2:A1405,0)-1,0,1,1))</f>
        <v>BASALO, DAMIAN EZEQUIEL</v>
      </c>
      <c r="E730" s="21">
        <v>45839.0</v>
      </c>
      <c r="F730" s="21">
        <v>45870.0</v>
      </c>
      <c r="G730" s="23" t="s">
        <v>39</v>
      </c>
      <c r="H730" s="24">
        <f>IF( ISERROR( OFFSET(   'Cuadro tarifario'!D$2  , MATCH(CONCATENATE(                 IF(F730&gt;Mes,OFFSET(NroCT!B$17, MATCH($F730,NroCT!$A$18:$A1405,0),0,1,1),Periodovigente)                                                                                                                     ,A730) ,'Cuadro tarifario'!A$2:A1405,0) -1 , 0 , 1 , 1) )   , 0  ,   OFFSET(   'Cuadro tarifario'!D$2  , MATCH(CONCATENATE( IF(F730&gt;Mes,OFFSET(NroCT!B$17, MATCH($F730,NroCT!$A$18:$A1405,0),0,1,1),Periodovigente) ,A730) ,'Cuadro tarifario'!A$2:A1405,0) -1 , 0 , 1 , 1))</f>
        <v>11000</v>
      </c>
      <c r="I730" s="25">
        <f t="shared" si="252"/>
        <v>1</v>
      </c>
      <c r="J730" s="24">
        <f t="shared" si="235"/>
        <v>11000</v>
      </c>
      <c r="K730" s="26">
        <f>IF(  AND(N730&gt;0,I730=0)          ,N730 ,                         IF(  IF( F730 ,  DAYS360(DATE(YEAR(F730),MONTH(F730),1),Mes)/30  ,  DAYS360(DATE(YEAR(E730),MONTH(E730),1),Mes)/30  )  &gt;  0 , IF(F730,   DAYS360(DATE(YEAR(F730),MONTH(F730),1),Mes)/30  ,  DAYS360(DATE(YEAR(E730),MONTH(E730),1),Mes)/30) , 0)       )</f>
        <v>0</v>
      </c>
      <c r="L730" s="27">
        <f t="shared" si="253"/>
        <v>0</v>
      </c>
      <c r="M730" s="28"/>
      <c r="N730" s="29">
        <f>IF( ISERROR(OFFSET(SECUESTRADOS!D$1,MATCH(B730,SECUESTRADOS!A$2:A1405,0),0)) ,0 ,  OFFSET(SECUESTRADOS!D$1,MATCH(B730,SECUESTRADOS!A$2:A1405,0),0)  )</f>
        <v>0</v>
      </c>
      <c r="O730" s="30"/>
      <c r="P730" s="17" t="str">
        <f t="shared" si="238"/>
        <v>.socio</v>
      </c>
      <c r="Q730" s="17" t="str">
        <f t="shared" ref="Q730:Q731" si="258">IF(AND(A730=#REF!,B730=#REF!,C730=#REF!),"Repetido","")</f>
        <v>#REF!</v>
      </c>
      <c r="R730" s="31"/>
      <c r="S730" s="31"/>
      <c r="T730" s="31"/>
    </row>
    <row r="731" ht="18.0" customHeight="1">
      <c r="A731" s="18" t="s">
        <v>38</v>
      </c>
      <c r="B731" s="18">
        <v>2033.0</v>
      </c>
      <c r="C731" s="19">
        <v>2033.0</v>
      </c>
      <c r="D731" s="20" t="str">
        <f>IF(   ISERROR(OFFSET(PADRON!B$2,MATCH(C:C,PADRON!A$2:A1405,0)-1,0,1,1) )  ,  ,    OFFSET(PADRON!B$2,MATCH(C:C,PADRON!A$2:A1405,0)-1,0,1,1))</f>
        <v>BASALO, DAMIAN EZEQUIEL</v>
      </c>
      <c r="E731" s="22">
        <v>45839.0</v>
      </c>
      <c r="F731" s="21">
        <v>45870.0</v>
      </c>
      <c r="G731" s="23" t="s">
        <v>39</v>
      </c>
      <c r="H731" s="24">
        <f>IF( ISERROR( OFFSET(   'Cuadro tarifario'!D$2  , MATCH(CONCATENATE(                 IF(F731&gt;Mes,OFFSET(NroCT!B$17, MATCH($F731,NroCT!$A$18:$A1405,0),0,1,1),Periodovigente)                                                                                                                     ,A731) ,'Cuadro tarifario'!A$2:A1405,0) -1 , 0 , 1 , 1) )   , 0  ,   OFFSET(   'Cuadro tarifario'!D$2  , MATCH(CONCATENATE( IF(F731&gt;Mes,OFFSET(NroCT!B$17, MATCH($F731,NroCT!$A$18:$A1405,0),0,1,1),Periodovigente) ,A731) ,'Cuadro tarifario'!A$2:A1405,0) -1 , 0 , 1 , 1))</f>
        <v>9000</v>
      </c>
      <c r="I731" s="25">
        <f t="shared" si="252"/>
        <v>1</v>
      </c>
      <c r="J731" s="24">
        <f t="shared" si="235"/>
        <v>9000</v>
      </c>
      <c r="K731" s="26">
        <f>IF(  AND(N731&gt;0,I731=0)          ,N731 ,                         IF(  IF( F731 ,  DAYS360(DATE(YEAR(F731),MONTH(F731),1),Mes)/30  ,  DAYS360(DATE(YEAR(E731),MONTH(E731),1),Mes)/30  )  &gt;  0 , IF(F731,   DAYS360(DATE(YEAR(F731),MONTH(F731),1),Mes)/30  ,  DAYS360(DATE(YEAR(E731),MONTH(E731),1),Mes)/30) , 0)       )</f>
        <v>0</v>
      </c>
      <c r="L731" s="27">
        <f t="shared" si="253"/>
        <v>0</v>
      </c>
      <c r="M731" s="65"/>
      <c r="N731" s="29">
        <f>IF( ISERROR(OFFSET(SECUESTRADOS!D$1,MATCH(B731,SECUESTRADOS!A$2:A1405,0),0)) ,0 ,  OFFSET(SECUESTRADOS!D$1,MATCH(B731,SECUESTRADOS!A$2:A1405,0),0)  )</f>
        <v>0</v>
      </c>
      <c r="O731" s="30"/>
      <c r="P731" s="17" t="str">
        <f t="shared" si="238"/>
        <v>Bono canon</v>
      </c>
      <c r="Q731" s="17" t="str">
        <f t="shared" si="258"/>
        <v>#REF!</v>
      </c>
      <c r="R731" s="31"/>
      <c r="S731" s="31"/>
      <c r="T731" s="31"/>
    </row>
    <row r="732">
      <c r="A732" s="18" t="s">
        <v>40</v>
      </c>
      <c r="B732" s="18" t="s">
        <v>333</v>
      </c>
      <c r="C732" s="19">
        <v>2033.0</v>
      </c>
      <c r="D732" s="20" t="str">
        <f>IF(   ISERROR(OFFSET(PADRON!B$2,MATCH(C:C,PADRON!A$2:A1405,0)-1,0,1,1) )  ,  ,    OFFSET(PADRON!B$2,MATCH(C:C,PADRON!A$2:A1405,0)-1,0,1,1))</f>
        <v>BASALO, DAMIAN EZEQUIEL</v>
      </c>
      <c r="E732" s="21">
        <v>45839.0</v>
      </c>
      <c r="F732" s="21">
        <v>45870.0</v>
      </c>
      <c r="G732" s="23" t="s">
        <v>39</v>
      </c>
      <c r="H732" s="24">
        <f>IF( ISERROR( OFFSET(   'Cuadro tarifario'!D$2  , MATCH(CONCATENATE(                 IF(F732&gt;Mes,OFFSET(NroCT!B$17, MATCH($F732,NroCT!$A$18:$A1405,0),0,1,1),Periodovigente)                                                                                                                     ,A732) ,'Cuadro tarifario'!A$2:A1405,0) -1 , 0 , 1 , 1) )   , 0  ,   OFFSET(   'Cuadro tarifario'!D$2  , MATCH(CONCATENATE( IF(F732&gt;Mes,OFFSET(NroCT!B$17, MATCH($F732,NroCT!$A$18:$A1405,0),0,1,1),Periodovigente) ,A732) ,'Cuadro tarifario'!A$2:A1405,0) -1 , 0 , 1 , 1))</f>
        <v>12000</v>
      </c>
      <c r="I732" s="25">
        <f t="shared" si="252"/>
        <v>1</v>
      </c>
      <c r="J732" s="24">
        <f t="shared" si="235"/>
        <v>12000</v>
      </c>
      <c r="K732" s="26">
        <f>IF(  AND(N732&gt;0,I732=0)          ,N732 ,                         IF(  IF( F732 ,  DAYS360(DATE(YEAR(F732),MONTH(F732),1),Mes)/30  ,  DAYS360(DATE(YEAR(E732),MONTH(E732),1),Mes)/30  )  &gt;  0 , IF(F732,   DAYS360(DATE(YEAR(F732),MONTH(F732),1),Mes)/30  ,  DAYS360(DATE(YEAR(E732),MONTH(E732),1),Mes)/30) , 0)       )</f>
        <v>0</v>
      </c>
      <c r="L732" s="27">
        <f t="shared" si="253"/>
        <v>0</v>
      </c>
      <c r="M732" s="28"/>
      <c r="N732" s="29">
        <f>IF( ISERROR(OFFSET(SECUESTRADOS!D$1,MATCH(B732,SECUESTRADOS!A$2:A1405,0),0)) ,0 ,  OFFSET(SECUESTRADOS!D$1,MATCH(B732,SECUESTRADOS!A$2:A1405,0),0)  )</f>
        <v>0</v>
      </c>
      <c r="O732" s="30"/>
      <c r="P732" s="17" t="str">
        <f t="shared" si="238"/>
        <v>cuna windsurf</v>
      </c>
      <c r="Q732" s="17" t="str">
        <f>IF(AND(A732=A731,B732=B731,C732=C731),"Repetido","")</f>
        <v/>
      </c>
      <c r="R732" s="31"/>
      <c r="S732" s="31"/>
      <c r="T732" s="31"/>
    </row>
    <row r="733">
      <c r="A733" s="18" t="s">
        <v>71</v>
      </c>
      <c r="B733" s="18">
        <v>2035.0</v>
      </c>
      <c r="C733" s="19">
        <v>2035.0</v>
      </c>
      <c r="D733" s="20" t="str">
        <f>IF(   ISERROR(OFFSET(PADRON!B$2,MATCH(C:C,PADRON!A$2:A1405,0)-1,0,1,1) )  ,  ,    OFFSET(PADRON!B$2,MATCH(C:C,PADRON!A$2:A1405,0)-1,0,1,1))</f>
        <v>ARRONDO, JOSE IGNACIO</v>
      </c>
      <c r="E733" s="21">
        <v>45839.0</v>
      </c>
      <c r="F733" s="21">
        <v>45931.0</v>
      </c>
      <c r="G733" s="23" t="s">
        <v>39</v>
      </c>
      <c r="H733" s="24">
        <f>IF( ISERROR( OFFSET(   'Cuadro tarifario'!D$2  , MATCH(CONCATENATE(                 IF(F733&gt;Mes,OFFSET(NroCT!B$17, MATCH($F733,NroCT!$A$18:$A1405,0),0,1,1),Periodovigente)                                                                                                                     ,A733) ,'Cuadro tarifario'!A$2:A1405,0) -1 , 0 , 1 , 1) )   , 0  ,   OFFSET(   'Cuadro tarifario'!D$2  , MATCH(CONCATENATE( IF(F733&gt;Mes,OFFSET(NroCT!B$17, MATCH($F733,NroCT!$A$18:$A1405,0),0,1,1),Periodovigente) ,A733) ,'Cuadro tarifario'!A$2:A1405,0) -1 , 0 , 1 , 1))</f>
        <v>11000</v>
      </c>
      <c r="I733" s="25">
        <f t="shared" si="252"/>
        <v>3</v>
      </c>
      <c r="J733" s="24">
        <f t="shared" si="235"/>
        <v>33000</v>
      </c>
      <c r="K733" s="26">
        <f>IF(  AND(N733&gt;0,I733=0)          ,N733 ,                         IF(  IF( F733 ,  DAYS360(DATE(YEAR(F733),MONTH(F733),1),Mes)/30  ,  DAYS360(DATE(YEAR(E733),MONTH(E733),1),Mes)/30  )  &gt;  0 , IF(F733,   DAYS360(DATE(YEAR(F733),MONTH(F733),1),Mes)/30  ,  DAYS360(DATE(YEAR(E733),MONTH(E733),1),Mes)/30) , 0)       )</f>
        <v>0</v>
      </c>
      <c r="L733" s="27">
        <f t="shared" si="253"/>
        <v>0</v>
      </c>
      <c r="M733" s="28"/>
      <c r="N733" s="29">
        <f>IF( ISERROR(OFFSET(SECUESTRADOS!D$1,MATCH(B733,SECUESTRADOS!A$2:A1405,0),0)) ,0 ,  OFFSET(SECUESTRADOS!D$1,MATCH(B733,SECUESTRADOS!A$2:A1405,0),0)  )</f>
        <v>0</v>
      </c>
      <c r="O733" s="30"/>
      <c r="P733" s="17" t="str">
        <f t="shared" si="238"/>
        <v>.socio</v>
      </c>
      <c r="Q733" s="17" t="str">
        <f t="shared" ref="Q733:Q734" si="259">IF(AND(A733=#REF!,B733=#REF!,C733=#REF!),"Repetido","")</f>
        <v>#REF!</v>
      </c>
      <c r="R733" s="31"/>
      <c r="S733" s="31"/>
      <c r="T733" s="31"/>
    </row>
    <row r="734">
      <c r="A734" s="18" t="s">
        <v>38</v>
      </c>
      <c r="B734" s="18">
        <v>2035.0</v>
      </c>
      <c r="C734" s="19">
        <v>2035.0</v>
      </c>
      <c r="D734" s="20" t="str">
        <f>IF(   ISERROR(OFFSET(PADRON!B$2,MATCH(C:C,PADRON!A$2:A1405,0)-1,0,1,1) )  ,  ,    OFFSET(PADRON!B$2,MATCH(C:C,PADRON!A$2:A1405,0)-1,0,1,1))</f>
        <v>ARRONDO, JOSE IGNACIO</v>
      </c>
      <c r="E734" s="22">
        <v>45839.0</v>
      </c>
      <c r="F734" s="21">
        <v>45931.0</v>
      </c>
      <c r="G734" s="23" t="s">
        <v>39</v>
      </c>
      <c r="H734" s="24">
        <f>IF( ISERROR( OFFSET(   'Cuadro tarifario'!D$2  , MATCH(CONCATENATE(                 IF(F734&gt;Mes,OFFSET(NroCT!B$17, MATCH($F734,NroCT!$A$18:$A1405,0),0,1,1),Periodovigente)                                                                                                                     ,A734) ,'Cuadro tarifario'!A$2:A1405,0) -1 , 0 , 1 , 1) )   , 0  ,   OFFSET(   'Cuadro tarifario'!D$2  , MATCH(CONCATENATE( IF(F734&gt;Mes,OFFSET(NroCT!B$17, MATCH($F734,NroCT!$A$18:$A1405,0),0,1,1),Periodovigente) ,A734) ,'Cuadro tarifario'!A$2:A1405,0) -1 , 0 , 1 , 1))</f>
        <v>9000</v>
      </c>
      <c r="I734" s="25">
        <f t="shared" si="252"/>
        <v>3</v>
      </c>
      <c r="J734" s="24">
        <f t="shared" si="235"/>
        <v>27000</v>
      </c>
      <c r="K734" s="26">
        <f>IF(  AND(N734&gt;0,I734=0)          ,N734 ,                         IF(  IF( F734 ,  DAYS360(DATE(YEAR(F734),MONTH(F734),1),Mes)/30  ,  DAYS360(DATE(YEAR(E734),MONTH(E734),1),Mes)/30  )  &gt;  0 , IF(F734,   DAYS360(DATE(YEAR(F734),MONTH(F734),1),Mes)/30  ,  DAYS360(DATE(YEAR(E734),MONTH(E734),1),Mes)/30) , 0)       )</f>
        <v>0</v>
      </c>
      <c r="L734" s="27">
        <f t="shared" si="253"/>
        <v>0</v>
      </c>
      <c r="M734" s="65"/>
      <c r="N734" s="29">
        <f>IF( ISERROR(OFFSET(SECUESTRADOS!D$1,MATCH(B734,SECUESTRADOS!A$2:A1405,0),0)) ,0 ,  OFFSET(SECUESTRADOS!D$1,MATCH(B734,SECUESTRADOS!A$2:A1405,0),0)  )</f>
        <v>0</v>
      </c>
      <c r="O734" s="30"/>
      <c r="P734" s="17" t="str">
        <f t="shared" si="238"/>
        <v>Bono canon</v>
      </c>
      <c r="Q734" s="17" t="str">
        <f t="shared" si="259"/>
        <v>#REF!</v>
      </c>
      <c r="R734" s="31"/>
      <c r="S734" s="31"/>
      <c r="T734" s="31"/>
    </row>
    <row r="735">
      <c r="A735" s="18" t="s">
        <v>48</v>
      </c>
      <c r="B735" s="18" t="s">
        <v>334</v>
      </c>
      <c r="C735" s="19">
        <v>2035.0</v>
      </c>
      <c r="D735" s="20" t="str">
        <f>IF(   ISERROR(OFFSET(PADRON!B$2,MATCH(C:C,PADRON!A$2:A1405,0)-1,0,1,1) )  ,  ,    OFFSET(PADRON!B$2,MATCH(C:C,PADRON!A$2:A1405,0)-1,0,1,1))</f>
        <v>ARRONDO, JOSE IGNACIO</v>
      </c>
      <c r="E735" s="21">
        <v>45839.0</v>
      </c>
      <c r="F735" s="21">
        <v>45931.0</v>
      </c>
      <c r="G735" s="23" t="s">
        <v>39</v>
      </c>
      <c r="H735" s="24">
        <f>IF( ISERROR( OFFSET(   'Cuadro tarifario'!D$2  , MATCH(CONCATENATE(                 IF(F735&gt;Mes,OFFSET(NroCT!B$17, MATCH($F735,NroCT!$A$18:$A1405,0),0,1,1),Periodovigente)                                                                                                                     ,A735) ,'Cuadro tarifario'!A$2:A1405,0) -1 , 0 , 1 , 1) )   , 0  ,   OFFSET(   'Cuadro tarifario'!D$2  , MATCH(CONCATENATE( IF(F735&gt;Mes,OFFSET(NroCT!B$17, MATCH($F735,NroCT!$A$18:$A1405,0),0,1,1),Periodovigente) ,A735) ,'Cuadro tarifario'!A$2:A1405,0) -1 , 0 , 1 , 1))</f>
        <v>12000</v>
      </c>
      <c r="I735" s="25">
        <f t="shared" si="252"/>
        <v>3</v>
      </c>
      <c r="J735" s="24">
        <f t="shared" si="235"/>
        <v>36000</v>
      </c>
      <c r="K735" s="26">
        <f>IF(  AND(N735&gt;0,I735=0)          ,N735 ,                         IF(  IF( F735 ,  DAYS360(DATE(YEAR(F735),MONTH(F735),1),Mes)/30  ,  DAYS360(DATE(YEAR(E735),MONTH(E735),1),Mes)/30  )  &gt;  0 , IF(F735,   DAYS360(DATE(YEAR(F735),MONTH(F735),1),Mes)/30  ,  DAYS360(DATE(YEAR(E735),MONTH(E735),1),Mes)/30) , 0)       )</f>
        <v>0</v>
      </c>
      <c r="L735" s="27">
        <f t="shared" si="253"/>
        <v>0</v>
      </c>
      <c r="M735" s="28"/>
      <c r="N735" s="29">
        <f>IF( ISERROR(OFFSET(SECUESTRADOS!D$1,MATCH(B735,SECUESTRADOS!A$2:A1405,0),0)) ,0 ,  OFFSET(SECUESTRADOS!D$1,MATCH(B735,SECUESTRADOS!A$2:A1405,0),0)  )</f>
        <v>0</v>
      </c>
      <c r="O735" s="30"/>
      <c r="P735" s="17" t="str">
        <f t="shared" si="238"/>
        <v>velero</v>
      </c>
      <c r="Q735" s="17" t="str">
        <f>IF(AND(A735=A734,B735=B734,C735=C734),"Repetido","")</f>
        <v/>
      </c>
      <c r="R735" s="31"/>
      <c r="S735" s="31"/>
      <c r="T735" s="31"/>
    </row>
    <row r="736">
      <c r="A736" s="18" t="s">
        <v>71</v>
      </c>
      <c r="B736" s="18">
        <v>2037.0</v>
      </c>
      <c r="C736" s="19">
        <v>2037.0</v>
      </c>
      <c r="D736" s="20" t="str">
        <f>IF(   ISERROR(OFFSET(PADRON!B$2,MATCH(C:C,PADRON!A$2:A1405,0)-1,0,1,1) )  ,  ,    OFFSET(PADRON!B$2,MATCH(C:C,PADRON!A$2:A1405,0)-1,0,1,1))</f>
        <v>KHOURY, NORA CLAUDIA</v>
      </c>
      <c r="E736" s="21">
        <v>45839.0</v>
      </c>
      <c r="F736" s="21">
        <v>45870.0</v>
      </c>
      <c r="G736" s="23" t="s">
        <v>39</v>
      </c>
      <c r="H736" s="24">
        <f>IF( ISERROR( OFFSET(   'Cuadro tarifario'!D$2  , MATCH(CONCATENATE(                 IF(F736&gt;Mes,OFFSET(NroCT!B$17, MATCH($F736,NroCT!$A$18:$A1405,0),0,1,1),Periodovigente)                                                                                                                     ,A736) ,'Cuadro tarifario'!A$2:A1405,0) -1 , 0 , 1 , 1) )   , 0  ,   OFFSET(   'Cuadro tarifario'!D$2  , MATCH(CONCATENATE( IF(F736&gt;Mes,OFFSET(NroCT!B$17, MATCH($F736,NroCT!$A$18:$A1405,0),0,1,1),Periodovigente) ,A736) ,'Cuadro tarifario'!A$2:A1405,0) -1 , 0 , 1 , 1))</f>
        <v>11000</v>
      </c>
      <c r="I736" s="25">
        <f t="shared" si="252"/>
        <v>1</v>
      </c>
      <c r="J736" s="24">
        <f t="shared" si="235"/>
        <v>11000</v>
      </c>
      <c r="K736" s="26">
        <f>IF(  AND(N736&gt;0,I736=0)          ,N736 ,                         IF(  IF( F736 ,  DAYS360(DATE(YEAR(F736),MONTH(F736),1),Mes)/30  ,  DAYS360(DATE(YEAR(E736),MONTH(E736),1),Mes)/30  )  &gt;  0 , IF(F736,   DAYS360(DATE(YEAR(F736),MONTH(F736),1),Mes)/30  ,  DAYS360(DATE(YEAR(E736),MONTH(E736),1),Mes)/30) , 0)       )</f>
        <v>0</v>
      </c>
      <c r="L736" s="27">
        <f t="shared" si="253"/>
        <v>0</v>
      </c>
      <c r="M736" s="28"/>
      <c r="N736" s="29">
        <f>IF( ISERROR(OFFSET(SECUESTRADOS!D$1,MATCH(B736,SECUESTRADOS!A$2:A1405,0),0)) ,0 ,  OFFSET(SECUESTRADOS!D$1,MATCH(B736,SECUESTRADOS!A$2:A1405,0),0)  )</f>
        <v>0</v>
      </c>
      <c r="O736" s="30"/>
      <c r="P736" s="17" t="str">
        <f t="shared" si="238"/>
        <v>.socio</v>
      </c>
      <c r="Q736" s="17" t="str">
        <f>IF(AND(A736=#REF!,B736=#REF!,C736=#REF!),"Repetido","")</f>
        <v>#REF!</v>
      </c>
      <c r="R736" s="31"/>
      <c r="S736" s="31"/>
      <c r="T736" s="31"/>
    </row>
    <row r="737">
      <c r="A737" s="18" t="s">
        <v>38</v>
      </c>
      <c r="B737" s="18">
        <v>2037.0</v>
      </c>
      <c r="C737" s="19">
        <v>2037.0</v>
      </c>
      <c r="D737" s="20" t="str">
        <f>IF(   ISERROR(OFFSET(PADRON!B$2,MATCH(C:C,PADRON!A$2:A1405,0)-1,0,1,1) )  ,  ,    OFFSET(PADRON!B$2,MATCH(C:C,PADRON!A$2:A1405,0)-1,0,1,1))</f>
        <v>KHOURY, NORA CLAUDIA</v>
      </c>
      <c r="E737" s="21">
        <v>45839.0</v>
      </c>
      <c r="F737" s="21">
        <v>45870.0</v>
      </c>
      <c r="G737" s="23" t="s">
        <v>39</v>
      </c>
      <c r="H737" s="24">
        <f>IF( ISERROR( OFFSET(   'Cuadro tarifario'!D$2  , MATCH(CONCATENATE(                 IF(F737&gt;Mes,OFFSET(NroCT!B$17, MATCH($F737,NroCT!$A$18:$A1405,0),0,1,1),Periodovigente)                                                                                                                     ,A737) ,'Cuadro tarifario'!A$2:A1405,0) -1 , 0 , 1 , 1) )   , 0  ,   OFFSET(   'Cuadro tarifario'!D$2  , MATCH(CONCATENATE( IF(F737&gt;Mes,OFFSET(NroCT!B$17, MATCH($F737,NroCT!$A$18:$A1405,0),0,1,1),Periodovigente) ,A737) ,'Cuadro tarifario'!A$2:A1405,0) -1 , 0 , 1 , 1))</f>
        <v>9000</v>
      </c>
      <c r="I737" s="25">
        <f t="shared" si="252"/>
        <v>1</v>
      </c>
      <c r="J737" s="24">
        <f t="shared" si="235"/>
        <v>9000</v>
      </c>
      <c r="K737" s="26">
        <f>IF(  AND(N737&gt;0,I737=0)          ,N737 ,                         IF(  IF( F737 ,  DAYS360(DATE(YEAR(F737),MONTH(F737),1),Mes)/30  ,  DAYS360(DATE(YEAR(E737),MONTH(E737),1),Mes)/30  )  &gt;  0 , IF(F737,   DAYS360(DATE(YEAR(F737),MONTH(F737),1),Mes)/30  ,  DAYS360(DATE(YEAR(E737),MONTH(E737),1),Mes)/30) , 0)       )</f>
        <v>0</v>
      </c>
      <c r="L737" s="27">
        <f t="shared" si="253"/>
        <v>0</v>
      </c>
      <c r="M737" s="28"/>
      <c r="N737" s="29">
        <f>IF( ISERROR(OFFSET(SECUESTRADOS!D$1,MATCH(B737,SECUESTRADOS!A$2:A1405,0),0)) ,0 ,  OFFSET(SECUESTRADOS!D$1,MATCH(B737,SECUESTRADOS!A$2:A1405,0),0)  )</f>
        <v>0</v>
      </c>
      <c r="O737" s="30"/>
      <c r="P737" s="17" t="str">
        <f t="shared" si="238"/>
        <v>Bono canon</v>
      </c>
      <c r="Q737" s="17" t="str">
        <f t="shared" ref="Q737:Q738" si="260">IF(AND(A737=A736,B737=B736,C737=C736),"Repetido","")</f>
        <v/>
      </c>
      <c r="R737" s="31"/>
      <c r="S737" s="31"/>
      <c r="T737" s="31"/>
    </row>
    <row r="738">
      <c r="A738" s="18" t="s">
        <v>40</v>
      </c>
      <c r="B738" s="18" t="s">
        <v>335</v>
      </c>
      <c r="C738" s="19">
        <v>2037.0</v>
      </c>
      <c r="D738" s="20" t="str">
        <f>IF(   ISERROR(OFFSET(PADRON!B$2,MATCH(C:C,PADRON!A$2:A1405,0)-1,0,1,1) )  ,  ,    OFFSET(PADRON!B$2,MATCH(C:C,PADRON!A$2:A1405,0)-1,0,1,1))</f>
        <v>KHOURY, NORA CLAUDIA</v>
      </c>
      <c r="E738" s="21">
        <v>45839.0</v>
      </c>
      <c r="F738" s="21">
        <v>45870.0</v>
      </c>
      <c r="G738" s="23" t="s">
        <v>39</v>
      </c>
      <c r="H738" s="24">
        <f>IF( ISERROR( OFFSET(   'Cuadro tarifario'!D$2  , MATCH(CONCATENATE(                 IF(F738&gt;Mes,OFFSET(NroCT!B$17, MATCH($F738,NroCT!$A$18:$A1405,0),0,1,1),Periodovigente)                                                                                                                     ,A738) ,'Cuadro tarifario'!A$2:A1405,0) -1 , 0 , 1 , 1) )   , 0  ,   OFFSET(   'Cuadro tarifario'!D$2  , MATCH(CONCATENATE( IF(F738&gt;Mes,OFFSET(NroCT!B$17, MATCH($F738,NroCT!$A$18:$A1405,0),0,1,1),Periodovigente) ,A738) ,'Cuadro tarifario'!A$2:A1405,0) -1 , 0 , 1 , 1))</f>
        <v>12000</v>
      </c>
      <c r="I738" s="25">
        <f t="shared" si="252"/>
        <v>1</v>
      </c>
      <c r="J738" s="24">
        <f t="shared" si="235"/>
        <v>12000</v>
      </c>
      <c r="K738" s="26">
        <f>IF(  AND(N738&gt;0,I738=0)          ,N738 ,                         IF(  IF( F738 ,  DAYS360(DATE(YEAR(F738),MONTH(F738),1),Mes)/30  ,  DAYS360(DATE(YEAR(E738),MONTH(E738),1),Mes)/30  )  &gt;  0 , IF(F738,   DAYS360(DATE(YEAR(F738),MONTH(F738),1),Mes)/30  ,  DAYS360(DATE(YEAR(E738),MONTH(E738),1),Mes)/30) , 0)       )</f>
        <v>0</v>
      </c>
      <c r="L738" s="27">
        <f t="shared" si="253"/>
        <v>0</v>
      </c>
      <c r="M738" s="28"/>
      <c r="N738" s="29">
        <f>IF( ISERROR(OFFSET(SECUESTRADOS!D$1,MATCH(B738,SECUESTRADOS!A$2:A1405,0),0)) ,0 ,  OFFSET(SECUESTRADOS!D$1,MATCH(B738,SECUESTRADOS!A$2:A1405,0),0)  )</f>
        <v>0</v>
      </c>
      <c r="O738" s="30"/>
      <c r="P738" s="17" t="str">
        <f t="shared" si="238"/>
        <v>cuna windsurf</v>
      </c>
      <c r="Q738" s="17" t="str">
        <f t="shared" si="260"/>
        <v/>
      </c>
      <c r="R738" s="31"/>
      <c r="S738" s="31"/>
      <c r="T738" s="31"/>
    </row>
    <row r="739">
      <c r="A739" s="18" t="s">
        <v>71</v>
      </c>
      <c r="B739" s="18">
        <v>2038.0</v>
      </c>
      <c r="C739" s="19">
        <v>2038.0</v>
      </c>
      <c r="D739" s="20" t="str">
        <f>IF(   ISERROR(OFFSET(PADRON!B$2,MATCH(C:C,PADRON!A$2:A1405,0)-1,0,1,1) )  ,  ,    OFFSET(PADRON!B$2,MATCH(C:C,PADRON!A$2:A1405,0)-1,0,1,1))</f>
        <v>CALANDRIA, Sol</v>
      </c>
      <c r="E739" s="21">
        <v>45839.0</v>
      </c>
      <c r="F739" s="21"/>
      <c r="G739" s="23" t="s">
        <v>39</v>
      </c>
      <c r="H739" s="24">
        <f>IF( ISERROR( OFFSET(   'Cuadro tarifario'!D$2  , MATCH(CONCATENATE(                 IF(F739&gt;Mes,OFFSET(NroCT!B$17, MATCH($F739,NroCT!$A$18:$A1405,0),0,1,1),Periodovigente)                                                                                                                     ,A739) ,'Cuadro tarifario'!A$2:A1405,0) -1 , 0 , 1 , 1) )   , 0  ,   OFFSET(   'Cuadro tarifario'!D$2  , MATCH(CONCATENATE( IF(F739&gt;Mes,OFFSET(NroCT!B$17, MATCH($F739,NroCT!$A$18:$A1405,0),0,1,1),Periodovigente) ,A739) ,'Cuadro tarifario'!A$2:A1405,0) -1 , 0 , 1 , 1))</f>
        <v>11000</v>
      </c>
      <c r="I739" s="25">
        <f t="shared" si="252"/>
        <v>0</v>
      </c>
      <c r="J739" s="24">
        <f t="shared" si="235"/>
        <v>0</v>
      </c>
      <c r="K739" s="26">
        <f>IF(  AND(N739&gt;0,I739=0)          ,N739 ,                         IF(  IF( F739 ,  DAYS360(DATE(YEAR(F739),MONTH(F739),1),Mes)/30  ,  DAYS360(DATE(YEAR(E739),MONTH(E739),1),Mes)/30  )  &gt;  0 , IF(F739,   DAYS360(DATE(YEAR(F739),MONTH(F739),1),Mes)/30  ,  DAYS360(DATE(YEAR(E739),MONTH(E739),1),Mes)/30) , 0)       )</f>
        <v>1</v>
      </c>
      <c r="L739" s="27">
        <f t="shared" si="253"/>
        <v>11000</v>
      </c>
      <c r="M739" s="28"/>
      <c r="N739" s="29">
        <f>IF( ISERROR(OFFSET(SECUESTRADOS!D$1,MATCH(B739,SECUESTRADOS!A$2:A1405,0),0)) ,0 ,  OFFSET(SECUESTRADOS!D$1,MATCH(B739,SECUESTRADOS!A$2:A1405,0),0)  )</f>
        <v>0</v>
      </c>
      <c r="O739" s="30"/>
      <c r="P739" s="17" t="b">
        <f t="shared" si="238"/>
        <v>0</v>
      </c>
      <c r="Q739" s="17" t="str">
        <f>IF(AND(A739=#REF!,B739=#REF!,C739=#REF!),"Repetido","")</f>
        <v>#REF!</v>
      </c>
      <c r="R739" s="31"/>
      <c r="S739" s="31"/>
      <c r="T739" s="31"/>
    </row>
    <row r="740">
      <c r="A740" s="18" t="s">
        <v>38</v>
      </c>
      <c r="B740" s="18">
        <v>2038.0</v>
      </c>
      <c r="C740" s="19">
        <v>2038.0</v>
      </c>
      <c r="D740" s="20" t="str">
        <f>IF(   ISERROR(OFFSET(PADRON!B$2,MATCH(C:C,PADRON!A$2:A1405,0)-1,0,1,1) )  ,  ,    OFFSET(PADRON!B$2,MATCH(C:C,PADRON!A$2:A1405,0)-1,0,1,1))</f>
        <v>CALANDRIA, Sol</v>
      </c>
      <c r="E740" s="21">
        <v>45839.0</v>
      </c>
      <c r="F740" s="21"/>
      <c r="G740" s="23" t="s">
        <v>39</v>
      </c>
      <c r="H740" s="24">
        <f>IF( ISERROR( OFFSET(   'Cuadro tarifario'!D$2  , MATCH(CONCATENATE(                 IF(F740&gt;Mes,OFFSET(NroCT!B$17, MATCH($F740,NroCT!$A$18:$A1405,0),0,1,1),Periodovigente)                                                                                                                     ,A740) ,'Cuadro tarifario'!A$2:A1405,0) -1 , 0 , 1 , 1) )   , 0  ,   OFFSET(   'Cuadro tarifario'!D$2  , MATCH(CONCATENATE( IF(F740&gt;Mes,OFFSET(NroCT!B$17, MATCH($F740,NroCT!$A$18:$A1405,0),0,1,1),Periodovigente) ,A740) ,'Cuadro tarifario'!A$2:A1405,0) -1 , 0 , 1 , 1))</f>
        <v>9000</v>
      </c>
      <c r="I740" s="25">
        <f t="shared" si="252"/>
        <v>0</v>
      </c>
      <c r="J740" s="24">
        <f t="shared" si="235"/>
        <v>0</v>
      </c>
      <c r="K740" s="26">
        <f>IF(  AND(N740&gt;0,I740=0)          ,N740 ,                         IF(  IF( F740 ,  DAYS360(DATE(YEAR(F740),MONTH(F740),1),Mes)/30  ,  DAYS360(DATE(YEAR(E740),MONTH(E740),1),Mes)/30  )  &gt;  0 , IF(F740,   DAYS360(DATE(YEAR(F740),MONTH(F740),1),Mes)/30  ,  DAYS360(DATE(YEAR(E740),MONTH(E740),1),Mes)/30) , 0)       )</f>
        <v>1</v>
      </c>
      <c r="L740" s="27">
        <f t="shared" si="253"/>
        <v>9000</v>
      </c>
      <c r="M740" s="28"/>
      <c r="N740" s="29">
        <f>IF( ISERROR(OFFSET(SECUESTRADOS!D$1,MATCH(B740,SECUESTRADOS!A$2:A1405,0),0)) ,0 ,  OFFSET(SECUESTRADOS!D$1,MATCH(B740,SECUESTRADOS!A$2:A1405,0),0)  )</f>
        <v>0</v>
      </c>
      <c r="O740" s="30"/>
      <c r="P740" s="17" t="b">
        <f t="shared" si="238"/>
        <v>0</v>
      </c>
      <c r="Q740" s="17" t="str">
        <f t="shared" ref="Q740:Q741" si="261">IF(AND(A740=A739,B740=B739,C740=C739),"Repetido","")</f>
        <v/>
      </c>
      <c r="R740" s="31"/>
      <c r="S740" s="31"/>
      <c r="T740" s="31"/>
    </row>
    <row r="741">
      <c r="A741" s="18" t="s">
        <v>40</v>
      </c>
      <c r="B741" s="18" t="s">
        <v>336</v>
      </c>
      <c r="C741" s="19">
        <v>2038.0</v>
      </c>
      <c r="D741" s="20" t="str">
        <f>IF(   ISERROR(OFFSET(PADRON!B$2,MATCH(C:C,PADRON!A$2:A1405,0)-1,0,1,1) )  ,  ,    OFFSET(PADRON!B$2,MATCH(C:C,PADRON!A$2:A1405,0)-1,0,1,1))</f>
        <v>CALANDRIA, Sol</v>
      </c>
      <c r="E741" s="21">
        <v>45839.0</v>
      </c>
      <c r="F741" s="21"/>
      <c r="G741" s="23" t="s">
        <v>39</v>
      </c>
      <c r="H741" s="24">
        <f>IF( ISERROR( OFFSET(   'Cuadro tarifario'!D$2  , MATCH(CONCATENATE(                 IF(F741&gt;Mes,OFFSET(NroCT!B$17, MATCH($F741,NroCT!$A$18:$A1405,0),0,1,1),Periodovigente)                                                                                                                     ,A741) ,'Cuadro tarifario'!A$2:A1405,0) -1 , 0 , 1 , 1) )   , 0  ,   OFFSET(   'Cuadro tarifario'!D$2  , MATCH(CONCATENATE( IF(F741&gt;Mes,OFFSET(NroCT!B$17, MATCH($F741,NroCT!$A$18:$A1405,0),0,1,1),Periodovigente) ,A741) ,'Cuadro tarifario'!A$2:A1405,0) -1 , 0 , 1 , 1))</f>
        <v>12000</v>
      </c>
      <c r="I741" s="25">
        <f t="shared" si="252"/>
        <v>0</v>
      </c>
      <c r="J741" s="24">
        <f t="shared" si="235"/>
        <v>0</v>
      </c>
      <c r="K741" s="26">
        <f>IF(  AND(N741&gt;0,I741=0)          ,N741 ,                         IF(  IF( F741 ,  DAYS360(DATE(YEAR(F741),MONTH(F741),1),Mes)/30  ,  DAYS360(DATE(YEAR(E741),MONTH(E741),1),Mes)/30  )  &gt;  0 , IF(F741,   DAYS360(DATE(YEAR(F741),MONTH(F741),1),Mes)/30  ,  DAYS360(DATE(YEAR(E741),MONTH(E741),1),Mes)/30) , 0)       )</f>
        <v>1</v>
      </c>
      <c r="L741" s="27">
        <f t="shared" si="253"/>
        <v>12000</v>
      </c>
      <c r="M741" s="28"/>
      <c r="N741" s="29">
        <f>IF( ISERROR(OFFSET(SECUESTRADOS!D$1,MATCH(B741,SECUESTRADOS!A$2:A1405,0),0)) ,0 ,  OFFSET(SECUESTRADOS!D$1,MATCH(B741,SECUESTRADOS!A$2:A1405,0),0)  )</f>
        <v>0</v>
      </c>
      <c r="O741" s="30"/>
      <c r="P741" s="17" t="b">
        <f t="shared" si="238"/>
        <v>0</v>
      </c>
      <c r="Q741" s="17" t="str">
        <f t="shared" si="261"/>
        <v/>
      </c>
      <c r="R741" s="31"/>
      <c r="S741" s="31"/>
      <c r="T741" s="31"/>
    </row>
    <row r="742">
      <c r="A742" s="18" t="s">
        <v>71</v>
      </c>
      <c r="B742" s="18">
        <v>2039.0</v>
      </c>
      <c r="C742" s="19">
        <v>2039.0</v>
      </c>
      <c r="D742" s="20" t="str">
        <f>IF(   ISERROR(OFFSET(PADRON!B$2,MATCH(C:C,PADRON!A$2:A1405,0)-1,0,1,1) )  ,  ,    OFFSET(PADRON!B$2,MATCH(C:C,PADRON!A$2:A1405,0)-1,0,1,1))</f>
        <v>NOVARINI, ANDREA PAOLA</v>
      </c>
      <c r="E742" s="21">
        <v>45839.0</v>
      </c>
      <c r="F742" s="21">
        <v>45870.0</v>
      </c>
      <c r="G742" s="23" t="s">
        <v>39</v>
      </c>
      <c r="H742" s="24">
        <f>IF( ISERROR( OFFSET(   'Cuadro tarifario'!D$2  , MATCH(CONCATENATE(                 IF(F742&gt;Mes,OFFSET(NroCT!B$17, MATCH($F742,NroCT!$A$18:$A1405,0),0,1,1),Periodovigente)                                                                                                                     ,A742) ,'Cuadro tarifario'!A$2:A1405,0) -1 , 0 , 1 , 1) )   , 0  ,   OFFSET(   'Cuadro tarifario'!D$2  , MATCH(CONCATENATE( IF(F742&gt;Mes,OFFSET(NroCT!B$17, MATCH($F742,NroCT!$A$18:$A1405,0),0,1,1),Periodovigente) ,A742) ,'Cuadro tarifario'!A$2:A1405,0) -1 , 0 , 1 , 1))</f>
        <v>11000</v>
      </c>
      <c r="I742" s="25">
        <f t="shared" si="252"/>
        <v>1</v>
      </c>
      <c r="J742" s="24">
        <f t="shared" si="235"/>
        <v>11000</v>
      </c>
      <c r="K742" s="26">
        <f>IF(  AND(N742&gt;0,I742=0)          ,N742 ,                         IF(  IF( F742 ,  DAYS360(DATE(YEAR(F742),MONTH(F742),1),Mes)/30  ,  DAYS360(DATE(YEAR(E742),MONTH(E742),1),Mes)/30  )  &gt;  0 , IF(F742,   DAYS360(DATE(YEAR(F742),MONTH(F742),1),Mes)/30  ,  DAYS360(DATE(YEAR(E742),MONTH(E742),1),Mes)/30) , 0)       )</f>
        <v>0</v>
      </c>
      <c r="L742" s="27">
        <f t="shared" si="253"/>
        <v>0</v>
      </c>
      <c r="M742" s="28"/>
      <c r="N742" s="29">
        <f>IF( ISERROR(OFFSET(SECUESTRADOS!D$1,MATCH(B742,SECUESTRADOS!A$2:A1405,0),0)) ,0 ,  OFFSET(SECUESTRADOS!D$1,MATCH(B742,SECUESTRADOS!A$2:A1405,0),0)  )</f>
        <v>0</v>
      </c>
      <c r="O742" s="30"/>
      <c r="P742" s="17" t="str">
        <f t="shared" si="238"/>
        <v>.socio</v>
      </c>
      <c r="Q742" s="17" t="str">
        <f>IF(AND(A742=#REF!,B742=#REF!,C742=#REF!),"Repetido","")</f>
        <v>#REF!</v>
      </c>
      <c r="R742" s="31"/>
      <c r="S742" s="31"/>
      <c r="T742" s="31"/>
    </row>
    <row r="743">
      <c r="A743" s="18" t="s">
        <v>38</v>
      </c>
      <c r="B743" s="18">
        <v>2039.0</v>
      </c>
      <c r="C743" s="19">
        <v>2039.0</v>
      </c>
      <c r="D743" s="20" t="str">
        <f>IF(   ISERROR(OFFSET(PADRON!B$2,MATCH(C:C,PADRON!A$2:A1405,0)-1,0,1,1) )  ,  ,    OFFSET(PADRON!B$2,MATCH(C:C,PADRON!A$2:A1405,0)-1,0,1,1))</f>
        <v>NOVARINI, ANDREA PAOLA</v>
      </c>
      <c r="E743" s="21">
        <v>45839.0</v>
      </c>
      <c r="F743" s="21">
        <v>45870.0</v>
      </c>
      <c r="G743" s="23" t="s">
        <v>39</v>
      </c>
      <c r="H743" s="24">
        <f>IF( ISERROR( OFFSET(   'Cuadro tarifario'!D$2  , MATCH(CONCATENATE(                 IF(F743&gt;Mes,OFFSET(NroCT!B$17, MATCH($F743,NroCT!$A$18:$A1405,0),0,1,1),Periodovigente)                                                                                                                     ,A743) ,'Cuadro tarifario'!A$2:A1405,0) -1 , 0 , 1 , 1) )   , 0  ,   OFFSET(   'Cuadro tarifario'!D$2  , MATCH(CONCATENATE( IF(F743&gt;Mes,OFFSET(NroCT!B$17, MATCH($F743,NroCT!$A$18:$A1405,0),0,1,1),Periodovigente) ,A743) ,'Cuadro tarifario'!A$2:A1405,0) -1 , 0 , 1 , 1))</f>
        <v>9000</v>
      </c>
      <c r="I743" s="25">
        <f t="shared" si="252"/>
        <v>1</v>
      </c>
      <c r="J743" s="24">
        <f t="shared" si="235"/>
        <v>9000</v>
      </c>
      <c r="K743" s="26">
        <f>IF(  AND(N743&gt;0,I743=0)          ,N743 ,                         IF(  IF( F743 ,  DAYS360(DATE(YEAR(F743),MONTH(F743),1),Mes)/30  ,  DAYS360(DATE(YEAR(E743),MONTH(E743),1),Mes)/30  )  &gt;  0 , IF(F743,   DAYS360(DATE(YEAR(F743),MONTH(F743),1),Mes)/30  ,  DAYS360(DATE(YEAR(E743),MONTH(E743),1),Mes)/30) , 0)       )</f>
        <v>0</v>
      </c>
      <c r="L743" s="27">
        <f t="shared" si="253"/>
        <v>0</v>
      </c>
      <c r="M743" s="28"/>
      <c r="N743" s="29">
        <f>IF( ISERROR(OFFSET(SECUESTRADOS!D$1,MATCH(B743,SECUESTRADOS!A$2:A1405,0),0)) ,0 ,  OFFSET(SECUESTRADOS!D$1,MATCH(B743,SECUESTRADOS!A$2:A1405,0),0)  )</f>
        <v>0</v>
      </c>
      <c r="O743" s="30"/>
      <c r="P743" s="17" t="str">
        <f t="shared" si="238"/>
        <v>Bono canon</v>
      </c>
      <c r="Q743" s="17" t="str">
        <f>IF(AND(A743=A742,B743=B742,C743=C742),"Repetido","")</f>
        <v/>
      </c>
      <c r="R743" s="31"/>
      <c r="S743" s="31"/>
      <c r="T743" s="31"/>
    </row>
    <row r="744">
      <c r="A744" s="18" t="s">
        <v>71</v>
      </c>
      <c r="B744" s="18">
        <v>2040.0</v>
      </c>
      <c r="C744" s="19">
        <v>2040.0</v>
      </c>
      <c r="D744" s="20" t="str">
        <f>IF(   ISERROR(OFFSET(PADRON!B$2,MATCH(C:C,PADRON!A$2:A1405,0)-1,0,1,1) )  ,  ,    OFFSET(PADRON!B$2,MATCH(C:C,PADRON!A$2:A1405,0)-1,0,1,1))</f>
        <v>MARTINEZ DUMONT, LETICIA</v>
      </c>
      <c r="E744" s="21">
        <v>45839.0</v>
      </c>
      <c r="F744" s="21">
        <v>45870.0</v>
      </c>
      <c r="G744" s="23" t="s">
        <v>39</v>
      </c>
      <c r="H744" s="24">
        <f>IF( ISERROR( OFFSET(   'Cuadro tarifario'!D$2  , MATCH(CONCATENATE(                 IF(F744&gt;Mes,OFFSET(NroCT!B$17, MATCH($F744,NroCT!$A$18:$A1405,0),0,1,1),Periodovigente)                                                                                                                     ,A744) ,'Cuadro tarifario'!A$2:A1405,0) -1 , 0 , 1 , 1) )   , 0  ,   OFFSET(   'Cuadro tarifario'!D$2  , MATCH(CONCATENATE( IF(F744&gt;Mes,OFFSET(NroCT!B$17, MATCH($F744,NroCT!$A$18:$A1405,0),0,1,1),Periodovigente) ,A744) ,'Cuadro tarifario'!A$2:A1405,0) -1 , 0 , 1 , 1))</f>
        <v>11000</v>
      </c>
      <c r="I744" s="25">
        <f t="shared" si="252"/>
        <v>1</v>
      </c>
      <c r="J744" s="24">
        <f t="shared" si="235"/>
        <v>11000</v>
      </c>
      <c r="K744" s="26">
        <f>IF(  AND(N744&gt;0,I744=0)          ,N744 ,                         IF(  IF( F744 ,  DAYS360(DATE(YEAR(F744),MONTH(F744),1),Mes)/30  ,  DAYS360(DATE(YEAR(E744),MONTH(E744),1),Mes)/30  )  &gt;  0 , IF(F744,   DAYS360(DATE(YEAR(F744),MONTH(F744),1),Mes)/30  ,  DAYS360(DATE(YEAR(E744),MONTH(E744),1),Mes)/30) , 0)       )</f>
        <v>0</v>
      </c>
      <c r="L744" s="27">
        <f t="shared" si="253"/>
        <v>0</v>
      </c>
      <c r="M744" s="28"/>
      <c r="N744" s="29">
        <f>IF( ISERROR(OFFSET(SECUESTRADOS!D$1,MATCH(B744,SECUESTRADOS!A$2:A1405,0),0)) ,0 ,  OFFSET(SECUESTRADOS!D$1,MATCH(B744,SECUESTRADOS!A$2:A1405,0),0)  )</f>
        <v>0</v>
      </c>
      <c r="O744" s="30"/>
      <c r="P744" s="17" t="str">
        <f t="shared" si="238"/>
        <v>.socio</v>
      </c>
      <c r="Q744" s="17" t="str">
        <f>IF(AND(A744=#REF!,B744=#REF!,C744=#REF!),"Repetido","")</f>
        <v>#REF!</v>
      </c>
      <c r="R744" s="31"/>
      <c r="S744" s="31"/>
      <c r="T744" s="31"/>
    </row>
    <row r="745">
      <c r="A745" s="18" t="s">
        <v>38</v>
      </c>
      <c r="B745" s="18">
        <v>2040.0</v>
      </c>
      <c r="C745" s="19">
        <v>2040.0</v>
      </c>
      <c r="D745" s="20" t="str">
        <f>IF(   ISERROR(OFFSET(PADRON!B$2,MATCH(C:C,PADRON!A$2:A1405,0)-1,0,1,1) )  ,  ,    OFFSET(PADRON!B$2,MATCH(C:C,PADRON!A$2:A1405,0)-1,0,1,1))</f>
        <v>MARTINEZ DUMONT, LETICIA</v>
      </c>
      <c r="E745" s="21">
        <v>45839.0</v>
      </c>
      <c r="F745" s="21">
        <v>45870.0</v>
      </c>
      <c r="G745" s="23" t="s">
        <v>39</v>
      </c>
      <c r="H745" s="24">
        <f>IF( ISERROR( OFFSET(   'Cuadro tarifario'!D$2  , MATCH(CONCATENATE(                 IF(F745&gt;Mes,OFFSET(NroCT!B$17, MATCH($F745,NroCT!$A$18:$A1405,0),0,1,1),Periodovigente)                                                                                                                     ,A745) ,'Cuadro tarifario'!A$2:A1405,0) -1 , 0 , 1 , 1) )   , 0  ,   OFFSET(   'Cuadro tarifario'!D$2  , MATCH(CONCATENATE( IF(F745&gt;Mes,OFFSET(NroCT!B$17, MATCH($F745,NroCT!$A$18:$A1405,0),0,1,1),Periodovigente) ,A745) ,'Cuadro tarifario'!A$2:A1405,0) -1 , 0 , 1 , 1))</f>
        <v>9000</v>
      </c>
      <c r="I745" s="25">
        <f t="shared" si="252"/>
        <v>1</v>
      </c>
      <c r="J745" s="24">
        <f t="shared" si="235"/>
        <v>9000</v>
      </c>
      <c r="K745" s="26">
        <f>IF(  AND(N745&gt;0,I745=0)          ,N745 ,                         IF(  IF( F745 ,  DAYS360(DATE(YEAR(F745),MONTH(F745),1),Mes)/30  ,  DAYS360(DATE(YEAR(E745),MONTH(E745),1),Mes)/30  )  &gt;  0 , IF(F745,   DAYS360(DATE(YEAR(F745),MONTH(F745),1),Mes)/30  ,  DAYS360(DATE(YEAR(E745),MONTH(E745),1),Mes)/30) , 0)       )</f>
        <v>0</v>
      </c>
      <c r="L745" s="27">
        <f t="shared" si="253"/>
        <v>0</v>
      </c>
      <c r="M745" s="28"/>
      <c r="N745" s="29">
        <f>IF( ISERROR(OFFSET(SECUESTRADOS!D$1,MATCH(B745,SECUESTRADOS!A$2:A1405,0),0)) ,0 ,  OFFSET(SECUESTRADOS!D$1,MATCH(B745,SECUESTRADOS!A$2:A1405,0),0)  )</f>
        <v>0</v>
      </c>
      <c r="O745" s="30"/>
      <c r="P745" s="17" t="str">
        <f t="shared" si="238"/>
        <v>Bono canon</v>
      </c>
      <c r="Q745" s="17" t="str">
        <f t="shared" ref="Q745:Q746" si="262">IF(AND(A745=A744,B745=B744,C745=C744),"Repetido","")</f>
        <v/>
      </c>
      <c r="R745" s="31"/>
      <c r="S745" s="31"/>
      <c r="T745" s="31"/>
    </row>
    <row r="746">
      <c r="A746" s="18" t="s">
        <v>82</v>
      </c>
      <c r="B746" s="18" t="s">
        <v>337</v>
      </c>
      <c r="C746" s="19">
        <v>2040.0</v>
      </c>
      <c r="D746" s="20" t="str">
        <f>IF(   ISERROR(OFFSET(PADRON!B$2,MATCH(C:C,PADRON!A$2:A1405,0)-1,0,1,1) )  ,  ,    OFFSET(PADRON!B$2,MATCH(C:C,PADRON!A$2:A1405,0)-1,0,1,1))</f>
        <v>MARTINEZ DUMONT, LETICIA</v>
      </c>
      <c r="E746" s="21">
        <v>45839.0</v>
      </c>
      <c r="F746" s="21">
        <v>45870.0</v>
      </c>
      <c r="G746" s="23" t="s">
        <v>39</v>
      </c>
      <c r="H746" s="24">
        <f>IF( ISERROR( OFFSET(   'Cuadro tarifario'!D$2  , MATCH(CONCATENATE(                 IF(F746&gt;Mes,OFFSET(NroCT!B$17, MATCH($F746,NroCT!$A$18:$A1405,0),0,1,1),Periodovigente)                                                                                                                     ,A746) ,'Cuadro tarifario'!A$2:A1405,0) -1 , 0 , 1 , 1) )   , 0  ,   OFFSET(   'Cuadro tarifario'!D$2  , MATCH(CONCATENATE( IF(F746&gt;Mes,OFFSET(NroCT!B$17, MATCH($F746,NroCT!$A$18:$A1405,0),0,1,1),Periodovigente) ,A746) ,'Cuadro tarifario'!A$2:A1405,0) -1 , 0 , 1 , 1))</f>
        <v>12000</v>
      </c>
      <c r="I746" s="25">
        <f t="shared" si="252"/>
        <v>1</v>
      </c>
      <c r="J746" s="24">
        <f t="shared" si="235"/>
        <v>12000</v>
      </c>
      <c r="K746" s="26">
        <f>IF(  AND(N746&gt;0,I746=0)          ,N746 ,                         IF(  IF( F746 ,  DAYS360(DATE(YEAR(F746),MONTH(F746),1),Mes)/30  ,  DAYS360(DATE(YEAR(E746),MONTH(E746),1),Mes)/30  )  &gt;  0 , IF(F746,   DAYS360(DATE(YEAR(F746),MONTH(F746),1),Mes)/30  ,  DAYS360(DATE(YEAR(E746),MONTH(E746),1),Mes)/30) , 0)       )</f>
        <v>0</v>
      </c>
      <c r="L746" s="27">
        <f t="shared" si="253"/>
        <v>0</v>
      </c>
      <c r="M746" s="28"/>
      <c r="N746" s="29">
        <f>IF( ISERROR(OFFSET(SECUESTRADOS!D$1,MATCH(B746,SECUESTRADOS!A$2:A1405,0),0)) ,0 ,  OFFSET(SECUESTRADOS!D$1,MATCH(B746,SECUESTRADOS!A$2:A1405,0),0)  )</f>
        <v>0</v>
      </c>
      <c r="O746" s="30"/>
      <c r="P746" s="17" t="str">
        <f t="shared" si="238"/>
        <v>cuna kayak</v>
      </c>
      <c r="Q746" s="17" t="str">
        <f t="shared" si="262"/>
        <v/>
      </c>
      <c r="R746" s="31"/>
      <c r="S746" s="31"/>
      <c r="T746" s="31"/>
    </row>
    <row r="747">
      <c r="A747" s="18" t="s">
        <v>71</v>
      </c>
      <c r="B747" s="18">
        <v>2041.0</v>
      </c>
      <c r="C747" s="19">
        <v>2041.0</v>
      </c>
      <c r="D747" s="20" t="str">
        <f>IF(   ISERROR(OFFSET(PADRON!B$2,MATCH(C:C,PADRON!A$2:A1405,0)-1,0,1,1) )  ,  ,    OFFSET(PADRON!B$2,MATCH(C:C,PADRON!A$2:A1405,0)-1,0,1,1))</f>
        <v>CAÑÓN, FABIAN</v>
      </c>
      <c r="E747" s="21">
        <v>45809.0</v>
      </c>
      <c r="F747" s="21">
        <v>45901.0</v>
      </c>
      <c r="G747" s="23" t="s">
        <v>39</v>
      </c>
      <c r="H747" s="24">
        <f>IF( ISERROR( OFFSET(   'Cuadro tarifario'!D$2  , MATCH(CONCATENATE(                 IF(F747&gt;Mes,OFFSET(NroCT!B$17, MATCH($F747,NroCT!$A$18:$A1405,0),0,1,1),Periodovigente)                                                                                                                     ,A747) ,'Cuadro tarifario'!A$2:A1405,0) -1 , 0 , 1 , 1) )   , 0  ,   OFFSET(   'Cuadro tarifario'!D$2  , MATCH(CONCATENATE( IF(F747&gt;Mes,OFFSET(NroCT!B$17, MATCH($F747,NroCT!$A$18:$A1405,0),0,1,1),Periodovigente) ,A747) ,'Cuadro tarifario'!A$2:A1405,0) -1 , 0 , 1 , 1))</f>
        <v>11000</v>
      </c>
      <c r="I747" s="25">
        <f t="shared" si="252"/>
        <v>3</v>
      </c>
      <c r="J747" s="24">
        <f t="shared" si="235"/>
        <v>33000</v>
      </c>
      <c r="K747" s="26">
        <f>IF(  AND(N747&gt;0,I747=0)          ,N747 ,                         IF(  IF( F747 ,  DAYS360(DATE(YEAR(F747),MONTH(F747),1),Mes)/30  ,  DAYS360(DATE(YEAR(E747),MONTH(E747),1),Mes)/30  )  &gt;  0 , IF(F747,   DAYS360(DATE(YEAR(F747),MONTH(F747),1),Mes)/30  ,  DAYS360(DATE(YEAR(E747),MONTH(E747),1),Mes)/30) , 0)       )</f>
        <v>0</v>
      </c>
      <c r="L747" s="27">
        <f t="shared" si="253"/>
        <v>0</v>
      </c>
      <c r="M747" s="28"/>
      <c r="N747" s="29">
        <f>IF( ISERROR(OFFSET(SECUESTRADOS!D$1,MATCH(B747,SECUESTRADOS!A$2:A1405,0),0)) ,0 ,  OFFSET(SECUESTRADOS!D$1,MATCH(B747,SECUESTRADOS!A$2:A1405,0),0)  )</f>
        <v>0</v>
      </c>
      <c r="O747" s="30"/>
      <c r="P747" s="17" t="str">
        <f t="shared" si="238"/>
        <v>.socio</v>
      </c>
      <c r="Q747" s="17" t="str">
        <f>IF(AND(A747=#REF!,B747=#REF!,C747=#REF!),"Repetido","")</f>
        <v>#REF!</v>
      </c>
      <c r="R747" s="31"/>
      <c r="S747" s="31"/>
      <c r="T747" s="31"/>
    </row>
    <row r="748">
      <c r="A748" s="18" t="s">
        <v>38</v>
      </c>
      <c r="B748" s="18">
        <v>2041.0</v>
      </c>
      <c r="C748" s="19">
        <v>2041.0</v>
      </c>
      <c r="D748" s="20" t="str">
        <f>IF(   ISERROR(OFFSET(PADRON!B$2,MATCH(C:C,PADRON!A$2:A1405,0)-1,0,1,1) )  ,  ,    OFFSET(PADRON!B$2,MATCH(C:C,PADRON!A$2:A1405,0)-1,0,1,1))</f>
        <v>CAÑÓN, FABIAN</v>
      </c>
      <c r="E748" s="21">
        <v>45809.0</v>
      </c>
      <c r="F748" s="21">
        <v>45901.0</v>
      </c>
      <c r="G748" s="23" t="s">
        <v>39</v>
      </c>
      <c r="H748" s="24">
        <f>IF( ISERROR( OFFSET(   'Cuadro tarifario'!D$2  , MATCH(CONCATENATE(                 IF(F748&gt;Mes,OFFSET(NroCT!B$17, MATCH($F748,NroCT!$A$18:$A1405,0),0,1,1),Periodovigente)                                                                                                                     ,A748) ,'Cuadro tarifario'!A$2:A1405,0) -1 , 0 , 1 , 1) )   , 0  ,   OFFSET(   'Cuadro tarifario'!D$2  , MATCH(CONCATENATE( IF(F748&gt;Mes,OFFSET(NroCT!B$17, MATCH($F748,NroCT!$A$18:$A1405,0),0,1,1),Periodovigente) ,A748) ,'Cuadro tarifario'!A$2:A1405,0) -1 , 0 , 1 , 1))</f>
        <v>9000</v>
      </c>
      <c r="I748" s="25">
        <f t="shared" si="252"/>
        <v>3</v>
      </c>
      <c r="J748" s="24">
        <f t="shared" si="235"/>
        <v>27000</v>
      </c>
      <c r="K748" s="26">
        <f>IF(  AND(N748&gt;0,I748=0)          ,N748 ,                         IF(  IF( F748 ,  DAYS360(DATE(YEAR(F748),MONTH(F748),1),Mes)/30  ,  DAYS360(DATE(YEAR(E748),MONTH(E748),1),Mes)/30  )  &gt;  0 , IF(F748,   DAYS360(DATE(YEAR(F748),MONTH(F748),1),Mes)/30  ,  DAYS360(DATE(YEAR(E748),MONTH(E748),1),Mes)/30) , 0)       )</f>
        <v>0</v>
      </c>
      <c r="L748" s="27">
        <f t="shared" si="253"/>
        <v>0</v>
      </c>
      <c r="M748" s="28"/>
      <c r="N748" s="29">
        <f>IF( ISERROR(OFFSET(SECUESTRADOS!D$1,MATCH(B748,SECUESTRADOS!A$2:A1405,0),0)) ,0 ,  OFFSET(SECUESTRADOS!D$1,MATCH(B748,SECUESTRADOS!A$2:A1405,0),0)  )</f>
        <v>0</v>
      </c>
      <c r="O748" s="30"/>
      <c r="P748" s="17" t="str">
        <f t="shared" si="238"/>
        <v>Bono canon</v>
      </c>
      <c r="Q748" s="17" t="str">
        <f t="shared" ref="Q748:Q750" si="263">IF(AND(A748=A747,B748=B747,C748=C747),"Repetido","")</f>
        <v/>
      </c>
      <c r="R748" s="31"/>
      <c r="S748" s="31"/>
      <c r="T748" s="31"/>
    </row>
    <row r="749">
      <c r="A749" s="18" t="s">
        <v>40</v>
      </c>
      <c r="B749" s="18" t="s">
        <v>338</v>
      </c>
      <c r="C749" s="19">
        <v>2041.0</v>
      </c>
      <c r="D749" s="20" t="str">
        <f>IF(   ISERROR(OFFSET(PADRON!B$2,MATCH(C:C,PADRON!A$2:A1405,0)-1,0,1,1) )  ,  ,    OFFSET(PADRON!B$2,MATCH(C:C,PADRON!A$2:A1405,0)-1,0,1,1))</f>
        <v>CAÑÓN, FABIAN</v>
      </c>
      <c r="E749" s="21">
        <v>45809.0</v>
      </c>
      <c r="F749" s="21">
        <v>45901.0</v>
      </c>
      <c r="G749" s="32" t="s">
        <v>39</v>
      </c>
      <c r="H749" s="24">
        <f>IF( ISERROR( OFFSET(   'Cuadro tarifario'!D$2  , MATCH(CONCATENATE(                 IF(F749&gt;Mes,OFFSET(NroCT!B$17, MATCH($F749,NroCT!$A$18:$A1405,0),0,1,1),Periodovigente)                                                                                                                     ,A749) ,'Cuadro tarifario'!A$2:A1405,0) -1 , 0 , 1 , 1) )   , 0  ,   OFFSET(   'Cuadro tarifario'!D$2  , MATCH(CONCATENATE( IF(F749&gt;Mes,OFFSET(NroCT!B$17, MATCH($F749,NroCT!$A$18:$A1405,0),0,1,1),Periodovigente) ,A749) ,'Cuadro tarifario'!A$2:A1405,0) -1 , 0 , 1 , 1))</f>
        <v>12000</v>
      </c>
      <c r="I749" s="25">
        <f t="shared" si="252"/>
        <v>3</v>
      </c>
      <c r="J749" s="24">
        <f t="shared" si="235"/>
        <v>36000</v>
      </c>
      <c r="K749" s="26">
        <f>IF(  AND(N749&gt;0,I749=0)          ,N749 ,                         IF(  IF( F749 ,  DAYS360(DATE(YEAR(F749),MONTH(F749),1),Mes)/30  ,  DAYS360(DATE(YEAR(E749),MONTH(E749),1),Mes)/30  )  &gt;  0 , IF(F749,   DAYS360(DATE(YEAR(F749),MONTH(F749),1),Mes)/30  ,  DAYS360(DATE(YEAR(E749),MONTH(E749),1),Mes)/30) , 0)       )</f>
        <v>0</v>
      </c>
      <c r="L749" s="27">
        <f t="shared" si="253"/>
        <v>0</v>
      </c>
      <c r="M749" s="28"/>
      <c r="N749" s="29">
        <f>IF( ISERROR(OFFSET(SECUESTRADOS!D$1,MATCH(B749,SECUESTRADOS!A$2:A1405,0),0)) ,0 ,  OFFSET(SECUESTRADOS!D$1,MATCH(B749,SECUESTRADOS!A$2:A1405,0),0)  )</f>
        <v>0</v>
      </c>
      <c r="O749" s="30"/>
      <c r="P749" s="17" t="str">
        <f t="shared" si="238"/>
        <v>cuna windsurf</v>
      </c>
      <c r="Q749" s="17" t="str">
        <f t="shared" si="263"/>
        <v/>
      </c>
      <c r="R749" s="31"/>
      <c r="S749" s="31"/>
      <c r="T749" s="31"/>
    </row>
    <row r="750">
      <c r="A750" s="18" t="s">
        <v>50</v>
      </c>
      <c r="B750" s="18" t="s">
        <v>339</v>
      </c>
      <c r="C750" s="19">
        <v>2041.0</v>
      </c>
      <c r="D750" s="20" t="str">
        <f>IF(   ISERROR(OFFSET(PADRON!B$2,MATCH(C:C,PADRON!A$2:A1405,0)-1,0,1,1) )  ,  ,    OFFSET(PADRON!B$2,MATCH(C:C,PADRON!A$2:A1405,0)-1,0,1,1))</f>
        <v>CAÑÓN, FABIAN</v>
      </c>
      <c r="E750" s="21">
        <v>45992.0</v>
      </c>
      <c r="F750" s="21"/>
      <c r="G750" s="23" t="s">
        <v>39</v>
      </c>
      <c r="H750" s="24">
        <f>IF( ISERROR( OFFSET(   'Cuadro tarifario'!D$2  , MATCH(CONCATENATE(                 IF(F750&gt;Mes,OFFSET(NroCT!B$17, MATCH($F750,NroCT!$A$18:$A1405,0),0,1,1),Periodovigente)                                                                                                                     ,A750) ,'Cuadro tarifario'!A$2:A1405,0) -1 , 0 , 1 , 1) )   , 0  ,   OFFSET(   'Cuadro tarifario'!D$2  , MATCH(CONCATENATE( IF(F750&gt;Mes,OFFSET(NroCT!B$17, MATCH($F750,NroCT!$A$18:$A1405,0),0,1,1),Periodovigente) ,A750) ,'Cuadro tarifario'!A$2:A1405,0) -1 , 0 , 1 , 1))</f>
        <v>3600</v>
      </c>
      <c r="I750" s="25">
        <f t="shared" si="252"/>
        <v>0</v>
      </c>
      <c r="J750" s="24">
        <f t="shared" si="235"/>
        <v>0</v>
      </c>
      <c r="K750" s="26">
        <f>IF(  AND(N750&gt;0,I750=0)          ,N750 ,                         IF(  IF( F750 ,  DAYS360(DATE(YEAR(F750),MONTH(F750),1),Mes)/30  ,  DAYS360(DATE(YEAR(E750),MONTH(E750),1),Mes)/30  )  &gt;  0 , IF(F750,   DAYS360(DATE(YEAR(F750),MONTH(F750),1),Mes)/30  ,  DAYS360(DATE(YEAR(E750),MONTH(E750),1),Mes)/30) , 0)       )</f>
        <v>0</v>
      </c>
      <c r="L750" s="27">
        <f t="shared" si="253"/>
        <v>0</v>
      </c>
      <c r="M750" s="28"/>
      <c r="N750" s="29">
        <f>IF( ISERROR(OFFSET(SECUESTRADOS!D$1,MATCH(B750,SECUESTRADOS!A$2:A1405,0),0)) ,0 ,  OFFSET(SECUESTRADOS!D$1,MATCH(B750,SECUESTRADOS!A$2:A1405,0),0)  )</f>
        <v>0</v>
      </c>
      <c r="O750" s="30"/>
      <c r="P750" s="17" t="b">
        <f t="shared" si="238"/>
        <v>0</v>
      </c>
      <c r="Q750" s="17" t="str">
        <f t="shared" si="263"/>
        <v/>
      </c>
      <c r="R750" s="31"/>
      <c r="S750" s="31"/>
      <c r="T750" s="31"/>
    </row>
    <row r="751" ht="14.25" customHeight="1">
      <c r="A751" s="18" t="s">
        <v>71</v>
      </c>
      <c r="B751" s="18">
        <v>2042.0</v>
      </c>
      <c r="C751" s="19">
        <v>2042.0</v>
      </c>
      <c r="D751" s="20" t="str">
        <f>IF(   ISERROR(OFFSET(PADRON!B$2,MATCH(C:C,PADRON!A$2:A1405,0)-1,0,1,1) )  ,  ,    OFFSET(PADRON!B$2,MATCH(C:C,PADRON!A$2:A1405,0)-1,0,1,1))</f>
        <v>WALTER MURIEL</v>
      </c>
      <c r="E751" s="21">
        <v>45839.0</v>
      </c>
      <c r="F751" s="21">
        <v>45901.0</v>
      </c>
      <c r="G751" s="23" t="s">
        <v>39</v>
      </c>
      <c r="H751" s="24">
        <f>IF( ISERROR( OFFSET(   'Cuadro tarifario'!D$2  , MATCH(CONCATENATE(                 IF(F751&gt;Mes,OFFSET(NroCT!B$17, MATCH($F751,NroCT!$A$18:$A1405,0),0,1,1),Periodovigente)                                                                                                                     ,A751) ,'Cuadro tarifario'!A$2:A1405,0) -1 , 0 , 1 , 1) )   , 0  ,   OFFSET(   'Cuadro tarifario'!D$2  , MATCH(CONCATENATE( IF(F751&gt;Mes,OFFSET(NroCT!B$17, MATCH($F751,NroCT!$A$18:$A1405,0),0,1,1),Periodovigente) ,A751) ,'Cuadro tarifario'!A$2:A1405,0) -1 , 0 , 1 , 1))</f>
        <v>11000</v>
      </c>
      <c r="I751" s="25">
        <f t="shared" si="252"/>
        <v>2</v>
      </c>
      <c r="J751" s="24">
        <f t="shared" si="235"/>
        <v>22000</v>
      </c>
      <c r="K751" s="26">
        <f>IF(  AND(N751&gt;0,I751=0)          ,N751 ,                         IF(  IF( F751 ,  DAYS360(DATE(YEAR(F751),MONTH(F751),1),Mes)/30  ,  DAYS360(DATE(YEAR(E751),MONTH(E751),1),Mes)/30  )  &gt;  0 , IF(F751,   DAYS360(DATE(YEAR(F751),MONTH(F751),1),Mes)/30  ,  DAYS360(DATE(YEAR(E751),MONTH(E751),1),Mes)/30) , 0)       )</f>
        <v>0</v>
      </c>
      <c r="L751" s="27">
        <f t="shared" si="253"/>
        <v>0</v>
      </c>
      <c r="M751" s="28"/>
      <c r="N751" s="29">
        <f>IF( ISERROR(OFFSET(SECUESTRADOS!D$1,MATCH(B751,SECUESTRADOS!A$2:A1405,0),0)) ,0 ,  OFFSET(SECUESTRADOS!D$1,MATCH(B751,SECUESTRADOS!A$2:A1405,0),0)  )</f>
        <v>0</v>
      </c>
      <c r="O751" s="30"/>
      <c r="P751" s="17" t="str">
        <f t="shared" si="238"/>
        <v>.socio</v>
      </c>
      <c r="Q751" s="17" t="str">
        <f>IF(AND(A751=#REF!,B751=#REF!,C751=#REF!),"Repetido","")</f>
        <v>#REF!</v>
      </c>
      <c r="R751" s="31"/>
      <c r="S751" s="31"/>
      <c r="T751" s="31"/>
    </row>
    <row r="752">
      <c r="A752" s="18" t="s">
        <v>38</v>
      </c>
      <c r="B752" s="18">
        <v>2042.0</v>
      </c>
      <c r="C752" s="19">
        <v>2042.0</v>
      </c>
      <c r="D752" s="20" t="str">
        <f>IF(   ISERROR(OFFSET(PADRON!B$2,MATCH(C:C,PADRON!A$2:A1405,0)-1,0,1,1) )  ,  ,    OFFSET(PADRON!B$2,MATCH(C:C,PADRON!A$2:A1405,0)-1,0,1,1))</f>
        <v>WALTER MURIEL</v>
      </c>
      <c r="E752" s="21">
        <v>45839.0</v>
      </c>
      <c r="F752" s="21">
        <v>45901.0</v>
      </c>
      <c r="G752" s="23" t="s">
        <v>39</v>
      </c>
      <c r="H752" s="24">
        <f>IF( ISERROR( OFFSET(   'Cuadro tarifario'!D$2  , MATCH(CONCATENATE(                 IF(F752&gt;Mes,OFFSET(NroCT!B$17, MATCH($F752,NroCT!$A$18:$A1405,0),0,1,1),Periodovigente)                                                                                                                     ,A752) ,'Cuadro tarifario'!A$2:A1405,0) -1 , 0 , 1 , 1) )   , 0  ,   OFFSET(   'Cuadro tarifario'!D$2  , MATCH(CONCATENATE( IF(F752&gt;Mes,OFFSET(NroCT!B$17, MATCH($F752,NroCT!$A$18:$A1405,0),0,1,1),Periodovigente) ,A752) ,'Cuadro tarifario'!A$2:A1405,0) -1 , 0 , 1 , 1))</f>
        <v>9000</v>
      </c>
      <c r="I752" s="25">
        <f t="shared" si="252"/>
        <v>2</v>
      </c>
      <c r="J752" s="24">
        <f t="shared" si="235"/>
        <v>18000</v>
      </c>
      <c r="K752" s="26">
        <f>IF(  AND(N752&gt;0,I752=0)          ,N752 ,                         IF(  IF( F752 ,  DAYS360(DATE(YEAR(F752),MONTH(F752),1),Mes)/30  ,  DAYS360(DATE(YEAR(E752),MONTH(E752),1),Mes)/30  )  &gt;  0 , IF(F752,   DAYS360(DATE(YEAR(F752),MONTH(F752),1),Mes)/30  ,  DAYS360(DATE(YEAR(E752),MONTH(E752),1),Mes)/30) , 0)       )</f>
        <v>0</v>
      </c>
      <c r="L752" s="27">
        <f t="shared" si="253"/>
        <v>0</v>
      </c>
      <c r="M752" s="28"/>
      <c r="N752" s="29">
        <f>IF( ISERROR(OFFSET(SECUESTRADOS!D$1,MATCH(B752,SECUESTRADOS!A$2:A1405,0),0)) ,0 ,  OFFSET(SECUESTRADOS!D$1,MATCH(B752,SECUESTRADOS!A$2:A1405,0),0)  )</f>
        <v>0</v>
      </c>
      <c r="O752" s="30"/>
      <c r="P752" s="17" t="str">
        <f t="shared" si="238"/>
        <v>Bono canon</v>
      </c>
      <c r="Q752" s="17" t="str">
        <f t="shared" ref="Q752:Q753" si="264">IF(AND(A752=A751,B752=B751,C752=C751),"Repetido","")</f>
        <v/>
      </c>
      <c r="R752" s="31"/>
      <c r="S752" s="31"/>
      <c r="T752" s="31"/>
    </row>
    <row r="753">
      <c r="A753" s="18" t="s">
        <v>40</v>
      </c>
      <c r="B753" s="18" t="s">
        <v>340</v>
      </c>
      <c r="C753" s="19">
        <v>2042.0</v>
      </c>
      <c r="D753" s="20" t="str">
        <f>IF(   ISERROR(OFFSET(PADRON!B$2,MATCH(C:C,PADRON!A$2:A1405,0)-1,0,1,1) )  ,  ,    OFFSET(PADRON!B$2,MATCH(C:C,PADRON!A$2:A1405,0)-1,0,1,1))</f>
        <v>WALTER MURIEL</v>
      </c>
      <c r="E753" s="21">
        <v>45839.0</v>
      </c>
      <c r="F753" s="21">
        <v>45901.0</v>
      </c>
      <c r="G753" s="23" t="s">
        <v>39</v>
      </c>
      <c r="H753" s="24">
        <f>IF( ISERROR( OFFSET(   'Cuadro tarifario'!D$2  , MATCH(CONCATENATE(                 IF(F753&gt;Mes,OFFSET(NroCT!B$17, MATCH($F753,NroCT!$A$18:$A1405,0),0,1,1),Periodovigente)                                                                                                                     ,A753) ,'Cuadro tarifario'!A$2:A1405,0) -1 , 0 , 1 , 1) )   , 0  ,   OFFSET(   'Cuadro tarifario'!D$2  , MATCH(CONCATENATE( IF(F753&gt;Mes,OFFSET(NroCT!B$17, MATCH($F753,NroCT!$A$18:$A1405,0),0,1,1),Periodovigente) ,A753) ,'Cuadro tarifario'!A$2:A1405,0) -1 , 0 , 1 , 1))</f>
        <v>12000</v>
      </c>
      <c r="I753" s="25">
        <f t="shared" si="252"/>
        <v>2</v>
      </c>
      <c r="J753" s="24">
        <f t="shared" si="235"/>
        <v>24000</v>
      </c>
      <c r="K753" s="26">
        <f>IF(  AND(N753&gt;0,I753=0)          ,N753 ,                         IF(  IF( F753 ,  DAYS360(DATE(YEAR(F753),MONTH(F753),1),Mes)/30  ,  DAYS360(DATE(YEAR(E753),MONTH(E753),1),Mes)/30  )  &gt;  0 , IF(F753,   DAYS360(DATE(YEAR(F753),MONTH(F753),1),Mes)/30  ,  DAYS360(DATE(YEAR(E753),MONTH(E753),1),Mes)/30) , 0)       )</f>
        <v>0</v>
      </c>
      <c r="L753" s="27">
        <f t="shared" si="253"/>
        <v>0</v>
      </c>
      <c r="M753" s="28"/>
      <c r="N753" s="29">
        <f>IF( ISERROR(OFFSET(SECUESTRADOS!D$1,MATCH(B753,SECUESTRADOS!A$2:A1405,0),0)) ,0 ,  OFFSET(SECUESTRADOS!D$1,MATCH(B753,SECUESTRADOS!A$2:A1405,0),0)  )</f>
        <v>0</v>
      </c>
      <c r="O753" s="30"/>
      <c r="P753" s="17" t="str">
        <f t="shared" si="238"/>
        <v>cuna windsurf</v>
      </c>
      <c r="Q753" s="17" t="str">
        <f t="shared" si="264"/>
        <v/>
      </c>
      <c r="R753" s="31"/>
      <c r="S753" s="31"/>
      <c r="T753" s="31"/>
    </row>
    <row r="754">
      <c r="A754" s="18" t="s">
        <v>71</v>
      </c>
      <c r="B754" s="18">
        <v>2043.0</v>
      </c>
      <c r="C754" s="19">
        <v>2043.0</v>
      </c>
      <c r="D754" s="20" t="str">
        <f>IF(   ISERROR(OFFSET(PADRON!B$2,MATCH(C:C,PADRON!A$2:A1405,0)-1,0,1,1) )  ,  ,    OFFSET(PADRON!B$2,MATCH(C:C,PADRON!A$2:A1405,0)-1,0,1,1))</f>
        <v>CORREA, FLORENCIA</v>
      </c>
      <c r="E754" s="21">
        <v>45839.0</v>
      </c>
      <c r="F754" s="21">
        <v>45870.0</v>
      </c>
      <c r="G754" s="23" t="s">
        <v>39</v>
      </c>
      <c r="H754" s="24">
        <f>IF( ISERROR( OFFSET(   'Cuadro tarifario'!D$2  , MATCH(CONCATENATE(                 IF(F754&gt;Mes,OFFSET(NroCT!B$17, MATCH($F754,NroCT!$A$18:$A1405,0),0,1,1),Periodovigente)                                                                                                                     ,A754) ,'Cuadro tarifario'!A$2:A1405,0) -1 , 0 , 1 , 1) )   , 0  ,   OFFSET(   'Cuadro tarifario'!D$2  , MATCH(CONCATENATE( IF(F754&gt;Mes,OFFSET(NroCT!B$17, MATCH($F754,NroCT!$A$18:$A1405,0),0,1,1),Periodovigente) ,A754) ,'Cuadro tarifario'!A$2:A1405,0) -1 , 0 , 1 , 1))</f>
        <v>11000</v>
      </c>
      <c r="I754" s="25">
        <f t="shared" si="252"/>
        <v>1</v>
      </c>
      <c r="J754" s="24">
        <f t="shared" si="235"/>
        <v>11000</v>
      </c>
      <c r="K754" s="26">
        <f>IF(  AND(N754&gt;0,I754=0)          ,N754 ,                         IF(  IF( F754 ,  DAYS360(DATE(YEAR(F754),MONTH(F754),1),Mes)/30  ,  DAYS360(DATE(YEAR(E754),MONTH(E754),1),Mes)/30  )  &gt;  0 , IF(F754,   DAYS360(DATE(YEAR(F754),MONTH(F754),1),Mes)/30  ,  DAYS360(DATE(YEAR(E754),MONTH(E754),1),Mes)/30) , 0)       )</f>
        <v>0</v>
      </c>
      <c r="L754" s="27">
        <f t="shared" si="253"/>
        <v>0</v>
      </c>
      <c r="M754" s="28"/>
      <c r="N754" s="29">
        <f>IF( ISERROR(OFFSET(SECUESTRADOS!D$1,MATCH(B754,SECUESTRADOS!A$2:A1405,0),0)) ,0 ,  OFFSET(SECUESTRADOS!D$1,MATCH(B754,SECUESTRADOS!A$2:A1405,0),0)  )</f>
        <v>0</v>
      </c>
      <c r="O754" s="30"/>
      <c r="P754" s="17" t="str">
        <f t="shared" si="238"/>
        <v>.socio</v>
      </c>
      <c r="Q754" s="17" t="str">
        <f>IF(AND(A754=#REF!,B754=#REF!,C754=#REF!),"Repetido","")</f>
        <v>#REF!</v>
      </c>
      <c r="R754" s="31"/>
      <c r="S754" s="31"/>
      <c r="T754" s="31"/>
    </row>
    <row r="755">
      <c r="A755" s="18" t="s">
        <v>38</v>
      </c>
      <c r="B755" s="18">
        <v>2043.0</v>
      </c>
      <c r="C755" s="19">
        <v>2043.0</v>
      </c>
      <c r="D755" s="20" t="str">
        <f>IF(   ISERROR(OFFSET(PADRON!B$2,MATCH(C:C,PADRON!A$2:A1405,0)-1,0,1,1) )  ,  ,    OFFSET(PADRON!B$2,MATCH(C:C,PADRON!A$2:A1405,0)-1,0,1,1))</f>
        <v>CORREA, FLORENCIA</v>
      </c>
      <c r="E755" s="21">
        <v>45839.0</v>
      </c>
      <c r="F755" s="21">
        <v>45870.0</v>
      </c>
      <c r="G755" s="23" t="s">
        <v>39</v>
      </c>
      <c r="H755" s="24">
        <f>IF( ISERROR( OFFSET(   'Cuadro tarifario'!D$2  , MATCH(CONCATENATE(                 IF(F755&gt;Mes,OFFSET(NroCT!B$17, MATCH($F755,NroCT!$A$18:$A1405,0),0,1,1),Periodovigente)                                                                                                                     ,A755) ,'Cuadro tarifario'!A$2:A1405,0) -1 , 0 , 1 , 1) )   , 0  ,   OFFSET(   'Cuadro tarifario'!D$2  , MATCH(CONCATENATE( IF(F755&gt;Mes,OFFSET(NroCT!B$17, MATCH($F755,NroCT!$A$18:$A1405,0),0,1,1),Periodovigente) ,A755) ,'Cuadro tarifario'!A$2:A1405,0) -1 , 0 , 1 , 1))</f>
        <v>9000</v>
      </c>
      <c r="I755" s="25">
        <f t="shared" si="252"/>
        <v>1</v>
      </c>
      <c r="J755" s="24">
        <f t="shared" si="235"/>
        <v>9000</v>
      </c>
      <c r="K755" s="26">
        <f>IF(  AND(N755&gt;0,I755=0)          ,N755 ,                         IF(  IF( F755 ,  DAYS360(DATE(YEAR(F755),MONTH(F755),1),Mes)/30  ,  DAYS360(DATE(YEAR(E755),MONTH(E755),1),Mes)/30  )  &gt;  0 , IF(F755,   DAYS360(DATE(YEAR(F755),MONTH(F755),1),Mes)/30  ,  DAYS360(DATE(YEAR(E755),MONTH(E755),1),Mes)/30) , 0)       )</f>
        <v>0</v>
      </c>
      <c r="L755" s="27">
        <f t="shared" si="253"/>
        <v>0</v>
      </c>
      <c r="M755" s="28"/>
      <c r="N755" s="29">
        <f>IF( ISERROR(OFFSET(SECUESTRADOS!D$1,MATCH(B755,SECUESTRADOS!A$2:A1405,0),0)) ,0 ,  OFFSET(SECUESTRADOS!D$1,MATCH(B755,SECUESTRADOS!A$2:A1405,0),0)  )</f>
        <v>0</v>
      </c>
      <c r="O755" s="30"/>
      <c r="P755" s="17" t="str">
        <f t="shared" si="238"/>
        <v>Bono canon</v>
      </c>
      <c r="Q755" s="17" t="str">
        <f t="shared" ref="Q755:Q756" si="265">IF(AND(A755=A754,B755=B754,C755=C754),"Repetido","")</f>
        <v/>
      </c>
      <c r="R755" s="31"/>
      <c r="S755" s="31"/>
      <c r="T755" s="31"/>
    </row>
    <row r="756">
      <c r="A756" s="18" t="s">
        <v>40</v>
      </c>
      <c r="B756" s="18" t="s">
        <v>341</v>
      </c>
      <c r="C756" s="19">
        <v>2043.0</v>
      </c>
      <c r="D756" s="20" t="str">
        <f>IF(   ISERROR(OFFSET(PADRON!B$2,MATCH(C:C,PADRON!A$2:A1405,0)-1,0,1,1) )  ,  ,    OFFSET(PADRON!B$2,MATCH(C:C,PADRON!A$2:A1405,0)-1,0,1,1))</f>
        <v>CORREA, FLORENCIA</v>
      </c>
      <c r="E756" s="21">
        <v>45839.0</v>
      </c>
      <c r="F756" s="21">
        <v>45870.0</v>
      </c>
      <c r="G756" s="23" t="s">
        <v>39</v>
      </c>
      <c r="H756" s="24">
        <f>IF( ISERROR( OFFSET(   'Cuadro tarifario'!D$2  , MATCH(CONCATENATE(                 IF(F756&gt;Mes,OFFSET(NroCT!B$17, MATCH($F756,NroCT!$A$18:$A1405,0),0,1,1),Periodovigente)                                                                                                                     ,A756) ,'Cuadro tarifario'!A$2:A1405,0) -1 , 0 , 1 , 1) )   , 0  ,   OFFSET(   'Cuadro tarifario'!D$2  , MATCH(CONCATENATE( IF(F756&gt;Mes,OFFSET(NroCT!B$17, MATCH($F756,NroCT!$A$18:$A1405,0),0,1,1),Periodovigente) ,A756) ,'Cuadro tarifario'!A$2:A1405,0) -1 , 0 , 1 , 1))</f>
        <v>12000</v>
      </c>
      <c r="I756" s="25">
        <f t="shared" si="252"/>
        <v>1</v>
      </c>
      <c r="J756" s="24">
        <f t="shared" si="235"/>
        <v>12000</v>
      </c>
      <c r="K756" s="26">
        <f>IF(  AND(N756&gt;0,I756=0)          ,N756 ,                         IF(  IF( F756 ,  DAYS360(DATE(YEAR(F756),MONTH(F756),1),Mes)/30  ,  DAYS360(DATE(YEAR(E756),MONTH(E756),1),Mes)/30  )  &gt;  0 , IF(F756,   DAYS360(DATE(YEAR(F756),MONTH(F756),1),Mes)/30  ,  DAYS360(DATE(YEAR(E756),MONTH(E756),1),Mes)/30) , 0)       )</f>
        <v>0</v>
      </c>
      <c r="L756" s="27">
        <f t="shared" si="253"/>
        <v>0</v>
      </c>
      <c r="M756" s="28"/>
      <c r="N756" s="29">
        <f>IF( ISERROR(OFFSET(SECUESTRADOS!D$1,MATCH(B756,SECUESTRADOS!A$2:A1405,0),0)) ,0 ,  OFFSET(SECUESTRADOS!D$1,MATCH(B756,SECUESTRADOS!A$2:A1405,0),0)  )</f>
        <v>0</v>
      </c>
      <c r="O756" s="30"/>
      <c r="P756" s="17" t="str">
        <f t="shared" si="238"/>
        <v>cuna windsurf</v>
      </c>
      <c r="Q756" s="17" t="str">
        <f t="shared" si="265"/>
        <v/>
      </c>
      <c r="R756" s="31"/>
      <c r="S756" s="31"/>
      <c r="T756" s="31"/>
    </row>
    <row r="757">
      <c r="A757" s="18" t="s">
        <v>71</v>
      </c>
      <c r="B757" s="18">
        <v>2044.0</v>
      </c>
      <c r="C757" s="19">
        <v>2044.0</v>
      </c>
      <c r="D757" s="20" t="str">
        <f>IF(   ISERROR(OFFSET(PADRON!B$2,MATCH(C:C,PADRON!A$2:A1405,0)-1,0,1,1) )  ,  ,    OFFSET(PADRON!B$2,MATCH(C:C,PADRON!A$2:A1405,0)-1,0,1,1))</f>
        <v>LÍBANO, MA. JOSE</v>
      </c>
      <c r="E757" s="21">
        <v>45839.0</v>
      </c>
      <c r="F757" s="21">
        <v>45931.0</v>
      </c>
      <c r="G757" s="23" t="s">
        <v>39</v>
      </c>
      <c r="H757" s="24">
        <f>IF( ISERROR( OFFSET(   'Cuadro tarifario'!D$2  , MATCH(CONCATENATE(                 IF(F757&gt;Mes,OFFSET(NroCT!B$17, MATCH($F757,NroCT!$A$18:$A1405,0),0,1,1),Periodovigente)                                                                                                                     ,A757) ,'Cuadro tarifario'!A$2:A1405,0) -1 , 0 , 1 , 1) )   , 0  ,   OFFSET(   'Cuadro tarifario'!D$2  , MATCH(CONCATENATE( IF(F757&gt;Mes,OFFSET(NroCT!B$17, MATCH($F757,NroCT!$A$18:$A1405,0),0,1,1),Periodovigente) ,A757) ,'Cuadro tarifario'!A$2:A1405,0) -1 , 0 , 1 , 1))</f>
        <v>11000</v>
      </c>
      <c r="I757" s="25">
        <f t="shared" si="252"/>
        <v>3</v>
      </c>
      <c r="J757" s="24">
        <f t="shared" si="235"/>
        <v>33000</v>
      </c>
      <c r="K757" s="26">
        <f>IF(  AND(N757&gt;0,I757=0)          ,N757 ,                         IF(  IF( F757 ,  DAYS360(DATE(YEAR(F757),MONTH(F757),1),Mes)/30  ,  DAYS360(DATE(YEAR(E757),MONTH(E757),1),Mes)/30  )  &gt;  0 , IF(F757,   DAYS360(DATE(YEAR(F757),MONTH(F757),1),Mes)/30  ,  DAYS360(DATE(YEAR(E757),MONTH(E757),1),Mes)/30) , 0)       )</f>
        <v>0</v>
      </c>
      <c r="L757" s="27">
        <f t="shared" si="253"/>
        <v>0</v>
      </c>
      <c r="M757" s="28"/>
      <c r="N757" s="29">
        <f>IF( ISERROR(OFFSET(SECUESTRADOS!D$1,MATCH(B757,SECUESTRADOS!A$2:A1405,0),0)) ,0 ,  OFFSET(SECUESTRADOS!D$1,MATCH(B757,SECUESTRADOS!A$2:A1405,0),0)  )</f>
        <v>0</v>
      </c>
      <c r="O757" s="30"/>
      <c r="P757" s="17" t="str">
        <f t="shared" si="238"/>
        <v>.socio</v>
      </c>
      <c r="Q757" s="17" t="str">
        <f>IF(AND(A757=#REF!,B757=#REF!,C757=#REF!),"Repetido","")</f>
        <v>#REF!</v>
      </c>
      <c r="R757" s="31"/>
      <c r="S757" s="31"/>
      <c r="T757" s="31"/>
    </row>
    <row r="758">
      <c r="A758" s="18" t="s">
        <v>38</v>
      </c>
      <c r="B758" s="18">
        <v>2044.0</v>
      </c>
      <c r="C758" s="19">
        <v>2044.0</v>
      </c>
      <c r="D758" s="20" t="str">
        <f>IF(   ISERROR(OFFSET(PADRON!B$2,MATCH(C:C,PADRON!A$2:A1405,0)-1,0,1,1) )  ,  ,    OFFSET(PADRON!B$2,MATCH(C:C,PADRON!A$2:A1405,0)-1,0,1,1))</f>
        <v>LÍBANO, MA. JOSE</v>
      </c>
      <c r="E758" s="21">
        <v>45839.0</v>
      </c>
      <c r="F758" s="21">
        <v>45931.0</v>
      </c>
      <c r="G758" s="23" t="s">
        <v>39</v>
      </c>
      <c r="H758" s="24">
        <f>IF( ISERROR( OFFSET(   'Cuadro tarifario'!D$2  , MATCH(CONCATENATE(                 IF(F758&gt;Mes,OFFSET(NroCT!B$17, MATCH($F758,NroCT!$A$18:$A1405,0),0,1,1),Periodovigente)                                                                                                                     ,A758) ,'Cuadro tarifario'!A$2:A1405,0) -1 , 0 , 1 , 1) )   , 0  ,   OFFSET(   'Cuadro tarifario'!D$2  , MATCH(CONCATENATE( IF(F758&gt;Mes,OFFSET(NroCT!B$17, MATCH($F758,NroCT!$A$18:$A1405,0),0,1,1),Periodovigente) ,A758) ,'Cuadro tarifario'!A$2:A1405,0) -1 , 0 , 1 , 1))</f>
        <v>9000</v>
      </c>
      <c r="I758" s="25">
        <f t="shared" si="252"/>
        <v>3</v>
      </c>
      <c r="J758" s="24">
        <f t="shared" si="235"/>
        <v>27000</v>
      </c>
      <c r="K758" s="26">
        <f>IF(  AND(N758&gt;0,I758=0)          ,N758 ,                         IF(  IF( F758 ,  DAYS360(DATE(YEAR(F758),MONTH(F758),1),Mes)/30  ,  DAYS360(DATE(YEAR(E758),MONTH(E758),1),Mes)/30  )  &gt;  0 , IF(F758,   DAYS360(DATE(YEAR(F758),MONTH(F758),1),Mes)/30  ,  DAYS360(DATE(YEAR(E758),MONTH(E758),1),Mes)/30) , 0)       )</f>
        <v>0</v>
      </c>
      <c r="L758" s="27">
        <f t="shared" si="253"/>
        <v>0</v>
      </c>
      <c r="M758" s="28"/>
      <c r="N758" s="29">
        <f>IF( ISERROR(OFFSET(SECUESTRADOS!D$1,MATCH(B758,SECUESTRADOS!A$2:A1405,0),0)) ,0 ,  OFFSET(SECUESTRADOS!D$1,MATCH(B758,SECUESTRADOS!A$2:A1405,0),0)  )</f>
        <v>0</v>
      </c>
      <c r="O758" s="30"/>
      <c r="P758" s="17" t="str">
        <f t="shared" si="238"/>
        <v>Bono canon</v>
      </c>
      <c r="Q758" s="17" t="str">
        <f>IF(AND(A758=A757,B758=B757,C758=C757),"Repetido","")</f>
        <v/>
      </c>
      <c r="R758" s="31"/>
      <c r="S758" s="31"/>
      <c r="T758" s="31"/>
    </row>
    <row r="759">
      <c r="A759" s="18" t="s">
        <v>71</v>
      </c>
      <c r="B759" s="18">
        <v>2045.0</v>
      </c>
      <c r="C759" s="19">
        <v>2045.0</v>
      </c>
      <c r="D759" s="20" t="str">
        <f>IF(   ISERROR(OFFSET(PADRON!B$2,MATCH(C:C,PADRON!A$2:A1405,0)-1,0,1,1) )  ,  ,    OFFSET(PADRON!B$2,MATCH(C:C,PADRON!A$2:A1405,0)-1,0,1,1))</f>
        <v>SALICARO, JUAN CARLOS</v>
      </c>
      <c r="E759" s="21">
        <v>45931.0</v>
      </c>
      <c r="F759" s="21"/>
      <c r="G759" s="23" t="s">
        <v>39</v>
      </c>
      <c r="H759" s="24">
        <f>IF( ISERROR( OFFSET(   'Cuadro tarifario'!D$2  , MATCH(CONCATENATE(                 IF(F759&gt;Mes,OFFSET(NroCT!B$17, MATCH($F759,NroCT!$A$18:$A1405,0),0,1,1),Periodovigente)                                                                                                                     ,A759) ,'Cuadro tarifario'!A$2:A1405,0) -1 , 0 , 1 , 1) )   , 0  ,   OFFSET(   'Cuadro tarifario'!D$2  , MATCH(CONCATENATE( IF(F759&gt;Mes,OFFSET(NroCT!B$17, MATCH($F759,NroCT!$A$18:$A1405,0),0,1,1),Periodovigente) ,A759) ,'Cuadro tarifario'!A$2:A1405,0) -1 , 0 , 1 , 1))</f>
        <v>11000</v>
      </c>
      <c r="I759" s="25">
        <f t="shared" si="252"/>
        <v>0</v>
      </c>
      <c r="J759" s="24">
        <f t="shared" si="235"/>
        <v>0</v>
      </c>
      <c r="K759" s="26">
        <f>IF(  AND(N759&gt;0,I759=0)          ,N759 ,                         IF(  IF( F759 ,  DAYS360(DATE(YEAR(F759),MONTH(F759),1),Mes)/30  ,  DAYS360(DATE(YEAR(E759),MONTH(E759),1),Mes)/30  )  &gt;  0 , IF(F759,   DAYS360(DATE(YEAR(F759),MONTH(F759),1),Mes)/30  ,  DAYS360(DATE(YEAR(E759),MONTH(E759),1),Mes)/30) , 0)       )</f>
        <v>0</v>
      </c>
      <c r="L759" s="27">
        <f t="shared" si="253"/>
        <v>0</v>
      </c>
      <c r="M759" s="65"/>
      <c r="N759" s="29">
        <f>IF( ISERROR(OFFSET(SECUESTRADOS!D$1,MATCH(B759,SECUESTRADOS!A$2:A1405,0),0)) ,0 ,  OFFSET(SECUESTRADOS!D$1,MATCH(B759,SECUESTRADOS!A$2:A1405,0),0)  )</f>
        <v>0</v>
      </c>
      <c r="O759" s="30"/>
      <c r="P759" s="17" t="b">
        <f t="shared" si="238"/>
        <v>0</v>
      </c>
      <c r="Q759" s="17" t="str">
        <f>IF(AND(A759=#REF!,B759=#REF!,C759=#REF!),"Repetido","")</f>
        <v>#REF!</v>
      </c>
      <c r="R759" s="31"/>
      <c r="S759" s="31"/>
      <c r="T759" s="31"/>
    </row>
    <row r="760">
      <c r="A760" s="18" t="s">
        <v>38</v>
      </c>
      <c r="B760" s="18">
        <v>2045.0</v>
      </c>
      <c r="C760" s="19">
        <v>2045.0</v>
      </c>
      <c r="D760" s="20" t="str">
        <f>IF(   ISERROR(OFFSET(PADRON!B$2,MATCH(C:C,PADRON!A$2:A1405,0)-1,0,1,1) )  ,  ,    OFFSET(PADRON!B$2,MATCH(C:C,PADRON!A$2:A1405,0)-1,0,1,1))</f>
        <v>SALICARO, JUAN CARLOS</v>
      </c>
      <c r="E760" s="21">
        <v>45931.0</v>
      </c>
      <c r="F760" s="21"/>
      <c r="G760" s="23" t="s">
        <v>39</v>
      </c>
      <c r="H760" s="24">
        <f>IF( ISERROR( OFFSET(   'Cuadro tarifario'!D$2  , MATCH(CONCATENATE(                 IF(F760&gt;Mes,OFFSET(NroCT!B$17, MATCH($F760,NroCT!$A$18:$A1405,0),0,1,1),Periodovigente)                                                                                                                     ,A760) ,'Cuadro tarifario'!A$2:A1405,0) -1 , 0 , 1 , 1) )   , 0  ,   OFFSET(   'Cuadro tarifario'!D$2  , MATCH(CONCATENATE( IF(F760&gt;Mes,OFFSET(NroCT!B$17, MATCH($F760,NroCT!$A$18:$A1405,0),0,1,1),Periodovigente) ,A760) ,'Cuadro tarifario'!A$2:A1405,0) -1 , 0 , 1 , 1))</f>
        <v>9000</v>
      </c>
      <c r="I760" s="25">
        <f t="shared" si="252"/>
        <v>0</v>
      </c>
      <c r="J760" s="24">
        <f t="shared" si="235"/>
        <v>0</v>
      </c>
      <c r="K760" s="26">
        <f>IF(  AND(N760&gt;0,I760=0)          ,N760 ,                         IF(  IF( F760 ,  DAYS360(DATE(YEAR(F760),MONTH(F760),1),Mes)/30  ,  DAYS360(DATE(YEAR(E760),MONTH(E760),1),Mes)/30  )  &gt;  0 , IF(F760,   DAYS360(DATE(YEAR(F760),MONTH(F760),1),Mes)/30  ,  DAYS360(DATE(YEAR(E760),MONTH(E760),1),Mes)/30) , 0)       )</f>
        <v>0</v>
      </c>
      <c r="L760" s="27">
        <f t="shared" si="253"/>
        <v>0</v>
      </c>
      <c r="M760" s="28"/>
      <c r="N760" s="29">
        <f>IF( ISERROR(OFFSET(SECUESTRADOS!D$1,MATCH(B760,SECUESTRADOS!A$2:A1405,0),0)) ,0 ,  OFFSET(SECUESTRADOS!D$1,MATCH(B760,SECUESTRADOS!A$2:A1405,0),0)  )</f>
        <v>0</v>
      </c>
      <c r="O760" s="30"/>
      <c r="P760" s="17" t="b">
        <f t="shared" si="238"/>
        <v>0</v>
      </c>
      <c r="Q760" s="17" t="str">
        <f>IF(AND(A760=A759,B760=B759,C760=C759),"Repetido","")</f>
        <v/>
      </c>
      <c r="R760" s="31"/>
      <c r="S760" s="31"/>
      <c r="T760" s="31"/>
    </row>
    <row r="761">
      <c r="A761" s="18" t="s">
        <v>71</v>
      </c>
      <c r="B761" s="18">
        <v>2046.0</v>
      </c>
      <c r="C761" s="19">
        <v>2046.0</v>
      </c>
      <c r="D761" s="20" t="str">
        <f>IF(   ISERROR(OFFSET(PADRON!B$2,MATCH(C:C,PADRON!A$2:A1405,0)-1,0,1,1) )  ,  ,    OFFSET(PADRON!B$2,MATCH(C:C,PADRON!A$2:A1405,0)-1,0,1,1))</f>
        <v>SCIACCHITANO, MA. GABRIELA</v>
      </c>
      <c r="E761" s="21">
        <v>45839.0</v>
      </c>
      <c r="F761" s="21">
        <v>45870.0</v>
      </c>
      <c r="G761" s="23" t="s">
        <v>39</v>
      </c>
      <c r="H761" s="24">
        <f>IF( ISERROR( OFFSET(   'Cuadro tarifario'!D$2  , MATCH(CONCATENATE(                 IF(F761&gt;Mes,OFFSET(NroCT!B$17, MATCH($F761,NroCT!$A$18:$A1405,0),0,1,1),Periodovigente)                                                                                                                     ,A761) ,'Cuadro tarifario'!A$2:A1405,0) -1 , 0 , 1 , 1) )   , 0  ,   OFFSET(   'Cuadro tarifario'!D$2  , MATCH(CONCATENATE( IF(F761&gt;Mes,OFFSET(NroCT!B$17, MATCH($F761,NroCT!$A$18:$A1405,0),0,1,1),Periodovigente) ,A761) ,'Cuadro tarifario'!A$2:A1405,0) -1 , 0 , 1 , 1))</f>
        <v>11000</v>
      </c>
      <c r="I761" s="25">
        <f t="shared" si="252"/>
        <v>1</v>
      </c>
      <c r="J761" s="24">
        <f t="shared" si="235"/>
        <v>11000</v>
      </c>
      <c r="K761" s="26">
        <f>IF(  AND(N761&gt;0,I761=0)          ,N761 ,                         IF(  IF( F761 ,  DAYS360(DATE(YEAR(F761),MONTH(F761),1),Mes)/30  ,  DAYS360(DATE(YEAR(E761),MONTH(E761),1),Mes)/30  )  &gt;  0 , IF(F761,   DAYS360(DATE(YEAR(F761),MONTH(F761),1),Mes)/30  ,  DAYS360(DATE(YEAR(E761),MONTH(E761),1),Mes)/30) , 0)       )</f>
        <v>0</v>
      </c>
      <c r="L761" s="27">
        <f t="shared" si="253"/>
        <v>0</v>
      </c>
      <c r="M761" s="65"/>
      <c r="N761" s="29">
        <f>IF( ISERROR(OFFSET(SECUESTRADOS!D$1,MATCH(B761,SECUESTRADOS!A$2:A1405,0),0)) ,0 ,  OFFSET(SECUESTRADOS!D$1,MATCH(B761,SECUESTRADOS!A$2:A1405,0),0)  )</f>
        <v>0</v>
      </c>
      <c r="O761" s="30"/>
      <c r="P761" s="17" t="str">
        <f t="shared" si="238"/>
        <v>.socio</v>
      </c>
      <c r="Q761" s="17" t="str">
        <f>IF(AND(A761=#REF!,B761=#REF!,C761=#REF!),"Repetido","")</f>
        <v>#REF!</v>
      </c>
      <c r="R761" s="31"/>
      <c r="S761" s="31"/>
      <c r="T761" s="31"/>
    </row>
    <row r="762">
      <c r="A762" s="18" t="s">
        <v>38</v>
      </c>
      <c r="B762" s="18">
        <v>2026.0</v>
      </c>
      <c r="C762" s="19">
        <v>2046.0</v>
      </c>
      <c r="D762" s="20" t="str">
        <f>IF(   ISERROR(OFFSET(PADRON!B$2,MATCH(C:C,PADRON!A$2:A1405,0)-1,0,1,1) )  ,  ,    OFFSET(PADRON!B$2,MATCH(C:C,PADRON!A$2:A1405,0)-1,0,1,1))</f>
        <v>SCIACCHITANO, MA. GABRIELA</v>
      </c>
      <c r="E762" s="21">
        <v>45839.0</v>
      </c>
      <c r="F762" s="21">
        <v>45870.0</v>
      </c>
      <c r="G762" s="23" t="s">
        <v>39</v>
      </c>
      <c r="H762" s="24">
        <f>IF( ISERROR( OFFSET(   'Cuadro tarifario'!D$2  , MATCH(CONCATENATE(                 IF(F762&gt;Mes,OFFSET(NroCT!B$17, MATCH($F762,NroCT!$A$18:$A1405,0),0,1,1),Periodovigente)                                                                                                                     ,A762) ,'Cuadro tarifario'!A$2:A1405,0) -1 , 0 , 1 , 1) )   , 0  ,   OFFSET(   'Cuadro tarifario'!D$2  , MATCH(CONCATENATE( IF(F762&gt;Mes,OFFSET(NroCT!B$17, MATCH($F762,NroCT!$A$18:$A1405,0),0,1,1),Periodovigente) ,A762) ,'Cuadro tarifario'!A$2:A1405,0) -1 , 0 , 1 , 1))</f>
        <v>9000</v>
      </c>
      <c r="I762" s="25">
        <f t="shared" si="252"/>
        <v>1</v>
      </c>
      <c r="J762" s="24">
        <f t="shared" si="235"/>
        <v>9000</v>
      </c>
      <c r="K762" s="26">
        <f>IF(  AND(N762&gt;0,I762=0)          ,N762 ,                         IF(  IF( F762 ,  DAYS360(DATE(YEAR(F762),MONTH(F762),1),Mes)/30  ,  DAYS360(DATE(YEAR(E762),MONTH(E762),1),Mes)/30  )  &gt;  0 , IF(F762,   DAYS360(DATE(YEAR(F762),MONTH(F762),1),Mes)/30  ,  DAYS360(DATE(YEAR(E762),MONTH(E762),1),Mes)/30) , 0)       )</f>
        <v>0</v>
      </c>
      <c r="L762" s="27">
        <f t="shared" si="253"/>
        <v>0</v>
      </c>
      <c r="M762" s="28"/>
      <c r="N762" s="29">
        <f>IF( ISERROR(OFFSET(SECUESTRADOS!D$1,MATCH(B762,SECUESTRADOS!A$2:A1405,0),0)) ,0 ,  OFFSET(SECUESTRADOS!D$1,MATCH(B762,SECUESTRADOS!A$2:A1405,0),0)  )</f>
        <v>0</v>
      </c>
      <c r="O762" s="30"/>
      <c r="P762" s="17" t="str">
        <f t="shared" si="238"/>
        <v>Bono canon</v>
      </c>
      <c r="Q762" s="17" t="str">
        <f t="shared" ref="Q762:Q763" si="266">IF(AND(A762=A761,B762=B761,C762=C761),"Repetido","")</f>
        <v/>
      </c>
      <c r="R762" s="31"/>
      <c r="S762" s="31"/>
      <c r="T762" s="31"/>
    </row>
    <row r="763">
      <c r="A763" s="18" t="s">
        <v>40</v>
      </c>
      <c r="B763" s="18" t="s">
        <v>342</v>
      </c>
      <c r="C763" s="19">
        <v>2046.0</v>
      </c>
      <c r="D763" s="20" t="str">
        <f>IF(   ISERROR(OFFSET(PADRON!B$2,MATCH(C:C,PADRON!A$2:A1405,0)-1,0,1,1) )  ,  ,    OFFSET(PADRON!B$2,MATCH(C:C,PADRON!A$2:A1405,0)-1,0,1,1))</f>
        <v>SCIACCHITANO, MA. GABRIELA</v>
      </c>
      <c r="E763" s="21">
        <v>45839.0</v>
      </c>
      <c r="F763" s="21">
        <v>45870.0</v>
      </c>
      <c r="G763" s="23" t="s">
        <v>39</v>
      </c>
      <c r="H763" s="24">
        <f>IF( ISERROR( OFFSET(   'Cuadro tarifario'!D$2  , MATCH(CONCATENATE(                 IF(F763&gt;Mes,OFFSET(NroCT!B$17, MATCH($F763,NroCT!$A$18:$A1405,0),0,1,1),Periodovigente)                                                                                                                     ,A763) ,'Cuadro tarifario'!A$2:A1405,0) -1 , 0 , 1 , 1) )   , 0  ,   OFFSET(   'Cuadro tarifario'!D$2  , MATCH(CONCATENATE( IF(F763&gt;Mes,OFFSET(NroCT!B$17, MATCH($F763,NroCT!$A$18:$A1405,0),0,1,1),Periodovigente) ,A763) ,'Cuadro tarifario'!A$2:A1405,0) -1 , 0 , 1 , 1))</f>
        <v>12000</v>
      </c>
      <c r="I763" s="25">
        <f t="shared" si="252"/>
        <v>1</v>
      </c>
      <c r="J763" s="24">
        <f t="shared" si="235"/>
        <v>12000</v>
      </c>
      <c r="K763" s="26">
        <f>IF(  AND(N763&gt;0,I763=0)          ,N763 ,                         IF(  IF( F763 ,  DAYS360(DATE(YEAR(F763),MONTH(F763),1),Mes)/30  ,  DAYS360(DATE(YEAR(E763),MONTH(E763),1),Mes)/30  )  &gt;  0 , IF(F763,   DAYS360(DATE(YEAR(F763),MONTH(F763),1),Mes)/30  ,  DAYS360(DATE(YEAR(E763),MONTH(E763),1),Mes)/30) , 0)       )</f>
        <v>0</v>
      </c>
      <c r="L763" s="27">
        <f t="shared" si="253"/>
        <v>0</v>
      </c>
      <c r="M763" s="28"/>
      <c r="N763" s="29">
        <f>IF( ISERROR(OFFSET(SECUESTRADOS!D$1,MATCH(B763,SECUESTRADOS!A$2:A1405,0),0)) ,0 ,  OFFSET(SECUESTRADOS!D$1,MATCH(B763,SECUESTRADOS!A$2:A1405,0),0)  )</f>
        <v>0</v>
      </c>
      <c r="O763" s="30"/>
      <c r="P763" s="17" t="str">
        <f t="shared" si="238"/>
        <v>cuna windsurf</v>
      </c>
      <c r="Q763" s="17" t="str">
        <f t="shared" si="266"/>
        <v/>
      </c>
      <c r="R763" s="31"/>
      <c r="S763" s="31"/>
      <c r="T763" s="31"/>
    </row>
    <row r="764">
      <c r="A764" s="18" t="s">
        <v>71</v>
      </c>
      <c r="B764" s="18">
        <v>2047.0</v>
      </c>
      <c r="C764" s="19">
        <v>2047.0</v>
      </c>
      <c r="D764" s="20" t="str">
        <f>IF(   ISERROR(OFFSET(PADRON!B$2,MATCH(C:C,PADRON!A$2:A1405,0)-1,0,1,1) )  ,  ,    OFFSET(PADRON!B$2,MATCH(C:C,PADRON!A$2:A1405,0)-1,0,1,1))</f>
        <v>NADAL, NELVA HILDA</v>
      </c>
      <c r="E764" s="21">
        <v>45839.0</v>
      </c>
      <c r="F764" s="21">
        <v>45870.0</v>
      </c>
      <c r="G764" s="23" t="s">
        <v>39</v>
      </c>
      <c r="H764" s="24">
        <f>IF( ISERROR( OFFSET(   'Cuadro tarifario'!D$2  , MATCH(CONCATENATE(                 IF(F764&gt;Mes,OFFSET(NroCT!B$17, MATCH($F764,NroCT!$A$18:$A1405,0),0,1,1),Periodovigente)                                                                                                                     ,A764) ,'Cuadro tarifario'!A$2:A1405,0) -1 , 0 , 1 , 1) )   , 0  ,   OFFSET(   'Cuadro tarifario'!D$2  , MATCH(CONCATENATE( IF(F764&gt;Mes,OFFSET(NroCT!B$17, MATCH($F764,NroCT!$A$18:$A1405,0),0,1,1),Periodovigente) ,A764) ,'Cuadro tarifario'!A$2:A1405,0) -1 , 0 , 1 , 1))</f>
        <v>11000</v>
      </c>
      <c r="I764" s="25">
        <f t="shared" si="252"/>
        <v>1</v>
      </c>
      <c r="J764" s="24">
        <f t="shared" si="235"/>
        <v>11000</v>
      </c>
      <c r="K764" s="26">
        <f>IF(  AND(N764&gt;0,I764=0)          ,N764 ,                         IF(  IF( F764 ,  DAYS360(DATE(YEAR(F764),MONTH(F764),1),Mes)/30  ,  DAYS360(DATE(YEAR(E764),MONTH(E764),1),Mes)/30  )  &gt;  0 , IF(F764,   DAYS360(DATE(YEAR(F764),MONTH(F764),1),Mes)/30  ,  DAYS360(DATE(YEAR(E764),MONTH(E764),1),Mes)/30) , 0)       )</f>
        <v>0</v>
      </c>
      <c r="L764" s="27">
        <f t="shared" si="253"/>
        <v>0</v>
      </c>
      <c r="M764" s="65"/>
      <c r="N764" s="29">
        <f>IF( ISERROR(OFFSET(SECUESTRADOS!D$1,MATCH(B764,SECUESTRADOS!A$2:A1405,0),0)) ,0 ,  OFFSET(SECUESTRADOS!D$1,MATCH(B764,SECUESTRADOS!A$2:A1405,0),0)  )</f>
        <v>0</v>
      </c>
      <c r="O764" s="30"/>
      <c r="P764" s="17" t="str">
        <f t="shared" si="238"/>
        <v>.socio</v>
      </c>
      <c r="Q764" s="17" t="str">
        <f>IF(AND(A764=#REF!,B764=#REF!,C764=#REF!),"Repetido","")</f>
        <v>#REF!</v>
      </c>
      <c r="R764" s="31"/>
      <c r="S764" s="31"/>
      <c r="T764" s="31"/>
    </row>
    <row r="765">
      <c r="A765" s="18" t="s">
        <v>38</v>
      </c>
      <c r="B765" s="18">
        <v>2047.0</v>
      </c>
      <c r="C765" s="19">
        <v>2047.0</v>
      </c>
      <c r="D765" s="20" t="str">
        <f>IF(   ISERROR(OFFSET(PADRON!B$2,MATCH(C:C,PADRON!A$2:A1405,0)-1,0,1,1) )  ,  ,    OFFSET(PADRON!B$2,MATCH(C:C,PADRON!A$2:A1405,0)-1,0,1,1))</f>
        <v>NADAL, NELVA HILDA</v>
      </c>
      <c r="E765" s="21">
        <v>45839.0</v>
      </c>
      <c r="F765" s="21">
        <v>45870.0</v>
      </c>
      <c r="G765" s="23" t="s">
        <v>39</v>
      </c>
      <c r="H765" s="24">
        <f>IF( ISERROR( OFFSET(   'Cuadro tarifario'!D$2  , MATCH(CONCATENATE(                 IF(F765&gt;Mes,OFFSET(NroCT!B$17, MATCH($F765,NroCT!$A$18:$A1405,0),0,1,1),Periodovigente)                                                                                                                     ,A765) ,'Cuadro tarifario'!A$2:A1405,0) -1 , 0 , 1 , 1) )   , 0  ,   OFFSET(   'Cuadro tarifario'!D$2  , MATCH(CONCATENATE( IF(F765&gt;Mes,OFFSET(NroCT!B$17, MATCH($F765,NroCT!$A$18:$A1405,0),0,1,1),Periodovigente) ,A765) ,'Cuadro tarifario'!A$2:A1405,0) -1 , 0 , 1 , 1))</f>
        <v>9000</v>
      </c>
      <c r="I765" s="25">
        <f t="shared" si="252"/>
        <v>1</v>
      </c>
      <c r="J765" s="24">
        <f t="shared" si="235"/>
        <v>9000</v>
      </c>
      <c r="K765" s="26">
        <f>IF(  AND(N765&gt;0,I765=0)          ,N765 ,                         IF(  IF( F765 ,  DAYS360(DATE(YEAR(F765),MONTH(F765),1),Mes)/30  ,  DAYS360(DATE(YEAR(E765),MONTH(E765),1),Mes)/30  )  &gt;  0 , IF(F765,   DAYS360(DATE(YEAR(F765),MONTH(F765),1),Mes)/30  ,  DAYS360(DATE(YEAR(E765),MONTH(E765),1),Mes)/30) , 0)       )</f>
        <v>0</v>
      </c>
      <c r="L765" s="27">
        <f t="shared" si="253"/>
        <v>0</v>
      </c>
      <c r="M765" s="28"/>
      <c r="N765" s="29">
        <f>IF( ISERROR(OFFSET(SECUESTRADOS!D$1,MATCH(B765,SECUESTRADOS!A$2:A1405,0),0)) ,0 ,  OFFSET(SECUESTRADOS!D$1,MATCH(B765,SECUESTRADOS!A$2:A1405,0),0)  )</f>
        <v>0</v>
      </c>
      <c r="O765" s="30"/>
      <c r="P765" s="17" t="str">
        <f t="shared" si="238"/>
        <v>Bono canon</v>
      </c>
      <c r="Q765" s="17" t="str">
        <f>IF(AND(A765=A764,B765=B764,C765=C764),"Repetido","")</f>
        <v/>
      </c>
      <c r="R765" s="31"/>
      <c r="S765" s="31"/>
      <c r="T765" s="31"/>
    </row>
    <row r="766">
      <c r="A766" s="18" t="s">
        <v>40</v>
      </c>
      <c r="B766" s="18" t="s">
        <v>343</v>
      </c>
      <c r="C766" s="19">
        <v>2047.0</v>
      </c>
      <c r="D766" s="20" t="str">
        <f>IF(   ISERROR(OFFSET(PADRON!B$2,MATCH(C:C,PADRON!A$2:A1405,0)-1,0,1,1) )  ,  ,    OFFSET(PADRON!B$2,MATCH(C:C,PADRON!A$2:A1405,0)-1,0,1,1))</f>
        <v>NADAL, NELVA HILDA</v>
      </c>
      <c r="E766" s="21">
        <v>45839.0</v>
      </c>
      <c r="F766" s="21">
        <v>45870.0</v>
      </c>
      <c r="G766" s="23" t="s">
        <v>39</v>
      </c>
      <c r="H766" s="24">
        <f>IF( ISERROR( OFFSET(   'Cuadro tarifario'!D$2  , MATCH(CONCATENATE(                 IF(F766&gt;Mes,OFFSET(NroCT!B$17, MATCH($F766,NroCT!$A$18:$A1405,0),0,1,1),Periodovigente)                                                                                                                     ,A766) ,'Cuadro tarifario'!A$2:A1405,0) -1 , 0 , 1 , 1) )   , 0  ,   OFFSET(   'Cuadro tarifario'!D$2  , MATCH(CONCATENATE( IF(F766&gt;Mes,OFFSET(NroCT!B$17, MATCH($F766,NroCT!$A$18:$A1405,0),0,1,1),Periodovigente) ,A766) ,'Cuadro tarifario'!A$2:A1405,0) -1 , 0 , 1 , 1))</f>
        <v>12000</v>
      </c>
      <c r="I766" s="25">
        <f t="shared" si="252"/>
        <v>1</v>
      </c>
      <c r="J766" s="24">
        <f t="shared" si="235"/>
        <v>12000</v>
      </c>
      <c r="K766" s="26">
        <f>IF(  AND(N766&gt;0,I766=0)          ,N766 ,                         IF(  IF( F766 ,  DAYS360(DATE(YEAR(F766),MONTH(F766),1),Mes)/30  ,  DAYS360(DATE(YEAR(E766),MONTH(E766),1),Mes)/30  )  &gt;  0 , IF(F766,   DAYS360(DATE(YEAR(F766),MONTH(F766),1),Mes)/30  ,  DAYS360(DATE(YEAR(E766),MONTH(E766),1),Mes)/30) , 0)       )</f>
        <v>0</v>
      </c>
      <c r="L766" s="27">
        <f t="shared" si="253"/>
        <v>0</v>
      </c>
      <c r="M766" s="28"/>
      <c r="N766" s="29">
        <f>IF( ISERROR(OFFSET(SECUESTRADOS!D$1,MATCH(B766,SECUESTRADOS!A$2:A1405,0),0)) ,0 ,  OFFSET(SECUESTRADOS!D$1,MATCH(B766,SECUESTRADOS!A$2:A1405,0),0)  )</f>
        <v>0</v>
      </c>
      <c r="O766" s="30"/>
      <c r="P766" s="17" t="str">
        <f t="shared" si="238"/>
        <v>cuna windsurf</v>
      </c>
      <c r="Q766" s="17" t="str">
        <f t="shared" ref="Q766:Q769" si="267">IF(AND(A766=#REF!,B766=#REF!,C766=#REF!),"Repetido","")</f>
        <v>#REF!</v>
      </c>
      <c r="R766" s="31"/>
      <c r="S766" s="31"/>
      <c r="T766" s="31"/>
    </row>
    <row r="767">
      <c r="A767" s="18" t="s">
        <v>50</v>
      </c>
      <c r="B767" s="18" t="s">
        <v>344</v>
      </c>
      <c r="C767" s="19">
        <v>2047.0</v>
      </c>
      <c r="D767" s="20" t="str">
        <f>IF(   ISERROR(OFFSET(PADRON!B$2,MATCH(C:C,PADRON!A$2:A1405,0)-1,0,1,1) )  ,  ,    OFFSET(PADRON!B$2,MATCH(C:C,PADRON!A$2:A1405,0)-1,0,1,1))</f>
        <v>NADAL, NELVA HILDA</v>
      </c>
      <c r="E767" s="21">
        <v>45992.0</v>
      </c>
      <c r="F767" s="21"/>
      <c r="G767" s="23" t="s">
        <v>39</v>
      </c>
      <c r="H767" s="24">
        <f>IF( ISERROR( OFFSET(   'Cuadro tarifario'!D$2  , MATCH(CONCATENATE(                 IF(F767&gt;Mes,OFFSET(NroCT!B$17, MATCH($F767,NroCT!$A$18:$A1405,0),0,1,1),Periodovigente)                                                                                                                     ,A767) ,'Cuadro tarifario'!A$2:A1405,0) -1 , 0 , 1 , 1) )   , 0  ,   OFFSET(   'Cuadro tarifario'!D$2  , MATCH(CONCATENATE( IF(F767&gt;Mes,OFFSET(NroCT!B$17, MATCH($F767,NroCT!$A$18:$A1405,0),0,1,1),Periodovigente) ,A767) ,'Cuadro tarifario'!A$2:A1405,0) -1 , 0 , 1 , 1))</f>
        <v>3600</v>
      </c>
      <c r="I767" s="25">
        <f t="shared" si="252"/>
        <v>0</v>
      </c>
      <c r="J767" s="24">
        <f t="shared" si="235"/>
        <v>0</v>
      </c>
      <c r="K767" s="26">
        <f>IF(  AND(N767&gt;0,I767=0)          ,N767 ,                         IF(  IF( F767 ,  DAYS360(DATE(YEAR(F767),MONTH(F767),1),Mes)/30  ,  DAYS360(DATE(YEAR(E767),MONTH(E767),1),Mes)/30  )  &gt;  0 , IF(F767,   DAYS360(DATE(YEAR(F767),MONTH(F767),1),Mes)/30  ,  DAYS360(DATE(YEAR(E767),MONTH(E767),1),Mes)/30) , 0)       )</f>
        <v>0</v>
      </c>
      <c r="L767" s="27">
        <f t="shared" si="253"/>
        <v>0</v>
      </c>
      <c r="M767" s="28"/>
      <c r="N767" s="29">
        <f>IF( ISERROR(OFFSET(SECUESTRADOS!D$1,MATCH(B767,SECUESTRADOS!A$2:A1405,0),0)) ,0 ,  OFFSET(SECUESTRADOS!D$1,MATCH(B767,SECUESTRADOS!A$2:A1405,0),0)  )</f>
        <v>0</v>
      </c>
      <c r="O767" s="30"/>
      <c r="P767" s="17" t="b">
        <f t="shared" si="238"/>
        <v>0</v>
      </c>
      <c r="Q767" s="17" t="str">
        <f t="shared" si="267"/>
        <v>#REF!</v>
      </c>
      <c r="R767" s="31"/>
      <c r="S767" s="31"/>
      <c r="T767" s="31"/>
    </row>
    <row r="768">
      <c r="A768" s="18" t="s">
        <v>71</v>
      </c>
      <c r="B768" s="18">
        <v>2051.0</v>
      </c>
      <c r="C768" s="19">
        <v>2051.0</v>
      </c>
      <c r="D768" s="20" t="str">
        <f>IF(   ISERROR(OFFSET(PADRON!B$2,MATCH(C:C,PADRON!A$2:A1405,0)-1,0,1,1) )  ,  ,    OFFSET(PADRON!B$2,MATCH(C:C,PADRON!A$2:A1405,0)-1,0,1,1))</f>
        <v>BARANDICA, MARIA ELEONORA</v>
      </c>
      <c r="E768" s="21">
        <v>45839.0</v>
      </c>
      <c r="F768" s="21">
        <v>45870.0</v>
      </c>
      <c r="G768" s="23" t="s">
        <v>39</v>
      </c>
      <c r="H768" s="24">
        <f>IF( ISERROR( OFFSET(   'Cuadro tarifario'!D$2  , MATCH(CONCATENATE(                 IF(F768&gt;Mes,OFFSET(NroCT!B$17, MATCH($F768,NroCT!$A$18:$A1405,0),0,1,1),Periodovigente)                                                                                                                     ,A768) ,'Cuadro tarifario'!A$2:A1405,0) -1 , 0 , 1 , 1) )   , 0  ,   OFFSET(   'Cuadro tarifario'!D$2  , MATCH(CONCATENATE( IF(F768&gt;Mes,OFFSET(NroCT!B$17, MATCH($F768,NroCT!$A$18:$A1405,0),0,1,1),Periodovigente) ,A768) ,'Cuadro tarifario'!A$2:A1405,0) -1 , 0 , 1 , 1))</f>
        <v>11000</v>
      </c>
      <c r="I768" s="25">
        <f t="shared" si="252"/>
        <v>1</v>
      </c>
      <c r="J768" s="24">
        <f t="shared" si="235"/>
        <v>11000</v>
      </c>
      <c r="K768" s="26">
        <f>IF(  AND(N768&gt;0,I768=0)          ,N768 ,                         IF(  IF( F768 ,  DAYS360(DATE(YEAR(F768),MONTH(F768),1),Mes)/30  ,  DAYS360(DATE(YEAR(E768),MONTH(E768),1),Mes)/30  )  &gt;  0 , IF(F768,   DAYS360(DATE(YEAR(F768),MONTH(F768),1),Mes)/30  ,  DAYS360(DATE(YEAR(E768),MONTH(E768),1),Mes)/30) , 0)       )</f>
        <v>0</v>
      </c>
      <c r="L768" s="27">
        <f t="shared" si="253"/>
        <v>0</v>
      </c>
      <c r="M768" s="65"/>
      <c r="N768" s="29">
        <f>IF( ISERROR(OFFSET(SECUESTRADOS!D$1,MATCH(B768,SECUESTRADOS!A$2:A1405,0),0)) ,0 ,  OFFSET(SECUESTRADOS!D$1,MATCH(B768,SECUESTRADOS!A$2:A1405,0),0)  )</f>
        <v>0</v>
      </c>
      <c r="O768" s="30"/>
      <c r="P768" s="17" t="str">
        <f t="shared" si="238"/>
        <v>.socio</v>
      </c>
      <c r="Q768" s="17" t="str">
        <f t="shared" si="267"/>
        <v>#REF!</v>
      </c>
      <c r="R768" s="31"/>
      <c r="S768" s="31"/>
      <c r="T768" s="31"/>
    </row>
    <row r="769">
      <c r="A769" s="18" t="s">
        <v>38</v>
      </c>
      <c r="B769" s="18">
        <v>2051.0</v>
      </c>
      <c r="C769" s="19">
        <v>2051.0</v>
      </c>
      <c r="D769" s="20" t="str">
        <f>IF(   ISERROR(OFFSET(PADRON!B$2,MATCH(C:C,PADRON!A$2:A1405,0)-1,0,1,1) )  ,  ,    OFFSET(PADRON!B$2,MATCH(C:C,PADRON!A$2:A1405,0)-1,0,1,1))</f>
        <v>BARANDICA, MARIA ELEONORA</v>
      </c>
      <c r="E769" s="21">
        <v>45839.0</v>
      </c>
      <c r="F769" s="21">
        <v>45870.0</v>
      </c>
      <c r="G769" s="23" t="s">
        <v>39</v>
      </c>
      <c r="H769" s="24">
        <f>IF( ISERROR( OFFSET(   'Cuadro tarifario'!D$2  , MATCH(CONCATENATE(                 IF(F769&gt;Mes,OFFSET(NroCT!B$17, MATCH($F769,NroCT!$A$18:$A1405,0),0,1,1),Periodovigente)                                                                                                                     ,A769) ,'Cuadro tarifario'!A$2:A1405,0) -1 , 0 , 1 , 1) )   , 0  ,   OFFSET(   'Cuadro tarifario'!D$2  , MATCH(CONCATENATE( IF(F769&gt;Mes,OFFSET(NroCT!B$17, MATCH($F769,NroCT!$A$18:$A1405,0),0,1,1),Periodovigente) ,A769) ,'Cuadro tarifario'!A$2:A1405,0) -1 , 0 , 1 , 1))</f>
        <v>9000</v>
      </c>
      <c r="I769" s="25">
        <f t="shared" si="252"/>
        <v>1</v>
      </c>
      <c r="J769" s="24">
        <f t="shared" si="235"/>
        <v>9000</v>
      </c>
      <c r="K769" s="26">
        <f>IF(  AND(N769&gt;0,I769=0)          ,N769 ,                         IF(  IF( F769 ,  DAYS360(DATE(YEAR(F769),MONTH(F769),1),Mes)/30  ,  DAYS360(DATE(YEAR(E769),MONTH(E769),1),Mes)/30  )  &gt;  0 , IF(F769,   DAYS360(DATE(YEAR(F769),MONTH(F769),1),Mes)/30  ,  DAYS360(DATE(YEAR(E769),MONTH(E769),1),Mes)/30) , 0)       )</f>
        <v>0</v>
      </c>
      <c r="L769" s="27">
        <f t="shared" si="253"/>
        <v>0</v>
      </c>
      <c r="M769" s="65"/>
      <c r="N769" s="29">
        <f>IF( ISERROR(OFFSET(SECUESTRADOS!D$1,MATCH(B769,SECUESTRADOS!A$2:A1405,0),0)) ,0 ,  OFFSET(SECUESTRADOS!D$1,MATCH(B769,SECUESTRADOS!A$2:A1405,0),0)  )</f>
        <v>0</v>
      </c>
      <c r="O769" s="30"/>
      <c r="P769" s="17" t="str">
        <f t="shared" si="238"/>
        <v>Bono canon</v>
      </c>
      <c r="Q769" s="17" t="str">
        <f t="shared" si="267"/>
        <v>#REF!</v>
      </c>
      <c r="R769" s="31"/>
      <c r="S769" s="31"/>
      <c r="T769" s="31"/>
    </row>
    <row r="770">
      <c r="A770" s="18" t="s">
        <v>40</v>
      </c>
      <c r="B770" s="18" t="s">
        <v>345</v>
      </c>
      <c r="C770" s="19">
        <v>2051.0</v>
      </c>
      <c r="D770" s="20" t="str">
        <f>IF(   ISERROR(OFFSET(PADRON!B$2,MATCH(C:C,PADRON!A$2:A1405,0)-1,0,1,1) )  ,  ,    OFFSET(PADRON!B$2,MATCH(C:C,PADRON!A$2:A1405,0)-1,0,1,1))</f>
        <v>BARANDICA, MARIA ELEONORA</v>
      </c>
      <c r="E770" s="21">
        <v>45839.0</v>
      </c>
      <c r="F770" s="21">
        <v>45870.0</v>
      </c>
      <c r="G770" s="23" t="s">
        <v>39</v>
      </c>
      <c r="H770" s="24">
        <f>IF( ISERROR( OFFSET(   'Cuadro tarifario'!D$2  , MATCH(CONCATENATE(                 IF(F770&gt;Mes,OFFSET(NroCT!B$17, MATCH($F770,NroCT!$A$18:$A1405,0),0,1,1),Periodovigente)                                                                                                                     ,A770) ,'Cuadro tarifario'!A$2:A1405,0) -1 , 0 , 1 , 1) )   , 0  ,   OFFSET(   'Cuadro tarifario'!D$2  , MATCH(CONCATENATE( IF(F770&gt;Mes,OFFSET(NroCT!B$17, MATCH($F770,NroCT!$A$18:$A1405,0),0,1,1),Periodovigente) ,A770) ,'Cuadro tarifario'!A$2:A1405,0) -1 , 0 , 1 , 1))</f>
        <v>12000</v>
      </c>
      <c r="I770" s="25">
        <f t="shared" si="252"/>
        <v>1</v>
      </c>
      <c r="J770" s="24">
        <f t="shared" si="235"/>
        <v>12000</v>
      </c>
      <c r="K770" s="26">
        <f>IF(  AND(N770&gt;0,I770=0)          ,N770 ,                         IF(  IF( F770 ,  DAYS360(DATE(YEAR(F770),MONTH(F770),1),Mes)/30  ,  DAYS360(DATE(YEAR(E770),MONTH(E770),1),Mes)/30  )  &gt;  0 , IF(F770,   DAYS360(DATE(YEAR(F770),MONTH(F770),1),Mes)/30  ,  DAYS360(DATE(YEAR(E770),MONTH(E770),1),Mes)/30) , 0)       )</f>
        <v>0</v>
      </c>
      <c r="L770" s="27">
        <f t="shared" si="253"/>
        <v>0</v>
      </c>
      <c r="M770" s="28"/>
      <c r="N770" s="29">
        <f>IF( ISERROR(OFFSET(SECUESTRADOS!D$1,MATCH(B770,SECUESTRADOS!A$2:A1405,0),0)) ,0 ,  OFFSET(SECUESTRADOS!D$1,MATCH(B770,SECUESTRADOS!A$2:A1405,0),0)  )</f>
        <v>0</v>
      </c>
      <c r="O770" s="30"/>
      <c r="P770" s="17" t="str">
        <f t="shared" si="238"/>
        <v>cuna windsurf</v>
      </c>
      <c r="Q770" s="17" t="str">
        <f>IF(AND(A770=A769,B770=B769,C770=C769),"Repetido","")</f>
        <v/>
      </c>
      <c r="R770" s="31"/>
      <c r="S770" s="31"/>
      <c r="T770" s="31"/>
    </row>
    <row r="771">
      <c r="A771" s="18" t="s">
        <v>71</v>
      </c>
      <c r="B771" s="18">
        <v>2052.0</v>
      </c>
      <c r="C771" s="19">
        <v>2052.0</v>
      </c>
      <c r="D771" s="20" t="str">
        <f>IF(   ISERROR(OFFSET(PADRON!B$2,MATCH(C:C,PADRON!A$2:A1405,0)-1,0,1,1) )  ,  ,    OFFSET(PADRON!B$2,MATCH(C:C,PADRON!A$2:A1405,0)-1,0,1,1))</f>
        <v>BALLESTERO, BRENDA</v>
      </c>
      <c r="E771" s="21">
        <v>45839.0</v>
      </c>
      <c r="F771" s="21">
        <v>45870.0</v>
      </c>
      <c r="G771" s="23" t="s">
        <v>39</v>
      </c>
      <c r="H771" s="24">
        <f>IF( ISERROR( OFFSET(   'Cuadro tarifario'!D$2  , MATCH(CONCATENATE(                 IF(F771&gt;Mes,OFFSET(NroCT!B$17, MATCH($F771,NroCT!$A$18:$A1405,0),0,1,1),Periodovigente)                                                                                                                     ,A771) ,'Cuadro tarifario'!A$2:A1405,0) -1 , 0 , 1 , 1) )   , 0  ,   OFFSET(   'Cuadro tarifario'!D$2  , MATCH(CONCATENATE( IF(F771&gt;Mes,OFFSET(NroCT!B$17, MATCH($F771,NroCT!$A$18:$A1405,0),0,1,1),Periodovigente) ,A771) ,'Cuadro tarifario'!A$2:A1405,0) -1 , 0 , 1 , 1))</f>
        <v>11000</v>
      </c>
      <c r="I771" s="25">
        <f t="shared" si="252"/>
        <v>1</v>
      </c>
      <c r="J771" s="24">
        <f t="shared" si="235"/>
        <v>11000</v>
      </c>
      <c r="K771" s="26">
        <f>IF(  AND(N771&gt;0,I771=0)          ,N771 ,                         IF(  IF( F771 ,  DAYS360(DATE(YEAR(F771),MONTH(F771),1),Mes)/30  ,  DAYS360(DATE(YEAR(E771),MONTH(E771),1),Mes)/30  )  &gt;  0 , IF(F771,   DAYS360(DATE(YEAR(F771),MONTH(F771),1),Mes)/30  ,  DAYS360(DATE(YEAR(E771),MONTH(E771),1),Mes)/30) , 0)       )</f>
        <v>0</v>
      </c>
      <c r="L771" s="27">
        <f t="shared" si="253"/>
        <v>0</v>
      </c>
      <c r="M771" s="65"/>
      <c r="N771" s="29">
        <f>IF( ISERROR(OFFSET(SECUESTRADOS!D$1,MATCH(B771,SECUESTRADOS!A$2:A1405,0),0)) ,0 ,  OFFSET(SECUESTRADOS!D$1,MATCH(B771,SECUESTRADOS!A$2:A1405,0),0)  )</f>
        <v>0</v>
      </c>
      <c r="O771" s="30"/>
      <c r="P771" s="17" t="str">
        <f t="shared" si="238"/>
        <v>.socio</v>
      </c>
      <c r="Q771" s="17" t="str">
        <f>IF(AND(A771=#REF!,B771=#REF!,C771=#REF!),"Repetido","")</f>
        <v>#REF!</v>
      </c>
      <c r="R771" s="31"/>
      <c r="S771" s="31"/>
      <c r="T771" s="31"/>
    </row>
    <row r="772">
      <c r="A772" s="18" t="s">
        <v>38</v>
      </c>
      <c r="B772" s="18">
        <v>2052.0</v>
      </c>
      <c r="C772" s="19">
        <v>2052.0</v>
      </c>
      <c r="D772" s="20" t="str">
        <f>IF(   ISERROR(OFFSET(PADRON!B$2,MATCH(C:C,PADRON!A$2:A1405,0)-1,0,1,1) )  ,  ,    OFFSET(PADRON!B$2,MATCH(C:C,PADRON!A$2:A1405,0)-1,0,1,1))</f>
        <v>BALLESTERO, BRENDA</v>
      </c>
      <c r="E772" s="21">
        <v>45839.0</v>
      </c>
      <c r="F772" s="21">
        <v>45870.0</v>
      </c>
      <c r="G772" s="23" t="s">
        <v>39</v>
      </c>
      <c r="H772" s="24">
        <f>IF( ISERROR( OFFSET(   'Cuadro tarifario'!D$2  , MATCH(CONCATENATE(                 IF(F772&gt;Mes,OFFSET(NroCT!B$17, MATCH($F772,NroCT!$A$18:$A1405,0),0,1,1),Periodovigente)                                                                                                                     ,A772) ,'Cuadro tarifario'!A$2:A1405,0) -1 , 0 , 1 , 1) )   , 0  ,   OFFSET(   'Cuadro tarifario'!D$2  , MATCH(CONCATENATE( IF(F772&gt;Mes,OFFSET(NroCT!B$17, MATCH($F772,NroCT!$A$18:$A1405,0),0,1,1),Periodovigente) ,A772) ,'Cuadro tarifario'!A$2:A1405,0) -1 , 0 , 1 , 1))</f>
        <v>9000</v>
      </c>
      <c r="I772" s="25">
        <f t="shared" si="252"/>
        <v>1</v>
      </c>
      <c r="J772" s="24">
        <f t="shared" si="235"/>
        <v>9000</v>
      </c>
      <c r="K772" s="26">
        <f>IF(  AND(N772&gt;0,I772=0)          ,N772 ,                         IF(  IF( F772 ,  DAYS360(DATE(YEAR(F772),MONTH(F772),1),Mes)/30  ,  DAYS360(DATE(YEAR(E772),MONTH(E772),1),Mes)/30  )  &gt;  0 , IF(F772,   DAYS360(DATE(YEAR(F772),MONTH(F772),1),Mes)/30  ,  DAYS360(DATE(YEAR(E772),MONTH(E772),1),Mes)/30) , 0)       )</f>
        <v>0</v>
      </c>
      <c r="L772" s="27">
        <f t="shared" si="253"/>
        <v>0</v>
      </c>
      <c r="M772" s="28"/>
      <c r="N772" s="29">
        <f>IF( ISERROR(OFFSET(SECUESTRADOS!D$1,MATCH(B772,SECUESTRADOS!A$2:A1405,0),0)) ,0 ,  OFFSET(SECUESTRADOS!D$1,MATCH(B772,SECUESTRADOS!A$2:A1405,0),0)  )</f>
        <v>0</v>
      </c>
      <c r="O772" s="30"/>
      <c r="P772" s="17" t="str">
        <f t="shared" si="238"/>
        <v>Bono canon</v>
      </c>
      <c r="Q772" s="17" t="str">
        <f t="shared" ref="Q772:Q774" si="268">IF(AND(A772=A771,B772=B771,C772=C771),"Repetido","")</f>
        <v/>
      </c>
      <c r="R772" s="31"/>
      <c r="S772" s="31"/>
      <c r="T772" s="31"/>
    </row>
    <row r="773">
      <c r="A773" s="18" t="s">
        <v>82</v>
      </c>
      <c r="B773" s="18" t="s">
        <v>346</v>
      </c>
      <c r="C773" s="19">
        <v>2052.0</v>
      </c>
      <c r="D773" s="20" t="str">
        <f>IF(   ISERROR(OFFSET(PADRON!B$2,MATCH(C:C,PADRON!A$2:A1405,0)-1,0,1,1) )  ,  ,    OFFSET(PADRON!B$2,MATCH(C:C,PADRON!A$2:A1405,0)-1,0,1,1))</f>
        <v>BALLESTERO, BRENDA</v>
      </c>
      <c r="E773" s="21">
        <v>45839.0</v>
      </c>
      <c r="F773" s="21">
        <v>45870.0</v>
      </c>
      <c r="G773" s="23" t="s">
        <v>39</v>
      </c>
      <c r="H773" s="24">
        <f>IF( ISERROR( OFFSET(   'Cuadro tarifario'!D$2  , MATCH(CONCATENATE(                 IF(F773&gt;Mes,OFFSET(NroCT!B$17, MATCH($F773,NroCT!$A$18:$A1405,0),0,1,1),Periodovigente)                                                                                                                     ,A773) ,'Cuadro tarifario'!A$2:A1405,0) -1 , 0 , 1 , 1) )   , 0  ,   OFFSET(   'Cuadro tarifario'!D$2  , MATCH(CONCATENATE( IF(F773&gt;Mes,OFFSET(NroCT!B$17, MATCH($F773,NroCT!$A$18:$A1405,0),0,1,1),Periodovigente) ,A773) ,'Cuadro tarifario'!A$2:A1405,0) -1 , 0 , 1 , 1))</f>
        <v>12000</v>
      </c>
      <c r="I773" s="25">
        <f t="shared" si="252"/>
        <v>1</v>
      </c>
      <c r="J773" s="24">
        <f t="shared" si="235"/>
        <v>12000</v>
      </c>
      <c r="K773" s="26">
        <f>IF(  AND(N773&gt;0,I773=0)          ,N773 ,                         IF(  IF( F773 ,  DAYS360(DATE(YEAR(F773),MONTH(F773),1),Mes)/30  ,  DAYS360(DATE(YEAR(E773),MONTH(E773),1),Mes)/30  )  &gt;  0 , IF(F773,   DAYS360(DATE(YEAR(F773),MONTH(F773),1),Mes)/30  ,  DAYS360(DATE(YEAR(E773),MONTH(E773),1),Mes)/30) , 0)       )</f>
        <v>0</v>
      </c>
      <c r="L773" s="27">
        <f t="shared" si="253"/>
        <v>0</v>
      </c>
      <c r="M773" s="28"/>
      <c r="N773" s="29">
        <f>IF( ISERROR(OFFSET(SECUESTRADOS!D$1,MATCH(B773,SECUESTRADOS!A$2:A1405,0),0)) ,0 ,  OFFSET(SECUESTRADOS!D$1,MATCH(B773,SECUESTRADOS!A$2:A1405,0),0)  )</f>
        <v>0</v>
      </c>
      <c r="O773" s="30"/>
      <c r="P773" s="17" t="str">
        <f t="shared" si="238"/>
        <v>cuna kayak</v>
      </c>
      <c r="Q773" s="17" t="str">
        <f t="shared" si="268"/>
        <v/>
      </c>
      <c r="R773" s="31"/>
      <c r="S773" s="31"/>
      <c r="T773" s="31"/>
    </row>
    <row r="774">
      <c r="A774" s="18" t="s">
        <v>52</v>
      </c>
      <c r="B774" s="18" t="s">
        <v>347</v>
      </c>
      <c r="C774" s="19">
        <v>2052.0</v>
      </c>
      <c r="D774" s="20" t="str">
        <f>IF(   ISERROR(OFFSET(PADRON!B$2,MATCH(C:C,PADRON!A$2:A1405,0)-1,0,1,1) )  ,  ,    OFFSET(PADRON!B$2,MATCH(C:C,PADRON!A$2:A1405,0)-1,0,1,1))</f>
        <v>BALLESTERO, BRENDA</v>
      </c>
      <c r="E774" s="21">
        <v>45839.0</v>
      </c>
      <c r="F774" s="21">
        <v>45870.0</v>
      </c>
      <c r="G774" s="23" t="s">
        <v>39</v>
      </c>
      <c r="H774" s="24">
        <f>IF( ISERROR( OFFSET(   'Cuadro tarifario'!D$2  , MATCH(CONCATENATE(                 IF(F774&gt;Mes,OFFSET(NroCT!B$17, MATCH($F774,NroCT!$A$18:$A1405,0),0,1,1),Periodovigente)                                                                                                                     ,A774) ,'Cuadro tarifario'!A$2:A1405,0) -1 , 0 , 1 , 1) )   , 0  ,   OFFSET(   'Cuadro tarifario'!D$2  , MATCH(CONCATENATE( IF(F774&gt;Mes,OFFSET(NroCT!B$17, MATCH($F774,NroCT!$A$18:$A1405,0),0,1,1),Periodovigente) ,A774) ,'Cuadro tarifario'!A$2:A1405,0) -1 , 0 , 1 , 1))</f>
        <v>4000</v>
      </c>
      <c r="I774" s="25">
        <f t="shared" si="252"/>
        <v>1</v>
      </c>
      <c r="J774" s="24">
        <f t="shared" si="235"/>
        <v>4000</v>
      </c>
      <c r="K774" s="26">
        <f>IF(  AND(N774&gt;0,I774=0)          ,N774 ,                         IF(  IF( F774 ,  DAYS360(DATE(YEAR(F774),MONTH(F774),1),Mes)/30  ,  DAYS360(DATE(YEAR(E774),MONTH(E774),1),Mes)/30  )  &gt;  0 , IF(F774,   DAYS360(DATE(YEAR(F774),MONTH(F774),1),Mes)/30  ,  DAYS360(DATE(YEAR(E774),MONTH(E774),1),Mes)/30) , 0)       )</f>
        <v>0</v>
      </c>
      <c r="L774" s="27">
        <f t="shared" si="253"/>
        <v>0</v>
      </c>
      <c r="M774" s="28"/>
      <c r="N774" s="29">
        <f>IF( ISERROR(OFFSET(SECUESTRADOS!D$1,MATCH(B774,SECUESTRADOS!A$2:A1405,0),0)) ,0 ,  OFFSET(SECUESTRADOS!D$1,MATCH(B774,SECUESTRADOS!A$2:A1405,0),0)  )</f>
        <v>0</v>
      </c>
      <c r="O774" s="30"/>
      <c r="P774" s="17" t="str">
        <f t="shared" si="238"/>
        <v>lockerG</v>
      </c>
      <c r="Q774" s="17" t="str">
        <f t="shared" si="268"/>
        <v/>
      </c>
      <c r="R774" s="31"/>
      <c r="S774" s="31"/>
      <c r="T774" s="31"/>
    </row>
    <row r="775">
      <c r="A775" s="18" t="s">
        <v>71</v>
      </c>
      <c r="B775" s="18">
        <v>2053.0</v>
      </c>
      <c r="C775" s="19">
        <v>2053.0</v>
      </c>
      <c r="D775" s="20" t="str">
        <f>IF(   ISERROR(OFFSET(PADRON!B$2,MATCH(C:C,PADRON!A$2:A1405,0)-1,0,1,1) )  ,  ,    OFFSET(PADRON!B$2,MATCH(C:C,PADRON!A$2:A1405,0)-1,0,1,1))</f>
        <v>CEBALLOS, NICOLAS</v>
      </c>
      <c r="E775" s="21">
        <v>45839.0</v>
      </c>
      <c r="F775" s="21">
        <v>45870.0</v>
      </c>
      <c r="G775" s="23" t="s">
        <v>39</v>
      </c>
      <c r="H775" s="24">
        <f>IF( ISERROR( OFFSET(   'Cuadro tarifario'!D$2  , MATCH(CONCATENATE(                 IF(F775&gt;Mes,OFFSET(NroCT!B$17, MATCH($F775,NroCT!$A$18:$A1405,0),0,1,1),Periodovigente)                                                                                                                     ,A775) ,'Cuadro tarifario'!A$2:A1405,0) -1 , 0 , 1 , 1) )   , 0  ,   OFFSET(   'Cuadro tarifario'!D$2  , MATCH(CONCATENATE( IF(F775&gt;Mes,OFFSET(NroCT!B$17, MATCH($F775,NroCT!$A$18:$A1405,0),0,1,1),Periodovigente) ,A775) ,'Cuadro tarifario'!A$2:A1405,0) -1 , 0 , 1 , 1))</f>
        <v>11000</v>
      </c>
      <c r="I775" s="25">
        <f t="shared" si="252"/>
        <v>1</v>
      </c>
      <c r="J775" s="24">
        <f t="shared" si="235"/>
        <v>11000</v>
      </c>
      <c r="K775" s="26">
        <f>IF(  AND(N775&gt;0,I775=0)          ,N775 ,                         IF(  IF( F775 ,  DAYS360(DATE(YEAR(F775),MONTH(F775),1),Mes)/30  ,  DAYS360(DATE(YEAR(E775),MONTH(E775),1),Mes)/30  )  &gt;  0 , IF(F775,   DAYS360(DATE(YEAR(F775),MONTH(F775),1),Mes)/30  ,  DAYS360(DATE(YEAR(E775),MONTH(E775),1),Mes)/30) , 0)       )</f>
        <v>0</v>
      </c>
      <c r="L775" s="27">
        <f t="shared" si="253"/>
        <v>0</v>
      </c>
      <c r="M775" s="28"/>
      <c r="N775" s="29">
        <f>IF( ISERROR(OFFSET(SECUESTRADOS!D$1,MATCH(B775,SECUESTRADOS!A$2:A1405,0),0)) ,0 ,  OFFSET(SECUESTRADOS!D$1,MATCH(B775,SECUESTRADOS!A$2:A1405,0),0)  )</f>
        <v>0</v>
      </c>
      <c r="O775" s="30"/>
      <c r="P775" s="17" t="str">
        <f t="shared" si="238"/>
        <v>.socio</v>
      </c>
      <c r="Q775" s="17" t="str">
        <f t="shared" ref="Q775:Q782" si="269">IF(AND(A775=#REF!,B775=#REF!,C775=#REF!),"Repetido","")</f>
        <v>#REF!</v>
      </c>
      <c r="R775" s="31"/>
      <c r="S775" s="31"/>
      <c r="T775" s="31"/>
    </row>
    <row r="776">
      <c r="A776" s="18" t="s">
        <v>38</v>
      </c>
      <c r="B776" s="18">
        <v>2053.0</v>
      </c>
      <c r="C776" s="19">
        <v>2053.0</v>
      </c>
      <c r="D776" s="20" t="str">
        <f>IF(   ISERROR(OFFSET(PADRON!B$2,MATCH(C:C,PADRON!A$2:A1405,0)-1,0,1,1) )  ,  ,    OFFSET(PADRON!B$2,MATCH(C:C,PADRON!A$2:A1405,0)-1,0,1,1))</f>
        <v>CEBALLOS, NICOLAS</v>
      </c>
      <c r="E776" s="21">
        <v>45839.0</v>
      </c>
      <c r="F776" s="21">
        <v>45870.0</v>
      </c>
      <c r="G776" s="23" t="s">
        <v>39</v>
      </c>
      <c r="H776" s="24">
        <f>IF( ISERROR( OFFSET(   'Cuadro tarifario'!D$2  , MATCH(CONCATENATE(                 IF(F776&gt;Mes,OFFSET(NroCT!B$17, MATCH($F776,NroCT!$A$18:$A1405,0),0,1,1),Periodovigente)                                                                                                                     ,A776) ,'Cuadro tarifario'!A$2:A1405,0) -1 , 0 , 1 , 1) )   , 0  ,   OFFSET(   'Cuadro tarifario'!D$2  , MATCH(CONCATENATE( IF(F776&gt;Mes,OFFSET(NroCT!B$17, MATCH($F776,NroCT!$A$18:$A1405,0),0,1,1),Periodovigente) ,A776) ,'Cuadro tarifario'!A$2:A1405,0) -1 , 0 , 1 , 1))</f>
        <v>9000</v>
      </c>
      <c r="I776" s="25">
        <f t="shared" si="252"/>
        <v>1</v>
      </c>
      <c r="J776" s="24">
        <f t="shared" si="235"/>
        <v>9000</v>
      </c>
      <c r="K776" s="26">
        <f>IF(  AND(N776&gt;0,I776=0)          ,N776 ,                         IF(  IF( F776 ,  DAYS360(DATE(YEAR(F776),MONTH(F776),1),Mes)/30  ,  DAYS360(DATE(YEAR(E776),MONTH(E776),1),Mes)/30  )  &gt;  0 , IF(F776,   DAYS360(DATE(YEAR(F776),MONTH(F776),1),Mes)/30  ,  DAYS360(DATE(YEAR(E776),MONTH(E776),1),Mes)/30) , 0)       )</f>
        <v>0</v>
      </c>
      <c r="L776" s="27">
        <f t="shared" si="253"/>
        <v>0</v>
      </c>
      <c r="M776" s="65"/>
      <c r="N776" s="29">
        <f>IF( ISERROR(OFFSET(SECUESTRADOS!D$1,MATCH(B776,SECUESTRADOS!A$2:A1405,0),0)) ,0 ,  OFFSET(SECUESTRADOS!D$1,MATCH(B776,SECUESTRADOS!A$2:A1405,0),0)  )</f>
        <v>0</v>
      </c>
      <c r="O776" s="30"/>
      <c r="P776" s="17" t="str">
        <f t="shared" si="238"/>
        <v>Bono canon</v>
      </c>
      <c r="Q776" s="17" t="str">
        <f t="shared" si="269"/>
        <v>#REF!</v>
      </c>
      <c r="R776" s="31"/>
      <c r="S776" s="31"/>
      <c r="T776" s="31"/>
    </row>
    <row r="777">
      <c r="A777" s="18" t="s">
        <v>82</v>
      </c>
      <c r="B777" s="18" t="s">
        <v>348</v>
      </c>
      <c r="C777" s="19">
        <v>2053.0</v>
      </c>
      <c r="D777" s="20" t="str">
        <f>IF(   ISERROR(OFFSET(PADRON!B$2,MATCH(C:C,PADRON!A$2:A1405,0)-1,0,1,1) )  ,  ,    OFFSET(PADRON!B$2,MATCH(C:C,PADRON!A$2:A1405,0)-1,0,1,1))</f>
        <v>CEBALLOS, NICOLAS</v>
      </c>
      <c r="E777" s="21">
        <v>45839.0</v>
      </c>
      <c r="F777" s="21">
        <v>45870.0</v>
      </c>
      <c r="G777" s="23" t="s">
        <v>39</v>
      </c>
      <c r="H777" s="24">
        <f>IF( ISERROR( OFFSET(   'Cuadro tarifario'!D$2  , MATCH(CONCATENATE(                 IF(F777&gt;Mes,OFFSET(NroCT!B$17, MATCH($F777,NroCT!$A$18:$A1405,0),0,1,1),Periodovigente)                                                                                                                     ,A777) ,'Cuadro tarifario'!A$2:A1405,0) -1 , 0 , 1 , 1) )   , 0  ,   OFFSET(   'Cuadro tarifario'!D$2  , MATCH(CONCATENATE( IF(F777&gt;Mes,OFFSET(NroCT!B$17, MATCH($F777,NroCT!$A$18:$A1405,0),0,1,1),Periodovigente) ,A777) ,'Cuadro tarifario'!A$2:A1405,0) -1 , 0 , 1 , 1))</f>
        <v>12000</v>
      </c>
      <c r="I777" s="25">
        <f t="shared" si="252"/>
        <v>1</v>
      </c>
      <c r="J777" s="24">
        <f t="shared" si="235"/>
        <v>12000</v>
      </c>
      <c r="K777" s="26">
        <f>IF(  AND(N777&gt;0,I777=0)          ,N777 ,                         IF(  IF( F777 ,  DAYS360(DATE(YEAR(F777),MONTH(F777),1),Mes)/30  ,  DAYS360(DATE(YEAR(E777),MONTH(E777),1),Mes)/30  )  &gt;  0 , IF(F777,   DAYS360(DATE(YEAR(F777),MONTH(F777),1),Mes)/30  ,  DAYS360(DATE(YEAR(E777),MONTH(E777),1),Mes)/30) , 0)       )</f>
        <v>0</v>
      </c>
      <c r="L777" s="27">
        <f t="shared" si="253"/>
        <v>0</v>
      </c>
      <c r="M777" s="65"/>
      <c r="N777" s="29">
        <f>IF( ISERROR(OFFSET(SECUESTRADOS!D$1,MATCH(B777,SECUESTRADOS!A$2:A1405,0),0)) ,0 ,  OFFSET(SECUESTRADOS!D$1,MATCH(B777,SECUESTRADOS!A$2:A1405,0),0)  )</f>
        <v>0</v>
      </c>
      <c r="O777" s="30"/>
      <c r="P777" s="17" t="str">
        <f t="shared" si="238"/>
        <v>cuna kayak</v>
      </c>
      <c r="Q777" s="17" t="str">
        <f t="shared" si="269"/>
        <v>#REF!</v>
      </c>
      <c r="R777" s="31"/>
      <c r="S777" s="31"/>
      <c r="T777" s="31"/>
    </row>
    <row r="778">
      <c r="A778" s="18" t="s">
        <v>71</v>
      </c>
      <c r="B778" s="18">
        <v>2054.0</v>
      </c>
      <c r="C778" s="19">
        <v>2054.0</v>
      </c>
      <c r="D778" s="20" t="str">
        <f>IF(   ISERROR(OFFSET(PADRON!B$2,MATCH(C:C,PADRON!A$2:A1405,0)-1,0,1,1) )  ,  ,    OFFSET(PADRON!B$2,MATCH(C:C,PADRON!A$2:A1405,0)-1,0,1,1))</f>
        <v>LARROZA, ALVARO</v>
      </c>
      <c r="E778" s="21">
        <v>45839.0</v>
      </c>
      <c r="F778" s="21"/>
      <c r="G778" s="23" t="s">
        <v>39</v>
      </c>
      <c r="H778" s="24">
        <f>IF( ISERROR( OFFSET(   'Cuadro tarifario'!D$2  , MATCH(CONCATENATE(                 IF(F778&gt;Mes,OFFSET(NroCT!B$17, MATCH($F778,NroCT!$A$18:$A1405,0),0,1,1),Periodovigente)                                                                                                                     ,A778) ,'Cuadro tarifario'!A$2:A1405,0) -1 , 0 , 1 , 1) )   , 0  ,   OFFSET(   'Cuadro tarifario'!D$2  , MATCH(CONCATENATE( IF(F778&gt;Mes,OFFSET(NroCT!B$17, MATCH($F778,NroCT!$A$18:$A1405,0),0,1,1),Periodovigente) ,A778) ,'Cuadro tarifario'!A$2:A1405,0) -1 , 0 , 1 , 1))</f>
        <v>11000</v>
      </c>
      <c r="I778" s="25">
        <f t="shared" si="252"/>
        <v>0</v>
      </c>
      <c r="J778" s="24">
        <f t="shared" si="235"/>
        <v>0</v>
      </c>
      <c r="K778" s="26">
        <f>IF(  AND(N778&gt;0,I778=0)          ,N778 ,                         IF(  IF( F778 ,  DAYS360(DATE(YEAR(F778),MONTH(F778),1),Mes)/30  ,  DAYS360(DATE(YEAR(E778),MONTH(E778),1),Mes)/30  )  &gt;  0 , IF(F778,   DAYS360(DATE(YEAR(F778),MONTH(F778),1),Mes)/30  ,  DAYS360(DATE(YEAR(E778),MONTH(E778),1),Mes)/30) , 0)       )</f>
        <v>1</v>
      </c>
      <c r="L778" s="27">
        <f t="shared" si="253"/>
        <v>11000</v>
      </c>
      <c r="M778" s="28"/>
      <c r="N778" s="29">
        <f>IF( ISERROR(OFFSET(SECUESTRADOS!D$1,MATCH(B778,SECUESTRADOS!A$2:A1405,0),0)) ,0 ,  OFFSET(SECUESTRADOS!D$1,MATCH(B778,SECUESTRADOS!A$2:A1405,0),0)  )</f>
        <v>0</v>
      </c>
      <c r="O778" s="30"/>
      <c r="P778" s="17" t="b">
        <f t="shared" si="238"/>
        <v>0</v>
      </c>
      <c r="Q778" s="17" t="str">
        <f t="shared" si="269"/>
        <v>#REF!</v>
      </c>
      <c r="R778" s="31"/>
      <c r="S778" s="31"/>
      <c r="T778" s="31"/>
    </row>
    <row r="779">
      <c r="A779" s="18" t="s">
        <v>38</v>
      </c>
      <c r="B779" s="18">
        <v>2054.0</v>
      </c>
      <c r="C779" s="19">
        <v>2054.0</v>
      </c>
      <c r="D779" s="20" t="str">
        <f>IF(   ISERROR(OFFSET(PADRON!B$2,MATCH(C:C,PADRON!A$2:A1405,0)-1,0,1,1) )  ,  ,    OFFSET(PADRON!B$2,MATCH(C:C,PADRON!A$2:A1405,0)-1,0,1,1))</f>
        <v>LARROZA, ALVARO</v>
      </c>
      <c r="E779" s="21">
        <v>45839.0</v>
      </c>
      <c r="F779" s="21"/>
      <c r="G779" s="23" t="s">
        <v>39</v>
      </c>
      <c r="H779" s="24">
        <f>IF( ISERROR( OFFSET(   'Cuadro tarifario'!D$2  , MATCH(CONCATENATE(                 IF(F779&gt;Mes,OFFSET(NroCT!B$17, MATCH($F779,NroCT!$A$18:$A1405,0),0,1,1),Periodovigente)                                                                                                                     ,A779) ,'Cuadro tarifario'!A$2:A1405,0) -1 , 0 , 1 , 1) )   , 0  ,   OFFSET(   'Cuadro tarifario'!D$2  , MATCH(CONCATENATE( IF(F779&gt;Mes,OFFSET(NroCT!B$17, MATCH($F779,NroCT!$A$18:$A1405,0),0,1,1),Periodovigente) ,A779) ,'Cuadro tarifario'!A$2:A1405,0) -1 , 0 , 1 , 1))</f>
        <v>9000</v>
      </c>
      <c r="I779" s="25">
        <f t="shared" si="252"/>
        <v>0</v>
      </c>
      <c r="J779" s="24">
        <f t="shared" si="235"/>
        <v>0</v>
      </c>
      <c r="K779" s="26">
        <f>IF(  AND(N779&gt;0,I779=0)          ,N779 ,                         IF(  IF( F779 ,  DAYS360(DATE(YEAR(F779),MONTH(F779),1),Mes)/30  ,  DAYS360(DATE(YEAR(E779),MONTH(E779),1),Mes)/30  )  &gt;  0 , IF(F779,   DAYS360(DATE(YEAR(F779),MONTH(F779),1),Mes)/30  ,  DAYS360(DATE(YEAR(E779),MONTH(E779),1),Mes)/30) , 0)       )</f>
        <v>1</v>
      </c>
      <c r="L779" s="27">
        <f t="shared" si="253"/>
        <v>9000</v>
      </c>
      <c r="M779" s="65"/>
      <c r="N779" s="29">
        <f>IF( ISERROR(OFFSET(SECUESTRADOS!D$1,MATCH(B779,SECUESTRADOS!A$2:A1405,0),0)) ,0 ,  OFFSET(SECUESTRADOS!D$1,MATCH(B779,SECUESTRADOS!A$2:A1405,0),0)  )</f>
        <v>0</v>
      </c>
      <c r="O779" s="30"/>
      <c r="P779" s="17" t="b">
        <f t="shared" si="238"/>
        <v>0</v>
      </c>
      <c r="Q779" s="17" t="str">
        <f t="shared" si="269"/>
        <v>#REF!</v>
      </c>
      <c r="R779" s="31"/>
      <c r="S779" s="31"/>
      <c r="T779" s="31"/>
    </row>
    <row r="780">
      <c r="A780" s="18" t="s">
        <v>52</v>
      </c>
      <c r="B780" s="18" t="s">
        <v>349</v>
      </c>
      <c r="C780" s="19">
        <v>2054.0</v>
      </c>
      <c r="D780" s="20" t="str">
        <f>IF(   ISERROR(OFFSET(PADRON!B$2,MATCH(C:C,PADRON!A$2:A1405,0)-1,0,1,1) )  ,  ,    OFFSET(PADRON!B$2,MATCH(C:C,PADRON!A$2:A1405,0)-1,0,1,1))</f>
        <v>LARROZA, ALVARO</v>
      </c>
      <c r="E780" s="21">
        <v>45992.0</v>
      </c>
      <c r="F780" s="21"/>
      <c r="G780" s="23" t="s">
        <v>39</v>
      </c>
      <c r="H780" s="24">
        <f>IF( ISERROR( OFFSET(   'Cuadro tarifario'!D$2  , MATCH(CONCATENATE(                 IF(F780&gt;Mes,OFFSET(NroCT!B$17, MATCH($F780,NroCT!$A$18:$A1405,0),0,1,1),Periodovigente)                                                                                                                     ,A780) ,'Cuadro tarifario'!A$2:A1405,0) -1 , 0 , 1 , 1) )   , 0  ,   OFFSET(   'Cuadro tarifario'!D$2  , MATCH(CONCATENATE( IF(F780&gt;Mes,OFFSET(NroCT!B$17, MATCH($F780,NroCT!$A$18:$A1405,0),0,1,1),Periodovigente) ,A780) ,'Cuadro tarifario'!A$2:A1405,0) -1 , 0 , 1 , 1))</f>
        <v>4000</v>
      </c>
      <c r="I780" s="25">
        <f t="shared" si="252"/>
        <v>0</v>
      </c>
      <c r="J780" s="24">
        <f t="shared" si="235"/>
        <v>0</v>
      </c>
      <c r="K780" s="26">
        <f>IF(  AND(N780&gt;0,I780=0)          ,N780 ,                         IF(  IF( F780 ,  DAYS360(DATE(YEAR(F780),MONTH(F780),1),Mes)/30  ,  DAYS360(DATE(YEAR(E780),MONTH(E780),1),Mes)/30  )  &gt;  0 , IF(F780,   DAYS360(DATE(YEAR(F780),MONTH(F780),1),Mes)/30  ,  DAYS360(DATE(YEAR(E780),MONTH(E780),1),Mes)/30) , 0)       )</f>
        <v>0</v>
      </c>
      <c r="L780" s="27">
        <f t="shared" si="253"/>
        <v>0</v>
      </c>
      <c r="M780" s="65"/>
      <c r="N780" s="29">
        <f>IF( ISERROR(OFFSET(SECUESTRADOS!D$1,MATCH(B780,SECUESTRADOS!A$2:A1405,0),0)) ,0 ,  OFFSET(SECUESTRADOS!D$1,MATCH(B780,SECUESTRADOS!A$2:A1405,0),0)  )</f>
        <v>0</v>
      </c>
      <c r="O780" s="30"/>
      <c r="P780" s="17" t="b">
        <f t="shared" si="238"/>
        <v>0</v>
      </c>
      <c r="Q780" s="17" t="str">
        <f t="shared" si="269"/>
        <v>#REF!</v>
      </c>
      <c r="R780" s="31"/>
      <c r="S780" s="31"/>
      <c r="T780" s="31"/>
    </row>
    <row r="781">
      <c r="A781" s="18" t="s">
        <v>71</v>
      </c>
      <c r="B781" s="18">
        <v>2055.0</v>
      </c>
      <c r="C781" s="19">
        <v>2055.0</v>
      </c>
      <c r="D781" s="20" t="str">
        <f>IF(   ISERROR(OFFSET(PADRON!B$2,MATCH(C:C,PADRON!A$2:A1405,0)-1,0,1,1) )  ,  ,    OFFSET(PADRON!B$2,MATCH(C:C,PADRON!A$2:A1405,0)-1,0,1,1))</f>
        <v>TORRANO, PATRICIA</v>
      </c>
      <c r="E781" s="21">
        <v>45839.0</v>
      </c>
      <c r="F781" s="21">
        <v>45870.0</v>
      </c>
      <c r="G781" s="23" t="s">
        <v>39</v>
      </c>
      <c r="H781" s="24">
        <f>IF( ISERROR( OFFSET(   'Cuadro tarifario'!D$2  , MATCH(CONCATENATE(                 IF(F781&gt;Mes,OFFSET(NroCT!B$17, MATCH($F781,NroCT!$A$18:$A1405,0),0,1,1),Periodovigente)                                                                                                                     ,A781) ,'Cuadro tarifario'!A$2:A1405,0) -1 , 0 , 1 , 1) )   , 0  ,   OFFSET(   'Cuadro tarifario'!D$2  , MATCH(CONCATENATE( IF(F781&gt;Mes,OFFSET(NroCT!B$17, MATCH($F781,NroCT!$A$18:$A1405,0),0,1,1),Periodovigente) ,A781) ,'Cuadro tarifario'!A$2:A1405,0) -1 , 0 , 1 , 1))</f>
        <v>11000</v>
      </c>
      <c r="I781" s="25">
        <f t="shared" si="252"/>
        <v>1</v>
      </c>
      <c r="J781" s="24">
        <f t="shared" si="235"/>
        <v>11000</v>
      </c>
      <c r="K781" s="26">
        <f>IF(  AND(N781&gt;0,I781=0)          ,N781 ,                         IF(  IF( F781 ,  DAYS360(DATE(YEAR(F781),MONTH(F781),1),Mes)/30  ,  DAYS360(DATE(YEAR(E781),MONTH(E781),1),Mes)/30  )  &gt;  0 , IF(F781,   DAYS360(DATE(YEAR(F781),MONTH(F781),1),Mes)/30  ,  DAYS360(DATE(YEAR(E781),MONTH(E781),1),Mes)/30) , 0)       )</f>
        <v>0</v>
      </c>
      <c r="L781" s="27">
        <f t="shared" si="253"/>
        <v>0</v>
      </c>
      <c r="M781" s="65"/>
      <c r="N781" s="29">
        <f>IF( ISERROR(OFFSET(SECUESTRADOS!D$1,MATCH(B781,SECUESTRADOS!A$2:A1405,0),0)) ,0 ,  OFFSET(SECUESTRADOS!D$1,MATCH(B781,SECUESTRADOS!A$2:A1405,0),0)  )</f>
        <v>0</v>
      </c>
      <c r="O781" s="30"/>
      <c r="P781" s="17" t="str">
        <f t="shared" si="238"/>
        <v>.socio</v>
      </c>
      <c r="Q781" s="17" t="str">
        <f t="shared" si="269"/>
        <v>#REF!</v>
      </c>
      <c r="R781" s="31"/>
      <c r="S781" s="31"/>
      <c r="T781" s="31"/>
    </row>
    <row r="782">
      <c r="A782" s="18" t="s">
        <v>38</v>
      </c>
      <c r="B782" s="18">
        <v>2055.0</v>
      </c>
      <c r="C782" s="19">
        <v>2055.0</v>
      </c>
      <c r="D782" s="20" t="str">
        <f>IF(   ISERROR(OFFSET(PADRON!B$2,MATCH(C:C,PADRON!A$2:A1405,0)-1,0,1,1) )  ,  ,    OFFSET(PADRON!B$2,MATCH(C:C,PADRON!A$2:A1405,0)-1,0,1,1))</f>
        <v>TORRANO, PATRICIA</v>
      </c>
      <c r="E782" s="21">
        <v>45839.0</v>
      </c>
      <c r="F782" s="21">
        <v>45870.0</v>
      </c>
      <c r="G782" s="23" t="s">
        <v>39</v>
      </c>
      <c r="H782" s="24">
        <f>IF( ISERROR( OFFSET(   'Cuadro tarifario'!D$2  , MATCH(CONCATENATE(                 IF(F782&gt;Mes,OFFSET(NroCT!B$17, MATCH($F782,NroCT!$A$18:$A1405,0),0,1,1),Periodovigente)                                                                                                                     ,A782) ,'Cuadro tarifario'!A$2:A1405,0) -1 , 0 , 1 , 1) )   , 0  ,   OFFSET(   'Cuadro tarifario'!D$2  , MATCH(CONCATENATE( IF(F782&gt;Mes,OFFSET(NroCT!B$17, MATCH($F782,NroCT!$A$18:$A1405,0),0,1,1),Periodovigente) ,A782) ,'Cuadro tarifario'!A$2:A1405,0) -1 , 0 , 1 , 1))</f>
        <v>9000</v>
      </c>
      <c r="I782" s="25">
        <f t="shared" si="252"/>
        <v>1</v>
      </c>
      <c r="J782" s="24">
        <f t="shared" si="235"/>
        <v>9000</v>
      </c>
      <c r="K782" s="26">
        <f>IF(  AND(N782&gt;0,I782=0)          ,N782 ,                         IF(  IF( F782 ,  DAYS360(DATE(YEAR(F782),MONTH(F782),1),Mes)/30  ,  DAYS360(DATE(YEAR(E782),MONTH(E782),1),Mes)/30  )  &gt;  0 , IF(F782,   DAYS360(DATE(YEAR(F782),MONTH(F782),1),Mes)/30  ,  DAYS360(DATE(YEAR(E782),MONTH(E782),1),Mes)/30) , 0)       )</f>
        <v>0</v>
      </c>
      <c r="L782" s="27">
        <f t="shared" si="253"/>
        <v>0</v>
      </c>
      <c r="M782" s="65"/>
      <c r="N782" s="29">
        <f>IF( ISERROR(OFFSET(SECUESTRADOS!D$1,MATCH(B782,SECUESTRADOS!A$2:A1405,0),0)) ,0 ,  OFFSET(SECUESTRADOS!D$1,MATCH(B782,SECUESTRADOS!A$2:A1405,0),0)  )</f>
        <v>0</v>
      </c>
      <c r="O782" s="30"/>
      <c r="P782" s="17" t="str">
        <f t="shared" si="238"/>
        <v>Bono canon</v>
      </c>
      <c r="Q782" s="17" t="str">
        <f t="shared" si="269"/>
        <v>#REF!</v>
      </c>
      <c r="R782" s="31"/>
      <c r="S782" s="31"/>
      <c r="T782" s="31"/>
    </row>
    <row r="783">
      <c r="A783" s="18" t="s">
        <v>82</v>
      </c>
      <c r="B783" s="18" t="s">
        <v>350</v>
      </c>
      <c r="C783" s="19">
        <v>2055.0</v>
      </c>
      <c r="D783" s="20" t="str">
        <f>IF(   ISERROR(OFFSET(PADRON!B$2,MATCH(C:C,PADRON!A$2:A1405,0)-1,0,1,1) )  ,  ,    OFFSET(PADRON!B$2,MATCH(C:C,PADRON!A$2:A1405,0)-1,0,1,1))</f>
        <v>TORRANO, PATRICIA</v>
      </c>
      <c r="E783" s="21">
        <v>45839.0</v>
      </c>
      <c r="F783" s="21">
        <v>45870.0</v>
      </c>
      <c r="G783" s="23" t="s">
        <v>39</v>
      </c>
      <c r="H783" s="24">
        <f>IF( ISERROR( OFFSET(   'Cuadro tarifario'!D$2  , MATCH(CONCATENATE(                 IF(F783&gt;Mes,OFFSET(NroCT!B$17, MATCH($F783,NroCT!$A$18:$A1405,0),0,1,1),Periodovigente)                                                                                                                     ,A783) ,'Cuadro tarifario'!A$2:A1405,0) -1 , 0 , 1 , 1) )   , 0  ,   OFFSET(   'Cuadro tarifario'!D$2  , MATCH(CONCATENATE( IF(F783&gt;Mes,OFFSET(NroCT!B$17, MATCH($F783,NroCT!$A$18:$A1405,0),0,1,1),Periodovigente) ,A783) ,'Cuadro tarifario'!A$2:A1405,0) -1 , 0 , 1 , 1))</f>
        <v>12000</v>
      </c>
      <c r="I783" s="25">
        <f t="shared" si="252"/>
        <v>1</v>
      </c>
      <c r="J783" s="24">
        <f t="shared" si="235"/>
        <v>12000</v>
      </c>
      <c r="K783" s="26">
        <f>IF(  AND(N783&gt;0,I783=0)          ,N783 ,                         IF(  IF( F783 ,  DAYS360(DATE(YEAR(F783),MONTH(F783),1),Mes)/30  ,  DAYS360(DATE(YEAR(E783),MONTH(E783),1),Mes)/30  )  &gt;  0 , IF(F783,   DAYS360(DATE(YEAR(F783),MONTH(F783),1),Mes)/30  ,  DAYS360(DATE(YEAR(E783),MONTH(E783),1),Mes)/30) , 0)       )</f>
        <v>0</v>
      </c>
      <c r="L783" s="27">
        <f t="shared" si="253"/>
        <v>0</v>
      </c>
      <c r="M783" s="28"/>
      <c r="N783" s="29">
        <f>IF( ISERROR(OFFSET(SECUESTRADOS!D$1,MATCH(B783,SECUESTRADOS!A$2:A1405,0),0)) ,0 ,  OFFSET(SECUESTRADOS!D$1,MATCH(B783,SECUESTRADOS!A$2:A1405,0),0)  )</f>
        <v>0</v>
      </c>
      <c r="O783" s="30"/>
      <c r="P783" s="17" t="str">
        <f t="shared" si="238"/>
        <v>cuna kayak</v>
      </c>
      <c r="Q783" s="17" t="str">
        <f t="shared" ref="Q783:Q784" si="270">IF(AND(A783=A782,B783=B782,C783=C782),"Repetido","")</f>
        <v/>
      </c>
      <c r="R783" s="31"/>
      <c r="S783" s="31"/>
      <c r="T783" s="31"/>
    </row>
    <row r="784">
      <c r="A784" s="18" t="s">
        <v>71</v>
      </c>
      <c r="B784" s="18">
        <v>2056.0</v>
      </c>
      <c r="C784" s="19">
        <v>2056.0</v>
      </c>
      <c r="D784" s="20" t="str">
        <f>IF(   ISERROR(OFFSET(PADRON!B$2,MATCH(C:C,PADRON!A$2:A1405,0)-1,0,1,1) )  ,  ,    OFFSET(PADRON!B$2,MATCH(C:C,PADRON!A$2:A1405,0)-1,0,1,1))</f>
        <v>SOLANO, GABRIEL AGUSTIN</v>
      </c>
      <c r="E784" s="21">
        <v>45839.0</v>
      </c>
      <c r="F784" s="139">
        <v>45870.0</v>
      </c>
      <c r="G784" s="23" t="s">
        <v>39</v>
      </c>
      <c r="H784" s="24">
        <f>IF( ISERROR( OFFSET(   'Cuadro tarifario'!D$2  , MATCH(CONCATENATE(                 IF(F784&gt;Mes,OFFSET(NroCT!B$17, MATCH($F784,NroCT!$A$18:$A1405,0),0,1,1),Periodovigente)                                                                                                                     ,A784) ,'Cuadro tarifario'!A$2:A1405,0) -1 , 0 , 1 , 1) )   , 0  ,   OFFSET(   'Cuadro tarifario'!D$2  , MATCH(CONCATENATE( IF(F784&gt;Mes,OFFSET(NroCT!B$17, MATCH($F784,NroCT!$A$18:$A1405,0),0,1,1),Periodovigente) ,A784) ,'Cuadro tarifario'!A$2:A1405,0) -1 , 0 , 1 , 1))</f>
        <v>11000</v>
      </c>
      <c r="I784" s="25">
        <f t="shared" si="252"/>
        <v>1</v>
      </c>
      <c r="J784" s="24">
        <f t="shared" si="235"/>
        <v>11000</v>
      </c>
      <c r="K784" s="26">
        <f>IF(  AND(N784&gt;0,I784=0)          ,N784 ,                         IF(  IF( F784 ,  DAYS360(DATE(YEAR(F784),MONTH(F784),1),Mes)/30  ,  DAYS360(DATE(YEAR(E784),MONTH(E784),1),Mes)/30  )  &gt;  0 , IF(F784,   DAYS360(DATE(YEAR(F784),MONTH(F784),1),Mes)/30  ,  DAYS360(DATE(YEAR(E784),MONTH(E784),1),Mes)/30) , 0)       )</f>
        <v>0</v>
      </c>
      <c r="L784" s="27">
        <f t="shared" si="253"/>
        <v>0</v>
      </c>
      <c r="M784" s="65"/>
      <c r="N784" s="29">
        <f>IF( ISERROR(OFFSET(SECUESTRADOS!D$1,MATCH(B784,SECUESTRADOS!A$2:A1405,0),0)) ,0 ,  OFFSET(SECUESTRADOS!D$1,MATCH(B784,SECUESTRADOS!A$2:A1405,0),0)  )</f>
        <v>0</v>
      </c>
      <c r="O784" s="30"/>
      <c r="P784" s="17" t="str">
        <f t="shared" si="238"/>
        <v>.socio</v>
      </c>
      <c r="Q784" s="17" t="str">
        <f t="shared" si="270"/>
        <v/>
      </c>
      <c r="R784" s="31"/>
      <c r="S784" s="31"/>
      <c r="T784" s="31"/>
    </row>
    <row r="785">
      <c r="A785" s="18" t="s">
        <v>38</v>
      </c>
      <c r="B785" s="18">
        <v>2056.0</v>
      </c>
      <c r="C785" s="19">
        <v>2056.0</v>
      </c>
      <c r="D785" s="20" t="str">
        <f>IF(   ISERROR(OFFSET(PADRON!B$2,MATCH(C:C,PADRON!A$2:A1405,0)-1,0,1,1) )  ,  ,    OFFSET(PADRON!B$2,MATCH(C:C,PADRON!A$2:A1405,0)-1,0,1,1))</f>
        <v>SOLANO, GABRIEL AGUSTIN</v>
      </c>
      <c r="E785" s="21">
        <v>45839.0</v>
      </c>
      <c r="F785" s="21">
        <v>45870.0</v>
      </c>
      <c r="G785" s="23" t="s">
        <v>39</v>
      </c>
      <c r="H785" s="24">
        <f>IF( ISERROR( OFFSET(   'Cuadro tarifario'!D$2  , MATCH(CONCATENATE(                 IF(F785&gt;Mes,OFFSET(NroCT!B$17, MATCH($F785,NroCT!$A$18:$A1405,0),0,1,1),Periodovigente)                                                                                                                     ,A785) ,'Cuadro tarifario'!A$2:A1405,0) -1 , 0 , 1 , 1) )   , 0  ,   OFFSET(   'Cuadro tarifario'!D$2  , MATCH(CONCATENATE( IF(F785&gt;Mes,OFFSET(NroCT!B$17, MATCH($F785,NroCT!$A$18:$A1405,0),0,1,1),Periodovigente) ,A785) ,'Cuadro tarifario'!A$2:A1405,0) -1 , 0 , 1 , 1))</f>
        <v>9000</v>
      </c>
      <c r="I785" s="25">
        <f t="shared" si="252"/>
        <v>1</v>
      </c>
      <c r="J785" s="24">
        <f t="shared" si="235"/>
        <v>9000</v>
      </c>
      <c r="K785" s="26">
        <f>IF(  AND(N785&gt;0,I785=0)          ,N785 ,                         IF(  IF( F785 ,  DAYS360(DATE(YEAR(F785),MONTH(F785),1),Mes)/30  ,  DAYS360(DATE(YEAR(E785),MONTH(E785),1),Mes)/30  )  &gt;  0 , IF(F785,   DAYS360(DATE(YEAR(F785),MONTH(F785),1),Mes)/30  ,  DAYS360(DATE(YEAR(E785),MONTH(E785),1),Mes)/30) , 0)       )</f>
        <v>0</v>
      </c>
      <c r="L785" s="27">
        <f t="shared" si="253"/>
        <v>0</v>
      </c>
      <c r="M785" s="65"/>
      <c r="N785" s="29">
        <f>IF( ISERROR(OFFSET(SECUESTRADOS!D$1,MATCH(B785,SECUESTRADOS!A$2:A1405,0),0)) ,0 ,  OFFSET(SECUESTRADOS!D$1,MATCH(B785,SECUESTRADOS!A$2:A1405,0),0)  )</f>
        <v>0</v>
      </c>
      <c r="O785" s="30"/>
      <c r="P785" s="17" t="str">
        <f t="shared" si="238"/>
        <v>Bono canon</v>
      </c>
      <c r="Q785" s="17" t="str">
        <f>IF(AND(A785=#REF!,B785=#REF!,C785=#REF!),"Repetido","")</f>
        <v>#REF!</v>
      </c>
      <c r="R785" s="31"/>
      <c r="S785" s="31"/>
      <c r="T785" s="31"/>
    </row>
    <row r="786">
      <c r="A786" s="18" t="s">
        <v>48</v>
      </c>
      <c r="B786" s="18" t="s">
        <v>351</v>
      </c>
      <c r="C786" s="19">
        <v>2056.0</v>
      </c>
      <c r="D786" s="20" t="str">
        <f>IF(   ISERROR(OFFSET(PADRON!B$2,MATCH(C:C,PADRON!A$2:A1405,0)-1,0,1,1) )  ,  ,    OFFSET(PADRON!B$2,MATCH(C:C,PADRON!A$2:A1405,0)-1,0,1,1))</f>
        <v>SOLANO, GABRIEL AGUSTIN</v>
      </c>
      <c r="E786" s="21">
        <v>45839.0</v>
      </c>
      <c r="F786" s="21">
        <v>45870.0</v>
      </c>
      <c r="G786" s="23" t="s">
        <v>39</v>
      </c>
      <c r="H786" s="24">
        <f>IF( ISERROR( OFFSET(   'Cuadro tarifario'!D$2  , MATCH(CONCATENATE(                 IF(F786&gt;Mes,OFFSET(NroCT!B$17, MATCH($F786,NroCT!$A$18:$A1405,0),0,1,1),Periodovigente)                                                                                                                     ,A786) ,'Cuadro tarifario'!A$2:A1405,0) -1 , 0 , 1 , 1) )   , 0  ,   OFFSET(   'Cuadro tarifario'!D$2  , MATCH(CONCATENATE( IF(F786&gt;Mes,OFFSET(NroCT!B$17, MATCH($F786,NroCT!$A$18:$A1405,0),0,1,1),Periodovigente) ,A786) ,'Cuadro tarifario'!A$2:A1405,0) -1 , 0 , 1 , 1))</f>
        <v>12000</v>
      </c>
      <c r="I786" s="25">
        <f t="shared" si="252"/>
        <v>1</v>
      </c>
      <c r="J786" s="24">
        <f t="shared" si="235"/>
        <v>12000</v>
      </c>
      <c r="K786" s="26">
        <f>IF(  AND(N786&gt;0,I786=0)          ,N786 ,                         IF(  IF( F786 ,  DAYS360(DATE(YEAR(F786),MONTH(F786),1),Mes)/30  ,  DAYS360(DATE(YEAR(E786),MONTH(E786),1),Mes)/30  )  &gt;  0 , IF(F786,   DAYS360(DATE(YEAR(F786),MONTH(F786),1),Mes)/30  ,  DAYS360(DATE(YEAR(E786),MONTH(E786),1),Mes)/30) , 0)       )</f>
        <v>0</v>
      </c>
      <c r="L786" s="27">
        <f t="shared" si="253"/>
        <v>0</v>
      </c>
      <c r="M786" s="28"/>
      <c r="N786" s="29">
        <f>IF( ISERROR(OFFSET(SECUESTRADOS!D$1,MATCH(B786,SECUESTRADOS!A$2:A1405,0),0)) ,0 ,  OFFSET(SECUESTRADOS!D$1,MATCH(B786,SECUESTRADOS!A$2:A1405,0),0)  )</f>
        <v>0</v>
      </c>
      <c r="O786" s="30"/>
      <c r="P786" s="17" t="str">
        <f t="shared" si="238"/>
        <v>velero</v>
      </c>
      <c r="Q786" s="17" t="str">
        <f t="shared" ref="Q786:Q787" si="271">IF(AND(A786=A785,B786=B785,C786=C785),"Repetido","")</f>
        <v/>
      </c>
      <c r="R786" s="31"/>
      <c r="S786" s="31"/>
      <c r="T786" s="31"/>
    </row>
    <row r="787">
      <c r="A787" s="18" t="s">
        <v>52</v>
      </c>
      <c r="B787" s="18" t="s">
        <v>352</v>
      </c>
      <c r="C787" s="19">
        <v>2056.0</v>
      </c>
      <c r="D787" s="20" t="str">
        <f>IF(   ISERROR(OFFSET(PADRON!B$2,MATCH(C:C,PADRON!A$2:A1405,0)-1,0,1,1) )  ,  ,    OFFSET(PADRON!B$2,MATCH(C:C,PADRON!A$2:A1405,0)-1,0,1,1))</f>
        <v>SOLANO, GABRIEL AGUSTIN</v>
      </c>
      <c r="E787" s="21">
        <v>45992.0</v>
      </c>
      <c r="F787" s="21"/>
      <c r="G787" s="23" t="s">
        <v>39</v>
      </c>
      <c r="H787" s="24">
        <f>IF( ISERROR( OFFSET(   'Cuadro tarifario'!D$2  , MATCH(CONCATENATE(                 IF(F787&gt;Mes,OFFSET(NroCT!B$17, MATCH($F787,NroCT!$A$18:$A1405,0),0,1,1),Periodovigente)                                                                                                                     ,A787) ,'Cuadro tarifario'!A$2:A1405,0) -1 , 0 , 1 , 1) )   , 0  ,   OFFSET(   'Cuadro tarifario'!D$2  , MATCH(CONCATENATE( IF(F787&gt;Mes,OFFSET(NroCT!B$17, MATCH($F787,NroCT!$A$18:$A1405,0),0,1,1),Periodovigente) ,A787) ,'Cuadro tarifario'!A$2:A1405,0) -1 , 0 , 1 , 1))</f>
        <v>4000</v>
      </c>
      <c r="I787" s="25">
        <f t="shared" si="252"/>
        <v>0</v>
      </c>
      <c r="J787" s="24">
        <f t="shared" si="235"/>
        <v>0</v>
      </c>
      <c r="K787" s="26">
        <f>IF(  AND(N787&gt;0,I787=0)          ,N787 ,                         IF(  IF( F787 ,  DAYS360(DATE(YEAR(F787),MONTH(F787),1),Mes)/30  ,  DAYS360(DATE(YEAR(E787),MONTH(E787),1),Mes)/30  )  &gt;  0 , IF(F787,   DAYS360(DATE(YEAR(F787),MONTH(F787),1),Mes)/30  ,  DAYS360(DATE(YEAR(E787),MONTH(E787),1),Mes)/30) , 0)       )</f>
        <v>0</v>
      </c>
      <c r="L787" s="27">
        <f t="shared" si="253"/>
        <v>0</v>
      </c>
      <c r="M787" s="28"/>
      <c r="N787" s="29">
        <f>IF( ISERROR(OFFSET(SECUESTRADOS!D$1,MATCH(B787,SECUESTRADOS!A$2:A1405,0),0)) ,0 ,  OFFSET(SECUESTRADOS!D$1,MATCH(B787,SECUESTRADOS!A$2:A1405,0),0)  )</f>
        <v>0</v>
      </c>
      <c r="O787" s="30"/>
      <c r="P787" s="17" t="b">
        <f t="shared" si="238"/>
        <v>0</v>
      </c>
      <c r="Q787" s="17" t="str">
        <f t="shared" si="271"/>
        <v/>
      </c>
      <c r="R787" s="31"/>
      <c r="S787" s="31"/>
      <c r="T787" s="31"/>
    </row>
    <row r="788">
      <c r="A788" s="18" t="s">
        <v>71</v>
      </c>
      <c r="B788" s="18">
        <v>2057.0</v>
      </c>
      <c r="C788" s="19">
        <v>2057.0</v>
      </c>
      <c r="D788" s="20" t="str">
        <f>IF(   ISERROR(OFFSET(PADRON!B$2,MATCH(C:C,PADRON!A$2:A1405,0)-1,0,1,1) )  ,  ,    OFFSET(PADRON!B$2,MATCH(C:C,PADRON!A$2:A1405,0)-1,0,1,1))</f>
        <v>CLUA, SEBASTIAN</v>
      </c>
      <c r="E788" s="21">
        <v>45839.0</v>
      </c>
      <c r="F788" s="21">
        <v>45870.0</v>
      </c>
      <c r="G788" s="23" t="s">
        <v>39</v>
      </c>
      <c r="H788" s="24">
        <f>IF( ISERROR( OFFSET(   'Cuadro tarifario'!D$2  , MATCH(CONCATENATE(                 IF(F788&gt;Mes,OFFSET(NroCT!B$17, MATCH($F788,NroCT!$A$18:$A1405,0),0,1,1),Periodovigente)                                                                                                                     ,A788) ,'Cuadro tarifario'!A$2:A1405,0) -1 , 0 , 1 , 1) )   , 0  ,   OFFSET(   'Cuadro tarifario'!D$2  , MATCH(CONCATENATE( IF(F788&gt;Mes,OFFSET(NroCT!B$17, MATCH($F788,NroCT!$A$18:$A1405,0),0,1,1),Periodovigente) ,A788) ,'Cuadro tarifario'!A$2:A1405,0) -1 , 0 , 1 , 1))</f>
        <v>11000</v>
      </c>
      <c r="I788" s="25">
        <f t="shared" si="252"/>
        <v>1</v>
      </c>
      <c r="J788" s="24">
        <f t="shared" si="235"/>
        <v>11000</v>
      </c>
      <c r="K788" s="26">
        <f>IF(  AND(N788&gt;0,I788=0)          ,N788 ,                         IF(  IF( F788 ,  DAYS360(DATE(YEAR(F788),MONTH(F788),1),Mes)/30  ,  DAYS360(DATE(YEAR(E788),MONTH(E788),1),Mes)/30  )  &gt;  0 , IF(F788,   DAYS360(DATE(YEAR(F788),MONTH(F788),1),Mes)/30  ,  DAYS360(DATE(YEAR(E788),MONTH(E788),1),Mes)/30) , 0)       )</f>
        <v>0</v>
      </c>
      <c r="L788" s="27">
        <f t="shared" si="253"/>
        <v>0</v>
      </c>
      <c r="M788" s="65"/>
      <c r="N788" s="29">
        <f>IF( ISERROR(OFFSET(SECUESTRADOS!D$1,MATCH(B788,SECUESTRADOS!A$2:A1405,0),0)) ,0 ,  OFFSET(SECUESTRADOS!D$1,MATCH(B788,SECUESTRADOS!A$2:A1405,0),0)  )</f>
        <v>0</v>
      </c>
      <c r="O788" s="30"/>
      <c r="P788" s="17" t="str">
        <f t="shared" si="238"/>
        <v>.socio</v>
      </c>
      <c r="Q788" s="17" t="str">
        <f>IF(AND(A788=#REF!,B788=#REF!,C788=#REF!),"Repetido","")</f>
        <v>#REF!</v>
      </c>
      <c r="R788" s="31"/>
      <c r="S788" s="31"/>
      <c r="T788" s="31"/>
    </row>
    <row r="789">
      <c r="A789" s="18" t="s">
        <v>38</v>
      </c>
      <c r="B789" s="18">
        <v>2057.0</v>
      </c>
      <c r="C789" s="19">
        <v>2057.0</v>
      </c>
      <c r="D789" s="20" t="str">
        <f>IF(   ISERROR(OFFSET(PADRON!B$2,MATCH(C:C,PADRON!A$2:A1405,0)-1,0,1,1) )  ,  ,    OFFSET(PADRON!B$2,MATCH(C:C,PADRON!A$2:A1405,0)-1,0,1,1))</f>
        <v>CLUA, SEBASTIAN</v>
      </c>
      <c r="E789" s="21">
        <v>45839.0</v>
      </c>
      <c r="F789" s="21">
        <v>45870.0</v>
      </c>
      <c r="G789" s="23" t="s">
        <v>39</v>
      </c>
      <c r="H789" s="24">
        <f>IF( ISERROR( OFFSET(   'Cuadro tarifario'!D$2  , MATCH(CONCATENATE(                 IF(F789&gt;Mes,OFFSET(NroCT!B$17, MATCH($F789,NroCT!$A$18:$A1405,0),0,1,1),Periodovigente)                                                                                                                     ,A789) ,'Cuadro tarifario'!A$2:A1405,0) -1 , 0 , 1 , 1) )   , 0  ,   OFFSET(   'Cuadro tarifario'!D$2  , MATCH(CONCATENATE( IF(F789&gt;Mes,OFFSET(NroCT!B$17, MATCH($F789,NroCT!$A$18:$A1405,0),0,1,1),Periodovigente) ,A789) ,'Cuadro tarifario'!A$2:A1405,0) -1 , 0 , 1 , 1))</f>
        <v>9000</v>
      </c>
      <c r="I789" s="25">
        <f t="shared" si="252"/>
        <v>1</v>
      </c>
      <c r="J789" s="24">
        <f t="shared" si="235"/>
        <v>9000</v>
      </c>
      <c r="K789" s="26">
        <f>IF(  AND(N789&gt;0,I789=0)          ,N789 ,                         IF(  IF( F789 ,  DAYS360(DATE(YEAR(F789),MONTH(F789),1),Mes)/30  ,  DAYS360(DATE(YEAR(E789),MONTH(E789),1),Mes)/30  )  &gt;  0 , IF(F789,   DAYS360(DATE(YEAR(F789),MONTH(F789),1),Mes)/30  ,  DAYS360(DATE(YEAR(E789),MONTH(E789),1),Mes)/30) , 0)       )</f>
        <v>0</v>
      </c>
      <c r="L789" s="27">
        <f t="shared" si="253"/>
        <v>0</v>
      </c>
      <c r="M789" s="28"/>
      <c r="N789" s="29">
        <f>IF( ISERROR(OFFSET(SECUESTRADOS!D$1,MATCH(B789,SECUESTRADOS!A$2:A1405,0),0)) ,0 ,  OFFSET(SECUESTRADOS!D$1,MATCH(B789,SECUESTRADOS!A$2:A1405,0),0)  )</f>
        <v>0</v>
      </c>
      <c r="O789" s="30"/>
      <c r="P789" s="17" t="str">
        <f t="shared" si="238"/>
        <v>Bono canon</v>
      </c>
      <c r="Q789" s="17" t="str">
        <f t="shared" ref="Q789:Q790" si="272">IF(AND(A789=A788,B789=B788,C789=C788),"Repetido","")</f>
        <v/>
      </c>
      <c r="R789" s="31"/>
      <c r="S789" s="31"/>
      <c r="T789" s="31"/>
    </row>
    <row r="790">
      <c r="A790" s="18" t="s">
        <v>48</v>
      </c>
      <c r="B790" s="18" t="s">
        <v>353</v>
      </c>
      <c r="C790" s="19">
        <v>2057.0</v>
      </c>
      <c r="D790" s="20" t="str">
        <f>IF(   ISERROR(OFFSET(PADRON!B$2,MATCH(C:C,PADRON!A$2:A1405,0)-1,0,1,1) )  ,  ,    OFFSET(PADRON!B$2,MATCH(C:C,PADRON!A$2:A1405,0)-1,0,1,1))</f>
        <v>CLUA, SEBASTIAN</v>
      </c>
      <c r="E790" s="21">
        <v>45839.0</v>
      </c>
      <c r="F790" s="21">
        <v>45870.0</v>
      </c>
      <c r="G790" s="23" t="s">
        <v>39</v>
      </c>
      <c r="H790" s="24">
        <f>IF( ISERROR( OFFSET(   'Cuadro tarifario'!D$2  , MATCH(CONCATENATE(                 IF(F790&gt;Mes,OFFSET(NroCT!B$17, MATCH($F790,NroCT!$A$18:$A1405,0),0,1,1),Periodovigente)                                                                                                                     ,A790) ,'Cuadro tarifario'!A$2:A1405,0) -1 , 0 , 1 , 1) )   , 0  ,   OFFSET(   'Cuadro tarifario'!D$2  , MATCH(CONCATENATE( IF(F790&gt;Mes,OFFSET(NroCT!B$17, MATCH($F790,NroCT!$A$18:$A1405,0),0,1,1),Periodovigente) ,A790) ,'Cuadro tarifario'!A$2:A1405,0) -1 , 0 , 1 , 1))</f>
        <v>12000</v>
      </c>
      <c r="I790" s="25">
        <f t="shared" si="252"/>
        <v>1</v>
      </c>
      <c r="J790" s="24">
        <f t="shared" si="235"/>
        <v>12000</v>
      </c>
      <c r="K790" s="26">
        <f>IF(  AND(N790&gt;0,I790=0)          ,N790 ,                         IF(  IF( F790 ,  DAYS360(DATE(YEAR(F790),MONTH(F790),1),Mes)/30  ,  DAYS360(DATE(YEAR(E790),MONTH(E790),1),Mes)/30  )  &gt;  0 , IF(F790,   DAYS360(DATE(YEAR(F790),MONTH(F790),1),Mes)/30  ,  DAYS360(DATE(YEAR(E790),MONTH(E790),1),Mes)/30) , 0)       )</f>
        <v>0</v>
      </c>
      <c r="L790" s="27">
        <f t="shared" si="253"/>
        <v>0</v>
      </c>
      <c r="M790" s="28"/>
      <c r="N790" s="29">
        <f>IF( ISERROR(OFFSET(SECUESTRADOS!D$1,MATCH(B790,SECUESTRADOS!A$2:A1405,0),0)) ,0 ,  OFFSET(SECUESTRADOS!D$1,MATCH(B790,SECUESTRADOS!A$2:A1405,0),0)  )</f>
        <v>0</v>
      </c>
      <c r="O790" s="30"/>
      <c r="P790" s="17" t="str">
        <f t="shared" si="238"/>
        <v>velero</v>
      </c>
      <c r="Q790" s="17" t="str">
        <f t="shared" si="272"/>
        <v/>
      </c>
      <c r="R790" s="31"/>
      <c r="S790" s="31"/>
      <c r="T790" s="31"/>
    </row>
    <row r="791">
      <c r="A791" s="18" t="s">
        <v>71</v>
      </c>
      <c r="B791" s="18">
        <v>2058.0</v>
      </c>
      <c r="C791" s="19">
        <v>2058.0</v>
      </c>
      <c r="D791" s="20" t="str">
        <f>IF(   ISERROR(OFFSET(PADRON!B$2,MATCH(C:C,PADRON!A$2:A1405,0)-1,0,1,1) )  ,  ,    OFFSET(PADRON!B$2,MATCH(C:C,PADRON!A$2:A1405,0)-1,0,1,1))</f>
        <v>ORTIZ, PABLO</v>
      </c>
      <c r="E791" s="21">
        <v>45839.0</v>
      </c>
      <c r="F791" s="21">
        <v>45870.0</v>
      </c>
      <c r="G791" s="23" t="s">
        <v>39</v>
      </c>
      <c r="H791" s="24">
        <f>IF( ISERROR( OFFSET(   'Cuadro tarifario'!D$2  , MATCH(CONCATENATE(                 IF(F791&gt;Mes,OFFSET(NroCT!B$17, MATCH($F791,NroCT!$A$18:$A1405,0),0,1,1),Periodovigente)                                                                                                                     ,A791) ,'Cuadro tarifario'!A$2:A1405,0) -1 , 0 , 1 , 1) )   , 0  ,   OFFSET(   'Cuadro tarifario'!D$2  , MATCH(CONCATENATE( IF(F791&gt;Mes,OFFSET(NroCT!B$17, MATCH($F791,NroCT!$A$18:$A1405,0),0,1,1),Periodovigente) ,A791) ,'Cuadro tarifario'!A$2:A1405,0) -1 , 0 , 1 , 1))</f>
        <v>11000</v>
      </c>
      <c r="I791" s="25">
        <f t="shared" si="252"/>
        <v>1</v>
      </c>
      <c r="J791" s="24">
        <f t="shared" si="235"/>
        <v>11000</v>
      </c>
      <c r="K791" s="26">
        <f>IF(  AND(N791&gt;0,I791=0)          ,N791 ,                         IF(  IF( F791 ,  DAYS360(DATE(YEAR(F791),MONTH(F791),1),Mes)/30  ,  DAYS360(DATE(YEAR(E791),MONTH(E791),1),Mes)/30  )  &gt;  0 , IF(F791,   DAYS360(DATE(YEAR(F791),MONTH(F791),1),Mes)/30  ,  DAYS360(DATE(YEAR(E791),MONTH(E791),1),Mes)/30) , 0)       )</f>
        <v>0</v>
      </c>
      <c r="L791" s="27">
        <f t="shared" si="253"/>
        <v>0</v>
      </c>
      <c r="M791" s="65"/>
      <c r="N791" s="29">
        <f>IF( ISERROR(OFFSET(SECUESTRADOS!D$1,MATCH(B791,SECUESTRADOS!A$2:A1405,0),0)) ,0 ,  OFFSET(SECUESTRADOS!D$1,MATCH(B791,SECUESTRADOS!A$2:A1405,0),0)  )</f>
        <v>0</v>
      </c>
      <c r="O791" s="30"/>
      <c r="P791" s="17" t="str">
        <f t="shared" si="238"/>
        <v>.socio</v>
      </c>
      <c r="Q791" s="17" t="str">
        <f>IF(AND(A791=#REF!,B791=#REF!,C791=#REF!),"Repetido","")</f>
        <v>#REF!</v>
      </c>
      <c r="R791" s="31"/>
      <c r="S791" s="31"/>
      <c r="T791" s="31"/>
    </row>
    <row r="792">
      <c r="A792" s="18" t="s">
        <v>38</v>
      </c>
      <c r="B792" s="18">
        <v>2058.0</v>
      </c>
      <c r="C792" s="19">
        <v>2058.0</v>
      </c>
      <c r="D792" s="20" t="str">
        <f>IF(   ISERROR(OFFSET(PADRON!B$2,MATCH(C:C,PADRON!A$2:A1405,0)-1,0,1,1) )  ,  ,    OFFSET(PADRON!B$2,MATCH(C:C,PADRON!A$2:A1405,0)-1,0,1,1))</f>
        <v>ORTIZ, PABLO</v>
      </c>
      <c r="E792" s="21">
        <v>45839.0</v>
      </c>
      <c r="F792" s="21">
        <v>45870.0</v>
      </c>
      <c r="G792" s="23" t="s">
        <v>39</v>
      </c>
      <c r="H792" s="24">
        <f>IF( ISERROR( OFFSET(   'Cuadro tarifario'!D$2  , MATCH(CONCATENATE(                 IF(F792&gt;Mes,OFFSET(NroCT!B$17, MATCH($F792,NroCT!$A$18:$A1405,0),0,1,1),Periodovigente)                                                                                                                     ,A792) ,'Cuadro tarifario'!A$2:A1405,0) -1 , 0 , 1 , 1) )   , 0  ,   OFFSET(   'Cuadro tarifario'!D$2  , MATCH(CONCATENATE( IF(F792&gt;Mes,OFFSET(NroCT!B$17, MATCH($F792,NroCT!$A$18:$A1405,0),0,1,1),Periodovigente) ,A792) ,'Cuadro tarifario'!A$2:A1405,0) -1 , 0 , 1 , 1))</f>
        <v>9000</v>
      </c>
      <c r="I792" s="25">
        <f t="shared" si="252"/>
        <v>1</v>
      </c>
      <c r="J792" s="24">
        <f t="shared" si="235"/>
        <v>9000</v>
      </c>
      <c r="K792" s="26">
        <f>IF(  AND(N792&gt;0,I792=0)          ,N792 ,                         IF(  IF( F792 ,  DAYS360(DATE(YEAR(F792),MONTH(F792),1),Mes)/30  ,  DAYS360(DATE(YEAR(E792),MONTH(E792),1),Mes)/30  )  &gt;  0 , IF(F792,   DAYS360(DATE(YEAR(F792),MONTH(F792),1),Mes)/30  ,  DAYS360(DATE(YEAR(E792),MONTH(E792),1),Mes)/30) , 0)       )</f>
        <v>0</v>
      </c>
      <c r="L792" s="27">
        <f t="shared" si="253"/>
        <v>0</v>
      </c>
      <c r="M792" s="28"/>
      <c r="N792" s="29">
        <f>IF( ISERROR(OFFSET(SECUESTRADOS!D$1,MATCH(B792,SECUESTRADOS!A$2:A1405,0),0)) ,0 ,  OFFSET(SECUESTRADOS!D$1,MATCH(B792,SECUESTRADOS!A$2:A1405,0),0)  )</f>
        <v>0</v>
      </c>
      <c r="O792" s="30"/>
      <c r="P792" s="17" t="str">
        <f t="shared" si="238"/>
        <v>Bono canon</v>
      </c>
      <c r="Q792" s="17" t="str">
        <f>IF(AND(A792=A791,B792=B791,C792=C791),"Repetido","")</f>
        <v/>
      </c>
      <c r="R792" s="31"/>
      <c r="S792" s="31"/>
      <c r="T792" s="31"/>
    </row>
    <row r="793">
      <c r="A793" s="18" t="s">
        <v>71</v>
      </c>
      <c r="B793" s="18">
        <v>2073.0</v>
      </c>
      <c r="C793" s="19">
        <v>2073.0</v>
      </c>
      <c r="D793" s="20" t="str">
        <f>IF(   ISERROR(OFFSET(PADRON!B$2,MATCH(C:C,PADRON!A$2:A1405,0)-1,0,1,1) )  ,  ,    OFFSET(PADRON!B$2,MATCH(C:C,PADRON!A$2:A1405,0)-1,0,1,1))</f>
        <v>ZOVICH, ROMINA</v>
      </c>
      <c r="E793" s="21">
        <v>45839.0</v>
      </c>
      <c r="F793" s="21">
        <v>45870.0</v>
      </c>
      <c r="G793" s="23" t="s">
        <v>39</v>
      </c>
      <c r="H793" s="24">
        <f>IF( ISERROR( OFFSET(   'Cuadro tarifario'!D$2  , MATCH(CONCATENATE(                 IF(F793&gt;Mes,OFFSET(NroCT!B$17, MATCH($F793,NroCT!$A$18:$A1405,0),0,1,1),Periodovigente)                                                                                                                     ,A793) ,'Cuadro tarifario'!A$2:A1405,0) -1 , 0 , 1 , 1) )   , 0  ,   OFFSET(   'Cuadro tarifario'!D$2  , MATCH(CONCATENATE( IF(F793&gt;Mes,OFFSET(NroCT!B$17, MATCH($F793,NroCT!$A$18:$A1405,0),0,1,1),Periodovigente) ,A793) ,'Cuadro tarifario'!A$2:A1405,0) -1 , 0 , 1 , 1))</f>
        <v>11000</v>
      </c>
      <c r="I793" s="25">
        <f t="shared" si="252"/>
        <v>1</v>
      </c>
      <c r="J793" s="24">
        <f t="shared" si="235"/>
        <v>11000</v>
      </c>
      <c r="K793" s="26">
        <f>IF(  AND(N793&gt;0,I793=0)          ,N793 ,                         IF(  IF( F793 ,  DAYS360(DATE(YEAR(F793),MONTH(F793),1),Mes)/30  ,  DAYS360(DATE(YEAR(E793),MONTH(E793),1),Mes)/30  )  &gt;  0 , IF(F793,   DAYS360(DATE(YEAR(F793),MONTH(F793),1),Mes)/30  ,  DAYS360(DATE(YEAR(E793),MONTH(E793),1),Mes)/30) , 0)       )</f>
        <v>0</v>
      </c>
      <c r="L793" s="27">
        <f t="shared" si="253"/>
        <v>0</v>
      </c>
      <c r="M793" s="65"/>
      <c r="N793" s="29">
        <f>IF( ISERROR(OFFSET(SECUESTRADOS!D$1,MATCH(B793,SECUESTRADOS!A$2:A1405,0),0)) ,0 ,  OFFSET(SECUESTRADOS!D$1,MATCH(B793,SECUESTRADOS!A$2:A1405,0),0)  )</f>
        <v>0</v>
      </c>
      <c r="O793" s="30"/>
      <c r="P793" s="17" t="str">
        <f t="shared" si="238"/>
        <v>.socio</v>
      </c>
      <c r="Q793" s="17" t="str">
        <f>IF(AND(A793=#REF!,B793=#REF!,C793=#REF!),"Repetido","")</f>
        <v>#REF!</v>
      </c>
      <c r="R793" s="31"/>
      <c r="S793" s="31"/>
      <c r="T793" s="31"/>
    </row>
    <row r="794" ht="14.25" customHeight="1">
      <c r="A794" s="18" t="s">
        <v>38</v>
      </c>
      <c r="B794" s="18">
        <v>2073.0</v>
      </c>
      <c r="C794" s="19">
        <v>2073.0</v>
      </c>
      <c r="D794" s="20" t="str">
        <f>IF(   ISERROR(OFFSET(PADRON!B$2,MATCH(C:C,PADRON!A$2:A1405,0)-1,0,1,1) )  ,  ,    OFFSET(PADRON!B$2,MATCH(C:C,PADRON!A$2:A1405,0)-1,0,1,1))</f>
        <v>ZOVICH, ROMINA</v>
      </c>
      <c r="E794" s="21">
        <v>45839.0</v>
      </c>
      <c r="F794" s="21">
        <v>45870.0</v>
      </c>
      <c r="G794" s="23" t="s">
        <v>39</v>
      </c>
      <c r="H794" s="24">
        <f>IF( ISERROR( OFFSET(   'Cuadro tarifario'!D$2  , MATCH(CONCATENATE(                 IF(F794&gt;Mes,OFFSET(NroCT!B$17, MATCH($F794,NroCT!$A$18:$A1405,0),0,1,1),Periodovigente)                                                                                                                     ,A794) ,'Cuadro tarifario'!A$2:A1405,0) -1 , 0 , 1 , 1) )   , 0  ,   OFFSET(   'Cuadro tarifario'!D$2  , MATCH(CONCATENATE( IF(F794&gt;Mes,OFFSET(NroCT!B$17, MATCH($F794,NroCT!$A$18:$A1405,0),0,1,1),Periodovigente) ,A794) ,'Cuadro tarifario'!A$2:A1405,0) -1 , 0 , 1 , 1))</f>
        <v>9000</v>
      </c>
      <c r="I794" s="25">
        <f t="shared" si="252"/>
        <v>1</v>
      </c>
      <c r="J794" s="24">
        <f t="shared" si="235"/>
        <v>9000</v>
      </c>
      <c r="K794" s="26">
        <f>IF(  AND(N794&gt;0,I794=0)          ,N794 ,                         IF(  IF( F794 ,  DAYS360(DATE(YEAR(F794),MONTH(F794),1),Mes)/30  ,  DAYS360(DATE(YEAR(E794),MONTH(E794),1),Mes)/30  )  &gt;  0 , IF(F794,   DAYS360(DATE(YEAR(F794),MONTH(F794),1),Mes)/30  ,  DAYS360(DATE(YEAR(E794),MONTH(E794),1),Mes)/30) , 0)       )</f>
        <v>0</v>
      </c>
      <c r="L794" s="27">
        <f t="shared" si="253"/>
        <v>0</v>
      </c>
      <c r="M794" s="65"/>
      <c r="N794" s="29">
        <f>IF( ISERROR(OFFSET(SECUESTRADOS!D$1,MATCH(B794,SECUESTRADOS!A$2:A1405,0),0)) ,0 ,  OFFSET(SECUESTRADOS!D$1,MATCH(B794,SECUESTRADOS!A$2:A1405,0),0)  )</f>
        <v>0</v>
      </c>
      <c r="O794" s="30"/>
      <c r="P794" s="17" t="str">
        <f t="shared" si="238"/>
        <v>Bono canon</v>
      </c>
      <c r="Q794" s="17" t="str">
        <f t="shared" ref="Q794:Q795" si="273">IF(AND(A794=A793,B794=B793,C794=C793),"Repetido","")</f>
        <v/>
      </c>
      <c r="R794" s="31"/>
      <c r="S794" s="31"/>
      <c r="T794" s="31"/>
    </row>
    <row r="795" ht="14.25" customHeight="1">
      <c r="A795" s="18" t="s">
        <v>40</v>
      </c>
      <c r="B795" s="18" t="s">
        <v>354</v>
      </c>
      <c r="C795" s="19">
        <v>2073.0</v>
      </c>
      <c r="D795" s="20" t="str">
        <f>IF(   ISERROR(OFFSET(PADRON!B$2,MATCH(C:C,PADRON!A$2:A1405,0)-1,0,1,1) )  ,  ,    OFFSET(PADRON!B$2,MATCH(C:C,PADRON!A$2:A1405,0)-1,0,1,1))</f>
        <v>ZOVICH, ROMINA</v>
      </c>
      <c r="E795" s="21">
        <v>45839.0</v>
      </c>
      <c r="F795" s="21">
        <v>45870.0</v>
      </c>
      <c r="G795" s="23" t="s">
        <v>39</v>
      </c>
      <c r="H795" s="24">
        <f>IF( ISERROR( OFFSET(   'Cuadro tarifario'!D$2  , MATCH(CONCATENATE(                 IF(F795&gt;Mes,OFFSET(NroCT!B$17, MATCH($F795,NroCT!$A$18:$A1405,0),0,1,1),Periodovigente)                                                                                                                     ,A795) ,'Cuadro tarifario'!A$2:A1405,0) -1 , 0 , 1 , 1) )   , 0  ,   OFFSET(   'Cuadro tarifario'!D$2  , MATCH(CONCATENATE( IF(F795&gt;Mes,OFFSET(NroCT!B$17, MATCH($F795,NroCT!$A$18:$A1405,0),0,1,1),Periodovigente) ,A795) ,'Cuadro tarifario'!A$2:A1405,0) -1 , 0 , 1 , 1))</f>
        <v>12000</v>
      </c>
      <c r="I795" s="25">
        <f t="shared" si="252"/>
        <v>1</v>
      </c>
      <c r="J795" s="24">
        <f t="shared" si="235"/>
        <v>12000</v>
      </c>
      <c r="K795" s="26">
        <f>IF(  AND(N795&gt;0,I795=0)          ,N795 ,                         IF(  IF( F795 ,  DAYS360(DATE(YEAR(F795),MONTH(F795),1),Mes)/30  ,  DAYS360(DATE(YEAR(E795),MONTH(E795),1),Mes)/30  )  &gt;  0 , IF(F795,   DAYS360(DATE(YEAR(F795),MONTH(F795),1),Mes)/30  ,  DAYS360(DATE(YEAR(E795),MONTH(E795),1),Mes)/30) , 0)       )</f>
        <v>0</v>
      </c>
      <c r="L795" s="27">
        <f t="shared" si="253"/>
        <v>0</v>
      </c>
      <c r="M795" s="65"/>
      <c r="N795" s="29">
        <f>IF( ISERROR(OFFSET(SECUESTRADOS!D$1,MATCH(B795,SECUESTRADOS!A$2:A1405,0),0)) ,0 ,  OFFSET(SECUESTRADOS!D$1,MATCH(B795,SECUESTRADOS!A$2:A1405,0),0)  )</f>
        <v>0</v>
      </c>
      <c r="O795" s="30"/>
      <c r="P795" s="17" t="str">
        <f t="shared" si="238"/>
        <v>cuna windsurf</v>
      </c>
      <c r="Q795" s="17" t="str">
        <f t="shared" si="273"/>
        <v/>
      </c>
      <c r="R795" s="31"/>
      <c r="S795" s="31"/>
      <c r="T795" s="31"/>
    </row>
    <row r="796" ht="18.0" customHeight="1">
      <c r="A796" s="18" t="s">
        <v>71</v>
      </c>
      <c r="B796" s="18">
        <v>2075.0</v>
      </c>
      <c r="C796" s="19">
        <v>2075.0</v>
      </c>
      <c r="D796" s="20" t="str">
        <f>IF(   ISERROR(OFFSET(PADRON!B$2,MATCH(C:C,PADRON!A$2:A1405,0)-1,0,1,1) )  ,  ,    OFFSET(PADRON!B$2,MATCH(C:C,PADRON!A$2:A1405,0)-1,0,1,1))</f>
        <v>VALE, FEDERICO</v>
      </c>
      <c r="E796" s="21">
        <v>45839.0</v>
      </c>
      <c r="F796" s="21">
        <v>45870.0</v>
      </c>
      <c r="G796" s="23" t="s">
        <v>39</v>
      </c>
      <c r="H796" s="24">
        <f>IF( ISERROR( OFFSET(   'Cuadro tarifario'!D$2  , MATCH(CONCATENATE(                 IF(F796&gt;Mes,OFFSET(NroCT!B$17, MATCH($F796,NroCT!$A$18:$A1405,0),0,1,1),Periodovigente)                                                                                                                     ,A796) ,'Cuadro tarifario'!A$2:A1405,0) -1 , 0 , 1 , 1) )   , 0  ,   OFFSET(   'Cuadro tarifario'!D$2  , MATCH(CONCATENATE( IF(F796&gt;Mes,OFFSET(NroCT!B$17, MATCH($F796,NroCT!$A$18:$A1405,0),0,1,1),Periodovigente) ,A796) ,'Cuadro tarifario'!A$2:A1405,0) -1 , 0 , 1 , 1))</f>
        <v>11000</v>
      </c>
      <c r="I796" s="25">
        <f t="shared" si="252"/>
        <v>1</v>
      </c>
      <c r="J796" s="24">
        <f t="shared" si="235"/>
        <v>11000</v>
      </c>
      <c r="K796" s="26">
        <f>IF(  AND(N796&gt;0,I796=0)          ,N796 ,                         IF(  IF( F796 ,  DAYS360(DATE(YEAR(F796),MONTH(F796),1),Mes)/30  ,  DAYS360(DATE(YEAR(E796),MONTH(E796),1),Mes)/30  )  &gt;  0 , IF(F796,   DAYS360(DATE(YEAR(F796),MONTH(F796),1),Mes)/30  ,  DAYS360(DATE(YEAR(E796),MONTH(E796),1),Mes)/30) , 0)       )</f>
        <v>0</v>
      </c>
      <c r="L796" s="27">
        <f t="shared" si="253"/>
        <v>0</v>
      </c>
      <c r="M796" s="65"/>
      <c r="N796" s="29">
        <f>IF( ISERROR(OFFSET(SECUESTRADOS!D$1,MATCH(B796,SECUESTRADOS!A$2:A1405,0),0)) ,0 ,  OFFSET(SECUESTRADOS!D$1,MATCH(B796,SECUESTRADOS!A$2:A1405,0),0)  )</f>
        <v>0</v>
      </c>
      <c r="O796" s="30"/>
      <c r="P796" s="17" t="str">
        <f t="shared" si="238"/>
        <v>.socio</v>
      </c>
      <c r="Q796" s="17" t="str">
        <f>IF(AND(A796=#REF!,B796=#REF!,C796=#REF!),"Repetido","")</f>
        <v>#REF!</v>
      </c>
      <c r="R796" s="31"/>
      <c r="S796" s="31"/>
      <c r="T796" s="31"/>
    </row>
    <row r="797">
      <c r="A797" s="18" t="s">
        <v>38</v>
      </c>
      <c r="B797" s="18">
        <v>2075.0</v>
      </c>
      <c r="C797" s="19">
        <v>2075.0</v>
      </c>
      <c r="D797" s="20" t="str">
        <f>IF(   ISERROR(OFFSET(PADRON!B$2,MATCH(C:C,PADRON!A$2:A1405,0)-1,0,1,1) )  ,  ,    OFFSET(PADRON!B$2,MATCH(C:C,PADRON!A$2:A1405,0)-1,0,1,1))</f>
        <v>VALE, FEDERICO</v>
      </c>
      <c r="E797" s="21">
        <v>45839.0</v>
      </c>
      <c r="F797" s="21">
        <v>45870.0</v>
      </c>
      <c r="G797" s="23" t="s">
        <v>39</v>
      </c>
      <c r="H797" s="24">
        <f>IF( ISERROR( OFFSET(   'Cuadro tarifario'!D$2  , MATCH(CONCATENATE(                 IF(F797&gt;Mes,OFFSET(NroCT!B$17, MATCH($F797,NroCT!$A$18:$A1405,0),0,1,1),Periodovigente)                                                                                                                     ,A797) ,'Cuadro tarifario'!A$2:A1405,0) -1 , 0 , 1 , 1) )   , 0  ,   OFFSET(   'Cuadro tarifario'!D$2  , MATCH(CONCATENATE( IF(F797&gt;Mes,OFFSET(NroCT!B$17, MATCH($F797,NroCT!$A$18:$A1405,0),0,1,1),Periodovigente) ,A797) ,'Cuadro tarifario'!A$2:A1405,0) -1 , 0 , 1 , 1))</f>
        <v>9000</v>
      </c>
      <c r="I797" s="25">
        <f t="shared" si="252"/>
        <v>1</v>
      </c>
      <c r="J797" s="24">
        <f t="shared" si="235"/>
        <v>9000</v>
      </c>
      <c r="K797" s="26">
        <f>IF(  AND(N797&gt;0,I797=0)          ,N797 ,                         IF(  IF( F797 ,  DAYS360(DATE(YEAR(F797),MONTH(F797),1),Mes)/30  ,  DAYS360(DATE(YEAR(E797),MONTH(E797),1),Mes)/30  )  &gt;  0 , IF(F797,   DAYS360(DATE(YEAR(F797),MONTH(F797),1),Mes)/30  ,  DAYS360(DATE(YEAR(E797),MONTH(E797),1),Mes)/30) , 0)       )</f>
        <v>0</v>
      </c>
      <c r="L797" s="27">
        <f t="shared" si="253"/>
        <v>0</v>
      </c>
      <c r="M797" s="65"/>
      <c r="N797" s="29">
        <f>IF( ISERROR(OFFSET(SECUESTRADOS!D$1,MATCH(B797,SECUESTRADOS!A$2:A1405,0),0)) ,0 ,  OFFSET(SECUESTRADOS!D$1,MATCH(B797,SECUESTRADOS!A$2:A1405,0),0)  )</f>
        <v>0</v>
      </c>
      <c r="O797" s="30"/>
      <c r="P797" s="17" t="str">
        <f t="shared" si="238"/>
        <v>Bono canon</v>
      </c>
      <c r="Q797" s="17" t="str">
        <f t="shared" ref="Q797:Q798" si="274">IF(AND(A797=A796,B797=B796,C797=C796),"Repetido","")</f>
        <v/>
      </c>
      <c r="R797" s="31"/>
      <c r="S797" s="31"/>
      <c r="T797" s="31"/>
    </row>
    <row r="798">
      <c r="A798" s="18" t="s">
        <v>40</v>
      </c>
      <c r="B798" s="18" t="s">
        <v>355</v>
      </c>
      <c r="C798" s="19">
        <v>2075.0</v>
      </c>
      <c r="D798" s="20" t="str">
        <f>IF(   ISERROR(OFFSET(PADRON!B$2,MATCH(C:C,PADRON!A$2:A1405,0)-1,0,1,1) )  ,  ,    OFFSET(PADRON!B$2,MATCH(C:C,PADRON!A$2:A1405,0)-1,0,1,1))</f>
        <v>VALE, FEDERICO</v>
      </c>
      <c r="E798" s="21">
        <v>45839.0</v>
      </c>
      <c r="F798" s="21">
        <v>45870.0</v>
      </c>
      <c r="G798" s="23" t="s">
        <v>39</v>
      </c>
      <c r="H798" s="24">
        <f>IF( ISERROR( OFFSET(   'Cuadro tarifario'!D$2  , MATCH(CONCATENATE(                 IF(F798&gt;Mes,OFFSET(NroCT!B$17, MATCH($F798,NroCT!$A$18:$A1405,0),0,1,1),Periodovigente)                                                                                                                     ,A798) ,'Cuadro tarifario'!A$2:A1405,0) -1 , 0 , 1 , 1) )   , 0  ,   OFFSET(   'Cuadro tarifario'!D$2  , MATCH(CONCATENATE( IF(F798&gt;Mes,OFFSET(NroCT!B$17, MATCH($F798,NroCT!$A$18:$A1405,0),0,1,1),Periodovigente) ,A798) ,'Cuadro tarifario'!A$2:A1405,0) -1 , 0 , 1 , 1))</f>
        <v>12000</v>
      </c>
      <c r="I798" s="25">
        <f t="shared" si="252"/>
        <v>1</v>
      </c>
      <c r="J798" s="24">
        <f t="shared" si="235"/>
        <v>12000</v>
      </c>
      <c r="K798" s="26">
        <f>IF(  AND(N798&gt;0,I798=0)          ,N798 ,                         IF(  IF( F798 ,  DAYS360(DATE(YEAR(F798),MONTH(F798),1),Mes)/30  ,  DAYS360(DATE(YEAR(E798),MONTH(E798),1),Mes)/30  )  &gt;  0 , IF(F798,   DAYS360(DATE(YEAR(F798),MONTH(F798),1),Mes)/30  ,  DAYS360(DATE(YEAR(E798),MONTH(E798),1),Mes)/30) , 0)       )</f>
        <v>0</v>
      </c>
      <c r="L798" s="27">
        <f t="shared" si="253"/>
        <v>0</v>
      </c>
      <c r="M798" s="65"/>
      <c r="N798" s="29">
        <f>IF( ISERROR(OFFSET(SECUESTRADOS!D$1,MATCH(B798,SECUESTRADOS!A$2:A1405,0),0)) ,0 ,  OFFSET(SECUESTRADOS!D$1,MATCH(B798,SECUESTRADOS!A$2:A1405,0),0)  )</f>
        <v>0</v>
      </c>
      <c r="O798" s="30"/>
      <c r="P798" s="17" t="str">
        <f t="shared" si="238"/>
        <v>cuna windsurf</v>
      </c>
      <c r="Q798" s="17" t="str">
        <f t="shared" si="274"/>
        <v/>
      </c>
      <c r="R798" s="31"/>
      <c r="S798" s="31"/>
      <c r="T798" s="31"/>
    </row>
    <row r="799" ht="18.0" customHeight="1">
      <c r="A799" s="18" t="s">
        <v>71</v>
      </c>
      <c r="B799" s="18">
        <v>2078.0</v>
      </c>
      <c r="C799" s="19">
        <v>2078.0</v>
      </c>
      <c r="D799" s="20" t="str">
        <f>IF(   ISERROR(OFFSET(PADRON!B$2,MATCH(C:C,PADRON!A$2:A1405,0)-1,0,1,1) )  ,  ,    OFFSET(PADRON!B$2,MATCH(C:C,PADRON!A$2:A1405,0)-1,0,1,1))</f>
        <v>CAPOBIANCO, CRISTIAN</v>
      </c>
      <c r="E799" s="21">
        <v>45839.0</v>
      </c>
      <c r="F799" s="21">
        <v>45870.0</v>
      </c>
      <c r="G799" s="23" t="s">
        <v>39</v>
      </c>
      <c r="H799" s="24">
        <f>IF( ISERROR( OFFSET(   'Cuadro tarifario'!D$2  , MATCH(CONCATENATE(                 IF(F799&gt;Mes,OFFSET(NroCT!B$17, MATCH($F799,NroCT!$A$18:$A1405,0),0,1,1),Periodovigente)                                                                                                                     ,A799) ,'Cuadro tarifario'!A$2:A1405,0) -1 , 0 , 1 , 1) )   , 0  ,   OFFSET(   'Cuadro tarifario'!D$2  , MATCH(CONCATENATE( IF(F799&gt;Mes,OFFSET(NroCT!B$17, MATCH($F799,NroCT!$A$18:$A1405,0),0,1,1),Periodovigente) ,A799) ,'Cuadro tarifario'!A$2:A1405,0) -1 , 0 , 1 , 1))</f>
        <v>11000</v>
      </c>
      <c r="I799" s="25">
        <f t="shared" si="252"/>
        <v>1</v>
      </c>
      <c r="J799" s="24">
        <f t="shared" si="235"/>
        <v>11000</v>
      </c>
      <c r="K799" s="26">
        <f>IF(  AND(N799&gt;0,I799=0)          ,N799 ,                         IF(  IF( F799 ,  DAYS360(DATE(YEAR(F799),MONTH(F799),1),Mes)/30  ,  DAYS360(DATE(YEAR(E799),MONTH(E799),1),Mes)/30  )  &gt;  0 , IF(F799,   DAYS360(DATE(YEAR(F799),MONTH(F799),1),Mes)/30  ,  DAYS360(DATE(YEAR(E799),MONTH(E799),1),Mes)/30) , 0)       )</f>
        <v>0</v>
      </c>
      <c r="L799" s="27">
        <f t="shared" si="253"/>
        <v>0</v>
      </c>
      <c r="M799" s="65"/>
      <c r="N799" s="29">
        <f>IF( ISERROR(OFFSET(SECUESTRADOS!D$1,MATCH(B799,SECUESTRADOS!A$2:A1405,0),0)) ,0 ,  OFFSET(SECUESTRADOS!D$1,MATCH(B799,SECUESTRADOS!A$2:A1405,0),0)  )</f>
        <v>0</v>
      </c>
      <c r="O799" s="30"/>
      <c r="P799" s="17" t="str">
        <f t="shared" si="238"/>
        <v>.socio</v>
      </c>
      <c r="Q799" s="17" t="str">
        <f>IF(AND(A799=#REF!,B799=#REF!,C799=#REF!),"Repetido","")</f>
        <v>#REF!</v>
      </c>
      <c r="R799" s="31"/>
      <c r="S799" s="31"/>
      <c r="T799" s="31"/>
    </row>
    <row r="800">
      <c r="A800" s="18" t="s">
        <v>38</v>
      </c>
      <c r="B800" s="18">
        <v>2078.0</v>
      </c>
      <c r="C800" s="19">
        <v>2078.0</v>
      </c>
      <c r="D800" s="20" t="str">
        <f>IF(   ISERROR(OFFSET(PADRON!B$2,MATCH(C:C,PADRON!A$2:A1405,0)-1,0,1,1) )  ,  ,    OFFSET(PADRON!B$2,MATCH(C:C,PADRON!A$2:A1405,0)-1,0,1,1))</f>
        <v>CAPOBIANCO, CRISTIAN</v>
      </c>
      <c r="E800" s="21">
        <v>45839.0</v>
      </c>
      <c r="F800" s="21">
        <v>45870.0</v>
      </c>
      <c r="G800" s="23" t="s">
        <v>39</v>
      </c>
      <c r="H800" s="24">
        <f>IF( ISERROR( OFFSET(   'Cuadro tarifario'!D$2  , MATCH(CONCATENATE(                 IF(F800&gt;Mes,OFFSET(NroCT!B$17, MATCH($F800,NroCT!$A$18:$A1405,0),0,1,1),Periodovigente)                                                                                                                     ,A800) ,'Cuadro tarifario'!A$2:A1405,0) -1 , 0 , 1 , 1) )   , 0  ,   OFFSET(   'Cuadro tarifario'!D$2  , MATCH(CONCATENATE( IF(F800&gt;Mes,OFFSET(NroCT!B$17, MATCH($F800,NroCT!$A$18:$A1405,0),0,1,1),Periodovigente) ,A800) ,'Cuadro tarifario'!A$2:A1405,0) -1 , 0 , 1 , 1))</f>
        <v>9000</v>
      </c>
      <c r="I800" s="25">
        <f t="shared" si="252"/>
        <v>1</v>
      </c>
      <c r="J800" s="24">
        <f t="shared" si="235"/>
        <v>9000</v>
      </c>
      <c r="K800" s="26">
        <f>IF(  AND(N800&gt;0,I800=0)          ,N800 ,                         IF(  IF( F800 ,  DAYS360(DATE(YEAR(F800),MONTH(F800),1),Mes)/30  ,  DAYS360(DATE(YEAR(E800),MONTH(E800),1),Mes)/30  )  &gt;  0 , IF(F800,   DAYS360(DATE(YEAR(F800),MONTH(F800),1),Mes)/30  ,  DAYS360(DATE(YEAR(E800),MONTH(E800),1),Mes)/30) , 0)       )</f>
        <v>0</v>
      </c>
      <c r="L800" s="27">
        <f t="shared" si="253"/>
        <v>0</v>
      </c>
      <c r="M800" s="65"/>
      <c r="N800" s="29">
        <f>IF( ISERROR(OFFSET(SECUESTRADOS!D$1,MATCH(B800,SECUESTRADOS!A$2:A1405,0),0)) ,0 ,  OFFSET(SECUESTRADOS!D$1,MATCH(B800,SECUESTRADOS!A$2:A1405,0),0)  )</f>
        <v>0</v>
      </c>
      <c r="O800" s="30"/>
      <c r="P800" s="17" t="str">
        <f t="shared" si="238"/>
        <v>Bono canon</v>
      </c>
      <c r="Q800" s="17" t="str">
        <f t="shared" ref="Q800:Q802" si="275">IF(AND(A800=A799,B800=B799,C800=C799),"Repetido","")</f>
        <v/>
      </c>
      <c r="R800" s="31"/>
      <c r="S800" s="31"/>
      <c r="T800" s="31"/>
    </row>
    <row r="801">
      <c r="A801" s="18" t="s">
        <v>40</v>
      </c>
      <c r="B801" s="18" t="s">
        <v>356</v>
      </c>
      <c r="C801" s="19">
        <v>2078.0</v>
      </c>
      <c r="D801" s="20" t="str">
        <f>IF(   ISERROR(OFFSET(PADRON!B$2,MATCH(C:C,PADRON!A$2:A1405,0)-1,0,1,1) )  ,  ,    OFFSET(PADRON!B$2,MATCH(C:C,PADRON!A$2:A1405,0)-1,0,1,1))</f>
        <v>CAPOBIANCO, CRISTIAN</v>
      </c>
      <c r="E801" s="21">
        <v>45839.0</v>
      </c>
      <c r="F801" s="21">
        <v>45870.0</v>
      </c>
      <c r="G801" s="23" t="s">
        <v>39</v>
      </c>
      <c r="H801" s="24">
        <f>IF( ISERROR( OFFSET(   'Cuadro tarifario'!D$2  , MATCH(CONCATENATE(                 IF(F801&gt;Mes,OFFSET(NroCT!B$17, MATCH($F801,NroCT!$A$18:$A1405,0),0,1,1),Periodovigente)                                                                                                                     ,A801) ,'Cuadro tarifario'!A$2:A1405,0) -1 , 0 , 1 , 1) )   , 0  ,   OFFSET(   'Cuadro tarifario'!D$2  , MATCH(CONCATENATE( IF(F801&gt;Mes,OFFSET(NroCT!B$17, MATCH($F801,NroCT!$A$18:$A1405,0),0,1,1),Periodovigente) ,A801) ,'Cuadro tarifario'!A$2:A1405,0) -1 , 0 , 1 , 1))</f>
        <v>12000</v>
      </c>
      <c r="I801" s="25">
        <f t="shared" si="252"/>
        <v>1</v>
      </c>
      <c r="J801" s="24">
        <f t="shared" si="235"/>
        <v>12000</v>
      </c>
      <c r="K801" s="26">
        <f>IF(  AND(N801&gt;0,I801=0)          ,N801 ,                         IF(  IF( F801 ,  DAYS360(DATE(YEAR(F801),MONTH(F801),1),Mes)/30  ,  DAYS360(DATE(YEAR(E801),MONTH(E801),1),Mes)/30  )  &gt;  0 , IF(F801,   DAYS360(DATE(YEAR(F801),MONTH(F801),1),Mes)/30  ,  DAYS360(DATE(YEAR(E801),MONTH(E801),1),Mes)/30) , 0)       )</f>
        <v>0</v>
      </c>
      <c r="L801" s="27">
        <f t="shared" si="253"/>
        <v>0</v>
      </c>
      <c r="M801" s="65"/>
      <c r="N801" s="29">
        <f>IF( ISERROR(OFFSET(SECUESTRADOS!D$1,MATCH(B801,SECUESTRADOS!A$2:A1405,0),0)) ,0 ,  OFFSET(SECUESTRADOS!D$1,MATCH(B801,SECUESTRADOS!A$2:A1405,0),0)  )</f>
        <v>0</v>
      </c>
      <c r="O801" s="30"/>
      <c r="P801" s="17" t="str">
        <f t="shared" si="238"/>
        <v>cuna windsurf</v>
      </c>
      <c r="Q801" s="17" t="str">
        <f t="shared" si="275"/>
        <v/>
      </c>
      <c r="R801" s="31"/>
      <c r="S801" s="31"/>
      <c r="T801" s="31"/>
    </row>
    <row r="802">
      <c r="A802" s="18" t="s">
        <v>52</v>
      </c>
      <c r="B802" s="18" t="s">
        <v>357</v>
      </c>
      <c r="C802" s="19">
        <v>2078.0</v>
      </c>
      <c r="D802" s="20" t="str">
        <f>IF(   ISERROR(OFFSET(PADRON!B$2,MATCH(C:C,PADRON!A$2:A1405,0)-1,0,1,1) )  ,  ,    OFFSET(PADRON!B$2,MATCH(C:C,PADRON!A$2:A1405,0)-1,0,1,1))</f>
        <v>CAPOBIANCO, CRISTIAN</v>
      </c>
      <c r="E802" s="21">
        <v>45992.0</v>
      </c>
      <c r="F802" s="21"/>
      <c r="G802" s="23" t="s">
        <v>39</v>
      </c>
      <c r="H802" s="24">
        <f>IF( ISERROR( OFFSET(   'Cuadro tarifario'!D$2  , MATCH(CONCATENATE(                 IF(F802&gt;Mes,OFFSET(NroCT!B$17, MATCH($F802,NroCT!$A$18:$A1405,0),0,1,1),Periodovigente)                                                                                                                     ,A802) ,'Cuadro tarifario'!A$2:A1405,0) -1 , 0 , 1 , 1) )   , 0  ,   OFFSET(   'Cuadro tarifario'!D$2  , MATCH(CONCATENATE( IF(F802&gt;Mes,OFFSET(NroCT!B$17, MATCH($F802,NroCT!$A$18:$A1405,0),0,1,1),Periodovigente) ,A802) ,'Cuadro tarifario'!A$2:A1405,0) -1 , 0 , 1 , 1))</f>
        <v>4000</v>
      </c>
      <c r="I802" s="25">
        <f t="shared" si="252"/>
        <v>0</v>
      </c>
      <c r="J802" s="24">
        <f t="shared" si="235"/>
        <v>0</v>
      </c>
      <c r="K802" s="26">
        <f>IF(  AND(N802&gt;0,I802=0)          ,N802 ,                         IF(  IF( F802 ,  DAYS360(DATE(YEAR(F802),MONTH(F802),1),Mes)/30  ,  DAYS360(DATE(YEAR(E802),MONTH(E802),1),Mes)/30  )  &gt;  0 , IF(F802,   DAYS360(DATE(YEAR(F802),MONTH(F802),1),Mes)/30  ,  DAYS360(DATE(YEAR(E802),MONTH(E802),1),Mes)/30) , 0)       )</f>
        <v>0</v>
      </c>
      <c r="L802" s="27">
        <f t="shared" si="253"/>
        <v>0</v>
      </c>
      <c r="M802" s="65"/>
      <c r="N802" s="29">
        <f>IF( ISERROR(OFFSET(SECUESTRADOS!D$1,MATCH(B802,SECUESTRADOS!A$2:A1405,0),0)) ,0 ,  OFFSET(SECUESTRADOS!D$1,MATCH(B802,SECUESTRADOS!A$2:A1405,0),0)  )</f>
        <v>0</v>
      </c>
      <c r="O802" s="30"/>
      <c r="P802" s="17" t="b">
        <f t="shared" si="238"/>
        <v>0</v>
      </c>
      <c r="Q802" s="17" t="str">
        <f t="shared" si="275"/>
        <v/>
      </c>
      <c r="R802" s="31"/>
      <c r="S802" s="31"/>
      <c r="T802" s="31"/>
    </row>
    <row r="803" ht="15.0" customHeight="1">
      <c r="A803" s="18" t="s">
        <v>71</v>
      </c>
      <c r="B803" s="18">
        <v>2080.0</v>
      </c>
      <c r="C803" s="19">
        <v>2080.0</v>
      </c>
      <c r="D803" s="20" t="str">
        <f>IF(   ISERROR(OFFSET(PADRON!B$2,MATCH(C:C,PADRON!A$2:A1405,0)-1,0,1,1) )  ,  ,    OFFSET(PADRON!B$2,MATCH(C:C,PADRON!A$2:A1405,0)-1,0,1,1))</f>
        <v>SORINO, CARLOS MARTIN</v>
      </c>
      <c r="E803" s="21">
        <v>45839.0</v>
      </c>
      <c r="F803" s="21">
        <v>45870.0</v>
      </c>
      <c r="G803" s="23" t="s">
        <v>56</v>
      </c>
      <c r="H803" s="24">
        <f>IF( ISERROR( OFFSET(   'Cuadro tarifario'!D$2  , MATCH(CONCATENATE(                 IF(F803&gt;Mes,OFFSET(NroCT!B$17, MATCH($F803,NroCT!$A$18:$A1405,0),0,1,1),Periodovigente)                                                                                                                     ,A803) ,'Cuadro tarifario'!A$2:A1405,0) -1 , 0 , 1 , 1) )   , 0  ,   OFFSET(   'Cuadro tarifario'!D$2  , MATCH(CONCATENATE( IF(F803&gt;Mes,OFFSET(NroCT!B$17, MATCH($F803,NroCT!$A$18:$A1405,0),0,1,1),Periodovigente) ,A803) ,'Cuadro tarifario'!A$2:A1405,0) -1 , 0 , 1 , 1))</f>
        <v>11000</v>
      </c>
      <c r="I803" s="25">
        <f t="shared" si="252"/>
        <v>1</v>
      </c>
      <c r="J803" s="24">
        <f t="shared" si="235"/>
        <v>11000</v>
      </c>
      <c r="K803" s="26">
        <f>IF(  AND(N803&gt;0,I803=0)          ,N803 ,                         IF(  IF( F803 ,  DAYS360(DATE(YEAR(F803),MONTH(F803),1),Mes)/30  ,  DAYS360(DATE(YEAR(E803),MONTH(E803),1),Mes)/30  )  &gt;  0 , IF(F803,   DAYS360(DATE(YEAR(F803),MONTH(F803),1),Mes)/30  ,  DAYS360(DATE(YEAR(E803),MONTH(E803),1),Mes)/30) , 0)       )</f>
        <v>0</v>
      </c>
      <c r="L803" s="27">
        <f t="shared" si="253"/>
        <v>0</v>
      </c>
      <c r="M803" s="65"/>
      <c r="N803" s="29">
        <f>IF( ISERROR(OFFSET(SECUESTRADOS!D$1,MATCH(B803,SECUESTRADOS!A$2:A1405,0),0)) ,0 ,  OFFSET(SECUESTRADOS!D$1,MATCH(B803,SECUESTRADOS!A$2:A1405,0),0)  )</f>
        <v>0</v>
      </c>
      <c r="O803" s="30"/>
      <c r="P803" s="17" t="str">
        <f t="shared" si="238"/>
        <v>.socio</v>
      </c>
      <c r="Q803" s="17" t="str">
        <f>IF(AND(A803=#REF!,B803=#REF!,C803=#REF!),"Repetido","")</f>
        <v>#REF!</v>
      </c>
      <c r="R803" s="31"/>
      <c r="S803" s="31"/>
      <c r="T803" s="31"/>
    </row>
    <row r="804">
      <c r="A804" s="18" t="s">
        <v>38</v>
      </c>
      <c r="B804" s="18">
        <v>2080.0</v>
      </c>
      <c r="C804" s="19">
        <v>2080.0</v>
      </c>
      <c r="D804" s="20" t="str">
        <f>IF(   ISERROR(OFFSET(PADRON!B$2,MATCH(C:C,PADRON!A$2:A1405,0)-1,0,1,1) )  ,  ,    OFFSET(PADRON!B$2,MATCH(C:C,PADRON!A$2:A1405,0)-1,0,1,1))</f>
        <v>SORINO, CARLOS MARTIN</v>
      </c>
      <c r="E804" s="21">
        <v>45839.0</v>
      </c>
      <c r="F804" s="21">
        <v>45870.0</v>
      </c>
      <c r="G804" s="23" t="s">
        <v>56</v>
      </c>
      <c r="H804" s="24">
        <f>IF( ISERROR( OFFSET(   'Cuadro tarifario'!D$2  , MATCH(CONCATENATE(                 IF(F804&gt;Mes,OFFSET(NroCT!B$17, MATCH($F804,NroCT!$A$18:$A1405,0),0,1,1),Periodovigente)                                                                                                                     ,A804) ,'Cuadro tarifario'!A$2:A1405,0) -1 , 0 , 1 , 1) )   , 0  ,   OFFSET(   'Cuadro tarifario'!D$2  , MATCH(CONCATENATE( IF(F804&gt;Mes,OFFSET(NroCT!B$17, MATCH($F804,NroCT!$A$18:$A1405,0),0,1,1),Periodovigente) ,A804) ,'Cuadro tarifario'!A$2:A1405,0) -1 , 0 , 1 , 1))</f>
        <v>9000</v>
      </c>
      <c r="I804" s="25">
        <f t="shared" si="252"/>
        <v>1</v>
      </c>
      <c r="J804" s="24">
        <f t="shared" si="235"/>
        <v>9000</v>
      </c>
      <c r="K804" s="26">
        <f>IF(  AND(N804&gt;0,I804=0)          ,N804 ,                         IF(  IF( F804 ,  DAYS360(DATE(YEAR(F804),MONTH(F804),1),Mes)/30  ,  DAYS360(DATE(YEAR(E804),MONTH(E804),1),Mes)/30  )  &gt;  0 , IF(F804,   DAYS360(DATE(YEAR(F804),MONTH(F804),1),Mes)/30  ,  DAYS360(DATE(YEAR(E804),MONTH(E804),1),Mes)/30) , 0)       )</f>
        <v>0</v>
      </c>
      <c r="L804" s="27">
        <f t="shared" si="253"/>
        <v>0</v>
      </c>
      <c r="M804" s="65"/>
      <c r="N804" s="29">
        <f>IF( ISERROR(OFFSET(SECUESTRADOS!D$1,MATCH(B804,SECUESTRADOS!A$2:A1405,0),0)) ,0 ,  OFFSET(SECUESTRADOS!D$1,MATCH(B804,SECUESTRADOS!A$2:A1405,0),0)  )</f>
        <v>0</v>
      </c>
      <c r="O804" s="30"/>
      <c r="P804" s="17" t="str">
        <f t="shared" si="238"/>
        <v>Bono canon</v>
      </c>
      <c r="Q804" s="17" t="str">
        <f t="shared" ref="Q804:Q805" si="276">IF(AND(A804=A803,B804=B803,C804=C803),"Repetido","")</f>
        <v/>
      </c>
      <c r="R804" s="31"/>
      <c r="S804" s="31"/>
      <c r="T804" s="31"/>
    </row>
    <row r="805">
      <c r="A805" s="18" t="s">
        <v>40</v>
      </c>
      <c r="B805" s="18" t="s">
        <v>358</v>
      </c>
      <c r="C805" s="19">
        <v>2080.0</v>
      </c>
      <c r="D805" s="20" t="str">
        <f>IF(   ISERROR(OFFSET(PADRON!B$2,MATCH(C:C,PADRON!A$2:A1405,0)-1,0,1,1) )  ,  ,    OFFSET(PADRON!B$2,MATCH(C:C,PADRON!A$2:A1405,0)-1,0,1,1))</f>
        <v>SORINO, CARLOS MARTIN</v>
      </c>
      <c r="E805" s="21">
        <v>45839.0</v>
      </c>
      <c r="F805" s="21">
        <v>45870.0</v>
      </c>
      <c r="G805" s="23" t="s">
        <v>56</v>
      </c>
      <c r="H805" s="24">
        <f>IF( ISERROR( OFFSET(   'Cuadro tarifario'!D$2  , MATCH(CONCATENATE(                 IF(F805&gt;Mes,OFFSET(NroCT!B$17, MATCH($F805,NroCT!$A$18:$A1405,0),0,1,1),Periodovigente)                                                                                                                     ,A805) ,'Cuadro tarifario'!A$2:A1405,0) -1 , 0 , 1 , 1) )   , 0  ,   OFFSET(   'Cuadro tarifario'!D$2  , MATCH(CONCATENATE( IF(F805&gt;Mes,OFFSET(NroCT!B$17, MATCH($F805,NroCT!$A$18:$A1405,0),0,1,1),Periodovigente) ,A805) ,'Cuadro tarifario'!A$2:A1405,0) -1 , 0 , 1 , 1))</f>
        <v>12000</v>
      </c>
      <c r="I805" s="25">
        <f t="shared" si="252"/>
        <v>1</v>
      </c>
      <c r="J805" s="24">
        <f t="shared" si="235"/>
        <v>12000</v>
      </c>
      <c r="K805" s="26">
        <f>IF(  AND(N805&gt;0,I805=0)          ,N805 ,                         IF(  IF( F805 ,  DAYS360(DATE(YEAR(F805),MONTH(F805),1),Mes)/30  ,  DAYS360(DATE(YEAR(E805),MONTH(E805),1),Mes)/30  )  &gt;  0 , IF(F805,   DAYS360(DATE(YEAR(F805),MONTH(F805),1),Mes)/30  ,  DAYS360(DATE(YEAR(E805),MONTH(E805),1),Mes)/30) , 0)       )</f>
        <v>0</v>
      </c>
      <c r="L805" s="27">
        <f t="shared" si="253"/>
        <v>0</v>
      </c>
      <c r="M805" s="65"/>
      <c r="N805" s="29">
        <f>IF( ISERROR(OFFSET(SECUESTRADOS!D$1,MATCH(B805,SECUESTRADOS!A$2:A1405,0),0)) ,0 ,  OFFSET(SECUESTRADOS!D$1,MATCH(B805,SECUESTRADOS!A$2:A1405,0),0)  )</f>
        <v>0</v>
      </c>
      <c r="O805" s="30"/>
      <c r="P805" s="17" t="str">
        <f t="shared" si="238"/>
        <v>cuna windsurf</v>
      </c>
      <c r="Q805" s="17" t="str">
        <f t="shared" si="276"/>
        <v/>
      </c>
      <c r="R805" s="31"/>
      <c r="S805" s="31"/>
      <c r="T805" s="31"/>
    </row>
    <row r="806">
      <c r="A806" s="18" t="s">
        <v>42</v>
      </c>
      <c r="B806" s="18" t="s">
        <v>359</v>
      </c>
      <c r="C806" s="19">
        <v>2080.0</v>
      </c>
      <c r="D806" s="20" t="str">
        <f>IF(   ISERROR(OFFSET(PADRON!B$2,MATCH(C:C,PADRON!A$2:A1405,0)-1,0,1,1) )  ,  ,    OFFSET(PADRON!B$2,MATCH(C:C,PADRON!A$2:A1405,0)-1,0,1,1))</f>
        <v>SORINO, CARLOS MARTIN</v>
      </c>
      <c r="E806" s="21">
        <v>45992.0</v>
      </c>
      <c r="F806" s="21"/>
      <c r="G806" s="23" t="s">
        <v>56</v>
      </c>
      <c r="H806" s="24">
        <f>IF( ISERROR( OFFSET(   'Cuadro tarifario'!D$2  , MATCH(CONCATENATE(                 IF(F806&gt;Mes,OFFSET(NroCT!B$17, MATCH($F806,NroCT!$A$18:$A1405,0),0,1,1),Periodovigente)                                                                                                                     ,A806) ,'Cuadro tarifario'!A$2:A1405,0) -1 , 0 , 1 , 1) )   , 0  ,   OFFSET(   'Cuadro tarifario'!D$2  , MATCH(CONCATENATE( IF(F806&gt;Mes,OFFSET(NroCT!B$17, MATCH($F806,NroCT!$A$18:$A1405,0),0,1,1),Periodovigente) ,A806) ,'Cuadro tarifario'!A$2:A1405,0) -1 , 0 , 1 , 1))</f>
        <v>4000</v>
      </c>
      <c r="I806" s="25">
        <f t="shared" si="252"/>
        <v>0</v>
      </c>
      <c r="J806" s="24">
        <f t="shared" si="235"/>
        <v>0</v>
      </c>
      <c r="K806" s="26">
        <f>IF(  AND(N806&gt;0,I806=0)          ,N806 ,                         IF(  IF( F806 ,  DAYS360(DATE(YEAR(F806),MONTH(F806),1),Mes)/30  ,  DAYS360(DATE(YEAR(E806),MONTH(E806),1),Mes)/30  )  &gt;  0 , IF(F806,   DAYS360(DATE(YEAR(F806),MONTH(F806),1),Mes)/30  ,  DAYS360(DATE(YEAR(E806),MONTH(E806),1),Mes)/30) , 0)       )</f>
        <v>0</v>
      </c>
      <c r="L806" s="27">
        <f t="shared" si="253"/>
        <v>0</v>
      </c>
      <c r="M806" s="65"/>
      <c r="N806" s="29">
        <f>IF( ISERROR(OFFSET(SECUESTRADOS!D$1,MATCH(B806,SECUESTRADOS!A$2:A1405,0),0)) ,0 ,  OFFSET(SECUESTRADOS!D$1,MATCH(B806,SECUESTRADOS!A$2:A1405,0),0)  )</f>
        <v>0</v>
      </c>
      <c r="O806" s="30"/>
      <c r="P806" s="17" t="b">
        <f t="shared" si="238"/>
        <v>0</v>
      </c>
      <c r="Q806" s="17" t="str">
        <f t="shared" ref="Q806:Q807" si="277">IF(AND(A806=#REF!,B806=#REF!,C806=#REF!),"Repetido","")</f>
        <v>#REF!</v>
      </c>
      <c r="R806" s="31"/>
      <c r="S806" s="31"/>
      <c r="T806" s="31"/>
    </row>
    <row r="807" ht="18.0" customHeight="1">
      <c r="A807" s="18" t="s">
        <v>71</v>
      </c>
      <c r="B807" s="18">
        <v>2081.0</v>
      </c>
      <c r="C807" s="19">
        <v>2081.0</v>
      </c>
      <c r="D807" s="20" t="str">
        <f>IF(   ISERROR(OFFSET(PADRON!B$2,MATCH(C:C,PADRON!A$2:A1405,0)-1,0,1,1) )  ,  ,    OFFSET(PADRON!B$2,MATCH(C:C,PADRON!A$2:A1405,0)-1,0,1,1))</f>
        <v>STEFANOFF, MA. EUGENIA</v>
      </c>
      <c r="E807" s="21">
        <v>45839.0</v>
      </c>
      <c r="F807" s="21">
        <v>45870.0</v>
      </c>
      <c r="G807" s="23" t="s">
        <v>39</v>
      </c>
      <c r="H807" s="24">
        <f>IF( ISERROR( OFFSET(   'Cuadro tarifario'!D$2  , MATCH(CONCATENATE(                 IF(F807&gt;Mes,OFFSET(NroCT!B$17, MATCH($F807,NroCT!$A$18:$A1405,0),0,1,1),Periodovigente)                                                                                                                     ,A807) ,'Cuadro tarifario'!A$2:A1405,0) -1 , 0 , 1 , 1) )   , 0  ,   OFFSET(   'Cuadro tarifario'!D$2  , MATCH(CONCATENATE( IF(F807&gt;Mes,OFFSET(NroCT!B$17, MATCH($F807,NroCT!$A$18:$A1405,0),0,1,1),Periodovigente) ,A807) ,'Cuadro tarifario'!A$2:A1405,0) -1 , 0 , 1 , 1))</f>
        <v>11000</v>
      </c>
      <c r="I807" s="25">
        <f t="shared" si="252"/>
        <v>1</v>
      </c>
      <c r="J807" s="24">
        <f t="shared" si="235"/>
        <v>11000</v>
      </c>
      <c r="K807" s="26">
        <f>IF(  AND(N807&gt;0,I807=0)          ,N807 ,                         IF(  IF( F807 ,  DAYS360(DATE(YEAR(F807),MONTH(F807),1),Mes)/30  ,  DAYS360(DATE(YEAR(E807),MONTH(E807),1),Mes)/30  )  &gt;  0 , IF(F807,   DAYS360(DATE(YEAR(F807),MONTH(F807),1),Mes)/30  ,  DAYS360(DATE(YEAR(E807),MONTH(E807),1),Mes)/30) , 0)       )</f>
        <v>0</v>
      </c>
      <c r="L807" s="27">
        <f t="shared" si="253"/>
        <v>0</v>
      </c>
      <c r="M807" s="65"/>
      <c r="N807" s="29">
        <f>IF( ISERROR(OFFSET(SECUESTRADOS!D$1,MATCH(B807,SECUESTRADOS!A$2:A1405,0),0)) ,0 ,  OFFSET(SECUESTRADOS!D$1,MATCH(B807,SECUESTRADOS!A$2:A1405,0),0)  )</f>
        <v>0</v>
      </c>
      <c r="O807" s="30"/>
      <c r="P807" s="17" t="str">
        <f t="shared" si="238"/>
        <v>.socio</v>
      </c>
      <c r="Q807" s="17" t="str">
        <f t="shared" si="277"/>
        <v>#REF!</v>
      </c>
      <c r="R807" s="31"/>
      <c r="S807" s="31"/>
      <c r="T807" s="31"/>
    </row>
    <row r="808">
      <c r="A808" s="18" t="s">
        <v>38</v>
      </c>
      <c r="B808" s="18">
        <v>2081.0</v>
      </c>
      <c r="C808" s="19">
        <v>2081.0</v>
      </c>
      <c r="D808" s="20" t="str">
        <f>IF(   ISERROR(OFFSET(PADRON!B$2,MATCH(C:C,PADRON!A$2:A1405,0)-1,0,1,1) )  ,  ,    OFFSET(PADRON!B$2,MATCH(C:C,PADRON!A$2:A1405,0)-1,0,1,1))</f>
        <v>STEFANOFF, MA. EUGENIA</v>
      </c>
      <c r="E808" s="21">
        <v>45839.0</v>
      </c>
      <c r="F808" s="21">
        <v>45870.0</v>
      </c>
      <c r="G808" s="23" t="s">
        <v>39</v>
      </c>
      <c r="H808" s="24">
        <f>IF( ISERROR( OFFSET(   'Cuadro tarifario'!D$2  , MATCH(CONCATENATE(                 IF(F808&gt;Mes,OFFSET(NroCT!B$17, MATCH($F808,NroCT!$A$18:$A1405,0),0,1,1),Periodovigente)                                                                                                                     ,A808) ,'Cuadro tarifario'!A$2:A1405,0) -1 , 0 , 1 , 1) )   , 0  ,   OFFSET(   'Cuadro tarifario'!D$2  , MATCH(CONCATENATE( IF(F808&gt;Mes,OFFSET(NroCT!B$17, MATCH($F808,NroCT!$A$18:$A1405,0),0,1,1),Periodovigente) ,A808) ,'Cuadro tarifario'!A$2:A1405,0) -1 , 0 , 1 , 1))</f>
        <v>9000</v>
      </c>
      <c r="I808" s="25">
        <f t="shared" si="252"/>
        <v>1</v>
      </c>
      <c r="J808" s="24">
        <f t="shared" si="235"/>
        <v>9000</v>
      </c>
      <c r="K808" s="26">
        <f>IF(  AND(N808&gt;0,I808=0)          ,N808 ,                         IF(  IF( F808 ,  DAYS360(DATE(YEAR(F808),MONTH(F808),1),Mes)/30  ,  DAYS360(DATE(YEAR(E808),MONTH(E808),1),Mes)/30  )  &gt;  0 , IF(F808,   DAYS360(DATE(YEAR(F808),MONTH(F808),1),Mes)/30  ,  DAYS360(DATE(YEAR(E808),MONTH(E808),1),Mes)/30) , 0)       )</f>
        <v>0</v>
      </c>
      <c r="L808" s="27">
        <f t="shared" si="253"/>
        <v>0</v>
      </c>
      <c r="M808" s="65"/>
      <c r="N808" s="29">
        <f>IF( ISERROR(OFFSET(SECUESTRADOS!D$1,MATCH(B808,SECUESTRADOS!A$2:A1405,0),0)) ,0 ,  OFFSET(SECUESTRADOS!D$1,MATCH(B808,SECUESTRADOS!A$2:A1405,0),0)  )</f>
        <v>0</v>
      </c>
      <c r="O808" s="30"/>
      <c r="P808" s="17" t="str">
        <f t="shared" si="238"/>
        <v>Bono canon</v>
      </c>
      <c r="Q808" s="17" t="str">
        <f t="shared" ref="Q808:Q809" si="278">IF(AND(A808=A807,B808=B807,C808=C807),"Repetido","")</f>
        <v/>
      </c>
      <c r="R808" s="31"/>
      <c r="S808" s="31"/>
      <c r="T808" s="31"/>
    </row>
    <row r="809">
      <c r="A809" s="18" t="s">
        <v>40</v>
      </c>
      <c r="B809" s="18" t="s">
        <v>360</v>
      </c>
      <c r="C809" s="19">
        <v>2081.0</v>
      </c>
      <c r="D809" s="20" t="str">
        <f>IF(   ISERROR(OFFSET(PADRON!B$2,MATCH(C:C,PADRON!A$2:A1405,0)-1,0,1,1) )  ,  ,    OFFSET(PADRON!B$2,MATCH(C:C,PADRON!A$2:A1405,0)-1,0,1,1))</f>
        <v>STEFANOFF, MA. EUGENIA</v>
      </c>
      <c r="E809" s="21">
        <v>45839.0</v>
      </c>
      <c r="F809" s="21">
        <v>45870.0</v>
      </c>
      <c r="G809" s="23" t="s">
        <v>39</v>
      </c>
      <c r="H809" s="24">
        <f>IF( ISERROR( OFFSET(   'Cuadro tarifario'!D$2  , MATCH(CONCATENATE(                 IF(F809&gt;Mes,OFFSET(NroCT!B$17, MATCH($F809,NroCT!$A$18:$A1405,0),0,1,1),Periodovigente)                                                                                                                     ,A809) ,'Cuadro tarifario'!A$2:A1405,0) -1 , 0 , 1 , 1) )   , 0  ,   OFFSET(   'Cuadro tarifario'!D$2  , MATCH(CONCATENATE( IF(F809&gt;Mes,OFFSET(NroCT!B$17, MATCH($F809,NroCT!$A$18:$A1405,0),0,1,1),Periodovigente) ,A809) ,'Cuadro tarifario'!A$2:A1405,0) -1 , 0 , 1 , 1))</f>
        <v>12000</v>
      </c>
      <c r="I809" s="25">
        <f t="shared" si="252"/>
        <v>1</v>
      </c>
      <c r="J809" s="24">
        <f t="shared" si="235"/>
        <v>12000</v>
      </c>
      <c r="K809" s="26">
        <f>IF(  AND(N809&gt;0,I809=0)          ,N809 ,                         IF(  IF( F809 ,  DAYS360(DATE(YEAR(F809),MONTH(F809),1),Mes)/30  ,  DAYS360(DATE(YEAR(E809),MONTH(E809),1),Mes)/30  )  &gt;  0 , IF(F809,   DAYS360(DATE(YEAR(F809),MONTH(F809),1),Mes)/30  ,  DAYS360(DATE(YEAR(E809),MONTH(E809),1),Mes)/30) , 0)       )</f>
        <v>0</v>
      </c>
      <c r="L809" s="27">
        <f t="shared" si="253"/>
        <v>0</v>
      </c>
      <c r="M809" s="65"/>
      <c r="N809" s="29">
        <f>IF( ISERROR(OFFSET(SECUESTRADOS!D$1,MATCH(B809,SECUESTRADOS!A$2:A1405,0),0)) ,0 ,  OFFSET(SECUESTRADOS!D$1,MATCH(B809,SECUESTRADOS!A$2:A1405,0),0)  )</f>
        <v>0</v>
      </c>
      <c r="O809" s="30"/>
      <c r="P809" s="17" t="str">
        <f t="shared" si="238"/>
        <v>cuna windsurf</v>
      </c>
      <c r="Q809" s="17" t="str">
        <f t="shared" si="278"/>
        <v/>
      </c>
      <c r="R809" s="31"/>
      <c r="S809" s="31"/>
      <c r="T809" s="31"/>
    </row>
    <row r="810" ht="18.0" customHeight="1">
      <c r="A810" s="18" t="s">
        <v>71</v>
      </c>
      <c r="B810" s="18">
        <v>2082.0</v>
      </c>
      <c r="C810" s="19">
        <v>2082.0</v>
      </c>
      <c r="D810" s="20" t="str">
        <f>IF(   ISERROR(OFFSET(PADRON!B$2,MATCH(C:C,PADRON!A$2:A1405,0)-1,0,1,1) )  ,  ,    OFFSET(PADRON!B$2,MATCH(C:C,PADRON!A$2:A1405,0)-1,0,1,1))</f>
        <v>CAÑEDO, FELIPE</v>
      </c>
      <c r="E810" s="21">
        <v>45748.0</v>
      </c>
      <c r="F810" s="21"/>
      <c r="G810" s="23" t="s">
        <v>39</v>
      </c>
      <c r="H810" s="24">
        <f>IF( ISERROR( OFFSET(   'Cuadro tarifario'!D$2  , MATCH(CONCATENATE(                 IF(F810&gt;Mes,OFFSET(NroCT!B$17, MATCH($F810,NroCT!$A$18:$A1405,0),0,1,1),Periodovigente)                                                                                                                     ,A810) ,'Cuadro tarifario'!A$2:A1405,0) -1 , 0 , 1 , 1) )   , 0  ,   OFFSET(   'Cuadro tarifario'!D$2  , MATCH(CONCATENATE( IF(F810&gt;Mes,OFFSET(NroCT!B$17, MATCH($F810,NroCT!$A$18:$A1405,0),0,1,1),Periodovigente) ,A810) ,'Cuadro tarifario'!A$2:A1405,0) -1 , 0 , 1 , 1))</f>
        <v>11000</v>
      </c>
      <c r="I810" s="25">
        <f t="shared" si="252"/>
        <v>0</v>
      </c>
      <c r="J810" s="24">
        <f t="shared" si="235"/>
        <v>0</v>
      </c>
      <c r="K810" s="26">
        <f>IF(  AND(N810&gt;0,I810=0)          ,N810 ,                         IF(  IF( F810 ,  DAYS360(DATE(YEAR(F810),MONTH(F810),1),Mes)/30  ,  DAYS360(DATE(YEAR(E810),MONTH(E810),1),Mes)/30  )  &gt;  0 , IF(F810,   DAYS360(DATE(YEAR(F810),MONTH(F810),1),Mes)/30  ,  DAYS360(DATE(YEAR(E810),MONTH(E810),1),Mes)/30) , 0)       )</f>
        <v>4</v>
      </c>
      <c r="L810" s="27">
        <f t="shared" si="253"/>
        <v>44000</v>
      </c>
      <c r="M810" s="65"/>
      <c r="N810" s="29">
        <f>IF( ISERROR(OFFSET(SECUESTRADOS!D$1,MATCH(B810,SECUESTRADOS!A$2:A1405,0),0)) ,0 ,  OFFSET(SECUESTRADOS!D$1,MATCH(B810,SECUESTRADOS!A$2:A1405,0),0)  )</f>
        <v>0</v>
      </c>
      <c r="O810" s="30"/>
      <c r="P810" s="17" t="b">
        <f t="shared" si="238"/>
        <v>0</v>
      </c>
      <c r="Q810" s="17" t="str">
        <f>IF(AND(A810=#REF!,B810=#REF!,C810=#REF!),"Repetido","")</f>
        <v>#REF!</v>
      </c>
      <c r="R810" s="31"/>
      <c r="S810" s="31"/>
      <c r="T810" s="31"/>
    </row>
    <row r="811">
      <c r="A811" s="18" t="s">
        <v>38</v>
      </c>
      <c r="B811" s="18">
        <v>2082.0</v>
      </c>
      <c r="C811" s="19">
        <v>2082.0</v>
      </c>
      <c r="D811" s="20" t="str">
        <f>IF(   ISERROR(OFFSET(PADRON!B$2,MATCH(C:C,PADRON!A$2:A1405,0)-1,0,1,1) )  ,  ,    OFFSET(PADRON!B$2,MATCH(C:C,PADRON!A$2:A1405,0)-1,0,1,1))</f>
        <v>CAÑEDO, FELIPE</v>
      </c>
      <c r="E811" s="21">
        <v>45748.0</v>
      </c>
      <c r="F811" s="21"/>
      <c r="G811" s="23" t="s">
        <v>39</v>
      </c>
      <c r="H811" s="24">
        <f>IF( ISERROR( OFFSET(   'Cuadro tarifario'!D$2  , MATCH(CONCATENATE(                 IF(F811&gt;Mes,OFFSET(NroCT!B$17, MATCH($F811,NroCT!$A$18:$A1405,0),0,1,1),Periodovigente)                                                                                                                     ,A811) ,'Cuadro tarifario'!A$2:A1405,0) -1 , 0 , 1 , 1) )   , 0  ,   OFFSET(   'Cuadro tarifario'!D$2  , MATCH(CONCATENATE( IF(F811&gt;Mes,OFFSET(NroCT!B$17, MATCH($F811,NroCT!$A$18:$A1405,0),0,1,1),Periodovigente) ,A811) ,'Cuadro tarifario'!A$2:A1405,0) -1 , 0 , 1 , 1))</f>
        <v>9000</v>
      </c>
      <c r="I811" s="25">
        <f t="shared" si="252"/>
        <v>0</v>
      </c>
      <c r="J811" s="24">
        <f t="shared" si="235"/>
        <v>0</v>
      </c>
      <c r="K811" s="26">
        <f>IF(  AND(N811&gt;0,I811=0)          ,N811 ,                         IF(  IF( F811 ,  DAYS360(DATE(YEAR(F811),MONTH(F811),1),Mes)/30  ,  DAYS360(DATE(YEAR(E811),MONTH(E811),1),Mes)/30  )  &gt;  0 , IF(F811,   DAYS360(DATE(YEAR(F811),MONTH(F811),1),Mes)/30  ,  DAYS360(DATE(YEAR(E811),MONTH(E811),1),Mes)/30) , 0)       )</f>
        <v>4</v>
      </c>
      <c r="L811" s="27">
        <f t="shared" si="253"/>
        <v>36000</v>
      </c>
      <c r="M811" s="65"/>
      <c r="N811" s="29">
        <f>IF( ISERROR(OFFSET(SECUESTRADOS!D$1,MATCH(B811,SECUESTRADOS!A$2:A1405,0),0)) ,0 ,  OFFSET(SECUESTRADOS!D$1,MATCH(B811,SECUESTRADOS!A$2:A1405,0),0)  )</f>
        <v>0</v>
      </c>
      <c r="O811" s="30"/>
      <c r="P811" s="17" t="b">
        <f t="shared" si="238"/>
        <v>0</v>
      </c>
      <c r="Q811" s="17" t="str">
        <f>IF(AND(A811=A810,B811=B810,C811=C810),"Repetido","")</f>
        <v/>
      </c>
      <c r="R811" s="31"/>
      <c r="S811" s="31"/>
      <c r="T811" s="31"/>
    </row>
    <row r="812">
      <c r="A812" s="18" t="s">
        <v>71</v>
      </c>
      <c r="B812" s="18">
        <v>2085.0</v>
      </c>
      <c r="C812" s="19">
        <v>2085.0</v>
      </c>
      <c r="D812" s="20" t="str">
        <f>IF(   ISERROR(OFFSET(PADRON!B$2,MATCH(C:C,PADRON!A$2:A1405,0)-1,0,1,1) )  ,  ,    OFFSET(PADRON!B$2,MATCH(C:C,PADRON!A$2:A1405,0)-1,0,1,1))</f>
        <v>CARLONI, MARINA</v>
      </c>
      <c r="E812" s="21">
        <v>45839.0</v>
      </c>
      <c r="F812" s="21">
        <v>45870.0</v>
      </c>
      <c r="G812" s="23" t="s">
        <v>39</v>
      </c>
      <c r="H812" s="24">
        <f>IF( ISERROR( OFFSET(   'Cuadro tarifario'!D$2  , MATCH(CONCATENATE(                 IF(F812&gt;Mes,OFFSET(NroCT!B$17, MATCH($F812,NroCT!$A$18:$A1405,0),0,1,1),Periodovigente)                                                                                                                     ,A812) ,'Cuadro tarifario'!A$2:A1405,0) -1 , 0 , 1 , 1) )   , 0  ,   OFFSET(   'Cuadro tarifario'!D$2  , MATCH(CONCATENATE( IF(F812&gt;Mes,OFFSET(NroCT!B$17, MATCH($F812,NroCT!$A$18:$A1405,0),0,1,1),Periodovigente) ,A812) ,'Cuadro tarifario'!A$2:A1405,0) -1 , 0 , 1 , 1))</f>
        <v>11000</v>
      </c>
      <c r="I812" s="25">
        <f t="shared" si="252"/>
        <v>1</v>
      </c>
      <c r="J812" s="24">
        <f t="shared" si="235"/>
        <v>11000</v>
      </c>
      <c r="K812" s="26">
        <f>IF(  AND(N812&gt;0,I812=0)          ,N812 ,                         IF(  IF( F812 ,  DAYS360(DATE(YEAR(F812),MONTH(F812),1),Mes)/30  ,  DAYS360(DATE(YEAR(E812),MONTH(E812),1),Mes)/30  )  &gt;  0 , IF(F812,   DAYS360(DATE(YEAR(F812),MONTH(F812),1),Mes)/30  ,  DAYS360(DATE(YEAR(E812),MONTH(E812),1),Mes)/30) , 0)       )</f>
        <v>0</v>
      </c>
      <c r="L812" s="27">
        <f t="shared" si="253"/>
        <v>0</v>
      </c>
      <c r="M812" s="65"/>
      <c r="N812" s="29">
        <f>IF( ISERROR(OFFSET(SECUESTRADOS!D$1,MATCH(B812,SECUESTRADOS!A$2:A1405,0),0)) ,0 ,  OFFSET(SECUESTRADOS!D$1,MATCH(B812,SECUESTRADOS!A$2:A1405,0),0)  )</f>
        <v>0</v>
      </c>
      <c r="O812" s="30"/>
      <c r="P812" s="17" t="str">
        <f t="shared" si="238"/>
        <v>.socio</v>
      </c>
      <c r="Q812" s="17" t="str">
        <f>IF(AND(A812=#REF!,B812=#REF!,C812=#REF!),"Repetido","")</f>
        <v>#REF!</v>
      </c>
      <c r="R812" s="31"/>
      <c r="S812" s="31"/>
      <c r="T812" s="31"/>
    </row>
    <row r="813">
      <c r="A813" s="18" t="s">
        <v>38</v>
      </c>
      <c r="B813" s="18">
        <v>2085.0</v>
      </c>
      <c r="C813" s="19">
        <v>2085.0</v>
      </c>
      <c r="D813" s="20" t="str">
        <f>IF(   ISERROR(OFFSET(PADRON!B$2,MATCH(C:C,PADRON!A$2:A1405,0)-1,0,1,1) )  ,  ,    OFFSET(PADRON!B$2,MATCH(C:C,PADRON!A$2:A1405,0)-1,0,1,1))</f>
        <v>CARLONI, MARINA</v>
      </c>
      <c r="E813" s="21">
        <v>45839.0</v>
      </c>
      <c r="F813" s="21">
        <v>45870.0</v>
      </c>
      <c r="G813" s="23" t="s">
        <v>39</v>
      </c>
      <c r="H813" s="24">
        <f>IF( ISERROR( OFFSET(   'Cuadro tarifario'!D$2  , MATCH(CONCATENATE(                 IF(F813&gt;Mes,OFFSET(NroCT!B$17, MATCH($F813,NroCT!$A$18:$A1405,0),0,1,1),Periodovigente)                                                                                                                     ,A813) ,'Cuadro tarifario'!A$2:A1405,0) -1 , 0 , 1 , 1) )   , 0  ,   OFFSET(   'Cuadro tarifario'!D$2  , MATCH(CONCATENATE( IF(F813&gt;Mes,OFFSET(NroCT!B$17, MATCH($F813,NroCT!$A$18:$A1405,0),0,1,1),Periodovigente) ,A813) ,'Cuadro tarifario'!A$2:A1405,0) -1 , 0 , 1 , 1))</f>
        <v>9000</v>
      </c>
      <c r="I813" s="25">
        <f t="shared" si="252"/>
        <v>1</v>
      </c>
      <c r="J813" s="24">
        <f t="shared" si="235"/>
        <v>9000</v>
      </c>
      <c r="K813" s="26">
        <f>IF(  AND(N813&gt;0,I813=0)          ,N813 ,                         IF(  IF( F813 ,  DAYS360(DATE(YEAR(F813),MONTH(F813),1),Mes)/30  ,  DAYS360(DATE(YEAR(E813),MONTH(E813),1),Mes)/30  )  &gt;  0 , IF(F813,   DAYS360(DATE(YEAR(F813),MONTH(F813),1),Mes)/30  ,  DAYS360(DATE(YEAR(E813),MONTH(E813),1),Mes)/30) , 0)       )</f>
        <v>0</v>
      </c>
      <c r="L813" s="27">
        <f t="shared" si="253"/>
        <v>0</v>
      </c>
      <c r="M813" s="65"/>
      <c r="N813" s="29">
        <f>IF( ISERROR(OFFSET(SECUESTRADOS!D$1,MATCH(B813,SECUESTRADOS!A$2:A1405,0),0)) ,0 ,  OFFSET(SECUESTRADOS!D$1,MATCH(B813,SECUESTRADOS!A$2:A1405,0),0)  )</f>
        <v>0</v>
      </c>
      <c r="O813" s="30"/>
      <c r="P813" s="17" t="str">
        <f t="shared" si="238"/>
        <v>Bono canon</v>
      </c>
      <c r="Q813" s="17" t="str">
        <f>IF(AND(A813=A812,B813=B812,C813=C812),"Repetido","")</f>
        <v/>
      </c>
      <c r="R813" s="31"/>
      <c r="S813" s="31"/>
      <c r="T813" s="31"/>
    </row>
    <row r="814">
      <c r="A814" s="17" t="s">
        <v>71</v>
      </c>
      <c r="B814" s="116">
        <v>2086.0</v>
      </c>
      <c r="C814" s="140">
        <v>2086.0</v>
      </c>
      <c r="D814" s="57" t="str">
        <f>IF(   ISERROR(OFFSET(PADRON!B$2,MATCH(C:C,PADRON!A$2:A1405,0)-1,0,1,1) )  ,  ,    OFFSET(PADRON!B$2,MATCH(C:C,PADRON!A$2:A1405,0)-1,0,1,1))</f>
        <v>BELTRAMI, NAZARENO</v>
      </c>
      <c r="E814" s="58">
        <v>45839.0</v>
      </c>
      <c r="F814" s="58">
        <v>45870.0</v>
      </c>
      <c r="G814" s="59" t="s">
        <v>39</v>
      </c>
      <c r="H814" s="60">
        <f>IF( ISERROR( OFFSET(   'Cuadro tarifario'!D$2  , MATCH(CONCATENATE(                 IF(F814&gt;Mes,OFFSET(NroCT!B$17, MATCH($F814,NroCT!$A$18:$A1405,0),0,1,1),Periodovigente)                                                                                                                     ,A814) ,'Cuadro tarifario'!A$2:A1405,0) -1 , 0 , 1 , 1) )   , 0  ,   OFFSET(   'Cuadro tarifario'!D$2  , MATCH(CONCATENATE( IF(F814&gt;Mes,OFFSET(NroCT!B$17, MATCH($F814,NroCT!$A$18:$A1405,0),0,1,1),Periodovigente) ,A814) ,'Cuadro tarifario'!A$2:A1405,0) -1 , 0 , 1 , 1))</f>
        <v>11000</v>
      </c>
      <c r="I814" s="61">
        <f t="shared" si="252"/>
        <v>1</v>
      </c>
      <c r="J814" s="60">
        <f t="shared" si="235"/>
        <v>11000</v>
      </c>
      <c r="K814" s="62">
        <f>IF(  AND(N814&gt;0,I814=0)          ,N814 ,                         IF(  IF( F814 ,  DAYS360(DATE(YEAR(F814),MONTH(F814),1),Mes)/30  ,  DAYS360(DATE(YEAR(E814),MONTH(E814),1),Mes)/30  )  &gt;  0 , IF(F814,   DAYS360(DATE(YEAR(F814),MONTH(F814),1),Mes)/30  ,  DAYS360(DATE(YEAR(E814),MONTH(E814),1),Mes)/30) , 0)       )</f>
        <v>0</v>
      </c>
      <c r="L814" s="63">
        <f t="shared" si="253"/>
        <v>0</v>
      </c>
      <c r="M814" s="129"/>
      <c r="N814" s="97">
        <f>IF( ISERROR(OFFSET(SECUESTRADOS!D$1,MATCH(B814,SECUESTRADOS!A$2:A1405,0),0)) ,0 ,  OFFSET(SECUESTRADOS!D$1,MATCH(B814,SECUESTRADOS!A$2:A1405,0),0)  )</f>
        <v>0</v>
      </c>
      <c r="O814" s="98"/>
      <c r="P814" s="99" t="str">
        <f t="shared" si="238"/>
        <v>.socio</v>
      </c>
      <c r="Q814" s="99" t="str">
        <f>IF(AND(A814=#REF!,B814=#REF!,C814=#REF!),"Repetido","")</f>
        <v>#REF!</v>
      </c>
      <c r="R814" s="130"/>
      <c r="S814" s="130"/>
      <c r="T814" s="130"/>
    </row>
    <row r="815">
      <c r="A815" s="141" t="s">
        <v>38</v>
      </c>
      <c r="B815" s="142">
        <v>2086.0</v>
      </c>
      <c r="C815" s="143">
        <v>2086.0</v>
      </c>
      <c r="D815" s="144" t="str">
        <f>IF(   ISERROR(OFFSET(PADRON!B$2,MATCH(C:C,PADRON!A$2:A1405,0)-1,0,1,1) )  ,  ,    OFFSET(PADRON!B$2,MATCH(C:C,PADRON!A$2:A1405,0)-1,0,1,1))</f>
        <v>BELTRAMI, NAZARENO</v>
      </c>
      <c r="E815" s="145">
        <v>45839.0</v>
      </c>
      <c r="F815" s="145">
        <v>45870.0</v>
      </c>
      <c r="G815" s="146" t="s">
        <v>39</v>
      </c>
      <c r="H815" s="147">
        <f>IF( ISERROR( OFFSET(   'Cuadro tarifario'!D$2  , MATCH(CONCATENATE(                 IF(F815&gt;Mes,OFFSET(NroCT!B$17, MATCH($F815,NroCT!$A$18:$A1405,0),0,1,1),Periodovigente)                                                                                                                     ,A815) ,'Cuadro tarifario'!A$2:A1405,0) -1 , 0 , 1 , 1) )   , 0  ,   OFFSET(   'Cuadro tarifario'!D$2  , MATCH(CONCATENATE( IF(F815&gt;Mes,OFFSET(NroCT!B$17, MATCH($F815,NroCT!$A$18:$A1405,0),0,1,1),Periodovigente) ,A815) ,'Cuadro tarifario'!A$2:A1405,0) -1 , 0 , 1 , 1))</f>
        <v>9000</v>
      </c>
      <c r="I815" s="148">
        <f t="shared" si="252"/>
        <v>1</v>
      </c>
      <c r="J815" s="147">
        <f t="shared" si="235"/>
        <v>9000</v>
      </c>
      <c r="K815" s="149">
        <f>IF(  AND(N815&gt;0,I815=0)          ,N815 ,                         IF(  IF( F815 ,  DAYS360(DATE(YEAR(F815),MONTH(F815),1),Mes)/30  ,  DAYS360(DATE(YEAR(E815),MONTH(E815),1),Mes)/30  )  &gt;  0 , IF(F815,   DAYS360(DATE(YEAR(F815),MONTH(F815),1),Mes)/30  ,  DAYS360(DATE(YEAR(E815),MONTH(E815),1),Mes)/30) , 0)       )</f>
        <v>0</v>
      </c>
      <c r="L815" s="150">
        <f t="shared" si="253"/>
        <v>0</v>
      </c>
      <c r="M815" s="151"/>
      <c r="N815" s="152">
        <f>IF( ISERROR(OFFSET(SECUESTRADOS!D$1,MATCH(B815,SECUESTRADOS!A$2:A1405,0),0)) ,0 ,  OFFSET(SECUESTRADOS!D$1,MATCH(B815,SECUESTRADOS!A$2:A1405,0),0)  )</f>
        <v>0</v>
      </c>
      <c r="O815" s="153"/>
      <c r="P815" s="154" t="str">
        <f t="shared" si="238"/>
        <v>Bono canon</v>
      </c>
      <c r="Q815" s="154" t="str">
        <f>IF(AND(A815=A814,B815=B814,C815=C814),"Repetido","")</f>
        <v/>
      </c>
      <c r="R815" s="130"/>
      <c r="S815" s="130"/>
      <c r="T815" s="130"/>
    </row>
    <row r="816">
      <c r="A816" s="155" t="s">
        <v>48</v>
      </c>
      <c r="B816" s="142" t="s">
        <v>361</v>
      </c>
      <c r="C816" s="143">
        <v>2086.0</v>
      </c>
      <c r="D816" s="144" t="str">
        <f>IF(   ISERROR(OFFSET(PADRON!B$2,MATCH(C:C,PADRON!A$2:A1405,0)-1,0,1,1) )  ,  ,    OFFSET(PADRON!B$2,MATCH(C:C,PADRON!A$2:A1405,0)-1,0,1,1))</f>
        <v>BELTRAMI, NAZARENO</v>
      </c>
      <c r="E816" s="145">
        <v>45839.0</v>
      </c>
      <c r="F816" s="145">
        <v>45870.0</v>
      </c>
      <c r="G816" s="146" t="s">
        <v>39</v>
      </c>
      <c r="H816" s="147">
        <f>IF( ISERROR( OFFSET(   'Cuadro tarifario'!D$2  , MATCH(CONCATENATE(                 IF(F816&gt;Mes,OFFSET(NroCT!B$17, MATCH($F816,NroCT!$A$18:$A1405,0),0,1,1),Periodovigente)                                                                                                                     ,A816) ,'Cuadro tarifario'!A$2:A1405,0) -1 , 0 , 1 , 1) )   , 0  ,   OFFSET(   'Cuadro tarifario'!D$2  , MATCH(CONCATENATE( IF(F816&gt;Mes,OFFSET(NroCT!B$17, MATCH($F816,NroCT!$A$18:$A1405,0),0,1,1),Periodovigente) ,A816) ,'Cuadro tarifario'!A$2:A1405,0) -1 , 0 , 1 , 1))</f>
        <v>12000</v>
      </c>
      <c r="I816" s="148">
        <f t="shared" si="252"/>
        <v>1</v>
      </c>
      <c r="J816" s="147">
        <f t="shared" si="235"/>
        <v>12000</v>
      </c>
      <c r="K816" s="149">
        <f>IF(  AND(N816&gt;0,I816=0)          ,N816 ,                         IF(  IF( F816 ,  DAYS360(DATE(YEAR(F816),MONTH(F816),1),Mes)/30  ,  DAYS360(DATE(YEAR(E816),MONTH(E816),1),Mes)/30  )  &gt;  0 , IF(F816,   DAYS360(DATE(YEAR(F816),MONTH(F816),1),Mes)/30  ,  DAYS360(DATE(YEAR(E816),MONTH(E816),1),Mes)/30) , 0)       )</f>
        <v>0</v>
      </c>
      <c r="L816" s="150">
        <f t="shared" si="253"/>
        <v>0</v>
      </c>
      <c r="M816" s="151"/>
      <c r="N816" s="152">
        <f>IF( ISERROR(OFFSET(SECUESTRADOS!D$1,MATCH(B816,SECUESTRADOS!A$2:A1405,0),0)) ,0 ,  OFFSET(SECUESTRADOS!D$1,MATCH(B816,SECUESTRADOS!A$2:A1405,0),0)  )</f>
        <v>0</v>
      </c>
      <c r="O816" s="153"/>
      <c r="P816" s="154" t="str">
        <f t="shared" si="238"/>
        <v>velero</v>
      </c>
      <c r="Q816" s="154" t="str">
        <f>IF(AND(A816=#REF!,B816=#REF!,C816=#REF!),"Repetido","")</f>
        <v>#REF!</v>
      </c>
      <c r="R816" s="130"/>
      <c r="S816" s="130"/>
      <c r="T816" s="130"/>
    </row>
    <row r="817">
      <c r="A817" s="155" t="s">
        <v>71</v>
      </c>
      <c r="B817" s="142">
        <v>2087.0</v>
      </c>
      <c r="C817" s="143">
        <v>2087.0</v>
      </c>
      <c r="D817" s="144" t="str">
        <f>IF(   ISERROR(OFFSET(PADRON!B$2,MATCH(C:C,PADRON!A$2:A1405,0)-1,0,1,1) )  ,  ,    OFFSET(PADRON!B$2,MATCH(C:C,PADRON!A$2:A1405,0)-1,0,1,1))</f>
        <v>GORGONE MACHE, MALEN</v>
      </c>
      <c r="E817" s="145">
        <v>45839.0</v>
      </c>
      <c r="F817" s="145"/>
      <c r="G817" s="146" t="s">
        <v>39</v>
      </c>
      <c r="H817" s="147">
        <f>IF( ISERROR( OFFSET(   'Cuadro tarifario'!D$2  , MATCH(CONCATENATE(                 IF(F817&gt;Mes,OFFSET(NroCT!B$17, MATCH($F817,NroCT!$A$18:$A1405,0),0,1,1),Periodovigente)                                                                                                                     ,A817) ,'Cuadro tarifario'!A$2:A1405,0) -1 , 0 , 1 , 1) )   , 0  ,   OFFSET(   'Cuadro tarifario'!D$2  , MATCH(CONCATENATE( IF(F817&gt;Mes,OFFSET(NroCT!B$17, MATCH($F817,NroCT!$A$18:$A1405,0),0,1,1),Periodovigente) ,A817) ,'Cuadro tarifario'!A$2:A1405,0) -1 , 0 , 1 , 1))</f>
        <v>11000</v>
      </c>
      <c r="I817" s="148">
        <f t="shared" si="252"/>
        <v>0</v>
      </c>
      <c r="J817" s="147">
        <f t="shared" si="235"/>
        <v>0</v>
      </c>
      <c r="K817" s="149">
        <f>IF(  AND(N817&gt;0,I817=0)          ,N817 ,                         IF(  IF( F817 ,  DAYS360(DATE(YEAR(F817),MONTH(F817),1),Mes)/30  ,  DAYS360(DATE(YEAR(E817),MONTH(E817),1),Mes)/30  )  &gt;  0 , IF(F817,   DAYS360(DATE(YEAR(F817),MONTH(F817),1),Mes)/30  ,  DAYS360(DATE(YEAR(E817),MONTH(E817),1),Mes)/30) , 0)       )</f>
        <v>1</v>
      </c>
      <c r="L817" s="150">
        <f t="shared" si="253"/>
        <v>11000</v>
      </c>
      <c r="M817" s="151"/>
      <c r="N817" s="152">
        <f>IF( ISERROR(OFFSET(SECUESTRADOS!D$1,MATCH(B817,SECUESTRADOS!A$2:A1405,0),0)) ,0 ,  OFFSET(SECUESTRADOS!D$1,MATCH(B817,SECUESTRADOS!A$2:A1405,0),0)  )</f>
        <v>0</v>
      </c>
      <c r="O817" s="153"/>
      <c r="P817" s="154" t="b">
        <f t="shared" si="238"/>
        <v>0</v>
      </c>
      <c r="Q817" s="154" t="str">
        <f>IF(AND(A817=#REF!,B817=#REF!,C817=#REF!),"Repetido","")</f>
        <v>#REF!</v>
      </c>
      <c r="R817" s="130"/>
      <c r="S817" s="130"/>
      <c r="T817" s="130"/>
    </row>
    <row r="818">
      <c r="A818" s="155" t="s">
        <v>38</v>
      </c>
      <c r="B818" s="142">
        <v>2087.0</v>
      </c>
      <c r="C818" s="143">
        <v>2087.0</v>
      </c>
      <c r="D818" s="144" t="str">
        <f>IF(   ISERROR(OFFSET(PADRON!B$2,MATCH(C:C,PADRON!A$2:A1405,0)-1,0,1,1) )  ,  ,    OFFSET(PADRON!B$2,MATCH(C:C,PADRON!A$2:A1405,0)-1,0,1,1))</f>
        <v>GORGONE MACHE, MALEN</v>
      </c>
      <c r="E818" s="145">
        <v>45839.0</v>
      </c>
      <c r="F818" s="145"/>
      <c r="G818" s="146" t="s">
        <v>39</v>
      </c>
      <c r="H818" s="147">
        <f>IF( ISERROR( OFFSET(   'Cuadro tarifario'!D$2  , MATCH(CONCATENATE(                 IF(F818&gt;Mes,OFFSET(NroCT!B$17, MATCH($F818,NroCT!$A$18:$A1405,0),0,1,1),Periodovigente)                                                                                                                     ,A818) ,'Cuadro tarifario'!A$2:A1405,0) -1 , 0 , 1 , 1) )   , 0  ,   OFFSET(   'Cuadro tarifario'!D$2  , MATCH(CONCATENATE( IF(F818&gt;Mes,OFFSET(NroCT!B$17, MATCH($F818,NroCT!$A$18:$A1405,0),0,1,1),Periodovigente) ,A818) ,'Cuadro tarifario'!A$2:A1405,0) -1 , 0 , 1 , 1))</f>
        <v>9000</v>
      </c>
      <c r="I818" s="148">
        <f t="shared" si="252"/>
        <v>0</v>
      </c>
      <c r="J818" s="147">
        <f t="shared" si="235"/>
        <v>0</v>
      </c>
      <c r="K818" s="149">
        <f>IF(  AND(N818&gt;0,I818=0)          ,N818 ,                         IF(  IF( F818 ,  DAYS360(DATE(YEAR(F818),MONTH(F818),1),Mes)/30  ,  DAYS360(DATE(YEAR(E818),MONTH(E818),1),Mes)/30  )  &gt;  0 , IF(F818,   DAYS360(DATE(YEAR(F818),MONTH(F818),1),Mes)/30  ,  DAYS360(DATE(YEAR(E818),MONTH(E818),1),Mes)/30) , 0)       )</f>
        <v>1</v>
      </c>
      <c r="L818" s="150">
        <f t="shared" si="253"/>
        <v>9000</v>
      </c>
      <c r="M818" s="151"/>
      <c r="N818" s="152">
        <f>IF( ISERROR(OFFSET(SECUESTRADOS!D$1,MATCH(B818,SECUESTRADOS!A$2:A1405,0),0)) ,0 ,  OFFSET(SECUESTRADOS!D$1,MATCH(B818,SECUESTRADOS!A$2:A1405,0),0)  )</f>
        <v>0</v>
      </c>
      <c r="O818" s="153"/>
      <c r="P818" s="154" t="b">
        <f t="shared" si="238"/>
        <v>0</v>
      </c>
      <c r="Q818" s="154" t="str">
        <f t="shared" ref="Q818:Q819" si="279">IF(AND(A818=#REF!,B818=#REF!,C818=#REF!),"Repetido","")</f>
        <v>#REF!</v>
      </c>
      <c r="R818" s="130"/>
      <c r="S818" s="130"/>
      <c r="T818" s="130"/>
    </row>
    <row r="819">
      <c r="A819" s="155" t="s">
        <v>82</v>
      </c>
      <c r="B819" s="142" t="s">
        <v>362</v>
      </c>
      <c r="C819" s="143">
        <v>2087.0</v>
      </c>
      <c r="D819" s="144" t="str">
        <f>IF(   ISERROR(OFFSET(PADRON!B$2,MATCH(C:C,PADRON!A$2:A1405,0)-1,0,1,1) )  ,  ,    OFFSET(PADRON!B$2,MATCH(C:C,PADRON!A$2:A1405,0)-1,0,1,1))</f>
        <v>GORGONE MACHE, MALEN</v>
      </c>
      <c r="E819" s="145">
        <v>45839.0</v>
      </c>
      <c r="F819" s="145"/>
      <c r="G819" s="146" t="s">
        <v>39</v>
      </c>
      <c r="H819" s="147">
        <f>IF( ISERROR( OFFSET(   'Cuadro tarifario'!D$2  , MATCH(CONCATENATE(                 IF(F819&gt;Mes,OFFSET(NroCT!B$17, MATCH($F819,NroCT!$A$18:$A1405,0),0,1,1),Periodovigente)                                                                                                                     ,A819) ,'Cuadro tarifario'!A$2:A1405,0) -1 , 0 , 1 , 1) )   , 0  ,   OFFSET(   'Cuadro tarifario'!D$2  , MATCH(CONCATENATE( IF(F819&gt;Mes,OFFSET(NroCT!B$17, MATCH($F819,NroCT!$A$18:$A1405,0),0,1,1),Periodovigente) ,A819) ,'Cuadro tarifario'!A$2:A1405,0) -1 , 0 , 1 , 1))</f>
        <v>12000</v>
      </c>
      <c r="I819" s="148">
        <f t="shared" si="252"/>
        <v>0</v>
      </c>
      <c r="J819" s="147">
        <f t="shared" si="235"/>
        <v>0</v>
      </c>
      <c r="K819" s="149">
        <f>IF(  AND(N819&gt;0,I819=0)          ,N819 ,                         IF(  IF( F819 ,  DAYS360(DATE(YEAR(F819),MONTH(F819),1),Mes)/30  ,  DAYS360(DATE(YEAR(E819),MONTH(E819),1),Mes)/30  )  &gt;  0 , IF(F819,   DAYS360(DATE(YEAR(F819),MONTH(F819),1),Mes)/30  ,  DAYS360(DATE(YEAR(E819),MONTH(E819),1),Mes)/30) , 0)       )</f>
        <v>1</v>
      </c>
      <c r="L819" s="150">
        <f t="shared" si="253"/>
        <v>12000</v>
      </c>
      <c r="M819" s="151"/>
      <c r="N819" s="152">
        <f>IF( ISERROR(OFFSET(SECUESTRADOS!D$1,MATCH(B819,SECUESTRADOS!A$2:A1405,0),0)) ,0 ,  OFFSET(SECUESTRADOS!D$1,MATCH(B819,SECUESTRADOS!A$2:A1405,0),0)  )</f>
        <v>0</v>
      </c>
      <c r="O819" s="153"/>
      <c r="P819" s="154" t="b">
        <f t="shared" si="238"/>
        <v>0</v>
      </c>
      <c r="Q819" s="154" t="str">
        <f t="shared" si="279"/>
        <v>#REF!</v>
      </c>
      <c r="R819" s="130"/>
      <c r="S819" s="130"/>
      <c r="T819" s="130"/>
    </row>
    <row r="820" ht="14.25" customHeight="1">
      <c r="A820" s="155" t="s">
        <v>71</v>
      </c>
      <c r="B820" s="142">
        <v>2090.0</v>
      </c>
      <c r="C820" s="143">
        <v>2090.0</v>
      </c>
      <c r="D820" s="144" t="str">
        <f>IF(   ISERROR(OFFSET(PADRON!B$2,MATCH(C:C,PADRON!A$2:A1405,0)-1,0,1,1) )  ,  ,    OFFSET(PADRON!B$2,MATCH(C:C,PADRON!A$2:A1405,0)-1,0,1,1))</f>
        <v>GARCIA CEPEDA, MARIA LAURA</v>
      </c>
      <c r="E820" s="145">
        <v>45778.0</v>
      </c>
      <c r="F820" s="145">
        <v>45839.0</v>
      </c>
      <c r="G820" s="146" t="s">
        <v>39</v>
      </c>
      <c r="H820" s="147">
        <f>IF( ISERROR( OFFSET(   'Cuadro tarifario'!D$2  , MATCH(CONCATENATE(                 IF(F820&gt;Mes,OFFSET(NroCT!B$17, MATCH($F820,NroCT!$A$18:$A1405,0),0,1,1),Periodovigente)                                                                                                                     ,A820) ,'Cuadro tarifario'!A$2:A1405,0) -1 , 0 , 1 , 1) )   , 0  ,   OFFSET(   'Cuadro tarifario'!D$2  , MATCH(CONCATENATE( IF(F820&gt;Mes,OFFSET(NroCT!B$17, MATCH($F820,NroCT!$A$18:$A1405,0),0,1,1),Periodovigente) ,A820) ,'Cuadro tarifario'!A$2:A1405,0) -1 , 0 , 1 , 1))</f>
        <v>11000</v>
      </c>
      <c r="I820" s="148">
        <f t="shared" si="252"/>
        <v>2</v>
      </c>
      <c r="J820" s="147">
        <f t="shared" si="235"/>
        <v>22000</v>
      </c>
      <c r="K820" s="149">
        <f>IF(  AND(N820&gt;0,I820=0)          ,N820 ,                         IF(  IF( F820 ,  DAYS360(DATE(YEAR(F820),MONTH(F820),1),Mes)/30  ,  DAYS360(DATE(YEAR(E820),MONTH(E820),1),Mes)/30  )  &gt;  0 , IF(F820,   DAYS360(DATE(YEAR(F820),MONTH(F820),1),Mes)/30  ,  DAYS360(DATE(YEAR(E820),MONTH(E820),1),Mes)/30) , 0)       )</f>
        <v>1</v>
      </c>
      <c r="L820" s="150">
        <f t="shared" si="253"/>
        <v>11000</v>
      </c>
      <c r="M820" s="151"/>
      <c r="N820" s="152">
        <f>IF( ISERROR(OFFSET(SECUESTRADOS!D$1,MATCH(B820,SECUESTRADOS!A$2:A1405,0),0)) ,0 ,  OFFSET(SECUESTRADOS!D$1,MATCH(B820,SECUESTRADOS!A$2:A1405,0),0)  )</f>
        <v>0</v>
      </c>
      <c r="O820" s="153"/>
      <c r="P820" s="154" t="str">
        <f t="shared" si="238"/>
        <v>.socio</v>
      </c>
      <c r="Q820" s="154" t="str">
        <f>IF(AND(A820=#REF!,B820=#REF!,C820=#REF!),"Repetido","")</f>
        <v>#REF!</v>
      </c>
      <c r="R820" s="130"/>
      <c r="S820" s="130"/>
      <c r="T820" s="130"/>
    </row>
    <row r="821">
      <c r="A821" s="155" t="s">
        <v>38</v>
      </c>
      <c r="B821" s="142">
        <v>2090.0</v>
      </c>
      <c r="C821" s="143">
        <v>2090.0</v>
      </c>
      <c r="D821" s="144" t="str">
        <f>IF(   ISERROR(OFFSET(PADRON!B$2,MATCH(C:C,PADRON!A$2:A1405,0)-1,0,1,1) )  ,  ,    OFFSET(PADRON!B$2,MATCH(C:C,PADRON!A$2:A1405,0)-1,0,1,1))</f>
        <v>GARCIA CEPEDA, MARIA LAURA</v>
      </c>
      <c r="E821" s="145">
        <v>45778.0</v>
      </c>
      <c r="F821" s="145">
        <v>45839.0</v>
      </c>
      <c r="G821" s="146" t="s">
        <v>39</v>
      </c>
      <c r="H821" s="147">
        <f>IF( ISERROR( OFFSET(   'Cuadro tarifario'!D$2  , MATCH(CONCATENATE(                 IF(F821&gt;Mes,OFFSET(NroCT!B$17, MATCH($F821,NroCT!$A$18:$A1405,0),0,1,1),Periodovigente)                                                                                                                     ,A821) ,'Cuadro tarifario'!A$2:A1405,0) -1 , 0 , 1 , 1) )   , 0  ,   OFFSET(   'Cuadro tarifario'!D$2  , MATCH(CONCATENATE( IF(F821&gt;Mes,OFFSET(NroCT!B$17, MATCH($F821,NroCT!$A$18:$A1405,0),0,1,1),Periodovigente) ,A821) ,'Cuadro tarifario'!A$2:A1405,0) -1 , 0 , 1 , 1))</f>
        <v>9000</v>
      </c>
      <c r="I821" s="148">
        <f t="shared" si="252"/>
        <v>2</v>
      </c>
      <c r="J821" s="147">
        <f t="shared" si="235"/>
        <v>18000</v>
      </c>
      <c r="K821" s="149">
        <f>IF(  AND(N821&gt;0,I821=0)          ,N821 ,                         IF(  IF( F821 ,  DAYS360(DATE(YEAR(F821),MONTH(F821),1),Mes)/30  ,  DAYS360(DATE(YEAR(E821),MONTH(E821),1),Mes)/30  )  &gt;  0 , IF(F821,   DAYS360(DATE(YEAR(F821),MONTH(F821),1),Mes)/30  ,  DAYS360(DATE(YEAR(E821),MONTH(E821),1),Mes)/30) , 0)       )</f>
        <v>1</v>
      </c>
      <c r="L821" s="150">
        <f t="shared" si="253"/>
        <v>9000</v>
      </c>
      <c r="M821" s="151"/>
      <c r="N821" s="152">
        <f>IF( ISERROR(OFFSET(SECUESTRADOS!D$1,MATCH(B821,SECUESTRADOS!A$2:A1405,0),0)) ,0 ,  OFFSET(SECUESTRADOS!D$1,MATCH(B821,SECUESTRADOS!A$2:A1405,0),0)  )</f>
        <v>0</v>
      </c>
      <c r="O821" s="153"/>
      <c r="P821" s="154" t="str">
        <f t="shared" si="238"/>
        <v>Bono canon</v>
      </c>
      <c r="Q821" s="154" t="str">
        <f t="shared" ref="Q821:Q822" si="280">IF(AND(A821=#REF!,B821=#REF!,C821=#REF!),"Repetido","")</f>
        <v>#REF!</v>
      </c>
      <c r="R821" s="130"/>
      <c r="S821" s="130"/>
      <c r="T821" s="130"/>
    </row>
    <row r="822">
      <c r="A822" s="155" t="s">
        <v>40</v>
      </c>
      <c r="B822" s="142" t="s">
        <v>363</v>
      </c>
      <c r="C822" s="143">
        <v>2090.0</v>
      </c>
      <c r="D822" s="144" t="str">
        <f>IF(   ISERROR(OFFSET(PADRON!B$2,MATCH(C:C,PADRON!A$2:A1405,0)-1,0,1,1) )  ,  ,    OFFSET(PADRON!B$2,MATCH(C:C,PADRON!A$2:A1405,0)-1,0,1,1))</f>
        <v>GARCIA CEPEDA, MARIA LAURA</v>
      </c>
      <c r="E822" s="145">
        <v>45778.0</v>
      </c>
      <c r="F822" s="145">
        <v>45839.0</v>
      </c>
      <c r="G822" s="146" t="s">
        <v>39</v>
      </c>
      <c r="H822" s="147">
        <f>IF( ISERROR( OFFSET(   'Cuadro tarifario'!D$2  , MATCH(CONCATENATE(                 IF(F822&gt;Mes,OFFSET(NroCT!B$17, MATCH($F822,NroCT!$A$18:$A1405,0),0,1,1),Periodovigente)                                                                                                                     ,A822) ,'Cuadro tarifario'!A$2:A1405,0) -1 , 0 , 1 , 1) )   , 0  ,   OFFSET(   'Cuadro tarifario'!D$2  , MATCH(CONCATENATE( IF(F822&gt;Mes,OFFSET(NroCT!B$17, MATCH($F822,NroCT!$A$18:$A1405,0),0,1,1),Periodovigente) ,A822) ,'Cuadro tarifario'!A$2:A1405,0) -1 , 0 , 1 , 1))</f>
        <v>12000</v>
      </c>
      <c r="I822" s="148">
        <f t="shared" si="252"/>
        <v>2</v>
      </c>
      <c r="J822" s="147">
        <f t="shared" si="235"/>
        <v>24000</v>
      </c>
      <c r="K822" s="149">
        <f>IF(  AND(N822&gt;0,I822=0)          ,N822 ,                         IF(  IF( F822 ,  DAYS360(DATE(YEAR(F822),MONTH(F822),1),Mes)/30  ,  DAYS360(DATE(YEAR(E822),MONTH(E822),1),Mes)/30  )  &gt;  0 , IF(F822,   DAYS360(DATE(YEAR(F822),MONTH(F822),1),Mes)/30  ,  DAYS360(DATE(YEAR(E822),MONTH(E822),1),Mes)/30) , 0)       )</f>
        <v>1</v>
      </c>
      <c r="L822" s="150">
        <f t="shared" si="253"/>
        <v>12000</v>
      </c>
      <c r="M822" s="151"/>
      <c r="N822" s="152">
        <f>IF( ISERROR(OFFSET(SECUESTRADOS!D$1,MATCH(B822,SECUESTRADOS!A$2:A1405,0),0)) ,0 ,  OFFSET(SECUESTRADOS!D$1,MATCH(B822,SECUESTRADOS!A$2:A1405,0),0)  )</f>
        <v>0</v>
      </c>
      <c r="O822" s="153"/>
      <c r="P822" s="154" t="str">
        <f t="shared" si="238"/>
        <v>cuna windsurf</v>
      </c>
      <c r="Q822" s="154" t="str">
        <f t="shared" si="280"/>
        <v>#REF!</v>
      </c>
      <c r="R822" s="130"/>
      <c r="S822" s="130"/>
      <c r="T822" s="130"/>
    </row>
    <row r="823">
      <c r="A823" s="155" t="s">
        <v>71</v>
      </c>
      <c r="B823" s="142">
        <v>2091.0</v>
      </c>
      <c r="C823" s="143">
        <v>2091.0</v>
      </c>
      <c r="D823" s="144" t="str">
        <f>IF(   ISERROR(OFFSET(PADRON!B$2,MATCH(C:C,PADRON!A$2:A1405,0)-1,0,1,1) )  ,  ,    OFFSET(PADRON!B$2,MATCH(C:C,PADRON!A$2:A1405,0)-1,0,1,1))</f>
        <v>FIUZA, MARIANA</v>
      </c>
      <c r="E823" s="145">
        <v>45839.0</v>
      </c>
      <c r="F823" s="145">
        <v>45870.0</v>
      </c>
      <c r="G823" s="146" t="s">
        <v>39</v>
      </c>
      <c r="H823" s="147">
        <f>IF( ISERROR( OFFSET(   'Cuadro tarifario'!D$2  , MATCH(CONCATENATE(                 IF(F823&gt;Mes,OFFSET(NroCT!B$17, MATCH($F823,NroCT!$A$18:$A1405,0),0,1,1),Periodovigente)                                                                                                                     ,A823) ,'Cuadro tarifario'!A$2:A1405,0) -1 , 0 , 1 , 1) )   , 0  ,   OFFSET(   'Cuadro tarifario'!D$2  , MATCH(CONCATENATE( IF(F823&gt;Mes,OFFSET(NroCT!B$17, MATCH($F823,NroCT!$A$18:$A1405,0),0,1,1),Periodovigente) ,A823) ,'Cuadro tarifario'!A$2:A1405,0) -1 , 0 , 1 , 1))</f>
        <v>11000</v>
      </c>
      <c r="I823" s="148">
        <f t="shared" si="252"/>
        <v>1</v>
      </c>
      <c r="J823" s="147">
        <f t="shared" si="235"/>
        <v>11000</v>
      </c>
      <c r="K823" s="149">
        <f>IF(  AND(N823&gt;0,I823=0)          ,N823 ,                         IF(  IF( F823 ,  DAYS360(DATE(YEAR(F823),MONTH(F823),1),Mes)/30  ,  DAYS360(DATE(YEAR(E823),MONTH(E823),1),Mes)/30  )  &gt;  0 , IF(F823,   DAYS360(DATE(YEAR(F823),MONTH(F823),1),Mes)/30  ,  DAYS360(DATE(YEAR(E823),MONTH(E823),1),Mes)/30) , 0)       )</f>
        <v>0</v>
      </c>
      <c r="L823" s="150">
        <f t="shared" si="253"/>
        <v>0</v>
      </c>
      <c r="M823" s="151"/>
      <c r="N823" s="152">
        <f>IF( ISERROR(OFFSET(SECUESTRADOS!D$1,MATCH(B823,SECUESTRADOS!A$2:A1405,0),0)) ,0 ,  OFFSET(SECUESTRADOS!D$1,MATCH(B823,SECUESTRADOS!A$2:A1405,0),0)  )</f>
        <v>0</v>
      </c>
      <c r="O823" s="153"/>
      <c r="P823" s="154" t="str">
        <f t="shared" si="238"/>
        <v>.socio</v>
      </c>
      <c r="Q823" s="154" t="str">
        <f>IF(AND(A823=#REF!,B823=#REF!,C823=#REF!),"Repetido","")</f>
        <v>#REF!</v>
      </c>
      <c r="R823" s="130"/>
      <c r="S823" s="130"/>
      <c r="T823" s="130"/>
    </row>
    <row r="824">
      <c r="A824" s="155" t="s">
        <v>38</v>
      </c>
      <c r="B824" s="142">
        <v>2091.0</v>
      </c>
      <c r="C824" s="143">
        <v>2091.0</v>
      </c>
      <c r="D824" s="144" t="str">
        <f>IF(   ISERROR(OFFSET(PADRON!B$2,MATCH(C:C,PADRON!A$2:A1405,0)-1,0,1,1) )  ,  ,    OFFSET(PADRON!B$2,MATCH(C:C,PADRON!A$2:A1405,0)-1,0,1,1))</f>
        <v>FIUZA, MARIANA</v>
      </c>
      <c r="E824" s="145">
        <v>45839.0</v>
      </c>
      <c r="F824" s="145">
        <v>45870.0</v>
      </c>
      <c r="G824" s="146" t="s">
        <v>39</v>
      </c>
      <c r="H824" s="147">
        <f>IF( ISERROR( OFFSET(   'Cuadro tarifario'!D$2  , MATCH(CONCATENATE(                 IF(F824&gt;Mes,OFFSET(NroCT!B$17, MATCH($F824,NroCT!$A$18:$A1405,0),0,1,1),Periodovigente)                                                                                                                     ,A824) ,'Cuadro tarifario'!A$2:A1405,0) -1 , 0 , 1 , 1) )   , 0  ,   OFFSET(   'Cuadro tarifario'!D$2  , MATCH(CONCATENATE( IF(F824&gt;Mes,OFFSET(NroCT!B$17, MATCH($F824,NroCT!$A$18:$A1405,0),0,1,1),Periodovigente) ,A824) ,'Cuadro tarifario'!A$2:A1405,0) -1 , 0 , 1 , 1))</f>
        <v>9000</v>
      </c>
      <c r="I824" s="148">
        <f t="shared" si="252"/>
        <v>1</v>
      </c>
      <c r="J824" s="147">
        <f t="shared" si="235"/>
        <v>9000</v>
      </c>
      <c r="K824" s="149">
        <f>IF(  AND(N824&gt;0,I824=0)          ,N824 ,                         IF(  IF( F824 ,  DAYS360(DATE(YEAR(F824),MONTH(F824),1),Mes)/30  ,  DAYS360(DATE(YEAR(E824),MONTH(E824),1),Mes)/30  )  &gt;  0 , IF(F824,   DAYS360(DATE(YEAR(F824),MONTH(F824),1),Mes)/30  ,  DAYS360(DATE(YEAR(E824),MONTH(E824),1),Mes)/30) , 0)       )</f>
        <v>0</v>
      </c>
      <c r="L824" s="150">
        <f t="shared" si="253"/>
        <v>0</v>
      </c>
      <c r="M824" s="151"/>
      <c r="N824" s="152">
        <f>IF( ISERROR(OFFSET(SECUESTRADOS!D$1,MATCH(B824,SECUESTRADOS!A$2:A1405,0),0)) ,0 ,  OFFSET(SECUESTRADOS!D$1,MATCH(B824,SECUESTRADOS!A$2:A1405,0),0)  )</f>
        <v>0</v>
      </c>
      <c r="O824" s="153"/>
      <c r="P824" s="154" t="str">
        <f t="shared" si="238"/>
        <v>Bono canon</v>
      </c>
      <c r="Q824" s="154" t="str">
        <f t="shared" ref="Q824:Q826" si="281">IF(AND(A824=#REF!,B824=#REF!,C824=#REF!),"Repetido","")</f>
        <v>#REF!</v>
      </c>
      <c r="R824" s="130"/>
      <c r="S824" s="130"/>
      <c r="T824" s="130"/>
    </row>
    <row r="825">
      <c r="A825" s="155" t="s">
        <v>40</v>
      </c>
      <c r="B825" s="142" t="s">
        <v>364</v>
      </c>
      <c r="C825" s="143">
        <v>2091.0</v>
      </c>
      <c r="D825" s="144" t="str">
        <f>IF(   ISERROR(OFFSET(PADRON!B$2,MATCH(C:C,PADRON!A$2:A1405,0)-1,0,1,1) )  ,  ,    OFFSET(PADRON!B$2,MATCH(C:C,PADRON!A$2:A1405,0)-1,0,1,1))</f>
        <v>FIUZA, MARIANA</v>
      </c>
      <c r="E825" s="145">
        <v>45839.0</v>
      </c>
      <c r="F825" s="145">
        <v>45870.0</v>
      </c>
      <c r="G825" s="146" t="s">
        <v>39</v>
      </c>
      <c r="H825" s="147">
        <f>IF( ISERROR( OFFSET(   'Cuadro tarifario'!D$2  , MATCH(CONCATENATE(                 IF(F825&gt;Mes,OFFSET(NroCT!B$17, MATCH($F825,NroCT!$A$18:$A1405,0),0,1,1),Periodovigente)                                                                                                                     ,A825) ,'Cuadro tarifario'!A$2:A1405,0) -1 , 0 , 1 , 1) )   , 0  ,   OFFSET(   'Cuadro tarifario'!D$2  , MATCH(CONCATENATE( IF(F825&gt;Mes,OFFSET(NroCT!B$17, MATCH($F825,NroCT!$A$18:$A1405,0),0,1,1),Periodovigente) ,A825) ,'Cuadro tarifario'!A$2:A1405,0) -1 , 0 , 1 , 1))</f>
        <v>12000</v>
      </c>
      <c r="I825" s="148">
        <f t="shared" si="252"/>
        <v>1</v>
      </c>
      <c r="J825" s="147">
        <f t="shared" si="235"/>
        <v>12000</v>
      </c>
      <c r="K825" s="149">
        <f>IF(  AND(N825&gt;0,I825=0)          ,N825 ,                         IF(  IF( F825 ,  DAYS360(DATE(YEAR(F825),MONTH(F825),1),Mes)/30  ,  DAYS360(DATE(YEAR(E825),MONTH(E825),1),Mes)/30  )  &gt;  0 , IF(F825,   DAYS360(DATE(YEAR(F825),MONTH(F825),1),Mes)/30  ,  DAYS360(DATE(YEAR(E825),MONTH(E825),1),Mes)/30) , 0)       )</f>
        <v>0</v>
      </c>
      <c r="L825" s="150">
        <f t="shared" si="253"/>
        <v>0</v>
      </c>
      <c r="M825" s="151"/>
      <c r="N825" s="152">
        <f>IF( ISERROR(OFFSET(SECUESTRADOS!D$1,MATCH(B825,SECUESTRADOS!A$2:A1405,0),0)) ,0 ,  OFFSET(SECUESTRADOS!D$1,MATCH(B825,SECUESTRADOS!A$2:A1405,0),0)  )</f>
        <v>0</v>
      </c>
      <c r="O825" s="153"/>
      <c r="P825" s="154" t="str">
        <f t="shared" si="238"/>
        <v>cuna windsurf</v>
      </c>
      <c r="Q825" s="154" t="str">
        <f t="shared" si="281"/>
        <v>#REF!</v>
      </c>
      <c r="R825" s="130"/>
      <c r="S825" s="130"/>
      <c r="T825" s="130"/>
    </row>
    <row r="826">
      <c r="A826" s="155" t="s">
        <v>274</v>
      </c>
      <c r="B826" s="142" t="s">
        <v>365</v>
      </c>
      <c r="C826" s="143">
        <v>2091.0</v>
      </c>
      <c r="D826" s="144" t="str">
        <f>IF(   ISERROR(OFFSET(PADRON!B$2,MATCH(C:C,PADRON!A$2:A1405,0)-1,0,1,1) )  ,  ,    OFFSET(PADRON!B$2,MATCH(C:C,PADRON!A$2:A1405,0)-1,0,1,1))</f>
        <v>FIUZA, MARIANA</v>
      </c>
      <c r="E826" s="145">
        <v>45992.0</v>
      </c>
      <c r="F826" s="145"/>
      <c r="G826" s="146" t="s">
        <v>39</v>
      </c>
      <c r="H826" s="147">
        <f>IF( ISERROR( OFFSET(   'Cuadro tarifario'!D$2  , MATCH(CONCATENATE(                 IF(F826&gt;Mes,OFFSET(NroCT!B$17, MATCH($F826,NroCT!$A$18:$A1405,0),0,1,1),Periodovigente)                                                                                                                     ,A826) ,'Cuadro tarifario'!A$2:A1405,0) -1 , 0 , 1 , 1) )   , 0  ,   OFFSET(   'Cuadro tarifario'!D$2  , MATCH(CONCATENATE( IF(F826&gt;Mes,OFFSET(NroCT!B$17, MATCH($F826,NroCT!$A$18:$A1405,0),0,1,1),Periodovigente) ,A826) ,'Cuadro tarifario'!A$2:A1405,0) -1 , 0 , 1 , 1))</f>
        <v>3600</v>
      </c>
      <c r="I826" s="148">
        <f t="shared" si="252"/>
        <v>0</v>
      </c>
      <c r="J826" s="147">
        <f t="shared" si="235"/>
        <v>0</v>
      </c>
      <c r="K826" s="149">
        <f>IF(  AND(N826&gt;0,I826=0)          ,N826 ,                         IF(  IF( F826 ,  DAYS360(DATE(YEAR(F826),MONTH(F826),1),Mes)/30  ,  DAYS360(DATE(YEAR(E826),MONTH(E826),1),Mes)/30  )  &gt;  0 , IF(F826,   DAYS360(DATE(YEAR(F826),MONTH(F826),1),Mes)/30  ,  DAYS360(DATE(YEAR(E826),MONTH(E826),1),Mes)/30) , 0)       )</f>
        <v>0</v>
      </c>
      <c r="L826" s="150">
        <f t="shared" si="253"/>
        <v>0</v>
      </c>
      <c r="M826" s="151"/>
      <c r="N826" s="152">
        <f>IF( ISERROR(OFFSET(SECUESTRADOS!D$1,MATCH(B826,SECUESTRADOS!A$2:A1405,0),0)) ,0 ,  OFFSET(SECUESTRADOS!D$1,MATCH(B826,SECUESTRADOS!A$2:A1405,0),0)  )</f>
        <v>0</v>
      </c>
      <c r="O826" s="153"/>
      <c r="P826" s="154" t="b">
        <f t="shared" si="238"/>
        <v>0</v>
      </c>
      <c r="Q826" s="154" t="str">
        <f t="shared" si="281"/>
        <v>#REF!</v>
      </c>
      <c r="R826" s="130"/>
      <c r="S826" s="130"/>
      <c r="T826" s="130"/>
    </row>
    <row r="827">
      <c r="A827" s="155" t="s">
        <v>71</v>
      </c>
      <c r="B827" s="142">
        <v>2092.0</v>
      </c>
      <c r="C827" s="143">
        <v>2092.0</v>
      </c>
      <c r="D827" s="144" t="str">
        <f>IF(   ISERROR(OFFSET(PADRON!B$2,MATCH(C:C,PADRON!A$2:A1405,0)-1,0,1,1) )  ,  ,    OFFSET(PADRON!B$2,MATCH(C:C,PADRON!A$2:A1405,0)-1,0,1,1))</f>
        <v>MOROSI, ANTON</v>
      </c>
      <c r="E827" s="145">
        <v>45748.0</v>
      </c>
      <c r="F827" s="145"/>
      <c r="G827" s="146" t="s">
        <v>39</v>
      </c>
      <c r="H827" s="147">
        <f>IF( ISERROR( OFFSET(   'Cuadro tarifario'!D$2  , MATCH(CONCATENATE(                 IF(F827&gt;Mes,OFFSET(NroCT!B$17, MATCH($F827,NroCT!$A$18:$A1405,0),0,1,1),Periodovigente)                                                                                                                     ,A827) ,'Cuadro tarifario'!A$2:A1405,0) -1 , 0 , 1 , 1) )   , 0  ,   OFFSET(   'Cuadro tarifario'!D$2  , MATCH(CONCATENATE( IF(F827&gt;Mes,OFFSET(NroCT!B$17, MATCH($F827,NroCT!$A$18:$A1405,0),0,1,1),Periodovigente) ,A827) ,'Cuadro tarifario'!A$2:A1405,0) -1 , 0 , 1 , 1))</f>
        <v>11000</v>
      </c>
      <c r="I827" s="148">
        <f t="shared" si="252"/>
        <v>0</v>
      </c>
      <c r="J827" s="147">
        <f t="shared" si="235"/>
        <v>0</v>
      </c>
      <c r="K827" s="149">
        <f>IF(  AND(N827&gt;0,I827=0)          ,N827 ,                         IF(  IF( F827 ,  DAYS360(DATE(YEAR(F827),MONTH(F827),1),Mes)/30  ,  DAYS360(DATE(YEAR(E827),MONTH(E827),1),Mes)/30  )  &gt;  0 , IF(F827,   DAYS360(DATE(YEAR(F827),MONTH(F827),1),Mes)/30  ,  DAYS360(DATE(YEAR(E827),MONTH(E827),1),Mes)/30) , 0)       )</f>
        <v>4</v>
      </c>
      <c r="L827" s="150">
        <f t="shared" si="253"/>
        <v>44000</v>
      </c>
      <c r="M827" s="151"/>
      <c r="N827" s="152">
        <f>IF( ISERROR(OFFSET(SECUESTRADOS!D$1,MATCH(B827,SECUESTRADOS!A$2:A1405,0),0)) ,0 ,  OFFSET(SECUESTRADOS!D$1,MATCH(B827,SECUESTRADOS!A$2:A1405,0),0)  )</f>
        <v>0</v>
      </c>
      <c r="O827" s="153"/>
      <c r="P827" s="154" t="b">
        <f t="shared" si="238"/>
        <v>0</v>
      </c>
      <c r="Q827" s="154" t="str">
        <f>IF(AND(A827=#REF!,B827=#REF!,C827=#REF!),"Repetido","")</f>
        <v>#REF!</v>
      </c>
      <c r="R827" s="130"/>
      <c r="S827" s="130"/>
      <c r="T827" s="130"/>
    </row>
    <row r="828" ht="18.75" customHeight="1">
      <c r="A828" s="155" t="s">
        <v>38</v>
      </c>
      <c r="B828" s="142">
        <v>2092.0</v>
      </c>
      <c r="C828" s="143">
        <v>2092.0</v>
      </c>
      <c r="D828" s="144" t="str">
        <f>IF(   ISERROR(OFFSET(PADRON!B$2,MATCH(C:C,PADRON!A$2:A1405,0)-1,0,1,1) )  ,  ,    OFFSET(PADRON!B$2,MATCH(C:C,PADRON!A$2:A1405,0)-1,0,1,1))</f>
        <v>MOROSI, ANTON</v>
      </c>
      <c r="E828" s="145">
        <v>45748.0</v>
      </c>
      <c r="F828" s="145"/>
      <c r="G828" s="146" t="s">
        <v>39</v>
      </c>
      <c r="H828" s="147">
        <f>IF( ISERROR( OFFSET(   'Cuadro tarifario'!D$2  , MATCH(CONCATENATE(                 IF(F828&gt;Mes,OFFSET(NroCT!B$17, MATCH($F828,NroCT!$A$18:$A1405,0),0,1,1),Periodovigente)                                                                                                                     ,A828) ,'Cuadro tarifario'!A$2:A1405,0) -1 , 0 , 1 , 1) )   , 0  ,   OFFSET(   'Cuadro tarifario'!D$2  , MATCH(CONCATENATE( IF(F828&gt;Mes,OFFSET(NroCT!B$17, MATCH($F828,NroCT!$A$18:$A1405,0),0,1,1),Periodovigente) ,A828) ,'Cuadro tarifario'!A$2:A1405,0) -1 , 0 , 1 , 1))</f>
        <v>9000</v>
      </c>
      <c r="I828" s="148">
        <f t="shared" si="252"/>
        <v>0</v>
      </c>
      <c r="J828" s="147">
        <f t="shared" si="235"/>
        <v>0</v>
      </c>
      <c r="K828" s="149">
        <f>IF(  AND(N828&gt;0,I828=0)          ,N828 ,                         IF(  IF( F828 ,  DAYS360(DATE(YEAR(F828),MONTH(F828),1),Mes)/30  ,  DAYS360(DATE(YEAR(E828),MONTH(E828),1),Mes)/30  )  &gt;  0 , IF(F828,   DAYS360(DATE(YEAR(F828),MONTH(F828),1),Mes)/30  ,  DAYS360(DATE(YEAR(E828),MONTH(E828),1),Mes)/30) , 0)       )</f>
        <v>4</v>
      </c>
      <c r="L828" s="150">
        <f t="shared" si="253"/>
        <v>36000</v>
      </c>
      <c r="M828" s="151"/>
      <c r="N828" s="152">
        <f>IF( ISERROR(OFFSET(SECUESTRADOS!D$1,MATCH(B828,SECUESTRADOS!A$2:A1405,0),0)) ,0 ,  OFFSET(SECUESTRADOS!D$1,MATCH(B828,SECUESTRADOS!A$2:A1405,0),0)  )</f>
        <v>0</v>
      </c>
      <c r="O828" s="153"/>
      <c r="P828" s="154" t="b">
        <f t="shared" si="238"/>
        <v>0</v>
      </c>
      <c r="Q828" s="154" t="str">
        <f>IF(AND(A828=#REF!,B828=#REF!,C828=#REF!),"Repetido","")</f>
        <v>#REF!</v>
      </c>
      <c r="R828" s="130"/>
      <c r="S828" s="130"/>
      <c r="T828" s="130"/>
    </row>
    <row r="829">
      <c r="A829" s="155" t="s">
        <v>71</v>
      </c>
      <c r="B829" s="142">
        <v>2093.0</v>
      </c>
      <c r="C829" s="143">
        <v>2093.0</v>
      </c>
      <c r="D829" s="144" t="str">
        <f>IF(   ISERROR(OFFSET(PADRON!B$2,MATCH(C:C,PADRON!A$2:A1405,0)-1,0,1,1) )  ,  ,    OFFSET(PADRON!B$2,MATCH(C:C,PADRON!A$2:A1405,0)-1,0,1,1))</f>
        <v>FERNANDEZ RUIZ, JUAN MANUEL</v>
      </c>
      <c r="E829" s="145">
        <v>45839.0</v>
      </c>
      <c r="F829" s="145">
        <v>45870.0</v>
      </c>
      <c r="G829" s="146" t="s">
        <v>39</v>
      </c>
      <c r="H829" s="147">
        <f>IF( ISERROR( OFFSET(   'Cuadro tarifario'!D$2  , MATCH(CONCATENATE(                 IF(F829&gt;Mes,OFFSET(NroCT!B$17, MATCH($F829,NroCT!$A$18:$A1405,0),0,1,1),Periodovigente)                                                                                                                     ,A829) ,'Cuadro tarifario'!A$2:A1405,0) -1 , 0 , 1 , 1) )   , 0  ,   OFFSET(   'Cuadro tarifario'!D$2  , MATCH(CONCATENATE( IF(F829&gt;Mes,OFFSET(NroCT!B$17, MATCH($F829,NroCT!$A$18:$A1405,0),0,1,1),Periodovigente) ,A829) ,'Cuadro tarifario'!A$2:A1405,0) -1 , 0 , 1 , 1))</f>
        <v>11000</v>
      </c>
      <c r="I829" s="148">
        <f t="shared" si="252"/>
        <v>1</v>
      </c>
      <c r="J829" s="147">
        <f t="shared" si="235"/>
        <v>11000</v>
      </c>
      <c r="K829" s="149">
        <f>IF(  AND(N829&gt;0,I829=0)          ,N829 ,                         IF(  IF( F829 ,  DAYS360(DATE(YEAR(F829),MONTH(F829),1),Mes)/30  ,  DAYS360(DATE(YEAR(E829),MONTH(E829),1),Mes)/30  )  &gt;  0 , IF(F829,   DAYS360(DATE(YEAR(F829),MONTH(F829),1),Mes)/30  ,  DAYS360(DATE(YEAR(E829),MONTH(E829),1),Mes)/30) , 0)       )</f>
        <v>0</v>
      </c>
      <c r="L829" s="150">
        <f t="shared" si="253"/>
        <v>0</v>
      </c>
      <c r="M829" s="151"/>
      <c r="N829" s="152">
        <f>IF( ISERROR(OFFSET(SECUESTRADOS!D$1,MATCH(B829,SECUESTRADOS!A$2:A1405,0),0)) ,0 ,  OFFSET(SECUESTRADOS!D$1,MATCH(B829,SECUESTRADOS!A$2:A1405,0),0)  )</f>
        <v>0</v>
      </c>
      <c r="O829" s="153"/>
      <c r="P829" s="154" t="str">
        <f t="shared" si="238"/>
        <v>.socio</v>
      </c>
      <c r="Q829" s="154" t="str">
        <f>IF(AND(A829=#REF!,B829=#REF!,C829=#REF!),"Repetido","")</f>
        <v>#REF!</v>
      </c>
      <c r="R829" s="130"/>
      <c r="S829" s="130"/>
      <c r="T829" s="130"/>
    </row>
    <row r="830">
      <c r="A830" s="155" t="s">
        <v>38</v>
      </c>
      <c r="B830" s="142">
        <v>2093.0</v>
      </c>
      <c r="C830" s="143">
        <v>2093.0</v>
      </c>
      <c r="D830" s="144" t="str">
        <f>IF(   ISERROR(OFFSET(PADRON!B$2,MATCH(C:C,PADRON!A$2:A1405,0)-1,0,1,1) )  ,  ,    OFFSET(PADRON!B$2,MATCH(C:C,PADRON!A$2:A1405,0)-1,0,1,1))</f>
        <v>FERNANDEZ RUIZ, JUAN MANUEL</v>
      </c>
      <c r="E830" s="145">
        <v>45839.0</v>
      </c>
      <c r="F830" s="145">
        <v>45870.0</v>
      </c>
      <c r="G830" s="146" t="s">
        <v>39</v>
      </c>
      <c r="H830" s="147">
        <f>IF( ISERROR( OFFSET(   'Cuadro tarifario'!D$2  , MATCH(CONCATENATE(                 IF(F830&gt;Mes,OFFSET(NroCT!B$17, MATCH($F830,NroCT!$A$18:$A1405,0),0,1,1),Periodovigente)                                                                                                                     ,A830) ,'Cuadro tarifario'!A$2:A1405,0) -1 , 0 , 1 , 1) )   , 0  ,   OFFSET(   'Cuadro tarifario'!D$2  , MATCH(CONCATENATE( IF(F830&gt;Mes,OFFSET(NroCT!B$17, MATCH($F830,NroCT!$A$18:$A1405,0),0,1,1),Periodovigente) ,A830) ,'Cuadro tarifario'!A$2:A1405,0) -1 , 0 , 1 , 1))</f>
        <v>9000</v>
      </c>
      <c r="I830" s="148">
        <f t="shared" si="252"/>
        <v>1</v>
      </c>
      <c r="J830" s="147">
        <f t="shared" si="235"/>
        <v>9000</v>
      </c>
      <c r="K830" s="149">
        <f>IF(  AND(N830&gt;0,I830=0)          ,N830 ,                         IF(  IF( F830 ,  DAYS360(DATE(YEAR(F830),MONTH(F830),1),Mes)/30  ,  DAYS360(DATE(YEAR(E830),MONTH(E830),1),Mes)/30  )  &gt;  0 , IF(F830,   DAYS360(DATE(YEAR(F830),MONTH(F830),1),Mes)/30  ,  DAYS360(DATE(YEAR(E830),MONTH(E830),1),Mes)/30) , 0)       )</f>
        <v>0</v>
      </c>
      <c r="L830" s="150">
        <f t="shared" si="253"/>
        <v>0</v>
      </c>
      <c r="M830" s="151"/>
      <c r="N830" s="152">
        <f>IF( ISERROR(OFFSET(SECUESTRADOS!D$1,MATCH(B830,SECUESTRADOS!A$2:A1405,0),0)) ,0 ,  OFFSET(SECUESTRADOS!D$1,MATCH(B830,SECUESTRADOS!A$2:A1405,0),0)  )</f>
        <v>0</v>
      </c>
      <c r="O830" s="153"/>
      <c r="P830" s="154" t="str">
        <f t="shared" si="238"/>
        <v>Bono canon</v>
      </c>
      <c r="Q830" s="154" t="str">
        <f t="shared" ref="Q830:Q831" si="282">IF(AND(A830=#REF!,B830=#REF!,C830=#REF!),"Repetido","")</f>
        <v>#REF!</v>
      </c>
      <c r="R830" s="130"/>
      <c r="S830" s="130"/>
      <c r="T830" s="130"/>
    </row>
    <row r="831">
      <c r="A831" s="155" t="s">
        <v>40</v>
      </c>
      <c r="B831" s="142" t="s">
        <v>366</v>
      </c>
      <c r="C831" s="143">
        <v>2093.0</v>
      </c>
      <c r="D831" s="144" t="str">
        <f>IF(   ISERROR(OFFSET(PADRON!B$2,MATCH(C:C,PADRON!A$2:A1405,0)-1,0,1,1) )  ,  ,    OFFSET(PADRON!B$2,MATCH(C:C,PADRON!A$2:A1405,0)-1,0,1,1))</f>
        <v>FERNANDEZ RUIZ, JUAN MANUEL</v>
      </c>
      <c r="E831" s="145">
        <v>45839.0</v>
      </c>
      <c r="F831" s="145">
        <v>45870.0</v>
      </c>
      <c r="G831" s="146" t="s">
        <v>39</v>
      </c>
      <c r="H831" s="147">
        <f>IF( ISERROR( OFFSET(   'Cuadro tarifario'!D$2  , MATCH(CONCATENATE(                 IF(F831&gt;Mes,OFFSET(NroCT!B$17, MATCH($F831,NroCT!$A$18:$A1405,0),0,1,1),Periodovigente)                                                                                                                     ,A831) ,'Cuadro tarifario'!A$2:A1405,0) -1 , 0 , 1 , 1) )   , 0  ,   OFFSET(   'Cuadro tarifario'!D$2  , MATCH(CONCATENATE( IF(F831&gt;Mes,OFFSET(NroCT!B$17, MATCH($F831,NroCT!$A$18:$A1405,0),0,1,1),Periodovigente) ,A831) ,'Cuadro tarifario'!A$2:A1405,0) -1 , 0 , 1 , 1))</f>
        <v>12000</v>
      </c>
      <c r="I831" s="148">
        <f t="shared" si="252"/>
        <v>1</v>
      </c>
      <c r="J831" s="147">
        <f t="shared" si="235"/>
        <v>12000</v>
      </c>
      <c r="K831" s="149">
        <f>IF(  AND(N831&gt;0,I831=0)          ,N831 ,                         IF(  IF( F831 ,  DAYS360(DATE(YEAR(F831),MONTH(F831),1),Mes)/30  ,  DAYS360(DATE(YEAR(E831),MONTH(E831),1),Mes)/30  )  &gt;  0 , IF(F831,   DAYS360(DATE(YEAR(F831),MONTH(F831),1),Mes)/30  ,  DAYS360(DATE(YEAR(E831),MONTH(E831),1),Mes)/30) , 0)       )</f>
        <v>0</v>
      </c>
      <c r="L831" s="150">
        <f t="shared" si="253"/>
        <v>0</v>
      </c>
      <c r="M831" s="151"/>
      <c r="N831" s="152">
        <f>IF( ISERROR(OFFSET(SECUESTRADOS!D$1,MATCH(B831,SECUESTRADOS!A$2:A1405,0),0)) ,0 ,  OFFSET(SECUESTRADOS!D$1,MATCH(B831,SECUESTRADOS!A$2:A1405,0),0)  )</f>
        <v>0</v>
      </c>
      <c r="O831" s="153"/>
      <c r="P831" s="154" t="str">
        <f t="shared" si="238"/>
        <v>cuna windsurf</v>
      </c>
      <c r="Q831" s="154" t="str">
        <f t="shared" si="282"/>
        <v>#REF!</v>
      </c>
      <c r="R831" s="130"/>
      <c r="S831" s="130"/>
      <c r="T831" s="130"/>
    </row>
    <row r="832">
      <c r="A832" s="155" t="s">
        <v>71</v>
      </c>
      <c r="B832" s="142">
        <v>2097.0</v>
      </c>
      <c r="C832" s="143">
        <v>2097.0</v>
      </c>
      <c r="D832" s="144" t="str">
        <f>IF(   ISERROR(OFFSET(PADRON!B$2,MATCH(C:C,PADRON!A$2:A1405,0)-1,0,1,1) )  ,  ,    OFFSET(PADRON!B$2,MATCH(C:C,PADRON!A$2:A1405,0)-1,0,1,1))</f>
        <v>MENDICINO DENISSE</v>
      </c>
      <c r="E832" s="145">
        <v>45778.0</v>
      </c>
      <c r="F832" s="145"/>
      <c r="G832" s="146" t="s">
        <v>39</v>
      </c>
      <c r="H832" s="147">
        <f>IF( ISERROR( OFFSET(   'Cuadro tarifario'!D$2  , MATCH(CONCATENATE(                 IF(F832&gt;Mes,OFFSET(NroCT!B$17, MATCH($F832,NroCT!$A$18:$A1405,0),0,1,1),Periodovigente)                                                                                                                     ,A832) ,'Cuadro tarifario'!A$2:A1405,0) -1 , 0 , 1 , 1) )   , 0  ,   OFFSET(   'Cuadro tarifario'!D$2  , MATCH(CONCATENATE( IF(F832&gt;Mes,OFFSET(NroCT!B$17, MATCH($F832,NroCT!$A$18:$A1405,0),0,1,1),Periodovigente) ,A832) ,'Cuadro tarifario'!A$2:A1405,0) -1 , 0 , 1 , 1))</f>
        <v>11000</v>
      </c>
      <c r="I832" s="148">
        <f t="shared" si="252"/>
        <v>0</v>
      </c>
      <c r="J832" s="147">
        <f t="shared" si="235"/>
        <v>0</v>
      </c>
      <c r="K832" s="149">
        <f>IF(  AND(N832&gt;0,I832=0)          ,N832 ,                         IF(  IF( F832 ,  DAYS360(DATE(YEAR(F832),MONTH(F832),1),Mes)/30  ,  DAYS360(DATE(YEAR(E832),MONTH(E832),1),Mes)/30  )  &gt;  0 , IF(F832,   DAYS360(DATE(YEAR(F832),MONTH(F832),1),Mes)/30  ,  DAYS360(DATE(YEAR(E832),MONTH(E832),1),Mes)/30) , 0)       )</f>
        <v>3</v>
      </c>
      <c r="L832" s="150">
        <f t="shared" si="253"/>
        <v>33000</v>
      </c>
      <c r="M832" s="151"/>
      <c r="N832" s="152">
        <f>IF( ISERROR(OFFSET(SECUESTRADOS!D$1,MATCH(B832,SECUESTRADOS!A$2:A1405,0),0)) ,0 ,  OFFSET(SECUESTRADOS!D$1,MATCH(B832,SECUESTRADOS!A$2:A1405,0),0)  )</f>
        <v>0</v>
      </c>
      <c r="O832" s="153"/>
      <c r="P832" s="154" t="b">
        <f t="shared" si="238"/>
        <v>0</v>
      </c>
      <c r="Q832" s="154" t="str">
        <f>IF(AND(A832=#REF!,B832=#REF!,C832=#REF!),"Repetido","")</f>
        <v>#REF!</v>
      </c>
      <c r="R832" s="130"/>
      <c r="S832" s="130"/>
      <c r="T832" s="130"/>
    </row>
    <row r="833" ht="17.25" customHeight="1">
      <c r="A833" s="155" t="s">
        <v>38</v>
      </c>
      <c r="B833" s="142">
        <v>2097.0</v>
      </c>
      <c r="C833" s="143">
        <v>2097.0</v>
      </c>
      <c r="D833" s="144" t="str">
        <f>IF(   ISERROR(OFFSET(PADRON!B$2,MATCH(C:C,PADRON!A$2:A1405,0)-1,0,1,1) )  ,  ,    OFFSET(PADRON!B$2,MATCH(C:C,PADRON!A$2:A1405,0)-1,0,1,1))</f>
        <v>MENDICINO DENISSE</v>
      </c>
      <c r="E833" s="145">
        <v>45778.0</v>
      </c>
      <c r="F833" s="145"/>
      <c r="G833" s="146" t="s">
        <v>39</v>
      </c>
      <c r="H833" s="147">
        <f>IF( ISERROR( OFFSET(   'Cuadro tarifario'!D$2  , MATCH(CONCATENATE(                 IF(F833&gt;Mes,OFFSET(NroCT!B$17, MATCH($F833,NroCT!$A$18:$A1405,0),0,1,1),Periodovigente)                                                                                                                     ,A833) ,'Cuadro tarifario'!A$2:A1405,0) -1 , 0 , 1 , 1) )   , 0  ,   OFFSET(   'Cuadro tarifario'!D$2  , MATCH(CONCATENATE( IF(F833&gt;Mes,OFFSET(NroCT!B$17, MATCH($F833,NroCT!$A$18:$A1405,0),0,1,1),Periodovigente) ,A833) ,'Cuadro tarifario'!A$2:A1405,0) -1 , 0 , 1 , 1))</f>
        <v>9000</v>
      </c>
      <c r="I833" s="148">
        <f t="shared" si="252"/>
        <v>0</v>
      </c>
      <c r="J833" s="147">
        <f t="shared" si="235"/>
        <v>0</v>
      </c>
      <c r="K833" s="149">
        <f>IF(  AND(N833&gt;0,I833=0)          ,N833 ,                         IF(  IF( F833 ,  DAYS360(DATE(YEAR(F833),MONTH(F833),1),Mes)/30  ,  DAYS360(DATE(YEAR(E833),MONTH(E833),1),Mes)/30  )  &gt;  0 , IF(F833,   DAYS360(DATE(YEAR(F833),MONTH(F833),1),Mes)/30  ,  DAYS360(DATE(YEAR(E833),MONTH(E833),1),Mes)/30) , 0)       )</f>
        <v>3</v>
      </c>
      <c r="L833" s="150">
        <f t="shared" si="253"/>
        <v>27000</v>
      </c>
      <c r="M833" s="151"/>
      <c r="N833" s="152">
        <f>IF( ISERROR(OFFSET(SECUESTRADOS!D$1,MATCH(B833,SECUESTRADOS!A$2:A1405,0),0)) ,0 ,  OFFSET(SECUESTRADOS!D$1,MATCH(B833,SECUESTRADOS!A$2:A1405,0),0)  )</f>
        <v>0</v>
      </c>
      <c r="O833" s="153"/>
      <c r="P833" s="154" t="b">
        <f t="shared" si="238"/>
        <v>0</v>
      </c>
      <c r="Q833" s="154" t="str">
        <f>IF(AND(A833=A832,B833=B832,C833=C832),"Repetido","")</f>
        <v/>
      </c>
      <c r="R833" s="130"/>
      <c r="S833" s="130"/>
      <c r="T833" s="130"/>
    </row>
    <row r="834">
      <c r="A834" s="155" t="s">
        <v>71</v>
      </c>
      <c r="B834" s="142">
        <v>2101.0</v>
      </c>
      <c r="C834" s="143">
        <v>2101.0</v>
      </c>
      <c r="D834" s="144" t="str">
        <f>IF(   ISERROR(OFFSET(PADRON!B$2,MATCH(C:C,PADRON!A$2:A1405,0)-1,0,1,1) )  ,  ,    OFFSET(PADRON!B$2,MATCH(C:C,PADRON!A$2:A1405,0)-1,0,1,1))</f>
        <v>RODRIGUEZ, JORGE</v>
      </c>
      <c r="E834" s="145">
        <v>45839.0</v>
      </c>
      <c r="F834" s="145">
        <v>45870.0</v>
      </c>
      <c r="G834" s="146" t="s">
        <v>39</v>
      </c>
      <c r="H834" s="147">
        <f>IF( ISERROR( OFFSET(   'Cuadro tarifario'!D$2  , MATCH(CONCATENATE(                 IF(F834&gt;Mes,OFFSET(NroCT!B$17, MATCH($F834,NroCT!$A$18:$A1405,0),0,1,1),Periodovigente)                                                                                                                     ,A834) ,'Cuadro tarifario'!A$2:A1405,0) -1 , 0 , 1 , 1) )   , 0  ,   OFFSET(   'Cuadro tarifario'!D$2  , MATCH(CONCATENATE( IF(F834&gt;Mes,OFFSET(NroCT!B$17, MATCH($F834,NroCT!$A$18:$A1405,0),0,1,1),Periodovigente) ,A834) ,'Cuadro tarifario'!A$2:A1405,0) -1 , 0 , 1 , 1))</f>
        <v>11000</v>
      </c>
      <c r="I834" s="148">
        <f t="shared" si="252"/>
        <v>1</v>
      </c>
      <c r="J834" s="147">
        <f t="shared" si="235"/>
        <v>11000</v>
      </c>
      <c r="K834" s="149">
        <f>IF(  AND(N834&gt;0,I834=0)          ,N834 ,                         IF(  IF( F834 ,  DAYS360(DATE(YEAR(F834),MONTH(F834),1),Mes)/30  ,  DAYS360(DATE(YEAR(E834),MONTH(E834),1),Mes)/30  )  &gt;  0 , IF(F834,   DAYS360(DATE(YEAR(F834),MONTH(F834),1),Mes)/30  ,  DAYS360(DATE(YEAR(E834),MONTH(E834),1),Mes)/30) , 0)       )</f>
        <v>0</v>
      </c>
      <c r="L834" s="150">
        <f t="shared" si="253"/>
        <v>0</v>
      </c>
      <c r="M834" s="151"/>
      <c r="N834" s="152">
        <f>IF( ISERROR(OFFSET(SECUESTRADOS!D$1,MATCH(B834,SECUESTRADOS!A$2:A1405,0),0)) ,0 ,  OFFSET(SECUESTRADOS!D$1,MATCH(B834,SECUESTRADOS!A$2:A1405,0),0)  )</f>
        <v>0</v>
      </c>
      <c r="O834" s="153"/>
      <c r="P834" s="154" t="str">
        <f t="shared" si="238"/>
        <v>.socio</v>
      </c>
      <c r="Q834" s="154" t="str">
        <f>IF(AND(A834=#REF!,B834=#REF!,C834=#REF!),"Repetido","")</f>
        <v>#REF!</v>
      </c>
      <c r="R834" s="130"/>
      <c r="S834" s="130"/>
      <c r="T834" s="130"/>
    </row>
    <row r="835">
      <c r="A835" s="155" t="s">
        <v>38</v>
      </c>
      <c r="B835" s="142">
        <v>2101.0</v>
      </c>
      <c r="C835" s="143">
        <v>2101.0</v>
      </c>
      <c r="D835" s="144" t="str">
        <f>IF(   ISERROR(OFFSET(PADRON!B$2,MATCH(C:C,PADRON!A$2:A1405,0)-1,0,1,1) )  ,  ,    OFFSET(PADRON!B$2,MATCH(C:C,PADRON!A$2:A1405,0)-1,0,1,1))</f>
        <v>RODRIGUEZ, JORGE</v>
      </c>
      <c r="E835" s="145">
        <v>45839.0</v>
      </c>
      <c r="F835" s="145">
        <v>45870.0</v>
      </c>
      <c r="G835" s="146" t="s">
        <v>39</v>
      </c>
      <c r="H835" s="147">
        <f>IF( ISERROR( OFFSET(   'Cuadro tarifario'!D$2  , MATCH(CONCATENATE(                 IF(F835&gt;Mes,OFFSET(NroCT!B$17, MATCH($F835,NroCT!$A$18:$A1405,0),0,1,1),Periodovigente)                                                                                                                     ,A835) ,'Cuadro tarifario'!A$2:A1405,0) -1 , 0 , 1 , 1) )   , 0  ,   OFFSET(   'Cuadro tarifario'!D$2  , MATCH(CONCATENATE( IF(F835&gt;Mes,OFFSET(NroCT!B$17, MATCH($F835,NroCT!$A$18:$A1405,0),0,1,1),Periodovigente) ,A835) ,'Cuadro tarifario'!A$2:A1405,0) -1 , 0 , 1 , 1))</f>
        <v>9000</v>
      </c>
      <c r="I835" s="148">
        <f t="shared" si="252"/>
        <v>1</v>
      </c>
      <c r="J835" s="147">
        <f t="shared" si="235"/>
        <v>9000</v>
      </c>
      <c r="K835" s="149">
        <f>IF(  AND(N835&gt;0,I835=0)          ,N835 ,                         IF(  IF( F835 ,  DAYS360(DATE(YEAR(F835),MONTH(F835),1),Mes)/30  ,  DAYS360(DATE(YEAR(E835),MONTH(E835),1),Mes)/30  )  &gt;  0 , IF(F835,   DAYS360(DATE(YEAR(F835),MONTH(F835),1),Mes)/30  ,  DAYS360(DATE(YEAR(E835),MONTH(E835),1),Mes)/30) , 0)       )</f>
        <v>0</v>
      </c>
      <c r="L835" s="150">
        <f t="shared" si="253"/>
        <v>0</v>
      </c>
      <c r="M835" s="151"/>
      <c r="N835" s="152">
        <f>IF( ISERROR(OFFSET(SECUESTRADOS!D$1,MATCH(B835,SECUESTRADOS!A$2:A1405,0),0)) ,0 ,  OFFSET(SECUESTRADOS!D$1,MATCH(B835,SECUESTRADOS!A$2:A1405,0),0)  )</f>
        <v>0</v>
      </c>
      <c r="O835" s="153"/>
      <c r="P835" s="154" t="str">
        <f t="shared" si="238"/>
        <v>Bono canon</v>
      </c>
      <c r="Q835" s="154" t="str">
        <f t="shared" ref="Q835:Q836" si="283">IF(AND(A835=#REF!,B835=#REF!,C835=#REF!),"Repetido","")</f>
        <v>#REF!</v>
      </c>
      <c r="R835" s="130"/>
      <c r="S835" s="130"/>
      <c r="T835" s="130"/>
    </row>
    <row r="836">
      <c r="A836" s="155" t="s">
        <v>40</v>
      </c>
      <c r="B836" s="142" t="s">
        <v>367</v>
      </c>
      <c r="C836" s="143">
        <v>2101.0</v>
      </c>
      <c r="D836" s="144" t="str">
        <f>IF(   ISERROR(OFFSET(PADRON!B$2,MATCH(C:C,PADRON!A$2:A1405,0)-1,0,1,1) )  ,  ,    OFFSET(PADRON!B$2,MATCH(C:C,PADRON!A$2:A1405,0)-1,0,1,1))</f>
        <v>RODRIGUEZ, JORGE</v>
      </c>
      <c r="E836" s="145">
        <v>45839.0</v>
      </c>
      <c r="F836" s="145">
        <v>45870.0</v>
      </c>
      <c r="G836" s="146" t="s">
        <v>39</v>
      </c>
      <c r="H836" s="147">
        <f>IF( ISERROR( OFFSET(   'Cuadro tarifario'!D$2  , MATCH(CONCATENATE(                 IF(F836&gt;Mes,OFFSET(NroCT!B$17, MATCH($F836,NroCT!$A$18:$A1405,0),0,1,1),Periodovigente)                                                                                                                     ,A836) ,'Cuadro tarifario'!A$2:A1405,0) -1 , 0 , 1 , 1) )   , 0  ,   OFFSET(   'Cuadro tarifario'!D$2  , MATCH(CONCATENATE( IF(F836&gt;Mes,OFFSET(NroCT!B$17, MATCH($F836,NroCT!$A$18:$A1405,0),0,1,1),Periodovigente) ,A836) ,'Cuadro tarifario'!A$2:A1405,0) -1 , 0 , 1 , 1))</f>
        <v>12000</v>
      </c>
      <c r="I836" s="148">
        <f t="shared" si="252"/>
        <v>1</v>
      </c>
      <c r="J836" s="147">
        <f t="shared" si="235"/>
        <v>12000</v>
      </c>
      <c r="K836" s="149">
        <f>IF(  AND(N836&gt;0,I836=0)          ,N836 ,                         IF(  IF( F836 ,  DAYS360(DATE(YEAR(F836),MONTH(F836),1),Mes)/30  ,  DAYS360(DATE(YEAR(E836),MONTH(E836),1),Mes)/30  )  &gt;  0 , IF(F836,   DAYS360(DATE(YEAR(F836),MONTH(F836),1),Mes)/30  ,  DAYS360(DATE(YEAR(E836),MONTH(E836),1),Mes)/30) , 0)       )</f>
        <v>0</v>
      </c>
      <c r="L836" s="150">
        <f t="shared" si="253"/>
        <v>0</v>
      </c>
      <c r="M836" s="151"/>
      <c r="N836" s="152">
        <f>IF( ISERROR(OFFSET(SECUESTRADOS!D$1,MATCH(B836,SECUESTRADOS!A$2:A1405,0),0)) ,0 ,  OFFSET(SECUESTRADOS!D$1,MATCH(B836,SECUESTRADOS!A$2:A1405,0),0)  )</f>
        <v>0</v>
      </c>
      <c r="O836" s="153"/>
      <c r="P836" s="154" t="str">
        <f t="shared" si="238"/>
        <v>cuna windsurf</v>
      </c>
      <c r="Q836" s="154" t="str">
        <f t="shared" si="283"/>
        <v>#REF!</v>
      </c>
      <c r="R836" s="130"/>
      <c r="S836" s="130"/>
      <c r="T836" s="130"/>
    </row>
    <row r="837">
      <c r="A837" s="155" t="s">
        <v>71</v>
      </c>
      <c r="B837" s="142">
        <v>2104.0</v>
      </c>
      <c r="C837" s="143">
        <v>2104.0</v>
      </c>
      <c r="D837" s="144" t="str">
        <f>IF(   ISERROR(OFFSET(PADRON!B$2,MATCH(C:C,PADRON!A$2:A1405,0)-1,0,1,1) )  ,  ,    OFFSET(PADRON!B$2,MATCH(C:C,PADRON!A$2:A1405,0)-1,0,1,1))</f>
        <v>ASOREY, PATRICIO</v>
      </c>
      <c r="E837" s="145">
        <v>45839.0</v>
      </c>
      <c r="F837" s="145">
        <v>45870.0</v>
      </c>
      <c r="G837" s="146" t="s">
        <v>39</v>
      </c>
      <c r="H837" s="147">
        <f>IF( ISERROR( OFFSET(   'Cuadro tarifario'!D$2  , MATCH(CONCATENATE(                 IF(F837&gt;Mes,OFFSET(NroCT!B$17, MATCH($F837,NroCT!$A$18:$A1405,0),0,1,1),Periodovigente)                                                                                                                     ,A837) ,'Cuadro tarifario'!A$2:A1405,0) -1 , 0 , 1 , 1) )   , 0  ,   OFFSET(   'Cuadro tarifario'!D$2  , MATCH(CONCATENATE( IF(F837&gt;Mes,OFFSET(NroCT!B$17, MATCH($F837,NroCT!$A$18:$A1405,0),0,1,1),Periodovigente) ,A837) ,'Cuadro tarifario'!A$2:A1405,0) -1 , 0 , 1 , 1))</f>
        <v>11000</v>
      </c>
      <c r="I837" s="148">
        <f t="shared" si="252"/>
        <v>1</v>
      </c>
      <c r="J837" s="147">
        <f t="shared" si="235"/>
        <v>11000</v>
      </c>
      <c r="K837" s="149">
        <f>IF(  AND(N837&gt;0,I837=0)          ,N837 ,                         IF(  IF( F837 ,  DAYS360(DATE(YEAR(F837),MONTH(F837),1),Mes)/30  ,  DAYS360(DATE(YEAR(E837),MONTH(E837),1),Mes)/30  )  &gt;  0 , IF(F837,   DAYS360(DATE(YEAR(F837),MONTH(F837),1),Mes)/30  ,  DAYS360(DATE(YEAR(E837),MONTH(E837),1),Mes)/30) , 0)       )</f>
        <v>0</v>
      </c>
      <c r="L837" s="150">
        <f t="shared" si="253"/>
        <v>0</v>
      </c>
      <c r="M837" s="151"/>
      <c r="N837" s="152">
        <f>IF( ISERROR(OFFSET(SECUESTRADOS!D$1,MATCH(B837,SECUESTRADOS!A$2:A1405,0),0)) ,0 ,  OFFSET(SECUESTRADOS!D$1,MATCH(B837,SECUESTRADOS!A$2:A1405,0),0)  )</f>
        <v>0</v>
      </c>
      <c r="O837" s="153"/>
      <c r="P837" s="154" t="str">
        <f t="shared" si="238"/>
        <v>.socio</v>
      </c>
      <c r="Q837" s="154" t="str">
        <f>IF(AND(A837=#REF!,B837=#REF!,C837=#REF!),"Repetido","")</f>
        <v>#REF!</v>
      </c>
      <c r="R837" s="130"/>
      <c r="S837" s="130"/>
      <c r="T837" s="130"/>
    </row>
    <row r="838">
      <c r="A838" s="155" t="s">
        <v>38</v>
      </c>
      <c r="B838" s="142">
        <v>2104.0</v>
      </c>
      <c r="C838" s="143">
        <v>2104.0</v>
      </c>
      <c r="D838" s="144" t="str">
        <f>IF(   ISERROR(OFFSET(PADRON!B$2,MATCH(C:C,PADRON!A$2:A1405,0)-1,0,1,1) )  ,  ,    OFFSET(PADRON!B$2,MATCH(C:C,PADRON!A$2:A1405,0)-1,0,1,1))</f>
        <v>ASOREY, PATRICIO</v>
      </c>
      <c r="E838" s="145">
        <v>45839.0</v>
      </c>
      <c r="F838" s="145">
        <v>45870.0</v>
      </c>
      <c r="G838" s="146" t="s">
        <v>39</v>
      </c>
      <c r="H838" s="147">
        <f>IF( ISERROR( OFFSET(   'Cuadro tarifario'!D$2  , MATCH(CONCATENATE(                 IF(F838&gt;Mes,OFFSET(NroCT!B$17, MATCH($F838,NroCT!$A$18:$A1405,0),0,1,1),Periodovigente)                                                                                                                     ,A838) ,'Cuadro tarifario'!A$2:A1405,0) -1 , 0 , 1 , 1) )   , 0  ,   OFFSET(   'Cuadro tarifario'!D$2  , MATCH(CONCATENATE( IF(F838&gt;Mes,OFFSET(NroCT!B$17, MATCH($F838,NroCT!$A$18:$A1405,0),0,1,1),Periodovigente) ,A838) ,'Cuadro tarifario'!A$2:A1405,0) -1 , 0 , 1 , 1))</f>
        <v>9000</v>
      </c>
      <c r="I838" s="148">
        <f t="shared" si="252"/>
        <v>1</v>
      </c>
      <c r="J838" s="147">
        <f t="shared" si="235"/>
        <v>9000</v>
      </c>
      <c r="K838" s="149">
        <f>IF(  AND(N838&gt;0,I838=0)          ,N838 ,                         IF(  IF( F838 ,  DAYS360(DATE(YEAR(F838),MONTH(F838),1),Mes)/30  ,  DAYS360(DATE(YEAR(E838),MONTH(E838),1),Mes)/30  )  &gt;  0 , IF(F838,   DAYS360(DATE(YEAR(F838),MONTH(F838),1),Mes)/30  ,  DAYS360(DATE(YEAR(E838),MONTH(E838),1),Mes)/30) , 0)       )</f>
        <v>0</v>
      </c>
      <c r="L838" s="150">
        <f t="shared" si="253"/>
        <v>0</v>
      </c>
      <c r="M838" s="151"/>
      <c r="N838" s="152">
        <f>IF( ISERROR(OFFSET(SECUESTRADOS!D$1,MATCH(B838,SECUESTRADOS!A$2:A1405,0),0)) ,0 ,  OFFSET(SECUESTRADOS!D$1,MATCH(B838,SECUESTRADOS!A$2:A1405,0),0)  )</f>
        <v>0</v>
      </c>
      <c r="O838" s="153"/>
      <c r="P838" s="154" t="str">
        <f t="shared" si="238"/>
        <v>Bono canon</v>
      </c>
      <c r="Q838" s="154" t="str">
        <f t="shared" ref="Q838:Q839" si="284">IF(AND(A838=#REF!,B838=#REF!,C838=#REF!),"Repetido","")</f>
        <v>#REF!</v>
      </c>
      <c r="R838" s="130"/>
      <c r="S838" s="130"/>
      <c r="T838" s="130"/>
    </row>
    <row r="839">
      <c r="A839" s="155" t="s">
        <v>48</v>
      </c>
      <c r="B839" s="142" t="s">
        <v>368</v>
      </c>
      <c r="C839" s="143">
        <v>2104.0</v>
      </c>
      <c r="D839" s="144" t="str">
        <f>IF(   ISERROR(OFFSET(PADRON!B$2,MATCH(C:C,PADRON!A$2:A1405,0)-1,0,1,1) )  ,  ,    OFFSET(PADRON!B$2,MATCH(C:C,PADRON!A$2:A1405,0)-1,0,1,1))</f>
        <v>ASOREY, PATRICIO</v>
      </c>
      <c r="E839" s="145">
        <v>45839.0</v>
      </c>
      <c r="F839" s="145">
        <v>45870.0</v>
      </c>
      <c r="G839" s="146" t="s">
        <v>39</v>
      </c>
      <c r="H839" s="147">
        <f>IF( ISERROR( OFFSET(   'Cuadro tarifario'!D$2  , MATCH(CONCATENATE(                 IF(F839&gt;Mes,OFFSET(NroCT!B$17, MATCH($F839,NroCT!$A$18:$A1405,0),0,1,1),Periodovigente)                                                                                                                     ,A839) ,'Cuadro tarifario'!A$2:A1405,0) -1 , 0 , 1 , 1) )   , 0  ,   OFFSET(   'Cuadro tarifario'!D$2  , MATCH(CONCATENATE( IF(F839&gt;Mes,OFFSET(NroCT!B$17, MATCH($F839,NroCT!$A$18:$A1405,0),0,1,1),Periodovigente) ,A839) ,'Cuadro tarifario'!A$2:A1405,0) -1 , 0 , 1 , 1))</f>
        <v>12000</v>
      </c>
      <c r="I839" s="148">
        <f t="shared" si="252"/>
        <v>1</v>
      </c>
      <c r="J839" s="147">
        <f t="shared" si="235"/>
        <v>12000</v>
      </c>
      <c r="K839" s="149">
        <f>IF(  AND(N839&gt;0,I839=0)          ,N839 ,                         IF(  IF( F839 ,  DAYS360(DATE(YEAR(F839),MONTH(F839),1),Mes)/30  ,  DAYS360(DATE(YEAR(E839),MONTH(E839),1),Mes)/30  )  &gt;  0 , IF(F839,   DAYS360(DATE(YEAR(F839),MONTH(F839),1),Mes)/30  ,  DAYS360(DATE(YEAR(E839),MONTH(E839),1),Mes)/30) , 0)       )</f>
        <v>0</v>
      </c>
      <c r="L839" s="150">
        <f t="shared" si="253"/>
        <v>0</v>
      </c>
      <c r="M839" s="151"/>
      <c r="N839" s="152">
        <f>IF( ISERROR(OFFSET(SECUESTRADOS!D$1,MATCH(B839,SECUESTRADOS!A$2:A1405,0),0)) ,0 ,  OFFSET(SECUESTRADOS!D$1,MATCH(B839,SECUESTRADOS!A$2:A1405,0),0)  )</f>
        <v>0</v>
      </c>
      <c r="O839" s="153"/>
      <c r="P839" s="154" t="str">
        <f t="shared" si="238"/>
        <v>velero</v>
      </c>
      <c r="Q839" s="154" t="str">
        <f t="shared" si="284"/>
        <v>#REF!</v>
      </c>
      <c r="R839" s="130"/>
      <c r="S839" s="130"/>
      <c r="T839" s="130"/>
    </row>
    <row r="840">
      <c r="A840" s="155" t="s">
        <v>71</v>
      </c>
      <c r="B840" s="142">
        <v>2105.0</v>
      </c>
      <c r="C840" s="143">
        <v>2105.0</v>
      </c>
      <c r="D840" s="144" t="str">
        <f>IF(   ISERROR(OFFSET(PADRON!B$2,MATCH(C:C,PADRON!A$2:A1405,0)-1,0,1,1) )  ,  ,    OFFSET(PADRON!B$2,MATCH(C:C,PADRON!A$2:A1405,0)-1,0,1,1))</f>
        <v>DUCROS, CHRISTIAN</v>
      </c>
      <c r="E840" s="145">
        <v>45717.0</v>
      </c>
      <c r="F840" s="145">
        <v>45870.0</v>
      </c>
      <c r="G840" s="146" t="s">
        <v>39</v>
      </c>
      <c r="H840" s="147">
        <f>IF( ISERROR( OFFSET(   'Cuadro tarifario'!D$2  , MATCH(CONCATENATE(                 IF(F840&gt;Mes,OFFSET(NroCT!B$17, MATCH($F840,NroCT!$A$18:$A1405,0),0,1,1),Periodovigente)                                                                                                                     ,A840) ,'Cuadro tarifario'!A$2:A1405,0) -1 , 0 , 1 , 1) )   , 0  ,   OFFSET(   'Cuadro tarifario'!D$2  , MATCH(CONCATENATE( IF(F840&gt;Mes,OFFSET(NroCT!B$17, MATCH($F840,NroCT!$A$18:$A1405,0),0,1,1),Periodovigente) ,A840) ,'Cuadro tarifario'!A$2:A1405,0) -1 , 0 , 1 , 1))</f>
        <v>11000</v>
      </c>
      <c r="I840" s="148">
        <f t="shared" si="252"/>
        <v>5</v>
      </c>
      <c r="J840" s="147">
        <f t="shared" si="235"/>
        <v>55000</v>
      </c>
      <c r="K840" s="149">
        <f>IF(  AND(N840&gt;0,I840=0)          ,N840 ,                         IF(  IF( F840 ,  DAYS360(DATE(YEAR(F840),MONTH(F840),1),Mes)/30  ,  DAYS360(DATE(YEAR(E840),MONTH(E840),1),Mes)/30  )  &gt;  0 , IF(F840,   DAYS360(DATE(YEAR(F840),MONTH(F840),1),Mes)/30  ,  DAYS360(DATE(YEAR(E840),MONTH(E840),1),Mes)/30) , 0)       )</f>
        <v>0</v>
      </c>
      <c r="L840" s="150">
        <f t="shared" si="253"/>
        <v>0</v>
      </c>
      <c r="M840" s="151"/>
      <c r="N840" s="152">
        <f>IF( ISERROR(OFFSET(SECUESTRADOS!D$1,MATCH(B840,SECUESTRADOS!A$2:A1405,0),0)) ,0 ,  OFFSET(SECUESTRADOS!D$1,MATCH(B840,SECUESTRADOS!A$2:A1405,0),0)  )</f>
        <v>0</v>
      </c>
      <c r="O840" s="153"/>
      <c r="P840" s="154" t="str">
        <f t="shared" si="238"/>
        <v>.socio</v>
      </c>
      <c r="Q840" s="154" t="str">
        <f>IF(AND(A840=#REF!,B840=#REF!,C840=#REF!),"Repetido","")</f>
        <v>#REF!</v>
      </c>
      <c r="R840" s="130"/>
      <c r="S840" s="130"/>
      <c r="T840" s="130"/>
    </row>
    <row r="841">
      <c r="A841" s="155" t="s">
        <v>38</v>
      </c>
      <c r="B841" s="142">
        <v>2105.0</v>
      </c>
      <c r="C841" s="143">
        <v>2105.0</v>
      </c>
      <c r="D841" s="144" t="str">
        <f>IF(   ISERROR(OFFSET(PADRON!B$2,MATCH(C:C,PADRON!A$2:A1405,0)-1,0,1,1) )  ,  ,    OFFSET(PADRON!B$2,MATCH(C:C,PADRON!A$2:A1405,0)-1,0,1,1))</f>
        <v>DUCROS, CHRISTIAN</v>
      </c>
      <c r="E841" s="145">
        <v>45717.0</v>
      </c>
      <c r="F841" s="145">
        <v>45870.0</v>
      </c>
      <c r="G841" s="146" t="s">
        <v>39</v>
      </c>
      <c r="H841" s="147">
        <f>IF( ISERROR( OFFSET(   'Cuadro tarifario'!D$2  , MATCH(CONCATENATE(                 IF(F841&gt;Mes,OFFSET(NroCT!B$17, MATCH($F841,NroCT!$A$18:$A1405,0),0,1,1),Periodovigente)                                                                                                                     ,A841) ,'Cuadro tarifario'!A$2:A1405,0) -1 , 0 , 1 , 1) )   , 0  ,   OFFSET(   'Cuadro tarifario'!D$2  , MATCH(CONCATENATE( IF(F841&gt;Mes,OFFSET(NroCT!B$17, MATCH($F841,NroCT!$A$18:$A1405,0),0,1,1),Periodovigente) ,A841) ,'Cuadro tarifario'!A$2:A1405,0) -1 , 0 , 1 , 1))</f>
        <v>9000</v>
      </c>
      <c r="I841" s="148">
        <f t="shared" si="252"/>
        <v>5</v>
      </c>
      <c r="J841" s="147">
        <f t="shared" si="235"/>
        <v>45000</v>
      </c>
      <c r="K841" s="149">
        <f>IF(  AND(N841&gt;0,I841=0)          ,N841 ,                         IF(  IF( F841 ,  DAYS360(DATE(YEAR(F841),MONTH(F841),1),Mes)/30  ,  DAYS360(DATE(YEAR(E841),MONTH(E841),1),Mes)/30  )  &gt;  0 , IF(F841,   DAYS360(DATE(YEAR(F841),MONTH(F841),1),Mes)/30  ,  DAYS360(DATE(YEAR(E841),MONTH(E841),1),Mes)/30) , 0)       )</f>
        <v>0</v>
      </c>
      <c r="L841" s="150">
        <f t="shared" si="253"/>
        <v>0</v>
      </c>
      <c r="M841" s="151"/>
      <c r="N841" s="152">
        <f>IF( ISERROR(OFFSET(SECUESTRADOS!D$1,MATCH(B841,SECUESTRADOS!A$2:A1405,0),0)) ,0 ,  OFFSET(SECUESTRADOS!D$1,MATCH(B841,SECUESTRADOS!A$2:A1405,0),0)  )</f>
        <v>0</v>
      </c>
      <c r="O841" s="153"/>
      <c r="P841" s="154" t="str">
        <f t="shared" si="238"/>
        <v>Bono canon</v>
      </c>
      <c r="Q841" s="154" t="str">
        <f t="shared" ref="Q841:Q842" si="285">IF(AND(A841=#REF!,B841=#REF!,C841=#REF!),"Repetido","")</f>
        <v>#REF!</v>
      </c>
      <c r="R841" s="130"/>
      <c r="S841" s="130"/>
      <c r="T841" s="130"/>
    </row>
    <row r="842">
      <c r="A842" s="155" t="s">
        <v>40</v>
      </c>
      <c r="B842" s="142" t="s">
        <v>369</v>
      </c>
      <c r="C842" s="143">
        <v>2105.0</v>
      </c>
      <c r="D842" s="144" t="str">
        <f>IF(   ISERROR(OFFSET(PADRON!B$2,MATCH(C:C,PADRON!A$2:A1405,0)-1,0,1,1) )  ,  ,    OFFSET(PADRON!B$2,MATCH(C:C,PADRON!A$2:A1405,0)-1,0,1,1))</f>
        <v>DUCROS, CHRISTIAN</v>
      </c>
      <c r="E842" s="145">
        <v>45717.0</v>
      </c>
      <c r="F842" s="145">
        <v>45870.0</v>
      </c>
      <c r="G842" s="146" t="s">
        <v>39</v>
      </c>
      <c r="H842" s="147">
        <f>IF( ISERROR( OFFSET(   'Cuadro tarifario'!D$2  , MATCH(CONCATENATE(                 IF(F842&gt;Mes,OFFSET(NroCT!B$17, MATCH($F842,NroCT!$A$18:$A1405,0),0,1,1),Periodovigente)                                                                                                                     ,A842) ,'Cuadro tarifario'!A$2:A1405,0) -1 , 0 , 1 , 1) )   , 0  ,   OFFSET(   'Cuadro tarifario'!D$2  , MATCH(CONCATENATE( IF(F842&gt;Mes,OFFSET(NroCT!B$17, MATCH($F842,NroCT!$A$18:$A1405,0),0,1,1),Periodovigente) ,A842) ,'Cuadro tarifario'!A$2:A1405,0) -1 , 0 , 1 , 1))</f>
        <v>12000</v>
      </c>
      <c r="I842" s="148">
        <f t="shared" si="252"/>
        <v>5</v>
      </c>
      <c r="J842" s="147">
        <f t="shared" si="235"/>
        <v>60000</v>
      </c>
      <c r="K842" s="149">
        <f>IF(  AND(N842&gt;0,I842=0)          ,N842 ,                         IF(  IF( F842 ,  DAYS360(DATE(YEAR(F842),MONTH(F842),1),Mes)/30  ,  DAYS360(DATE(YEAR(E842),MONTH(E842),1),Mes)/30  )  &gt;  0 , IF(F842,   DAYS360(DATE(YEAR(F842),MONTH(F842),1),Mes)/30  ,  DAYS360(DATE(YEAR(E842),MONTH(E842),1),Mes)/30) , 0)       )</f>
        <v>0</v>
      </c>
      <c r="L842" s="150">
        <f t="shared" si="253"/>
        <v>0</v>
      </c>
      <c r="M842" s="151"/>
      <c r="N842" s="152">
        <f>IF( ISERROR(OFFSET(SECUESTRADOS!D$1,MATCH(B842,SECUESTRADOS!A$2:A1405,0),0)) ,0 ,  OFFSET(SECUESTRADOS!D$1,MATCH(B842,SECUESTRADOS!A$2:A1405,0),0)  )</f>
        <v>0</v>
      </c>
      <c r="O842" s="153"/>
      <c r="P842" s="154" t="str">
        <f t="shared" si="238"/>
        <v>cuna windsurf</v>
      </c>
      <c r="Q842" s="154" t="str">
        <f t="shared" si="285"/>
        <v>#REF!</v>
      </c>
      <c r="R842" s="130"/>
      <c r="S842" s="130"/>
      <c r="T842" s="130"/>
    </row>
    <row r="843">
      <c r="A843" s="155" t="s">
        <v>71</v>
      </c>
      <c r="B843" s="142">
        <v>2106.0</v>
      </c>
      <c r="C843" s="143">
        <v>2106.0</v>
      </c>
      <c r="D843" s="144" t="str">
        <f>IF(   ISERROR(OFFSET(PADRON!B$2,MATCH(C:C,PADRON!A$2:A1405,0)-1,0,1,1) )  ,  ,    OFFSET(PADRON!B$2,MATCH(C:C,PADRON!A$2:A1405,0)-1,0,1,1))</f>
        <v>BALLBE, MARCELA</v>
      </c>
      <c r="E843" s="145">
        <v>45901.0</v>
      </c>
      <c r="F843" s="145"/>
      <c r="G843" s="146" t="s">
        <v>39</v>
      </c>
      <c r="H843" s="147">
        <f>IF( ISERROR( OFFSET(   'Cuadro tarifario'!D$2  , MATCH(CONCATENATE(                 IF(F843&gt;Mes,OFFSET(NroCT!B$17, MATCH($F843,NroCT!$A$18:$A1405,0),0,1,1),Periodovigente)                                                                                                                     ,A843) ,'Cuadro tarifario'!A$2:A1405,0) -1 , 0 , 1 , 1) )   , 0  ,   OFFSET(   'Cuadro tarifario'!D$2  , MATCH(CONCATENATE( IF(F843&gt;Mes,OFFSET(NroCT!B$17, MATCH($F843,NroCT!$A$18:$A1405,0),0,1,1),Periodovigente) ,A843) ,'Cuadro tarifario'!A$2:A1405,0) -1 , 0 , 1 , 1))</f>
        <v>11000</v>
      </c>
      <c r="I843" s="148">
        <f t="shared" si="252"/>
        <v>0</v>
      </c>
      <c r="J843" s="147">
        <f t="shared" si="235"/>
        <v>0</v>
      </c>
      <c r="K843" s="149">
        <f>IF(  AND(N843&gt;0,I843=0)          ,N843 ,                         IF(  IF( F843 ,  DAYS360(DATE(YEAR(F843),MONTH(F843),1),Mes)/30  ,  DAYS360(DATE(YEAR(E843),MONTH(E843),1),Mes)/30  )  &gt;  0 , IF(F843,   DAYS360(DATE(YEAR(F843),MONTH(F843),1),Mes)/30  ,  DAYS360(DATE(YEAR(E843),MONTH(E843),1),Mes)/30) , 0)       )</f>
        <v>0</v>
      </c>
      <c r="L843" s="150">
        <f t="shared" si="253"/>
        <v>0</v>
      </c>
      <c r="M843" s="156"/>
      <c r="N843" s="152">
        <f>IF( ISERROR(OFFSET(SECUESTRADOS!D$1,MATCH(B843,SECUESTRADOS!A$2:A1405,0),0)) ,0 ,  OFFSET(SECUESTRADOS!D$1,MATCH(B843,SECUESTRADOS!A$2:A1405,0),0)  )</f>
        <v>0</v>
      </c>
      <c r="O843" s="153"/>
      <c r="P843" s="154" t="b">
        <f t="shared" si="238"/>
        <v>0</v>
      </c>
      <c r="Q843" s="154" t="str">
        <f>IF(AND(A843=#REF!,B843=#REF!,C843=#REF!),"Repetido","")</f>
        <v>#REF!</v>
      </c>
      <c r="R843" s="130"/>
      <c r="S843" s="130"/>
      <c r="T843" s="130"/>
    </row>
    <row r="844" ht="15.0" customHeight="1">
      <c r="A844" s="155" t="s">
        <v>38</v>
      </c>
      <c r="B844" s="142">
        <v>2106.0</v>
      </c>
      <c r="C844" s="143">
        <v>2106.0</v>
      </c>
      <c r="D844" s="144" t="str">
        <f>IF(   ISERROR(OFFSET(PADRON!B$2,MATCH(C:C,PADRON!A$2:A1405,0)-1,0,1,1) )  ,  ,    OFFSET(PADRON!B$2,MATCH(C:C,PADRON!A$2:A1405,0)-1,0,1,1))</f>
        <v>BALLBE, MARCELA</v>
      </c>
      <c r="E844" s="145">
        <v>45901.0</v>
      </c>
      <c r="F844" s="145"/>
      <c r="G844" s="146" t="s">
        <v>39</v>
      </c>
      <c r="H844" s="147">
        <f>IF( ISERROR( OFFSET(   'Cuadro tarifario'!D$2  , MATCH(CONCATENATE(                 IF(F844&gt;Mes,OFFSET(NroCT!B$17, MATCH($F844,NroCT!$A$18:$A1405,0),0,1,1),Periodovigente)                                                                                                                     ,A844) ,'Cuadro tarifario'!A$2:A1405,0) -1 , 0 , 1 , 1) )   , 0  ,   OFFSET(   'Cuadro tarifario'!D$2  , MATCH(CONCATENATE( IF(F844&gt;Mes,OFFSET(NroCT!B$17, MATCH($F844,NroCT!$A$18:$A1405,0),0,1,1),Periodovigente) ,A844) ,'Cuadro tarifario'!A$2:A1405,0) -1 , 0 , 1 , 1))</f>
        <v>9000</v>
      </c>
      <c r="I844" s="148">
        <f t="shared" si="252"/>
        <v>0</v>
      </c>
      <c r="J844" s="147">
        <f t="shared" si="235"/>
        <v>0</v>
      </c>
      <c r="K844" s="149">
        <f>IF(  AND(N844&gt;0,I844=0)          ,N844 ,                         IF(  IF( F844 ,  DAYS360(DATE(YEAR(F844),MONTH(F844),1),Mes)/30  ,  DAYS360(DATE(YEAR(E844),MONTH(E844),1),Mes)/30  )  &gt;  0 , IF(F844,   DAYS360(DATE(YEAR(F844),MONTH(F844),1),Mes)/30  ,  DAYS360(DATE(YEAR(E844),MONTH(E844),1),Mes)/30) , 0)       )</f>
        <v>0</v>
      </c>
      <c r="L844" s="150">
        <f t="shared" si="253"/>
        <v>0</v>
      </c>
      <c r="M844" s="151"/>
      <c r="N844" s="152">
        <f>IF( ISERROR(OFFSET(SECUESTRADOS!D$1,MATCH(B844,SECUESTRADOS!A$2:A1405,0),0)) ,0 ,  OFFSET(SECUESTRADOS!D$1,MATCH(B844,SECUESTRADOS!A$2:A1405,0),0)  )</f>
        <v>0</v>
      </c>
      <c r="O844" s="153"/>
      <c r="P844" s="154" t="b">
        <f t="shared" si="238"/>
        <v>0</v>
      </c>
      <c r="Q844" s="154" t="str">
        <f>IF(AND(A844=#REF!,B844=#REF!,C844=#REF!),"Repetido","")</f>
        <v>#REF!</v>
      </c>
      <c r="R844" s="130"/>
      <c r="S844" s="130"/>
      <c r="T844" s="130"/>
    </row>
    <row r="845">
      <c r="A845" s="155" t="s">
        <v>71</v>
      </c>
      <c r="B845" s="142">
        <v>2108.0</v>
      </c>
      <c r="C845" s="143">
        <v>2108.0</v>
      </c>
      <c r="D845" s="144" t="str">
        <f>IF(   ISERROR(OFFSET(PADRON!B$2,MATCH(C:C,PADRON!A$2:A1405,0)-1,0,1,1) )  ,  ,    OFFSET(PADRON!B$2,MATCH(C:C,PADRON!A$2:A1405,0)-1,0,1,1))</f>
        <v>FERNANDEZ, VICTOR</v>
      </c>
      <c r="E845" s="145">
        <v>45839.0</v>
      </c>
      <c r="F845" s="145">
        <v>45870.0</v>
      </c>
      <c r="G845" s="146" t="s">
        <v>39</v>
      </c>
      <c r="H845" s="147">
        <f>IF( ISERROR( OFFSET(   'Cuadro tarifario'!D$2  , MATCH(CONCATENATE(                 IF(F845&gt;Mes,OFFSET(NroCT!B$17, MATCH($F845,NroCT!$A$18:$A1405,0),0,1,1),Periodovigente)                                                                                                                     ,A845) ,'Cuadro tarifario'!A$2:A1405,0) -1 , 0 , 1 , 1) )   , 0  ,   OFFSET(   'Cuadro tarifario'!D$2  , MATCH(CONCATENATE( IF(F845&gt;Mes,OFFSET(NroCT!B$17, MATCH($F845,NroCT!$A$18:$A1405,0),0,1,1),Periodovigente) ,A845) ,'Cuadro tarifario'!A$2:A1405,0) -1 , 0 , 1 , 1))</f>
        <v>11000</v>
      </c>
      <c r="I845" s="148">
        <f t="shared" si="252"/>
        <v>1</v>
      </c>
      <c r="J845" s="147">
        <f t="shared" si="235"/>
        <v>11000</v>
      </c>
      <c r="K845" s="149">
        <f>IF(  AND(N845&gt;0,I845=0)          ,N845 ,                         IF(  IF( F845 ,  DAYS360(DATE(YEAR(F845),MONTH(F845),1),Mes)/30  ,  DAYS360(DATE(YEAR(E845),MONTH(E845),1),Mes)/30  )  &gt;  0 , IF(F845,   DAYS360(DATE(YEAR(F845),MONTH(F845),1),Mes)/30  ,  DAYS360(DATE(YEAR(E845),MONTH(E845),1),Mes)/30) , 0)       )</f>
        <v>0</v>
      </c>
      <c r="L845" s="150">
        <f t="shared" si="253"/>
        <v>0</v>
      </c>
      <c r="M845" s="151"/>
      <c r="N845" s="152">
        <f>IF( ISERROR(OFFSET(SECUESTRADOS!D$1,MATCH(B845,SECUESTRADOS!A$2:A1405,0),0)) ,0 ,  OFFSET(SECUESTRADOS!D$1,MATCH(B845,SECUESTRADOS!A$2:A1405,0),0)  )</f>
        <v>0</v>
      </c>
      <c r="O845" s="153"/>
      <c r="P845" s="154" t="str">
        <f t="shared" si="238"/>
        <v>.socio</v>
      </c>
      <c r="Q845" s="154" t="str">
        <f>IF(AND(A845=#REF!,B845=#REF!,C845=#REF!),"Repetido","")</f>
        <v>#REF!</v>
      </c>
      <c r="R845" s="130"/>
      <c r="S845" s="130"/>
      <c r="T845" s="130"/>
    </row>
    <row r="846" ht="15.75" customHeight="1">
      <c r="A846" s="155" t="s">
        <v>38</v>
      </c>
      <c r="B846" s="142">
        <v>2108.0</v>
      </c>
      <c r="C846" s="143">
        <v>2108.0</v>
      </c>
      <c r="D846" s="144" t="str">
        <f>IF(   ISERROR(OFFSET(PADRON!B$2,MATCH(C:C,PADRON!A$2:A1405,0)-1,0,1,1) )  ,  ,    OFFSET(PADRON!B$2,MATCH(C:C,PADRON!A$2:A1405,0)-1,0,1,1))</f>
        <v>FERNANDEZ, VICTOR</v>
      </c>
      <c r="E846" s="145">
        <v>45839.0</v>
      </c>
      <c r="F846" s="145">
        <v>45870.0</v>
      </c>
      <c r="G846" s="146" t="s">
        <v>39</v>
      </c>
      <c r="H846" s="147">
        <f>IF( ISERROR( OFFSET(   'Cuadro tarifario'!D$2  , MATCH(CONCATENATE(                 IF(F846&gt;Mes,OFFSET(NroCT!B$17, MATCH($F846,NroCT!$A$18:$A1405,0),0,1,1),Periodovigente)                                                                                                                     ,A846) ,'Cuadro tarifario'!A$2:A1405,0) -1 , 0 , 1 , 1) )   , 0  ,   OFFSET(   'Cuadro tarifario'!D$2  , MATCH(CONCATENATE( IF(F846&gt;Mes,OFFSET(NroCT!B$17, MATCH($F846,NroCT!$A$18:$A1405,0),0,1,1),Periodovigente) ,A846) ,'Cuadro tarifario'!A$2:A1405,0) -1 , 0 , 1 , 1))</f>
        <v>9000</v>
      </c>
      <c r="I846" s="148">
        <f t="shared" si="252"/>
        <v>1</v>
      </c>
      <c r="J846" s="147">
        <f t="shared" si="235"/>
        <v>9000</v>
      </c>
      <c r="K846" s="149">
        <f>IF(  AND(N846&gt;0,I846=0)          ,N846 ,                         IF(  IF( F846 ,  DAYS360(DATE(YEAR(F846),MONTH(F846),1),Mes)/30  ,  DAYS360(DATE(YEAR(E846),MONTH(E846),1),Mes)/30  )  &gt;  0 , IF(F846,   DAYS360(DATE(YEAR(F846),MONTH(F846),1),Mes)/30  ,  DAYS360(DATE(YEAR(E846),MONTH(E846),1),Mes)/30) , 0)       )</f>
        <v>0</v>
      </c>
      <c r="L846" s="150">
        <f t="shared" si="253"/>
        <v>0</v>
      </c>
      <c r="M846" s="151"/>
      <c r="N846" s="152">
        <f>IF( ISERROR(OFFSET(SECUESTRADOS!D$1,MATCH(B846,SECUESTRADOS!A$2:A1405,0),0)) ,0 ,  OFFSET(SECUESTRADOS!D$1,MATCH(B846,SECUESTRADOS!A$2:A1405,0),0)  )</f>
        <v>0</v>
      </c>
      <c r="O846" s="153"/>
      <c r="P846" s="154" t="str">
        <f t="shared" si="238"/>
        <v>Bono canon</v>
      </c>
      <c r="Q846" s="154" t="str">
        <f t="shared" ref="Q846:Q849" si="286">IF(AND(A846=#REF!,B846=#REF!,C846=#REF!),"Repetido","")</f>
        <v>#REF!</v>
      </c>
      <c r="R846" s="130"/>
      <c r="S846" s="130"/>
      <c r="T846" s="130"/>
    </row>
    <row r="847" ht="15.75" customHeight="1">
      <c r="A847" s="155" t="s">
        <v>40</v>
      </c>
      <c r="B847" s="142" t="s">
        <v>370</v>
      </c>
      <c r="C847" s="143">
        <v>2108.0</v>
      </c>
      <c r="D847" s="144" t="str">
        <f>IF(   ISERROR(OFFSET(PADRON!B$2,MATCH(C:C,PADRON!A$2:A1405,0)-1,0,1,1) )  ,  ,    OFFSET(PADRON!B$2,MATCH(C:C,PADRON!A$2:A1405,0)-1,0,1,1))</f>
        <v>FERNANDEZ, VICTOR</v>
      </c>
      <c r="E847" s="145">
        <v>45839.0</v>
      </c>
      <c r="F847" s="145">
        <v>45870.0</v>
      </c>
      <c r="G847" s="146" t="s">
        <v>39</v>
      </c>
      <c r="H847" s="147">
        <f>IF( ISERROR( OFFSET(   'Cuadro tarifario'!D$2  , MATCH(CONCATENATE(                 IF(F847&gt;Mes,OFFSET(NroCT!B$17, MATCH($F847,NroCT!$A$18:$A1405,0),0,1,1),Periodovigente)                                                                                                                     ,A847) ,'Cuadro tarifario'!A$2:A1405,0) -1 , 0 , 1 , 1) )   , 0  ,   OFFSET(   'Cuadro tarifario'!D$2  , MATCH(CONCATENATE( IF(F847&gt;Mes,OFFSET(NroCT!B$17, MATCH($F847,NroCT!$A$18:$A1405,0),0,1,1),Periodovigente) ,A847) ,'Cuadro tarifario'!A$2:A1405,0) -1 , 0 , 1 , 1))</f>
        <v>12000</v>
      </c>
      <c r="I847" s="148">
        <f t="shared" si="252"/>
        <v>1</v>
      </c>
      <c r="J847" s="147">
        <f t="shared" si="235"/>
        <v>12000</v>
      </c>
      <c r="K847" s="149">
        <f>IF(  AND(N847&gt;0,I847=0)          ,N847 ,                         IF(  IF( F847 ,  DAYS360(DATE(YEAR(F847),MONTH(F847),1),Mes)/30  ,  DAYS360(DATE(YEAR(E847),MONTH(E847),1),Mes)/30  )  &gt;  0 , IF(F847,   DAYS360(DATE(YEAR(F847),MONTH(F847),1),Mes)/30  ,  DAYS360(DATE(YEAR(E847),MONTH(E847),1),Mes)/30) , 0)       )</f>
        <v>0</v>
      </c>
      <c r="L847" s="150">
        <f t="shared" si="253"/>
        <v>0</v>
      </c>
      <c r="M847" s="151"/>
      <c r="N847" s="152">
        <f>IF( ISERROR(OFFSET(SECUESTRADOS!D$1,MATCH(B847,SECUESTRADOS!A$2:A1405,0),0)) ,0 ,  OFFSET(SECUESTRADOS!D$1,MATCH(B847,SECUESTRADOS!A$2:A1405,0),0)  )</f>
        <v>0</v>
      </c>
      <c r="O847" s="153"/>
      <c r="P847" s="154" t="str">
        <f t="shared" si="238"/>
        <v>cuna windsurf</v>
      </c>
      <c r="Q847" s="154" t="str">
        <f t="shared" si="286"/>
        <v>#REF!</v>
      </c>
      <c r="R847" s="130"/>
      <c r="S847" s="130"/>
      <c r="T847" s="130"/>
    </row>
    <row r="848" ht="15.75" customHeight="1">
      <c r="A848" s="155" t="s">
        <v>40</v>
      </c>
      <c r="B848" s="142" t="s">
        <v>371</v>
      </c>
      <c r="C848" s="143">
        <v>2108.0</v>
      </c>
      <c r="D848" s="144" t="str">
        <f>IF(   ISERROR(OFFSET(PADRON!B$2,MATCH(C:C,PADRON!A$2:A1405,0)-1,0,1,1) )  ,  ,    OFFSET(PADRON!B$2,MATCH(C:C,PADRON!A$2:A1405,0)-1,0,1,1))</f>
        <v>FERNANDEZ, VICTOR</v>
      </c>
      <c r="E848" s="145">
        <v>45839.0</v>
      </c>
      <c r="F848" s="145">
        <v>45870.0</v>
      </c>
      <c r="G848" s="146" t="s">
        <v>39</v>
      </c>
      <c r="H848" s="147">
        <f>IF( ISERROR( OFFSET(   'Cuadro tarifario'!D$2  , MATCH(CONCATENATE(                 IF(F848&gt;Mes,OFFSET(NroCT!B$17, MATCH($F848,NroCT!$A$18:$A1405,0),0,1,1),Periodovigente)                                                                                                                     ,A848) ,'Cuadro tarifario'!A$2:A1405,0) -1 , 0 , 1 , 1) )   , 0  ,   OFFSET(   'Cuadro tarifario'!D$2  , MATCH(CONCATENATE( IF(F848&gt;Mes,OFFSET(NroCT!B$17, MATCH($F848,NroCT!$A$18:$A1405,0),0,1,1),Periodovigente) ,A848) ,'Cuadro tarifario'!A$2:A1405,0) -1 , 0 , 1 , 1))</f>
        <v>12000</v>
      </c>
      <c r="I848" s="148">
        <f t="shared" si="252"/>
        <v>1</v>
      </c>
      <c r="J848" s="147">
        <f t="shared" si="235"/>
        <v>12000</v>
      </c>
      <c r="K848" s="149">
        <f>IF(  AND(N848&gt;0,I848=0)          ,N848 ,                         IF(  IF( F848 ,  DAYS360(DATE(YEAR(F848),MONTH(F848),1),Mes)/30  ,  DAYS360(DATE(YEAR(E848),MONTH(E848),1),Mes)/30  )  &gt;  0 , IF(F848,   DAYS360(DATE(YEAR(F848),MONTH(F848),1),Mes)/30  ,  DAYS360(DATE(YEAR(E848),MONTH(E848),1),Mes)/30) , 0)       )</f>
        <v>0</v>
      </c>
      <c r="L848" s="150">
        <f t="shared" si="253"/>
        <v>0</v>
      </c>
      <c r="M848" s="151"/>
      <c r="N848" s="152">
        <f>IF( ISERROR(OFFSET(SECUESTRADOS!D$1,MATCH(B848,SECUESTRADOS!A$2:A1405,0),0)) ,0 ,  OFFSET(SECUESTRADOS!D$1,MATCH(B848,SECUESTRADOS!A$2:A1405,0),0)  )</f>
        <v>0</v>
      </c>
      <c r="O848" s="153"/>
      <c r="P848" s="154" t="str">
        <f t="shared" si="238"/>
        <v>cuna windsurf</v>
      </c>
      <c r="Q848" s="154" t="str">
        <f t="shared" si="286"/>
        <v>#REF!</v>
      </c>
      <c r="R848" s="130"/>
      <c r="S848" s="130"/>
      <c r="T848" s="130"/>
    </row>
    <row r="849" ht="15.75" customHeight="1">
      <c r="A849" s="155" t="s">
        <v>50</v>
      </c>
      <c r="B849" s="142" t="s">
        <v>372</v>
      </c>
      <c r="C849" s="143">
        <v>2108.0</v>
      </c>
      <c r="D849" s="144" t="str">
        <f>IF(   ISERROR(OFFSET(PADRON!B$2,MATCH(C:C,PADRON!A$2:A1405,0)-1,0,1,1) )  ,  ,    OFFSET(PADRON!B$2,MATCH(C:C,PADRON!A$2:A1405,0)-1,0,1,1))</f>
        <v>FERNANDEZ, VICTOR</v>
      </c>
      <c r="E849" s="145">
        <v>45992.0</v>
      </c>
      <c r="F849" s="145"/>
      <c r="G849" s="146" t="s">
        <v>39</v>
      </c>
      <c r="H849" s="147">
        <f>IF( ISERROR( OFFSET(   'Cuadro tarifario'!D$2  , MATCH(CONCATENATE(                 IF(F849&gt;Mes,OFFSET(NroCT!B$17, MATCH($F849,NroCT!$A$18:$A1405,0),0,1,1),Periodovigente)                                                                                                                     ,A849) ,'Cuadro tarifario'!A$2:A1405,0) -1 , 0 , 1 , 1) )   , 0  ,   OFFSET(   'Cuadro tarifario'!D$2  , MATCH(CONCATENATE( IF(F849&gt;Mes,OFFSET(NroCT!B$17, MATCH($F849,NroCT!$A$18:$A1405,0),0,1,1),Periodovigente) ,A849) ,'Cuadro tarifario'!A$2:A1405,0) -1 , 0 , 1 , 1))</f>
        <v>3600</v>
      </c>
      <c r="I849" s="148">
        <f t="shared" si="252"/>
        <v>0</v>
      </c>
      <c r="J849" s="147">
        <f t="shared" si="235"/>
        <v>0</v>
      </c>
      <c r="K849" s="149">
        <f>IF(  AND(N849&gt;0,I849=0)          ,N849 ,                         IF(  IF( F849 ,  DAYS360(DATE(YEAR(F849),MONTH(F849),1),Mes)/30  ,  DAYS360(DATE(YEAR(E849),MONTH(E849),1),Mes)/30  )  &gt;  0 , IF(F849,   DAYS360(DATE(YEAR(F849),MONTH(F849),1),Mes)/30  ,  DAYS360(DATE(YEAR(E849),MONTH(E849),1),Mes)/30) , 0)       )</f>
        <v>0</v>
      </c>
      <c r="L849" s="150">
        <f t="shared" si="253"/>
        <v>0</v>
      </c>
      <c r="M849" s="151"/>
      <c r="N849" s="152">
        <f>IF( ISERROR(OFFSET(SECUESTRADOS!D$1,MATCH(B849,SECUESTRADOS!A$2:A1405,0),0)) ,0 ,  OFFSET(SECUESTRADOS!D$1,MATCH(B849,SECUESTRADOS!A$2:A1405,0),0)  )</f>
        <v>0</v>
      </c>
      <c r="O849" s="153"/>
      <c r="P849" s="154" t="b">
        <f t="shared" si="238"/>
        <v>0</v>
      </c>
      <c r="Q849" s="154" t="str">
        <f t="shared" si="286"/>
        <v>#REF!</v>
      </c>
      <c r="R849" s="130"/>
      <c r="S849" s="130"/>
      <c r="T849" s="130"/>
    </row>
    <row r="850">
      <c r="A850" s="155" t="s">
        <v>71</v>
      </c>
      <c r="B850" s="142">
        <v>2109.0</v>
      </c>
      <c r="C850" s="143">
        <v>2109.0</v>
      </c>
      <c r="D850" s="144" t="str">
        <f>IF(   ISERROR(OFFSET(PADRON!B$2,MATCH(C:C,PADRON!A$2:A1405,0)-1,0,1,1) )  ,  ,    OFFSET(PADRON!B$2,MATCH(C:C,PADRON!A$2:A1405,0)-1,0,1,1))</f>
        <v>BARLA, MARIA PÌA</v>
      </c>
      <c r="E850" s="145">
        <v>45839.0</v>
      </c>
      <c r="F850" s="145">
        <v>45870.0</v>
      </c>
      <c r="G850" s="146" t="s">
        <v>39</v>
      </c>
      <c r="H850" s="147">
        <f>IF( ISERROR( OFFSET(   'Cuadro tarifario'!D$2  , MATCH(CONCATENATE(                 IF(F850&gt;Mes,OFFSET(NroCT!B$17, MATCH($F850,NroCT!$A$18:$A1405,0),0,1,1),Periodovigente)                                                                                                                     ,A850) ,'Cuadro tarifario'!A$2:A1405,0) -1 , 0 , 1 , 1) )   , 0  ,   OFFSET(   'Cuadro tarifario'!D$2  , MATCH(CONCATENATE( IF(F850&gt;Mes,OFFSET(NroCT!B$17, MATCH($F850,NroCT!$A$18:$A1405,0),0,1,1),Periodovigente) ,A850) ,'Cuadro tarifario'!A$2:A1405,0) -1 , 0 , 1 , 1))</f>
        <v>11000</v>
      </c>
      <c r="I850" s="148">
        <f t="shared" si="252"/>
        <v>1</v>
      </c>
      <c r="J850" s="147">
        <f t="shared" si="235"/>
        <v>11000</v>
      </c>
      <c r="K850" s="149">
        <f>IF(  AND(N850&gt;0,I850=0)          ,N850 ,                         IF(  IF( F850 ,  DAYS360(DATE(YEAR(F850),MONTH(F850),1),Mes)/30  ,  DAYS360(DATE(YEAR(E850),MONTH(E850),1),Mes)/30  )  &gt;  0 , IF(F850,   DAYS360(DATE(YEAR(F850),MONTH(F850),1),Mes)/30  ,  DAYS360(DATE(YEAR(E850),MONTH(E850),1),Mes)/30) , 0)       )</f>
        <v>0</v>
      </c>
      <c r="L850" s="150">
        <f t="shared" si="253"/>
        <v>0</v>
      </c>
      <c r="M850" s="151"/>
      <c r="N850" s="152">
        <f>IF( ISERROR(OFFSET(SECUESTRADOS!D$1,MATCH(B850,SECUESTRADOS!A$2:A1405,0),0)) ,0 ,  OFFSET(SECUESTRADOS!D$1,MATCH(B850,SECUESTRADOS!A$2:A1405,0),0)  )</f>
        <v>0</v>
      </c>
      <c r="O850" s="153"/>
      <c r="P850" s="154" t="str">
        <f t="shared" si="238"/>
        <v>.socio</v>
      </c>
      <c r="Q850" s="154" t="str">
        <f>IF(AND(A850=#REF!,B850=#REF!,C850=#REF!),"Repetido","")</f>
        <v>#REF!</v>
      </c>
      <c r="R850" s="130"/>
      <c r="S850" s="130"/>
      <c r="T850" s="130"/>
    </row>
    <row r="851">
      <c r="A851" s="155" t="s">
        <v>38</v>
      </c>
      <c r="B851" s="142">
        <v>2109.0</v>
      </c>
      <c r="C851" s="143">
        <v>2109.0</v>
      </c>
      <c r="D851" s="144" t="str">
        <f>IF(   ISERROR(OFFSET(PADRON!B$2,MATCH(C:C,PADRON!A$2:A1405,0)-1,0,1,1) )  ,  ,    OFFSET(PADRON!B$2,MATCH(C:C,PADRON!A$2:A1405,0)-1,0,1,1))</f>
        <v>BARLA, MARIA PÌA</v>
      </c>
      <c r="E851" s="145">
        <v>45839.0</v>
      </c>
      <c r="F851" s="145">
        <v>45870.0</v>
      </c>
      <c r="G851" s="146" t="s">
        <v>39</v>
      </c>
      <c r="H851" s="147">
        <f>IF( ISERROR( OFFSET(   'Cuadro tarifario'!D$2  , MATCH(CONCATENATE(                 IF(F851&gt;Mes,OFFSET(NroCT!B$17, MATCH($F851,NroCT!$A$18:$A1405,0),0,1,1),Periodovigente)                                                                                                                     ,A851) ,'Cuadro tarifario'!A$2:A1405,0) -1 , 0 , 1 , 1) )   , 0  ,   OFFSET(   'Cuadro tarifario'!D$2  , MATCH(CONCATENATE( IF(F851&gt;Mes,OFFSET(NroCT!B$17, MATCH($F851,NroCT!$A$18:$A1405,0),0,1,1),Periodovigente) ,A851) ,'Cuadro tarifario'!A$2:A1405,0) -1 , 0 , 1 , 1))</f>
        <v>9000</v>
      </c>
      <c r="I851" s="148">
        <f t="shared" si="252"/>
        <v>1</v>
      </c>
      <c r="J851" s="147">
        <f t="shared" si="235"/>
        <v>9000</v>
      </c>
      <c r="K851" s="149">
        <f>IF(  AND(N851&gt;0,I851=0)          ,N851 ,                         IF(  IF( F851 ,  DAYS360(DATE(YEAR(F851),MONTH(F851),1),Mes)/30  ,  DAYS360(DATE(YEAR(E851),MONTH(E851),1),Mes)/30  )  &gt;  0 , IF(F851,   DAYS360(DATE(YEAR(F851),MONTH(F851),1),Mes)/30  ,  DAYS360(DATE(YEAR(E851),MONTH(E851),1),Mes)/30) , 0)       )</f>
        <v>0</v>
      </c>
      <c r="L851" s="150">
        <f t="shared" si="253"/>
        <v>0</v>
      </c>
      <c r="M851" s="151"/>
      <c r="N851" s="152">
        <f>IF( ISERROR(OFFSET(SECUESTRADOS!D$1,MATCH(B851,SECUESTRADOS!A$2:A1405,0),0)) ,0 ,  OFFSET(SECUESTRADOS!D$1,MATCH(B851,SECUESTRADOS!A$2:A1405,0),0)  )</f>
        <v>0</v>
      </c>
      <c r="O851" s="153"/>
      <c r="P851" s="154" t="str">
        <f t="shared" si="238"/>
        <v>Bono canon</v>
      </c>
      <c r="Q851" s="154" t="str">
        <f t="shared" ref="Q851:Q852" si="287">IF(AND(A851=#REF!,B851=#REF!,C851=#REF!),"Repetido","")</f>
        <v>#REF!</v>
      </c>
      <c r="R851" s="130"/>
      <c r="S851" s="130"/>
      <c r="T851" s="130"/>
    </row>
    <row r="852">
      <c r="A852" s="155" t="s">
        <v>40</v>
      </c>
      <c r="B852" s="142" t="s">
        <v>373</v>
      </c>
      <c r="C852" s="143">
        <v>2109.0</v>
      </c>
      <c r="D852" s="144" t="str">
        <f>IF(   ISERROR(OFFSET(PADRON!B$2,MATCH(C:C,PADRON!A$2:A1405,0)-1,0,1,1) )  ,  ,    OFFSET(PADRON!B$2,MATCH(C:C,PADRON!A$2:A1405,0)-1,0,1,1))</f>
        <v>BARLA, MARIA PÌA</v>
      </c>
      <c r="E852" s="145">
        <v>45839.0</v>
      </c>
      <c r="F852" s="145">
        <v>45870.0</v>
      </c>
      <c r="G852" s="146" t="s">
        <v>39</v>
      </c>
      <c r="H852" s="147">
        <f>IF( ISERROR( OFFSET(   'Cuadro tarifario'!D$2  , MATCH(CONCATENATE(                 IF(F852&gt;Mes,OFFSET(NroCT!B$17, MATCH($F852,NroCT!$A$18:$A1405,0),0,1,1),Periodovigente)                                                                                                                     ,A852) ,'Cuadro tarifario'!A$2:A1405,0) -1 , 0 , 1 , 1) )   , 0  ,   OFFSET(   'Cuadro tarifario'!D$2  , MATCH(CONCATENATE( IF(F852&gt;Mes,OFFSET(NroCT!B$17, MATCH($F852,NroCT!$A$18:$A1405,0),0,1,1),Periodovigente) ,A852) ,'Cuadro tarifario'!A$2:A1405,0) -1 , 0 , 1 , 1))</f>
        <v>12000</v>
      </c>
      <c r="I852" s="148">
        <f t="shared" si="252"/>
        <v>1</v>
      </c>
      <c r="J852" s="147">
        <f t="shared" si="235"/>
        <v>12000</v>
      </c>
      <c r="K852" s="149">
        <f>IF(  AND(N852&gt;0,I852=0)          ,N852 ,                         IF(  IF( F852 ,  DAYS360(DATE(YEAR(F852),MONTH(F852),1),Mes)/30  ,  DAYS360(DATE(YEAR(E852),MONTH(E852),1),Mes)/30  )  &gt;  0 , IF(F852,   DAYS360(DATE(YEAR(F852),MONTH(F852),1),Mes)/30  ,  DAYS360(DATE(YEAR(E852),MONTH(E852),1),Mes)/30) , 0)       )</f>
        <v>0</v>
      </c>
      <c r="L852" s="150">
        <f t="shared" si="253"/>
        <v>0</v>
      </c>
      <c r="M852" s="151"/>
      <c r="N852" s="152">
        <f>IF( ISERROR(OFFSET(SECUESTRADOS!D$1,MATCH(B852,SECUESTRADOS!A$2:A1405,0),0)) ,0 ,  OFFSET(SECUESTRADOS!D$1,MATCH(B852,SECUESTRADOS!A$2:A1405,0),0)  )</f>
        <v>0</v>
      </c>
      <c r="O852" s="153"/>
      <c r="P852" s="154" t="str">
        <f t="shared" si="238"/>
        <v>cuna windsurf</v>
      </c>
      <c r="Q852" s="154" t="str">
        <f t="shared" si="287"/>
        <v>#REF!</v>
      </c>
      <c r="R852" s="130"/>
      <c r="S852" s="130"/>
      <c r="T852" s="130"/>
    </row>
    <row r="853">
      <c r="A853" s="155" t="s">
        <v>71</v>
      </c>
      <c r="B853" s="142">
        <v>2110.0</v>
      </c>
      <c r="C853" s="143">
        <v>2110.0</v>
      </c>
      <c r="D853" s="144" t="str">
        <f>IF(   ISERROR(OFFSET(PADRON!B$2,MATCH(C:C,PADRON!A$2:A1405,0)-1,0,1,1) )  ,  ,    OFFSET(PADRON!B$2,MATCH(C:C,PADRON!A$2:A1405,0)-1,0,1,1))</f>
        <v>ROLDAN, EMILIO</v>
      </c>
      <c r="E853" s="145">
        <v>45839.0</v>
      </c>
      <c r="F853" s="145">
        <v>45870.0</v>
      </c>
      <c r="G853" s="146" t="s">
        <v>39</v>
      </c>
      <c r="H853" s="147">
        <f>IF( ISERROR( OFFSET(   'Cuadro tarifario'!D$2  , MATCH(CONCATENATE(                 IF(F853&gt;Mes,OFFSET(NroCT!B$17, MATCH($F853,NroCT!$A$18:$A1405,0),0,1,1),Periodovigente)                                                                                                                     ,A853) ,'Cuadro tarifario'!A$2:A1405,0) -1 , 0 , 1 , 1) )   , 0  ,   OFFSET(   'Cuadro tarifario'!D$2  , MATCH(CONCATENATE( IF(F853&gt;Mes,OFFSET(NroCT!B$17, MATCH($F853,NroCT!$A$18:$A1405,0),0,1,1),Periodovigente) ,A853) ,'Cuadro tarifario'!A$2:A1405,0) -1 , 0 , 1 , 1))</f>
        <v>11000</v>
      </c>
      <c r="I853" s="148">
        <f t="shared" si="252"/>
        <v>1</v>
      </c>
      <c r="J853" s="147">
        <f t="shared" si="235"/>
        <v>11000</v>
      </c>
      <c r="K853" s="149">
        <f>IF(  AND(N853&gt;0,I853=0)          ,N853 ,                         IF(  IF( F853 ,  DAYS360(DATE(YEAR(F853),MONTH(F853),1),Mes)/30  ,  DAYS360(DATE(YEAR(E853),MONTH(E853),1),Mes)/30  )  &gt;  0 , IF(F853,   DAYS360(DATE(YEAR(F853),MONTH(F853),1),Mes)/30  ,  DAYS360(DATE(YEAR(E853),MONTH(E853),1),Mes)/30) , 0)       )</f>
        <v>0</v>
      </c>
      <c r="L853" s="150">
        <f t="shared" si="253"/>
        <v>0</v>
      </c>
      <c r="M853" s="151"/>
      <c r="N853" s="152">
        <f>IF( ISERROR(OFFSET(SECUESTRADOS!D$1,MATCH(B853,SECUESTRADOS!A$2:A1405,0),0)) ,0 ,  OFFSET(SECUESTRADOS!D$1,MATCH(B853,SECUESTRADOS!A$2:A1405,0),0)  )</f>
        <v>0</v>
      </c>
      <c r="O853" s="153"/>
      <c r="P853" s="154" t="str">
        <f t="shared" si="238"/>
        <v>.socio</v>
      </c>
      <c r="Q853" s="154" t="str">
        <f>IF(AND(A853=#REF!,B853=#REF!,C853=#REF!),"Repetido","")</f>
        <v>#REF!</v>
      </c>
      <c r="R853" s="130"/>
      <c r="S853" s="130"/>
      <c r="T853" s="130"/>
    </row>
    <row r="854">
      <c r="A854" s="155" t="s">
        <v>38</v>
      </c>
      <c r="B854" s="142">
        <v>2110.0</v>
      </c>
      <c r="C854" s="143">
        <v>2110.0</v>
      </c>
      <c r="D854" s="144" t="str">
        <f>IF(   ISERROR(OFFSET(PADRON!B$2,MATCH(C:C,PADRON!A$2:A1405,0)-1,0,1,1) )  ,  ,    OFFSET(PADRON!B$2,MATCH(C:C,PADRON!A$2:A1405,0)-1,0,1,1))</f>
        <v>ROLDAN, EMILIO</v>
      </c>
      <c r="E854" s="145">
        <v>45839.0</v>
      </c>
      <c r="F854" s="145">
        <v>45870.0</v>
      </c>
      <c r="G854" s="146" t="s">
        <v>39</v>
      </c>
      <c r="H854" s="147">
        <f>IF( ISERROR( OFFSET(   'Cuadro tarifario'!D$2  , MATCH(CONCATENATE(                 IF(F854&gt;Mes,OFFSET(NroCT!B$17, MATCH($F854,NroCT!$A$18:$A1405,0),0,1,1),Periodovigente)                                                                                                                     ,A854) ,'Cuadro tarifario'!A$2:A1405,0) -1 , 0 , 1 , 1) )   , 0  ,   OFFSET(   'Cuadro tarifario'!D$2  , MATCH(CONCATENATE( IF(F854&gt;Mes,OFFSET(NroCT!B$17, MATCH($F854,NroCT!$A$18:$A1405,0),0,1,1),Periodovigente) ,A854) ,'Cuadro tarifario'!A$2:A1405,0) -1 , 0 , 1 , 1))</f>
        <v>9000</v>
      </c>
      <c r="I854" s="148">
        <f t="shared" si="252"/>
        <v>1</v>
      </c>
      <c r="J854" s="147">
        <f t="shared" si="235"/>
        <v>9000</v>
      </c>
      <c r="K854" s="149">
        <f>IF(  AND(N854&gt;0,I854=0)          ,N854 ,                         IF(  IF( F854 ,  DAYS360(DATE(YEAR(F854),MONTH(F854),1),Mes)/30  ,  DAYS360(DATE(YEAR(E854),MONTH(E854),1),Mes)/30  )  &gt;  0 , IF(F854,   DAYS360(DATE(YEAR(F854),MONTH(F854),1),Mes)/30  ,  DAYS360(DATE(YEAR(E854),MONTH(E854),1),Mes)/30) , 0)       )</f>
        <v>0</v>
      </c>
      <c r="L854" s="150">
        <f t="shared" si="253"/>
        <v>0</v>
      </c>
      <c r="M854" s="151"/>
      <c r="N854" s="152">
        <f>IF( ISERROR(OFFSET(SECUESTRADOS!D$1,MATCH(B854,SECUESTRADOS!A$2:A1405,0),0)) ,0 ,  OFFSET(SECUESTRADOS!D$1,MATCH(B854,SECUESTRADOS!A$2:A1405,0),0)  )</f>
        <v>0</v>
      </c>
      <c r="O854" s="153"/>
      <c r="P854" s="154" t="str">
        <f t="shared" si="238"/>
        <v>Bono canon</v>
      </c>
      <c r="Q854" s="154" t="str">
        <f t="shared" ref="Q854:Q855" si="288">IF(AND(A854=#REF!,B854=#REF!,C854=#REF!),"Repetido","")</f>
        <v>#REF!</v>
      </c>
      <c r="R854" s="130"/>
      <c r="S854" s="130"/>
      <c r="T854" s="130"/>
    </row>
    <row r="855" ht="18.0" customHeight="1">
      <c r="A855" s="155" t="s">
        <v>71</v>
      </c>
      <c r="B855" s="142">
        <v>2111.0</v>
      </c>
      <c r="C855" s="143">
        <v>2111.0</v>
      </c>
      <c r="D855" s="144" t="str">
        <f>IF(   ISERROR(OFFSET(PADRON!B$2,MATCH(C:C,PADRON!A$2:A1405,0)-1,0,1,1) )  ,  ,    OFFSET(PADRON!B$2,MATCH(C:C,PADRON!A$2:A1405,0)-1,0,1,1))</f>
        <v>RAMACCIOTTI, NORBERTO</v>
      </c>
      <c r="E855" s="145">
        <v>45839.0</v>
      </c>
      <c r="F855" s="145">
        <v>45870.0</v>
      </c>
      <c r="G855" s="146" t="s">
        <v>39</v>
      </c>
      <c r="H855" s="147">
        <f>IF( ISERROR( OFFSET(   'Cuadro tarifario'!D$2  , MATCH(CONCATENATE(                 IF(F855&gt;Mes,OFFSET(NroCT!B$17, MATCH($F855,NroCT!$A$18:$A1405,0),0,1,1),Periodovigente)                                                                                                                     ,A855) ,'Cuadro tarifario'!A$2:A1405,0) -1 , 0 , 1 , 1) )   , 0  ,   OFFSET(   'Cuadro tarifario'!D$2  , MATCH(CONCATENATE( IF(F855&gt;Mes,OFFSET(NroCT!B$17, MATCH($F855,NroCT!$A$18:$A1405,0),0,1,1),Periodovigente) ,A855) ,'Cuadro tarifario'!A$2:A1405,0) -1 , 0 , 1 , 1))</f>
        <v>11000</v>
      </c>
      <c r="I855" s="148">
        <f t="shared" si="252"/>
        <v>1</v>
      </c>
      <c r="J855" s="147">
        <f t="shared" si="235"/>
        <v>11000</v>
      </c>
      <c r="K855" s="149">
        <f>IF(  AND(N855&gt;0,I855=0)          ,N855 ,                         IF(  IF( F855 ,  DAYS360(DATE(YEAR(F855),MONTH(F855),1),Mes)/30  ,  DAYS360(DATE(YEAR(E855),MONTH(E855),1),Mes)/30  )  &gt;  0 , IF(F855,   DAYS360(DATE(YEAR(F855),MONTH(F855),1),Mes)/30  ,  DAYS360(DATE(YEAR(E855),MONTH(E855),1),Mes)/30) , 0)       )</f>
        <v>0</v>
      </c>
      <c r="L855" s="150">
        <f t="shared" si="253"/>
        <v>0</v>
      </c>
      <c r="M855" s="151"/>
      <c r="N855" s="152">
        <f>IF( ISERROR(OFFSET(SECUESTRADOS!D$1,MATCH(B855,SECUESTRADOS!A$2:A1405,0),0)) ,0 ,  OFFSET(SECUESTRADOS!D$1,MATCH(B855,SECUESTRADOS!A$2:A1405,0),0)  )</f>
        <v>0</v>
      </c>
      <c r="O855" s="153"/>
      <c r="P855" s="154" t="str">
        <f t="shared" si="238"/>
        <v>.socio</v>
      </c>
      <c r="Q855" s="154" t="str">
        <f t="shared" si="288"/>
        <v>#REF!</v>
      </c>
      <c r="R855" s="130"/>
      <c r="S855" s="130"/>
      <c r="T855" s="130"/>
    </row>
    <row r="856">
      <c r="A856" s="155" t="s">
        <v>38</v>
      </c>
      <c r="B856" s="142">
        <v>2111.0</v>
      </c>
      <c r="C856" s="143">
        <v>2111.0</v>
      </c>
      <c r="D856" s="144" t="str">
        <f>IF(   ISERROR(OFFSET(PADRON!B$2,MATCH(C:C,PADRON!A$2:A1405,0)-1,0,1,1) )  ,  ,    OFFSET(PADRON!B$2,MATCH(C:C,PADRON!A$2:A1405,0)-1,0,1,1))</f>
        <v>RAMACCIOTTI, NORBERTO</v>
      </c>
      <c r="E856" s="145">
        <v>45839.0</v>
      </c>
      <c r="F856" s="145">
        <v>45870.0</v>
      </c>
      <c r="G856" s="146" t="s">
        <v>39</v>
      </c>
      <c r="H856" s="147">
        <f>IF( ISERROR( OFFSET(   'Cuadro tarifario'!D$2  , MATCH(CONCATENATE(                 IF(F856&gt;Mes,OFFSET(NroCT!B$17, MATCH($F856,NroCT!$A$18:$A1405,0),0,1,1),Periodovigente)                                                                                                                     ,A856) ,'Cuadro tarifario'!A$2:A1405,0) -1 , 0 , 1 , 1) )   , 0  ,   OFFSET(   'Cuadro tarifario'!D$2  , MATCH(CONCATENATE( IF(F856&gt;Mes,OFFSET(NroCT!B$17, MATCH($F856,NroCT!$A$18:$A1405,0),0,1,1),Periodovigente) ,A856) ,'Cuadro tarifario'!A$2:A1405,0) -1 , 0 , 1 , 1))</f>
        <v>9000</v>
      </c>
      <c r="I856" s="148">
        <f t="shared" si="252"/>
        <v>1</v>
      </c>
      <c r="J856" s="147">
        <f t="shared" si="235"/>
        <v>9000</v>
      </c>
      <c r="K856" s="149">
        <f>IF(  AND(N856&gt;0,I856=0)          ,N856 ,                         IF(  IF( F856 ,  DAYS360(DATE(YEAR(F856),MONTH(F856),1),Mes)/30  ,  DAYS360(DATE(YEAR(E856),MONTH(E856),1),Mes)/30  )  &gt;  0 , IF(F856,   DAYS360(DATE(YEAR(F856),MONTH(F856),1),Mes)/30  ,  DAYS360(DATE(YEAR(E856),MONTH(E856),1),Mes)/30) , 0)       )</f>
        <v>0</v>
      </c>
      <c r="L856" s="150">
        <f t="shared" si="253"/>
        <v>0</v>
      </c>
      <c r="M856" s="151"/>
      <c r="N856" s="152">
        <f>IF( ISERROR(OFFSET(SECUESTRADOS!D$1,MATCH(B856,SECUESTRADOS!A$2:A1405,0),0)) ,0 ,  OFFSET(SECUESTRADOS!D$1,MATCH(B856,SECUESTRADOS!A$2:A1405,0),0)  )</f>
        <v>0</v>
      </c>
      <c r="O856" s="153"/>
      <c r="P856" s="154" t="str">
        <f t="shared" si="238"/>
        <v>Bono canon</v>
      </c>
      <c r="Q856" s="154" t="str">
        <f>IF(AND(A856=#REF!,B856=#REF!,C856=#REF!),"Repetido","")</f>
        <v>#REF!</v>
      </c>
      <c r="R856" s="130"/>
      <c r="S856" s="130"/>
      <c r="T856" s="130"/>
    </row>
    <row r="857">
      <c r="A857" s="155" t="s">
        <v>48</v>
      </c>
      <c r="B857" s="142" t="s">
        <v>374</v>
      </c>
      <c r="C857" s="143">
        <v>2111.0</v>
      </c>
      <c r="D857" s="144" t="str">
        <f>IF(   ISERROR(OFFSET(PADRON!B$2,MATCH(C:C,PADRON!A$2:A1405,0)-1,0,1,1) )  ,  ,    OFFSET(PADRON!B$2,MATCH(C:C,PADRON!A$2:A1405,0)-1,0,1,1))</f>
        <v>RAMACCIOTTI, NORBERTO</v>
      </c>
      <c r="E857" s="145">
        <v>45839.0</v>
      </c>
      <c r="F857" s="145">
        <v>45870.0</v>
      </c>
      <c r="G857" s="146" t="s">
        <v>39</v>
      </c>
      <c r="H857" s="147">
        <f>IF( ISERROR( OFFSET(   'Cuadro tarifario'!D$2  , MATCH(CONCATENATE(                 IF(F857&gt;Mes,OFFSET(NroCT!B$17, MATCH($F857,NroCT!$A$18:$A1405,0),0,1,1),Periodovigente)                                                                                                                     ,A857) ,'Cuadro tarifario'!A$2:A1405,0) -1 , 0 , 1 , 1) )   , 0  ,   OFFSET(   'Cuadro tarifario'!D$2  , MATCH(CONCATENATE( IF(F857&gt;Mes,OFFSET(NroCT!B$17, MATCH($F857,NroCT!$A$18:$A1405,0),0,1,1),Periodovigente) ,A857) ,'Cuadro tarifario'!A$2:A1405,0) -1 , 0 , 1 , 1))</f>
        <v>12000</v>
      </c>
      <c r="I857" s="148">
        <f t="shared" si="252"/>
        <v>1</v>
      </c>
      <c r="J857" s="147">
        <f t="shared" si="235"/>
        <v>12000</v>
      </c>
      <c r="K857" s="149">
        <f>IF(  AND(N857&gt;0,I857=0)          ,N857 ,                         IF(  IF( F857 ,  DAYS360(DATE(YEAR(F857),MONTH(F857),1),Mes)/30  ,  DAYS360(DATE(YEAR(E857),MONTH(E857),1),Mes)/30  )  &gt;  0 , IF(F857,   DAYS360(DATE(YEAR(F857),MONTH(F857),1),Mes)/30  ,  DAYS360(DATE(YEAR(E857),MONTH(E857),1),Mes)/30) , 0)       )</f>
        <v>0</v>
      </c>
      <c r="L857" s="150">
        <f t="shared" si="253"/>
        <v>0</v>
      </c>
      <c r="M857" s="151"/>
      <c r="N857" s="152">
        <f>IF( ISERROR(OFFSET(SECUESTRADOS!D$1,MATCH(B857,SECUESTRADOS!A$2:A1405,0),0)) ,0 ,  OFFSET(SECUESTRADOS!D$1,MATCH(B857,SECUESTRADOS!A$2:A1405,0),0)  )</f>
        <v>0</v>
      </c>
      <c r="O857" s="153"/>
      <c r="P857" s="154" t="str">
        <f t="shared" si="238"/>
        <v>velero</v>
      </c>
      <c r="Q857" s="154" t="str">
        <f t="shared" ref="Q857:Q858" si="289">IF(AND(A857=#REF!,B857=#REF!,C857=#REF!),"Repetido","")</f>
        <v>#REF!</v>
      </c>
      <c r="R857" s="130"/>
      <c r="S857" s="130"/>
      <c r="T857" s="130"/>
    </row>
    <row r="858">
      <c r="A858" s="155" t="s">
        <v>48</v>
      </c>
      <c r="B858" s="142" t="s">
        <v>375</v>
      </c>
      <c r="C858" s="143">
        <v>2111.0</v>
      </c>
      <c r="D858" s="144" t="str">
        <f>IF(   ISERROR(OFFSET(PADRON!B$2,MATCH(C:C,PADRON!A$2:A1405,0)-1,0,1,1) )  ,  ,    OFFSET(PADRON!B$2,MATCH(C:C,PADRON!A$2:A1405,0)-1,0,1,1))</f>
        <v>RAMACCIOTTI, NORBERTO</v>
      </c>
      <c r="E858" s="145">
        <v>45839.0</v>
      </c>
      <c r="F858" s="145">
        <v>45870.0</v>
      </c>
      <c r="G858" s="146" t="s">
        <v>39</v>
      </c>
      <c r="H858" s="147">
        <f>IF( ISERROR( OFFSET(   'Cuadro tarifario'!D$2  , MATCH(CONCATENATE(                 IF(F858&gt;Mes,OFFSET(NroCT!B$17, MATCH($F858,NroCT!$A$18:$A1405,0),0,1,1),Periodovigente)                                                                                                                     ,A858) ,'Cuadro tarifario'!A$2:A1405,0) -1 , 0 , 1 , 1) )   , 0  ,   OFFSET(   'Cuadro tarifario'!D$2  , MATCH(CONCATENATE( IF(F858&gt;Mes,OFFSET(NroCT!B$17, MATCH($F858,NroCT!$A$18:$A1405,0),0,1,1),Periodovigente) ,A858) ,'Cuadro tarifario'!A$2:A1405,0) -1 , 0 , 1 , 1))</f>
        <v>12000</v>
      </c>
      <c r="I858" s="148">
        <f t="shared" si="252"/>
        <v>1</v>
      </c>
      <c r="J858" s="147">
        <f t="shared" si="235"/>
        <v>12000</v>
      </c>
      <c r="K858" s="149">
        <f>IF(  AND(N858&gt;0,I858=0)          ,N858 ,                         IF(  IF( F858 ,  DAYS360(DATE(YEAR(F858),MONTH(F858),1),Mes)/30  ,  DAYS360(DATE(YEAR(E858),MONTH(E858),1),Mes)/30  )  &gt;  0 , IF(F858,   DAYS360(DATE(YEAR(F858),MONTH(F858),1),Mes)/30  ,  DAYS360(DATE(YEAR(E858),MONTH(E858),1),Mes)/30) , 0)       )</f>
        <v>0</v>
      </c>
      <c r="L858" s="150">
        <f t="shared" si="253"/>
        <v>0</v>
      </c>
      <c r="M858" s="151"/>
      <c r="N858" s="152">
        <f>IF( ISERROR(OFFSET(SECUESTRADOS!D$1,MATCH(B858,SECUESTRADOS!A$2:A1405,0),0)) ,0 ,  OFFSET(SECUESTRADOS!D$1,MATCH(B858,SECUESTRADOS!A$2:A1405,0),0)  )</f>
        <v>0</v>
      </c>
      <c r="O858" s="153"/>
      <c r="P858" s="154" t="str">
        <f t="shared" si="238"/>
        <v>velero</v>
      </c>
      <c r="Q858" s="154" t="str">
        <f t="shared" si="289"/>
        <v>#REF!</v>
      </c>
      <c r="R858" s="130"/>
      <c r="S858" s="130"/>
      <c r="T858" s="130"/>
    </row>
    <row r="859">
      <c r="A859" s="155" t="s">
        <v>71</v>
      </c>
      <c r="B859" s="142">
        <v>2112.0</v>
      </c>
      <c r="C859" s="143">
        <v>2112.0</v>
      </c>
      <c r="D859" s="144" t="str">
        <f>IF(   ISERROR(OFFSET(PADRON!B$2,MATCH(C:C,PADRON!A$2:A1405,0)-1,0,1,1) )  ,  ,    OFFSET(PADRON!B$2,MATCH(C:C,PADRON!A$2:A1405,0)-1,0,1,1))</f>
        <v>RICCIO, CECILIA</v>
      </c>
      <c r="E859" s="145">
        <v>45839.0</v>
      </c>
      <c r="F859" s="145">
        <v>45870.0</v>
      </c>
      <c r="G859" s="146" t="s">
        <v>39</v>
      </c>
      <c r="H859" s="147">
        <f>IF( ISERROR( OFFSET(   'Cuadro tarifario'!D$2  , MATCH(CONCATENATE(                 IF(F859&gt;Mes,OFFSET(NroCT!B$17, MATCH($F859,NroCT!$A$18:$A1405,0),0,1,1),Periodovigente)                                                                                                                     ,A859) ,'Cuadro tarifario'!A$2:A1405,0) -1 , 0 , 1 , 1) )   , 0  ,   OFFSET(   'Cuadro tarifario'!D$2  , MATCH(CONCATENATE( IF(F859&gt;Mes,OFFSET(NroCT!B$17, MATCH($F859,NroCT!$A$18:$A1405,0),0,1,1),Periodovigente) ,A859) ,'Cuadro tarifario'!A$2:A1405,0) -1 , 0 , 1 , 1))</f>
        <v>11000</v>
      </c>
      <c r="I859" s="148">
        <f t="shared" si="252"/>
        <v>1</v>
      </c>
      <c r="J859" s="147">
        <f t="shared" si="235"/>
        <v>11000</v>
      </c>
      <c r="K859" s="149">
        <f>IF(  AND(N859&gt;0,I859=0)          ,N859 ,                         IF(  IF( F859 ,  DAYS360(DATE(YEAR(F859),MONTH(F859),1),Mes)/30  ,  DAYS360(DATE(YEAR(E859),MONTH(E859),1),Mes)/30  )  &gt;  0 , IF(F859,   DAYS360(DATE(YEAR(F859),MONTH(F859),1),Mes)/30  ,  DAYS360(DATE(YEAR(E859),MONTH(E859),1),Mes)/30) , 0)       )</f>
        <v>0</v>
      </c>
      <c r="L859" s="150">
        <f t="shared" si="253"/>
        <v>0</v>
      </c>
      <c r="M859" s="151"/>
      <c r="N859" s="152">
        <f>IF( ISERROR(OFFSET(SECUESTRADOS!D$1,MATCH(B859,SECUESTRADOS!A$2:A1405,0),0)) ,0 ,  OFFSET(SECUESTRADOS!D$1,MATCH(B859,SECUESTRADOS!A$2:A1405,0),0)  )</f>
        <v>0</v>
      </c>
      <c r="O859" s="153"/>
      <c r="P859" s="154" t="str">
        <f t="shared" si="238"/>
        <v>.socio</v>
      </c>
      <c r="Q859" s="154" t="str">
        <f>IF(AND(A859=#REF!,B859=#REF!,C859=#REF!),"Repetido","")</f>
        <v>#REF!</v>
      </c>
      <c r="R859" s="130"/>
      <c r="S859" s="130"/>
      <c r="T859" s="130"/>
    </row>
    <row r="860">
      <c r="A860" s="155" t="s">
        <v>38</v>
      </c>
      <c r="B860" s="142">
        <v>2112.0</v>
      </c>
      <c r="C860" s="143">
        <v>2112.0</v>
      </c>
      <c r="D860" s="144" t="str">
        <f>IF(   ISERROR(OFFSET(PADRON!B$2,MATCH(C:C,PADRON!A$2:A1405,0)-1,0,1,1) )  ,  ,    OFFSET(PADRON!B$2,MATCH(C:C,PADRON!A$2:A1405,0)-1,0,1,1))</f>
        <v>RICCIO, CECILIA</v>
      </c>
      <c r="E860" s="145">
        <v>45839.0</v>
      </c>
      <c r="F860" s="145">
        <v>45870.0</v>
      </c>
      <c r="G860" s="146" t="s">
        <v>39</v>
      </c>
      <c r="H860" s="147">
        <f>IF( ISERROR( OFFSET(   'Cuadro tarifario'!D$2  , MATCH(CONCATENATE(                 IF(F860&gt;Mes,OFFSET(NroCT!B$17, MATCH($F860,NroCT!$A$18:$A1405,0),0,1,1),Periodovigente)                                                                                                                     ,A860) ,'Cuadro tarifario'!A$2:A1405,0) -1 , 0 , 1 , 1) )   , 0  ,   OFFSET(   'Cuadro tarifario'!D$2  , MATCH(CONCATENATE( IF(F860&gt;Mes,OFFSET(NroCT!B$17, MATCH($F860,NroCT!$A$18:$A1405,0),0,1,1),Periodovigente) ,A860) ,'Cuadro tarifario'!A$2:A1405,0) -1 , 0 , 1 , 1))</f>
        <v>9000</v>
      </c>
      <c r="I860" s="148">
        <f t="shared" si="252"/>
        <v>1</v>
      </c>
      <c r="J860" s="147">
        <f t="shared" si="235"/>
        <v>9000</v>
      </c>
      <c r="K860" s="149">
        <f>IF(  AND(N860&gt;0,I860=0)          ,N860 ,                         IF(  IF( F860 ,  DAYS360(DATE(YEAR(F860),MONTH(F860),1),Mes)/30  ,  DAYS360(DATE(YEAR(E860),MONTH(E860),1),Mes)/30  )  &gt;  0 , IF(F860,   DAYS360(DATE(YEAR(F860),MONTH(F860),1),Mes)/30  ,  DAYS360(DATE(YEAR(E860),MONTH(E860),1),Mes)/30) , 0)       )</f>
        <v>0</v>
      </c>
      <c r="L860" s="150">
        <f t="shared" si="253"/>
        <v>0</v>
      </c>
      <c r="M860" s="151"/>
      <c r="N860" s="152">
        <f>IF( ISERROR(OFFSET(SECUESTRADOS!D$1,MATCH(B860,SECUESTRADOS!A$2:A1405,0),0)) ,0 ,  OFFSET(SECUESTRADOS!D$1,MATCH(B860,SECUESTRADOS!A$2:A1405,0),0)  )</f>
        <v>0</v>
      </c>
      <c r="O860" s="153"/>
      <c r="P860" s="154" t="str">
        <f t="shared" si="238"/>
        <v>Bono canon</v>
      </c>
      <c r="Q860" s="154" t="str">
        <f t="shared" ref="Q860:Q861" si="290">IF(AND(A860=#REF!,B860=#REF!,C860=#REF!),"Repetido","")</f>
        <v>#REF!</v>
      </c>
      <c r="R860" s="130"/>
      <c r="S860" s="130"/>
      <c r="T860" s="130"/>
    </row>
    <row r="861">
      <c r="A861" s="155" t="s">
        <v>71</v>
      </c>
      <c r="B861" s="142">
        <v>2113.0</v>
      </c>
      <c r="C861" s="143">
        <v>2113.0</v>
      </c>
      <c r="D861" s="144" t="str">
        <f>IF(   ISERROR(OFFSET(PADRON!B$2,MATCH(C:C,PADRON!A$2:A1405,0)-1,0,1,1) )  ,  ,    OFFSET(PADRON!B$2,MATCH(C:C,PADRON!A$2:A1405,0)-1,0,1,1))</f>
        <v>ESQUIVEL, TEODORO RUBEN</v>
      </c>
      <c r="E861" s="145">
        <v>45839.0</v>
      </c>
      <c r="F861" s="145">
        <v>45870.0</v>
      </c>
      <c r="G861" s="146" t="s">
        <v>39</v>
      </c>
      <c r="H861" s="147">
        <f>IF( ISERROR( OFFSET(   'Cuadro tarifario'!D$2  , MATCH(CONCATENATE(                 IF(F861&gt;Mes,OFFSET(NroCT!B$17, MATCH($F861,NroCT!$A$18:$A1405,0),0,1,1),Periodovigente)                                                                                                                     ,A861) ,'Cuadro tarifario'!A$2:A1405,0) -1 , 0 , 1 , 1) )   , 0  ,   OFFSET(   'Cuadro tarifario'!D$2  , MATCH(CONCATENATE( IF(F861&gt;Mes,OFFSET(NroCT!B$17, MATCH($F861,NroCT!$A$18:$A1405,0),0,1,1),Periodovigente) ,A861) ,'Cuadro tarifario'!A$2:A1405,0) -1 , 0 , 1 , 1))</f>
        <v>11000</v>
      </c>
      <c r="I861" s="148">
        <f t="shared" si="252"/>
        <v>1</v>
      </c>
      <c r="J861" s="147">
        <f t="shared" si="235"/>
        <v>11000</v>
      </c>
      <c r="K861" s="149">
        <f>IF(  AND(N861&gt;0,I861=0)          ,N861 ,                         IF(  IF( F861 ,  DAYS360(DATE(YEAR(F861),MONTH(F861),1),Mes)/30  ,  DAYS360(DATE(YEAR(E861),MONTH(E861),1),Mes)/30  )  &gt;  0 , IF(F861,   DAYS360(DATE(YEAR(F861),MONTH(F861),1),Mes)/30  ,  DAYS360(DATE(YEAR(E861),MONTH(E861),1),Mes)/30) , 0)       )</f>
        <v>0</v>
      </c>
      <c r="L861" s="150">
        <f t="shared" si="253"/>
        <v>0</v>
      </c>
      <c r="M861" s="151"/>
      <c r="N861" s="152">
        <f>IF( ISERROR(OFFSET(SECUESTRADOS!D$1,MATCH(B861,SECUESTRADOS!A$2:A1405,0),0)) ,0 ,  OFFSET(SECUESTRADOS!D$1,MATCH(B861,SECUESTRADOS!A$2:A1405,0),0)  )</f>
        <v>0</v>
      </c>
      <c r="O861" s="153"/>
      <c r="P861" s="154" t="str">
        <f t="shared" si="238"/>
        <v>.socio</v>
      </c>
      <c r="Q861" s="154" t="str">
        <f t="shared" si="290"/>
        <v>#REF!</v>
      </c>
      <c r="R861" s="130"/>
      <c r="S861" s="130"/>
      <c r="T861" s="130"/>
    </row>
    <row r="862">
      <c r="A862" s="155" t="s">
        <v>38</v>
      </c>
      <c r="B862" s="142">
        <v>2113.0</v>
      </c>
      <c r="C862" s="143">
        <v>2113.0</v>
      </c>
      <c r="D862" s="144" t="str">
        <f>IF(   ISERROR(OFFSET(PADRON!B$2,MATCH(C:C,PADRON!A$2:A1405,0)-1,0,1,1) )  ,  ,    OFFSET(PADRON!B$2,MATCH(C:C,PADRON!A$2:A1405,0)-1,0,1,1))</f>
        <v>ESQUIVEL, TEODORO RUBEN</v>
      </c>
      <c r="E862" s="145">
        <v>45839.0</v>
      </c>
      <c r="F862" s="145">
        <v>45870.0</v>
      </c>
      <c r="G862" s="146" t="s">
        <v>39</v>
      </c>
      <c r="H862" s="147">
        <f>IF( ISERROR( OFFSET(   'Cuadro tarifario'!D$2  , MATCH(CONCATENATE(                 IF(F862&gt;Mes,OFFSET(NroCT!B$17, MATCH($F862,NroCT!$A$18:$A1405,0),0,1,1),Periodovigente)                                                                                                                     ,A862) ,'Cuadro tarifario'!A$2:A1405,0) -1 , 0 , 1 , 1) )   , 0  ,   OFFSET(   'Cuadro tarifario'!D$2  , MATCH(CONCATENATE( IF(F862&gt;Mes,OFFSET(NroCT!B$17, MATCH($F862,NroCT!$A$18:$A1405,0),0,1,1),Periodovigente) ,A862) ,'Cuadro tarifario'!A$2:A1405,0) -1 , 0 , 1 , 1))</f>
        <v>9000</v>
      </c>
      <c r="I862" s="148">
        <f t="shared" si="252"/>
        <v>1</v>
      </c>
      <c r="J862" s="147">
        <f t="shared" si="235"/>
        <v>9000</v>
      </c>
      <c r="K862" s="149">
        <f>IF(  AND(N862&gt;0,I862=0)          ,N862 ,                         IF(  IF( F862 ,  DAYS360(DATE(YEAR(F862),MONTH(F862),1),Mes)/30  ,  DAYS360(DATE(YEAR(E862),MONTH(E862),1),Mes)/30  )  &gt;  0 , IF(F862,   DAYS360(DATE(YEAR(F862),MONTH(F862),1),Mes)/30  ,  DAYS360(DATE(YEAR(E862),MONTH(E862),1),Mes)/30) , 0)       )</f>
        <v>0</v>
      </c>
      <c r="L862" s="150">
        <f t="shared" si="253"/>
        <v>0</v>
      </c>
      <c r="M862" s="151"/>
      <c r="N862" s="152">
        <f>IF( ISERROR(OFFSET(SECUESTRADOS!D$1,MATCH(B862,SECUESTRADOS!A$2:A1405,0),0)) ,0 ,  OFFSET(SECUESTRADOS!D$1,MATCH(B862,SECUESTRADOS!A$2:A1405,0),0)  )</f>
        <v>0</v>
      </c>
      <c r="O862" s="153"/>
      <c r="P862" s="154" t="str">
        <f t="shared" si="238"/>
        <v>Bono canon</v>
      </c>
      <c r="Q862" s="154" t="str">
        <f>IF(AND(A862=#REF!,B862=#REF!,C862=#REF!),"Repetido","")</f>
        <v>#REF!</v>
      </c>
      <c r="R862" s="130"/>
      <c r="S862" s="130"/>
      <c r="T862" s="130"/>
    </row>
    <row r="863">
      <c r="A863" s="155" t="s">
        <v>82</v>
      </c>
      <c r="B863" s="142" t="s">
        <v>376</v>
      </c>
      <c r="C863" s="143">
        <v>2113.0</v>
      </c>
      <c r="D863" s="144" t="str">
        <f>IF(   ISERROR(OFFSET(PADRON!B$2,MATCH(C:C,PADRON!A$2:A1405,0)-1,0,1,1) )  ,  ,    OFFSET(PADRON!B$2,MATCH(C:C,PADRON!A$2:A1405,0)-1,0,1,1))</f>
        <v>ESQUIVEL, TEODORO RUBEN</v>
      </c>
      <c r="E863" s="145">
        <v>45839.0</v>
      </c>
      <c r="F863" s="145">
        <v>45870.0</v>
      </c>
      <c r="G863" s="146" t="s">
        <v>39</v>
      </c>
      <c r="H863" s="147">
        <f>IF( ISERROR( OFFSET(   'Cuadro tarifario'!D$2  , MATCH(CONCATENATE(                 IF(F863&gt;Mes,OFFSET(NroCT!B$17, MATCH($F863,NroCT!$A$18:$A1405,0),0,1,1),Periodovigente)                                                                                                                     ,A863) ,'Cuadro tarifario'!A$2:A1405,0) -1 , 0 , 1 , 1) )   , 0  ,   OFFSET(   'Cuadro tarifario'!D$2  , MATCH(CONCATENATE( IF(F863&gt;Mes,OFFSET(NroCT!B$17, MATCH($F863,NroCT!$A$18:$A1405,0),0,1,1),Periodovigente) ,A863) ,'Cuadro tarifario'!A$2:A1405,0) -1 , 0 , 1 , 1))</f>
        <v>12000</v>
      </c>
      <c r="I863" s="148">
        <f t="shared" si="252"/>
        <v>1</v>
      </c>
      <c r="J863" s="147">
        <f t="shared" si="235"/>
        <v>12000</v>
      </c>
      <c r="K863" s="149">
        <f>IF(  AND(N863&gt;0,I863=0)          ,N863 ,                         IF(  IF( F863 ,  DAYS360(DATE(YEAR(F863),MONTH(F863),1),Mes)/30  ,  DAYS360(DATE(YEAR(E863),MONTH(E863),1),Mes)/30  )  &gt;  0 , IF(F863,   DAYS360(DATE(YEAR(F863),MONTH(F863),1),Mes)/30  ,  DAYS360(DATE(YEAR(E863),MONTH(E863),1),Mes)/30) , 0)       )</f>
        <v>0</v>
      </c>
      <c r="L863" s="150">
        <f t="shared" si="253"/>
        <v>0</v>
      </c>
      <c r="M863" s="151"/>
      <c r="N863" s="152">
        <f>IF( ISERROR(OFFSET(SECUESTRADOS!D$1,MATCH(B863,SECUESTRADOS!A$2:A1405,0),0)) ,0 ,  OFFSET(SECUESTRADOS!D$1,MATCH(B863,SECUESTRADOS!A$2:A1405,0),0)  )</f>
        <v>0</v>
      </c>
      <c r="O863" s="153"/>
      <c r="P863" s="154" t="str">
        <f t="shared" si="238"/>
        <v>cuna kayak</v>
      </c>
      <c r="Q863" s="154" t="str">
        <f>IF(AND(A863=#REF!,B863=#REF!,C863=#REF!),"Repetido","")</f>
        <v>#REF!</v>
      </c>
      <c r="R863" s="130"/>
      <c r="S863" s="130"/>
      <c r="T863" s="130"/>
    </row>
    <row r="864" ht="14.25" customHeight="1">
      <c r="A864" s="155" t="s">
        <v>71</v>
      </c>
      <c r="B864" s="142">
        <v>2116.0</v>
      </c>
      <c r="C864" s="143">
        <v>2116.0</v>
      </c>
      <c r="D864" s="144" t="str">
        <f>IF(   ISERROR(OFFSET(PADRON!B$2,MATCH(C:C,PADRON!A$2:A1405,0)-1,0,1,1) )  ,  ,    OFFSET(PADRON!B$2,MATCH(C:C,PADRON!A$2:A1405,0)-1,0,1,1))</f>
        <v>BAUMANN, PABLO EMILIO</v>
      </c>
      <c r="E864" s="145">
        <v>45778.0</v>
      </c>
      <c r="F864" s="145"/>
      <c r="G864" s="146" t="s">
        <v>39</v>
      </c>
      <c r="H864" s="147">
        <f>IF( ISERROR( OFFSET(   'Cuadro tarifario'!D$2  , MATCH(CONCATENATE(                 IF(F864&gt;Mes,OFFSET(NroCT!B$17, MATCH($F864,NroCT!$A$18:$A1405,0),0,1,1),Periodovigente)                                                                                                                     ,A864) ,'Cuadro tarifario'!A$2:A1405,0) -1 , 0 , 1 , 1) )   , 0  ,   OFFSET(   'Cuadro tarifario'!D$2  , MATCH(CONCATENATE( IF(F864&gt;Mes,OFFSET(NroCT!B$17, MATCH($F864,NroCT!$A$18:$A1405,0),0,1,1),Periodovigente) ,A864) ,'Cuadro tarifario'!A$2:A1405,0) -1 , 0 , 1 , 1))</f>
        <v>11000</v>
      </c>
      <c r="I864" s="148">
        <f t="shared" si="252"/>
        <v>0</v>
      </c>
      <c r="J864" s="147">
        <f t="shared" si="235"/>
        <v>0</v>
      </c>
      <c r="K864" s="149">
        <f>IF(  AND(N864&gt;0,I864=0)          ,N864 ,                         IF(  IF( F864 ,  DAYS360(DATE(YEAR(F864),MONTH(F864),1),Mes)/30  ,  DAYS360(DATE(YEAR(E864),MONTH(E864),1),Mes)/30  )  &gt;  0 , IF(F864,   DAYS360(DATE(YEAR(F864),MONTH(F864),1),Mes)/30  ,  DAYS360(DATE(YEAR(E864),MONTH(E864),1),Mes)/30) , 0)       )</f>
        <v>3</v>
      </c>
      <c r="L864" s="150">
        <f t="shared" si="253"/>
        <v>33000</v>
      </c>
      <c r="M864" s="151"/>
      <c r="N864" s="152">
        <f>IF( ISERROR(OFFSET(SECUESTRADOS!D$1,MATCH(B864,SECUESTRADOS!A$2:A1405,0),0)) ,0 ,  OFFSET(SECUESTRADOS!D$1,MATCH(B864,SECUESTRADOS!A$2:A1405,0),0)  )</f>
        <v>0</v>
      </c>
      <c r="O864" s="153"/>
      <c r="P864" s="154" t="b">
        <f t="shared" si="238"/>
        <v>0</v>
      </c>
      <c r="Q864" s="154" t="str">
        <f>IF(AND(A864=#REF!,B864=#REF!,C864=#REF!),"Repetido","")</f>
        <v>#REF!</v>
      </c>
      <c r="R864" s="130"/>
      <c r="S864" s="130"/>
      <c r="T864" s="130"/>
    </row>
    <row r="865">
      <c r="A865" s="155" t="s">
        <v>38</v>
      </c>
      <c r="B865" s="142">
        <v>2116.0</v>
      </c>
      <c r="C865" s="143">
        <v>2116.0</v>
      </c>
      <c r="D865" s="144" t="str">
        <f>IF(   ISERROR(OFFSET(PADRON!B$2,MATCH(C:C,PADRON!A$2:A1405,0)-1,0,1,1) )  ,  ,    OFFSET(PADRON!B$2,MATCH(C:C,PADRON!A$2:A1405,0)-1,0,1,1))</f>
        <v>BAUMANN, PABLO EMILIO</v>
      </c>
      <c r="E865" s="145">
        <v>45778.0</v>
      </c>
      <c r="F865" s="145"/>
      <c r="G865" s="146" t="s">
        <v>39</v>
      </c>
      <c r="H865" s="147">
        <f>IF( ISERROR( OFFSET(   'Cuadro tarifario'!D$2  , MATCH(CONCATENATE(                 IF(F865&gt;Mes,OFFSET(NroCT!B$17, MATCH($F865,NroCT!$A$18:$A1405,0),0,1,1),Periodovigente)                                                                                                                     ,A865) ,'Cuadro tarifario'!A$2:A1405,0) -1 , 0 , 1 , 1) )   , 0  ,   OFFSET(   'Cuadro tarifario'!D$2  , MATCH(CONCATENATE( IF(F865&gt;Mes,OFFSET(NroCT!B$17, MATCH($F865,NroCT!$A$18:$A1405,0),0,1,1),Periodovigente) ,A865) ,'Cuadro tarifario'!A$2:A1405,0) -1 , 0 , 1 , 1))</f>
        <v>9000</v>
      </c>
      <c r="I865" s="148">
        <f t="shared" si="252"/>
        <v>0</v>
      </c>
      <c r="J865" s="147">
        <f t="shared" si="235"/>
        <v>0</v>
      </c>
      <c r="K865" s="149">
        <f>IF(  AND(N865&gt;0,I865=0)          ,N865 ,                         IF(  IF( F865 ,  DAYS360(DATE(YEAR(F865),MONTH(F865),1),Mes)/30  ,  DAYS360(DATE(YEAR(E865),MONTH(E865),1),Mes)/30  )  &gt;  0 , IF(F865,   DAYS360(DATE(YEAR(F865),MONTH(F865),1),Mes)/30  ,  DAYS360(DATE(YEAR(E865),MONTH(E865),1),Mes)/30) , 0)       )</f>
        <v>3</v>
      </c>
      <c r="L865" s="150">
        <f t="shared" si="253"/>
        <v>27000</v>
      </c>
      <c r="M865" s="151"/>
      <c r="N865" s="152">
        <f>IF( ISERROR(OFFSET(SECUESTRADOS!D$1,MATCH(B865,SECUESTRADOS!A$2:A1405,0),0)) ,0 ,  OFFSET(SECUESTRADOS!D$1,MATCH(B865,SECUESTRADOS!A$2:A1405,0),0)  )</f>
        <v>0</v>
      </c>
      <c r="O865" s="153"/>
      <c r="P865" s="154" t="b">
        <f t="shared" si="238"/>
        <v>0</v>
      </c>
      <c r="Q865" s="154" t="str">
        <f>IF(AND(A865=#REF!,B865=#REF!,C865=#REF!),"Repetido","")</f>
        <v>#REF!</v>
      </c>
      <c r="R865" s="130"/>
      <c r="S865" s="130"/>
      <c r="T865" s="130"/>
    </row>
    <row r="866">
      <c r="A866" s="155" t="s">
        <v>71</v>
      </c>
      <c r="B866" s="142">
        <v>2117.0</v>
      </c>
      <c r="C866" s="143">
        <v>2117.0</v>
      </c>
      <c r="D866" s="144" t="str">
        <f>IF(   ISERROR(OFFSET(PADRON!B$2,MATCH(C:C,PADRON!A$2:A1405,0)-1,0,1,1) )  ,  ,    OFFSET(PADRON!B$2,MATCH(C:C,PADRON!A$2:A1405,0)-1,0,1,1))</f>
        <v>OTERO, MARIA SOL</v>
      </c>
      <c r="E866" s="145">
        <v>45839.0</v>
      </c>
      <c r="F866" s="145"/>
      <c r="G866" s="146" t="s">
        <v>39</v>
      </c>
      <c r="H866" s="147">
        <f>IF( ISERROR( OFFSET(   'Cuadro tarifario'!D$2  , MATCH(CONCATENATE(                 IF(F866&gt;Mes,OFFSET(NroCT!B$17, MATCH($F866,NroCT!$A$18:$A1405,0),0,1,1),Periodovigente)                                                                                                                     ,A866) ,'Cuadro tarifario'!A$2:A1405,0) -1 , 0 , 1 , 1) )   , 0  ,   OFFSET(   'Cuadro tarifario'!D$2  , MATCH(CONCATENATE( IF(F866&gt;Mes,OFFSET(NroCT!B$17, MATCH($F866,NroCT!$A$18:$A1405,0),0,1,1),Periodovigente) ,A866) ,'Cuadro tarifario'!A$2:A1405,0) -1 , 0 , 1 , 1))</f>
        <v>11000</v>
      </c>
      <c r="I866" s="148">
        <f t="shared" si="252"/>
        <v>0</v>
      </c>
      <c r="J866" s="147">
        <f t="shared" si="235"/>
        <v>0</v>
      </c>
      <c r="K866" s="149">
        <f>IF(  AND(N866&gt;0,I866=0)          ,N866 ,                         IF(  IF( F866 ,  DAYS360(DATE(YEAR(F866),MONTH(F866),1),Mes)/30  ,  DAYS360(DATE(YEAR(E866),MONTH(E866),1),Mes)/30  )  &gt;  0 , IF(F866,   DAYS360(DATE(YEAR(F866),MONTH(F866),1),Mes)/30  ,  DAYS360(DATE(YEAR(E866),MONTH(E866),1),Mes)/30) , 0)       )</f>
        <v>1</v>
      </c>
      <c r="L866" s="150">
        <f t="shared" si="253"/>
        <v>11000</v>
      </c>
      <c r="M866" s="151"/>
      <c r="N866" s="152">
        <f>IF( ISERROR(OFFSET(SECUESTRADOS!D$1,MATCH(B866,SECUESTRADOS!A$2:A1405,0),0)) ,0 ,  OFFSET(SECUESTRADOS!D$1,MATCH(B866,SECUESTRADOS!A$2:A1405,0),0)  )</f>
        <v>0</v>
      </c>
      <c r="O866" s="153"/>
      <c r="P866" s="154" t="b">
        <f t="shared" si="238"/>
        <v>0</v>
      </c>
      <c r="Q866" s="154" t="str">
        <f>IF(AND(A866=#REF!,B866=#REF!,C866=#REF!),"Repetido","")</f>
        <v>#REF!</v>
      </c>
      <c r="R866" s="130"/>
      <c r="S866" s="130"/>
      <c r="T866" s="130"/>
    </row>
    <row r="867">
      <c r="A867" s="155" t="s">
        <v>38</v>
      </c>
      <c r="B867" s="142">
        <v>2117.0</v>
      </c>
      <c r="C867" s="143">
        <v>2117.0</v>
      </c>
      <c r="D867" s="144" t="str">
        <f>IF(   ISERROR(OFFSET(PADRON!B$2,MATCH(C:C,PADRON!A$2:A1405,0)-1,0,1,1) )  ,  ,    OFFSET(PADRON!B$2,MATCH(C:C,PADRON!A$2:A1405,0)-1,0,1,1))</f>
        <v>OTERO, MARIA SOL</v>
      </c>
      <c r="E867" s="145">
        <v>45839.0</v>
      </c>
      <c r="F867" s="145"/>
      <c r="G867" s="146" t="s">
        <v>39</v>
      </c>
      <c r="H867" s="147">
        <f>IF( ISERROR( OFFSET(   'Cuadro tarifario'!D$2  , MATCH(CONCATENATE(                 IF(F867&gt;Mes,OFFSET(NroCT!B$17, MATCH($F867,NroCT!$A$18:$A1405,0),0,1,1),Periodovigente)                                                                                                                     ,A867) ,'Cuadro tarifario'!A$2:A1405,0) -1 , 0 , 1 , 1) )   , 0  ,   OFFSET(   'Cuadro tarifario'!D$2  , MATCH(CONCATENATE( IF(F867&gt;Mes,OFFSET(NroCT!B$17, MATCH($F867,NroCT!$A$18:$A1405,0),0,1,1),Periodovigente) ,A867) ,'Cuadro tarifario'!A$2:A1405,0) -1 , 0 , 1 , 1))</f>
        <v>9000</v>
      </c>
      <c r="I867" s="148">
        <f t="shared" si="252"/>
        <v>0</v>
      </c>
      <c r="J867" s="147">
        <f t="shared" si="235"/>
        <v>0</v>
      </c>
      <c r="K867" s="149">
        <f>IF(  AND(N867&gt;0,I867=0)          ,N867 ,                         IF(  IF( F867 ,  DAYS360(DATE(YEAR(F867),MONTH(F867),1),Mes)/30  ,  DAYS360(DATE(YEAR(E867),MONTH(E867),1),Mes)/30  )  &gt;  0 , IF(F867,   DAYS360(DATE(YEAR(F867),MONTH(F867),1),Mes)/30  ,  DAYS360(DATE(YEAR(E867),MONTH(E867),1),Mes)/30) , 0)       )</f>
        <v>1</v>
      </c>
      <c r="L867" s="150">
        <f t="shared" si="253"/>
        <v>9000</v>
      </c>
      <c r="M867" s="151"/>
      <c r="N867" s="152">
        <f>IF( ISERROR(OFFSET(SECUESTRADOS!D$1,MATCH(B867,SECUESTRADOS!A$2:A1405,0),0)) ,0 ,  OFFSET(SECUESTRADOS!D$1,MATCH(B867,SECUESTRADOS!A$2:A1405,0),0)  )</f>
        <v>0</v>
      </c>
      <c r="O867" s="153"/>
      <c r="P867" s="154" t="b">
        <f t="shared" si="238"/>
        <v>0</v>
      </c>
      <c r="Q867" s="154" t="str">
        <f t="shared" ref="Q867:Q868" si="291">IF(AND(A867=#REF!,B867=#REF!,C867=#REF!),"Repetido","")</f>
        <v>#REF!</v>
      </c>
      <c r="R867" s="130"/>
      <c r="S867" s="130"/>
      <c r="T867" s="130"/>
    </row>
    <row r="868" ht="15.75" customHeight="1">
      <c r="A868" s="155" t="s">
        <v>71</v>
      </c>
      <c r="B868" s="142">
        <v>2118.0</v>
      </c>
      <c r="C868" s="143">
        <v>2118.0</v>
      </c>
      <c r="D868" s="144" t="str">
        <f>IF(   ISERROR(OFFSET(PADRON!B$2,MATCH(C:C,PADRON!A$2:A1405,0)-1,0,1,1) )  ,  ,    OFFSET(PADRON!B$2,MATCH(C:C,PADRON!A$2:A1405,0)-1,0,1,1))</f>
        <v>GALEAZI, SEBASTIAN</v>
      </c>
      <c r="E868" s="145">
        <v>45839.0</v>
      </c>
      <c r="F868" s="145">
        <v>45870.0</v>
      </c>
      <c r="G868" s="146" t="s">
        <v>39</v>
      </c>
      <c r="H868" s="147">
        <f>IF( ISERROR( OFFSET(   'Cuadro tarifario'!D$2  , MATCH(CONCATENATE(                 IF(F868&gt;Mes,OFFSET(NroCT!B$17, MATCH($F868,NroCT!$A$18:$A1405,0),0,1,1),Periodovigente)                                                                                                                     ,A868) ,'Cuadro tarifario'!A$2:A1405,0) -1 , 0 , 1 , 1) )   , 0  ,   OFFSET(   'Cuadro tarifario'!D$2  , MATCH(CONCATENATE( IF(F868&gt;Mes,OFFSET(NroCT!B$17, MATCH($F868,NroCT!$A$18:$A1405,0),0,1,1),Periodovigente) ,A868) ,'Cuadro tarifario'!A$2:A1405,0) -1 , 0 , 1 , 1))</f>
        <v>11000</v>
      </c>
      <c r="I868" s="148">
        <f t="shared" si="252"/>
        <v>1</v>
      </c>
      <c r="J868" s="147">
        <f t="shared" si="235"/>
        <v>11000</v>
      </c>
      <c r="K868" s="149">
        <f>IF(  AND(N868&gt;0,I868=0)          ,N868 ,                         IF(  IF( F868 ,  DAYS360(DATE(YEAR(F868),MONTH(F868),1),Mes)/30  ,  DAYS360(DATE(YEAR(E868),MONTH(E868),1),Mes)/30  )  &gt;  0 , IF(F868,   DAYS360(DATE(YEAR(F868),MONTH(F868),1),Mes)/30  ,  DAYS360(DATE(YEAR(E868),MONTH(E868),1),Mes)/30) , 0)       )</f>
        <v>0</v>
      </c>
      <c r="L868" s="150">
        <f t="shared" si="253"/>
        <v>0</v>
      </c>
      <c r="M868" s="151"/>
      <c r="N868" s="152">
        <f>IF( ISERROR(OFFSET(SECUESTRADOS!D$1,MATCH(B868,SECUESTRADOS!A$2:A1405,0),0)) ,0 ,  OFFSET(SECUESTRADOS!D$1,MATCH(B868,SECUESTRADOS!A$2:A1405,0),0)  )</f>
        <v>0</v>
      </c>
      <c r="O868" s="153"/>
      <c r="P868" s="154" t="str">
        <f t="shared" si="238"/>
        <v>.socio</v>
      </c>
      <c r="Q868" s="154" t="str">
        <f t="shared" si="291"/>
        <v>#REF!</v>
      </c>
      <c r="R868" s="130"/>
      <c r="S868" s="130"/>
      <c r="T868" s="130"/>
    </row>
    <row r="869">
      <c r="A869" s="155" t="s">
        <v>38</v>
      </c>
      <c r="B869" s="142">
        <v>2118.0</v>
      </c>
      <c r="C869" s="143">
        <v>2118.0</v>
      </c>
      <c r="D869" s="144" t="str">
        <f>IF(   ISERROR(OFFSET(PADRON!B$2,MATCH(C:C,PADRON!A$2:A1405,0)-1,0,1,1) )  ,  ,    OFFSET(PADRON!B$2,MATCH(C:C,PADRON!A$2:A1405,0)-1,0,1,1))</f>
        <v>GALEAZI, SEBASTIAN</v>
      </c>
      <c r="E869" s="145">
        <v>45839.0</v>
      </c>
      <c r="F869" s="145">
        <v>45870.0</v>
      </c>
      <c r="G869" s="146" t="s">
        <v>39</v>
      </c>
      <c r="H869" s="147">
        <f>IF( ISERROR( OFFSET(   'Cuadro tarifario'!D$2  , MATCH(CONCATENATE(                 IF(F869&gt;Mes,OFFSET(NroCT!B$17, MATCH($F869,NroCT!$A$18:$A1405,0),0,1,1),Periodovigente)                                                                                                                     ,A869) ,'Cuadro tarifario'!A$2:A1405,0) -1 , 0 , 1 , 1) )   , 0  ,   OFFSET(   'Cuadro tarifario'!D$2  , MATCH(CONCATENATE( IF(F869&gt;Mes,OFFSET(NroCT!B$17, MATCH($F869,NroCT!$A$18:$A1405,0),0,1,1),Periodovigente) ,A869) ,'Cuadro tarifario'!A$2:A1405,0) -1 , 0 , 1 , 1))</f>
        <v>9000</v>
      </c>
      <c r="I869" s="148">
        <f t="shared" si="252"/>
        <v>1</v>
      </c>
      <c r="J869" s="147">
        <f t="shared" si="235"/>
        <v>9000</v>
      </c>
      <c r="K869" s="149">
        <f>IF(  AND(N869&gt;0,I869=0)          ,N869 ,                         IF(  IF( F869 ,  DAYS360(DATE(YEAR(F869),MONTH(F869),1),Mes)/30  ,  DAYS360(DATE(YEAR(E869),MONTH(E869),1),Mes)/30  )  &gt;  0 , IF(F869,   DAYS360(DATE(YEAR(F869),MONTH(F869),1),Mes)/30  ,  DAYS360(DATE(YEAR(E869),MONTH(E869),1),Mes)/30) , 0)       )</f>
        <v>0</v>
      </c>
      <c r="L869" s="150">
        <f t="shared" si="253"/>
        <v>0</v>
      </c>
      <c r="M869" s="151"/>
      <c r="N869" s="152">
        <f>IF( ISERROR(OFFSET(SECUESTRADOS!D$1,MATCH(B869,SECUESTRADOS!A$2:A1405,0),0)) ,0 ,  OFFSET(SECUESTRADOS!D$1,MATCH(B869,SECUESTRADOS!A$2:A1405,0),0)  )</f>
        <v>0</v>
      </c>
      <c r="O869" s="153"/>
      <c r="P869" s="154" t="str">
        <f t="shared" si="238"/>
        <v>Bono canon</v>
      </c>
      <c r="Q869" s="154" t="str">
        <f>IF(AND(A869=#REF!,B869=#REF!,C869=#REF!),"Repetido","")</f>
        <v>#REF!</v>
      </c>
      <c r="R869" s="130"/>
      <c r="S869" s="130"/>
      <c r="T869" s="130"/>
    </row>
    <row r="870">
      <c r="A870" s="155" t="s">
        <v>48</v>
      </c>
      <c r="B870" s="142" t="s">
        <v>377</v>
      </c>
      <c r="C870" s="143">
        <v>2118.0</v>
      </c>
      <c r="D870" s="144" t="str">
        <f>IF(   ISERROR(OFFSET(PADRON!B$2,MATCH(C:C,PADRON!A$2:A1405,0)-1,0,1,1) )  ,  ,    OFFSET(PADRON!B$2,MATCH(C:C,PADRON!A$2:A1405,0)-1,0,1,1))</f>
        <v>GALEAZI, SEBASTIAN</v>
      </c>
      <c r="E870" s="145">
        <v>45839.0</v>
      </c>
      <c r="F870" s="145">
        <v>45870.0</v>
      </c>
      <c r="G870" s="146" t="s">
        <v>39</v>
      </c>
      <c r="H870" s="147">
        <f>IF( ISERROR( OFFSET(   'Cuadro tarifario'!D$2  , MATCH(CONCATENATE(                 IF(F870&gt;Mes,OFFSET(NroCT!B$17, MATCH($F870,NroCT!$A$18:$A1405,0),0,1,1),Periodovigente)                                                                                                                     ,A870) ,'Cuadro tarifario'!A$2:A1405,0) -1 , 0 , 1 , 1) )   , 0  ,   OFFSET(   'Cuadro tarifario'!D$2  , MATCH(CONCATENATE( IF(F870&gt;Mes,OFFSET(NroCT!B$17, MATCH($F870,NroCT!$A$18:$A1405,0),0,1,1),Periodovigente) ,A870) ,'Cuadro tarifario'!A$2:A1405,0) -1 , 0 , 1 , 1))</f>
        <v>12000</v>
      </c>
      <c r="I870" s="148">
        <f t="shared" si="252"/>
        <v>1</v>
      </c>
      <c r="J870" s="147">
        <f t="shared" si="235"/>
        <v>12000</v>
      </c>
      <c r="K870" s="149">
        <f>IF(  AND(N870&gt;0,I870=0)          ,N870 ,                         IF(  IF( F870 ,  DAYS360(DATE(YEAR(F870),MONTH(F870),1),Mes)/30  ,  DAYS360(DATE(YEAR(E870),MONTH(E870),1),Mes)/30  )  &gt;  0 , IF(F870,   DAYS360(DATE(YEAR(F870),MONTH(F870),1),Mes)/30  ,  DAYS360(DATE(YEAR(E870),MONTH(E870),1),Mes)/30) , 0)       )</f>
        <v>0</v>
      </c>
      <c r="L870" s="150">
        <f t="shared" si="253"/>
        <v>0</v>
      </c>
      <c r="M870" s="151"/>
      <c r="N870" s="152">
        <f>IF( ISERROR(OFFSET(SECUESTRADOS!D$1,MATCH(B870,SECUESTRADOS!A$2:A1405,0),0)) ,0 ,  OFFSET(SECUESTRADOS!D$1,MATCH(B870,SECUESTRADOS!A$2:A1405,0),0)  )</f>
        <v>0</v>
      </c>
      <c r="O870" s="153"/>
      <c r="P870" s="154" t="str">
        <f t="shared" si="238"/>
        <v>velero</v>
      </c>
      <c r="Q870" s="154" t="str">
        <f>IF(AND(A870=#REF!,B870=#REF!,C870=#REF!),"Repetido","")</f>
        <v>#REF!</v>
      </c>
      <c r="R870" s="130"/>
      <c r="S870" s="130"/>
      <c r="T870" s="130"/>
    </row>
    <row r="871">
      <c r="A871" s="155" t="s">
        <v>71</v>
      </c>
      <c r="B871" s="142">
        <v>2121.0</v>
      </c>
      <c r="C871" s="143">
        <v>2121.0</v>
      </c>
      <c r="D871" s="144" t="str">
        <f>IF(   ISERROR(OFFSET(PADRON!B$2,MATCH(C:C,PADRON!A$2:A1405,0)-1,0,1,1) )  ,  ,    OFFSET(PADRON!B$2,MATCH(C:C,PADRON!A$2:A1405,0)-1,0,1,1))</f>
        <v>VIDELA, SILVIA GENOUD</v>
      </c>
      <c r="E871" s="145">
        <v>45839.0</v>
      </c>
      <c r="F871" s="145">
        <v>45870.0</v>
      </c>
      <c r="G871" s="146" t="s">
        <v>39</v>
      </c>
      <c r="H871" s="147">
        <f>IF( ISERROR( OFFSET(   'Cuadro tarifario'!D$2  , MATCH(CONCATENATE(                 IF(F871&gt;Mes,OFFSET(NroCT!B$17, MATCH($F871,NroCT!$A$18:$A1405,0),0,1,1),Periodovigente)                                                                                                                     ,A871) ,'Cuadro tarifario'!A$2:A1405,0) -1 , 0 , 1 , 1) )   , 0  ,   OFFSET(   'Cuadro tarifario'!D$2  , MATCH(CONCATENATE( IF(F871&gt;Mes,OFFSET(NroCT!B$17, MATCH($F871,NroCT!$A$18:$A1405,0),0,1,1),Periodovigente) ,A871) ,'Cuadro tarifario'!A$2:A1405,0) -1 , 0 , 1 , 1))</f>
        <v>11000</v>
      </c>
      <c r="I871" s="148">
        <f t="shared" si="252"/>
        <v>1</v>
      </c>
      <c r="J871" s="147">
        <f t="shared" si="235"/>
        <v>11000</v>
      </c>
      <c r="K871" s="149">
        <f>IF(  AND(N871&gt;0,I871=0)          ,N871 ,                         IF(  IF( F871 ,  DAYS360(DATE(YEAR(F871),MONTH(F871),1),Mes)/30  ,  DAYS360(DATE(YEAR(E871),MONTH(E871),1),Mes)/30  )  &gt;  0 , IF(F871,   DAYS360(DATE(YEAR(F871),MONTH(F871),1),Mes)/30  ,  DAYS360(DATE(YEAR(E871),MONTH(E871),1),Mes)/30) , 0)       )</f>
        <v>0</v>
      </c>
      <c r="L871" s="150">
        <f t="shared" si="253"/>
        <v>0</v>
      </c>
      <c r="M871" s="151"/>
      <c r="N871" s="152">
        <f>IF( ISERROR(OFFSET(SECUESTRADOS!D$1,MATCH(B871,SECUESTRADOS!A$2:A1405,0),0)) ,0 ,  OFFSET(SECUESTRADOS!D$1,MATCH(B871,SECUESTRADOS!A$2:A1405,0),0)  )</f>
        <v>0</v>
      </c>
      <c r="O871" s="153"/>
      <c r="P871" s="154" t="str">
        <f t="shared" si="238"/>
        <v>.socio</v>
      </c>
      <c r="Q871" s="154" t="str">
        <f>IF(AND(A871=#REF!,B871=#REF!,C871=#REF!),"Repetido","")</f>
        <v>#REF!</v>
      </c>
      <c r="R871" s="130"/>
      <c r="S871" s="130"/>
      <c r="T871" s="130"/>
    </row>
    <row r="872">
      <c r="A872" s="155" t="s">
        <v>38</v>
      </c>
      <c r="B872" s="142">
        <v>2121.0</v>
      </c>
      <c r="C872" s="143">
        <v>2121.0</v>
      </c>
      <c r="D872" s="144" t="str">
        <f>IF(   ISERROR(OFFSET(PADRON!B$2,MATCH(C:C,PADRON!A$2:A1405,0)-1,0,1,1) )  ,  ,    OFFSET(PADRON!B$2,MATCH(C:C,PADRON!A$2:A1405,0)-1,0,1,1))</f>
        <v>VIDELA, SILVIA GENOUD</v>
      </c>
      <c r="E872" s="145">
        <v>45839.0</v>
      </c>
      <c r="F872" s="145">
        <v>45870.0</v>
      </c>
      <c r="G872" s="146" t="s">
        <v>39</v>
      </c>
      <c r="H872" s="147">
        <f>IF( ISERROR( OFFSET(   'Cuadro tarifario'!D$2  , MATCH(CONCATENATE(                 IF(F872&gt;Mes,OFFSET(NroCT!B$17, MATCH($F872,NroCT!$A$18:$A1405,0),0,1,1),Periodovigente)                                                                                                                     ,A872) ,'Cuadro tarifario'!A$2:A1405,0) -1 , 0 , 1 , 1) )   , 0  ,   OFFSET(   'Cuadro tarifario'!D$2  , MATCH(CONCATENATE( IF(F872&gt;Mes,OFFSET(NroCT!B$17, MATCH($F872,NroCT!$A$18:$A1405,0),0,1,1),Periodovigente) ,A872) ,'Cuadro tarifario'!A$2:A1405,0) -1 , 0 , 1 , 1))</f>
        <v>9000</v>
      </c>
      <c r="I872" s="148">
        <f t="shared" si="252"/>
        <v>1</v>
      </c>
      <c r="J872" s="147">
        <f t="shared" si="235"/>
        <v>9000</v>
      </c>
      <c r="K872" s="149">
        <f>IF(  AND(N872&gt;0,I872=0)          ,N872 ,                         IF(  IF( F872 ,  DAYS360(DATE(YEAR(F872),MONTH(F872),1),Mes)/30  ,  DAYS360(DATE(YEAR(E872),MONTH(E872),1),Mes)/30  )  &gt;  0 , IF(F872,   DAYS360(DATE(YEAR(F872),MONTH(F872),1),Mes)/30  ,  DAYS360(DATE(YEAR(E872),MONTH(E872),1),Mes)/30) , 0)       )</f>
        <v>0</v>
      </c>
      <c r="L872" s="150">
        <f t="shared" si="253"/>
        <v>0</v>
      </c>
      <c r="M872" s="151"/>
      <c r="N872" s="152">
        <f>IF( ISERROR(OFFSET(SECUESTRADOS!D$1,MATCH(B872,SECUESTRADOS!A$2:A1405,0),0)) ,0 ,  OFFSET(SECUESTRADOS!D$1,MATCH(B872,SECUESTRADOS!A$2:A1405,0),0)  )</f>
        <v>0</v>
      </c>
      <c r="O872" s="153"/>
      <c r="P872" s="154" t="str">
        <f t="shared" si="238"/>
        <v>Bono canon</v>
      </c>
      <c r="Q872" s="154" t="str">
        <f>IF(AND(A872=#REF!,B872=#REF!,C872=#REF!),"Repetido","")</f>
        <v>#REF!</v>
      </c>
      <c r="R872" s="130"/>
      <c r="S872" s="130"/>
      <c r="T872" s="130"/>
    </row>
    <row r="873" ht="18.75" customHeight="1">
      <c r="A873" s="155" t="s">
        <v>71</v>
      </c>
      <c r="B873" s="142">
        <v>2122.0</v>
      </c>
      <c r="C873" s="143">
        <v>2122.0</v>
      </c>
      <c r="D873" s="144" t="str">
        <f>IF(   ISERROR(OFFSET(PADRON!B$2,MATCH(C:C,PADRON!A$2:A1405,0)-1,0,1,1) )  ,  ,    OFFSET(PADRON!B$2,MATCH(C:C,PADRON!A$2:A1405,0)-1,0,1,1))</f>
        <v>CASTRO, FABIAN</v>
      </c>
      <c r="E873" s="145">
        <v>45870.0</v>
      </c>
      <c r="F873" s="145">
        <v>46054.0</v>
      </c>
      <c r="G873" s="146" t="s">
        <v>39</v>
      </c>
      <c r="H873" s="147">
        <f>IF( ISERROR( OFFSET(   'Cuadro tarifario'!D$2  , MATCH(CONCATENATE(                 IF(F873&gt;Mes,OFFSET(NroCT!B$17, MATCH($F873,NroCT!$A$18:$A1405,0),0,1,1),Periodovigente)                                                                                                                     ,A873) ,'Cuadro tarifario'!A$2:A1405,0) -1 , 0 , 1 , 1) )   , 0  ,   OFFSET(   'Cuadro tarifario'!D$2  , MATCH(CONCATENATE( IF(F873&gt;Mes,OFFSET(NroCT!B$17, MATCH($F873,NroCT!$A$18:$A1405,0),0,1,1),Periodovigente) ,A873) ,'Cuadro tarifario'!A$2:A1405,0) -1 , 0 , 1 , 1))</f>
        <v>0</v>
      </c>
      <c r="I873" s="148">
        <f t="shared" si="252"/>
        <v>6</v>
      </c>
      <c r="J873" s="147">
        <f t="shared" si="235"/>
        <v>0</v>
      </c>
      <c r="K873" s="149">
        <f>IF(  AND(N873&gt;0,I873=0)          ,N873 ,                         IF(  IF( F873 ,  DAYS360(DATE(YEAR(F873),MONTH(F873),1),Mes)/30  ,  DAYS360(DATE(YEAR(E873),MONTH(E873),1),Mes)/30  )  &gt;  0 , IF(F873,   DAYS360(DATE(YEAR(F873),MONTH(F873),1),Mes)/30  ,  DAYS360(DATE(YEAR(E873),MONTH(E873),1),Mes)/30) , 0)       )</f>
        <v>0</v>
      </c>
      <c r="L873" s="150">
        <f t="shared" si="253"/>
        <v>0</v>
      </c>
      <c r="M873" s="157"/>
      <c r="N873" s="152">
        <f>IF( ISERROR(OFFSET(SECUESTRADOS!D$1,MATCH(B873,SECUESTRADOS!A$2:A1405,0),0)) ,0 ,  OFFSET(SECUESTRADOS!D$1,MATCH(B873,SECUESTRADOS!A$2:A1405,0),0)  )</f>
        <v>0</v>
      </c>
      <c r="O873" s="153"/>
      <c r="P873" s="154" t="str">
        <f t="shared" si="238"/>
        <v>.socio</v>
      </c>
      <c r="Q873" s="154" t="str">
        <f>IF(AND(A873=#REF!,B873=#REF!,C873=#REF!),"Repetido","")</f>
        <v>#REF!</v>
      </c>
      <c r="R873" s="130"/>
      <c r="S873" s="130"/>
      <c r="T873" s="130"/>
    </row>
    <row r="874">
      <c r="A874" s="155" t="s">
        <v>38</v>
      </c>
      <c r="B874" s="142">
        <v>2122.0</v>
      </c>
      <c r="C874" s="143">
        <v>2122.0</v>
      </c>
      <c r="D874" s="144" t="str">
        <f>IF(   ISERROR(OFFSET(PADRON!B$2,MATCH(C:C,PADRON!A$2:A1405,0)-1,0,1,1) )  ,  ,    OFFSET(PADRON!B$2,MATCH(C:C,PADRON!A$2:A1405,0)-1,0,1,1))</f>
        <v>CASTRO, FABIAN</v>
      </c>
      <c r="E874" s="145">
        <v>45870.0</v>
      </c>
      <c r="F874" s="145">
        <v>46054.0</v>
      </c>
      <c r="G874" s="146" t="s">
        <v>39</v>
      </c>
      <c r="H874" s="147">
        <f>IF( ISERROR( OFFSET(   'Cuadro tarifario'!D$2  , MATCH(CONCATENATE(                 IF(F874&gt;Mes,OFFSET(NroCT!B$17, MATCH($F874,NroCT!$A$18:$A1405,0),0,1,1),Periodovigente)                                                                                                                     ,A874) ,'Cuadro tarifario'!A$2:A1405,0) -1 , 0 , 1 , 1) )   , 0  ,   OFFSET(   'Cuadro tarifario'!D$2  , MATCH(CONCATENATE( IF(F874&gt;Mes,OFFSET(NroCT!B$17, MATCH($F874,NroCT!$A$18:$A1405,0),0,1,1),Periodovigente) ,A874) ,'Cuadro tarifario'!A$2:A1405,0) -1 , 0 , 1 , 1))</f>
        <v>0</v>
      </c>
      <c r="I874" s="148">
        <f t="shared" si="252"/>
        <v>6</v>
      </c>
      <c r="J874" s="147">
        <f t="shared" si="235"/>
        <v>0</v>
      </c>
      <c r="K874" s="149">
        <f>IF(  AND(N874&gt;0,I874=0)          ,N874 ,                         IF(  IF( F874 ,  DAYS360(DATE(YEAR(F874),MONTH(F874),1),Mes)/30  ,  DAYS360(DATE(YEAR(E874),MONTH(E874),1),Mes)/30  )  &gt;  0 , IF(F874,   DAYS360(DATE(YEAR(F874),MONTH(F874),1),Mes)/30  ,  DAYS360(DATE(YEAR(E874),MONTH(E874),1),Mes)/30) , 0)       )</f>
        <v>0</v>
      </c>
      <c r="L874" s="150">
        <f t="shared" si="253"/>
        <v>0</v>
      </c>
      <c r="M874" s="158"/>
      <c r="N874" s="152">
        <f>IF( ISERROR(OFFSET(SECUESTRADOS!D$1,MATCH(B874,SECUESTRADOS!A$2:A1405,0),0)) ,0 ,  OFFSET(SECUESTRADOS!D$1,MATCH(B874,SECUESTRADOS!A$2:A1405,0),0)  )</f>
        <v>0</v>
      </c>
      <c r="O874" s="153"/>
      <c r="P874" s="154" t="str">
        <f t="shared" si="238"/>
        <v>Bono canon</v>
      </c>
      <c r="Q874" s="154" t="str">
        <f t="shared" ref="Q874:Q878" si="292">IF(AND(A874=#REF!,B874=#REF!,C874=#REF!),"Repetido","")</f>
        <v>#REF!</v>
      </c>
      <c r="R874" s="130"/>
      <c r="S874" s="130"/>
      <c r="T874" s="130"/>
    </row>
    <row r="875">
      <c r="A875" s="155" t="s">
        <v>40</v>
      </c>
      <c r="B875" s="142" t="s">
        <v>378</v>
      </c>
      <c r="C875" s="143">
        <v>2122.0</v>
      </c>
      <c r="D875" s="144" t="str">
        <f>IF(   ISERROR(OFFSET(PADRON!B$2,MATCH(C:C,PADRON!A$2:A1405,0)-1,0,1,1) )  ,  ,    OFFSET(PADRON!B$2,MATCH(C:C,PADRON!A$2:A1405,0)-1,0,1,1))</f>
        <v>CASTRO, FABIAN</v>
      </c>
      <c r="E875" s="145">
        <v>45870.0</v>
      </c>
      <c r="F875" s="145">
        <v>46054.0</v>
      </c>
      <c r="G875" s="146" t="s">
        <v>39</v>
      </c>
      <c r="H875" s="147">
        <f>IF( ISERROR( OFFSET(   'Cuadro tarifario'!D$2  , MATCH(CONCATENATE(                 IF(F875&gt;Mes,OFFSET(NroCT!B$17, MATCH($F875,NroCT!$A$18:$A1405,0),0,1,1),Periodovigente)                                                                                                                     ,A875) ,'Cuadro tarifario'!A$2:A1405,0) -1 , 0 , 1 , 1) )   , 0  ,   OFFSET(   'Cuadro tarifario'!D$2  , MATCH(CONCATENATE( IF(F875&gt;Mes,OFFSET(NroCT!B$17, MATCH($F875,NroCT!$A$18:$A1405,0),0,1,1),Periodovigente) ,A875) ,'Cuadro tarifario'!A$2:A1405,0) -1 , 0 , 1 , 1))</f>
        <v>0</v>
      </c>
      <c r="I875" s="148">
        <f t="shared" si="252"/>
        <v>6</v>
      </c>
      <c r="J875" s="147">
        <f t="shared" si="235"/>
        <v>0</v>
      </c>
      <c r="K875" s="149">
        <f>IF(  AND(N875&gt;0,I875=0)          ,N875 ,                         IF(  IF( F875 ,  DAYS360(DATE(YEAR(F875),MONTH(F875),1),Mes)/30  ,  DAYS360(DATE(YEAR(E875),MONTH(E875),1),Mes)/30  )  &gt;  0 , IF(F875,   DAYS360(DATE(YEAR(F875),MONTH(F875),1),Mes)/30  ,  DAYS360(DATE(YEAR(E875),MONTH(E875),1),Mes)/30) , 0)       )</f>
        <v>0</v>
      </c>
      <c r="L875" s="150">
        <f t="shared" si="253"/>
        <v>0</v>
      </c>
      <c r="M875" s="151"/>
      <c r="N875" s="152">
        <f>IF( ISERROR(OFFSET(SECUESTRADOS!D$1,MATCH(B875,SECUESTRADOS!A$2:A1405,0),0)) ,0 ,  OFFSET(SECUESTRADOS!D$1,MATCH(B875,SECUESTRADOS!A$2:A1405,0),0)  )</f>
        <v>0</v>
      </c>
      <c r="O875" s="153"/>
      <c r="P875" s="154" t="str">
        <f t="shared" si="238"/>
        <v>cuna windsurf</v>
      </c>
      <c r="Q875" s="154" t="str">
        <f t="shared" si="292"/>
        <v>#REF!</v>
      </c>
      <c r="R875" s="130"/>
      <c r="S875" s="130"/>
      <c r="T875" s="130"/>
    </row>
    <row r="876">
      <c r="A876" s="155" t="s">
        <v>71</v>
      </c>
      <c r="B876" s="142">
        <v>2123.0</v>
      </c>
      <c r="C876" s="143">
        <v>2123.0</v>
      </c>
      <c r="D876" s="144" t="str">
        <f>IF(   ISERROR(OFFSET(PADRON!B$2,MATCH(C:C,PADRON!A$2:A1405,0)-1,0,1,1) )  ,  ,    OFFSET(PADRON!B$2,MATCH(C:C,PADRON!A$2:A1405,0)-1,0,1,1))</f>
        <v>CASAS, VERONICA</v>
      </c>
      <c r="E876" s="145">
        <v>45809.0</v>
      </c>
      <c r="F876" s="145">
        <v>45870.0</v>
      </c>
      <c r="G876" s="146" t="s">
        <v>39</v>
      </c>
      <c r="H876" s="147">
        <f>IF( ISERROR( OFFSET(   'Cuadro tarifario'!D$2  , MATCH(CONCATENATE(                 IF(F876&gt;Mes,OFFSET(NroCT!B$17, MATCH($F876,NroCT!$A$18:$A1405,0),0,1,1),Periodovigente)                                                                                                                     ,A876) ,'Cuadro tarifario'!A$2:A1405,0) -1 , 0 , 1 , 1) )   , 0  ,   OFFSET(   'Cuadro tarifario'!D$2  , MATCH(CONCATENATE( IF(F876&gt;Mes,OFFSET(NroCT!B$17, MATCH($F876,NroCT!$A$18:$A1405,0),0,1,1),Periodovigente) ,A876) ,'Cuadro tarifario'!A$2:A1405,0) -1 , 0 , 1 , 1))</f>
        <v>11000</v>
      </c>
      <c r="I876" s="148">
        <f t="shared" si="252"/>
        <v>2</v>
      </c>
      <c r="J876" s="147">
        <f t="shared" si="235"/>
        <v>22000</v>
      </c>
      <c r="K876" s="149">
        <f>IF(  AND(N876&gt;0,I876=0)          ,N876 ,                         IF(  IF( F876 ,  DAYS360(DATE(YEAR(F876),MONTH(F876),1),Mes)/30  ,  DAYS360(DATE(YEAR(E876),MONTH(E876),1),Mes)/30  )  &gt;  0 , IF(F876,   DAYS360(DATE(YEAR(F876),MONTH(F876),1),Mes)/30  ,  DAYS360(DATE(YEAR(E876),MONTH(E876),1),Mes)/30) , 0)       )</f>
        <v>0</v>
      </c>
      <c r="L876" s="150">
        <f t="shared" si="253"/>
        <v>0</v>
      </c>
      <c r="M876" s="151"/>
      <c r="N876" s="152">
        <f>IF( ISERROR(OFFSET(SECUESTRADOS!D$1,MATCH(B876,SECUESTRADOS!A$2:A1405,0),0)) ,0 ,  OFFSET(SECUESTRADOS!D$1,MATCH(B876,SECUESTRADOS!A$2:A1405,0),0)  )</f>
        <v>0</v>
      </c>
      <c r="O876" s="153"/>
      <c r="P876" s="154" t="str">
        <f t="shared" si="238"/>
        <v>.socio</v>
      </c>
      <c r="Q876" s="154" t="str">
        <f t="shared" si="292"/>
        <v>#REF!</v>
      </c>
      <c r="R876" s="130"/>
      <c r="S876" s="130"/>
      <c r="T876" s="130"/>
    </row>
    <row r="877">
      <c r="A877" s="155" t="s">
        <v>38</v>
      </c>
      <c r="B877" s="142">
        <v>2123.0</v>
      </c>
      <c r="C877" s="143">
        <v>2123.0</v>
      </c>
      <c r="D877" s="144" t="str">
        <f>IF(   ISERROR(OFFSET(PADRON!B$2,MATCH(C:C,PADRON!A$2:A1405,0)-1,0,1,1) )  ,  ,    OFFSET(PADRON!B$2,MATCH(C:C,PADRON!A$2:A1405,0)-1,0,1,1))</f>
        <v>CASAS, VERONICA</v>
      </c>
      <c r="E877" s="145">
        <v>45809.0</v>
      </c>
      <c r="F877" s="145">
        <v>45901.0</v>
      </c>
      <c r="G877" s="146" t="s">
        <v>39</v>
      </c>
      <c r="H877" s="147">
        <f>IF( ISERROR( OFFSET(   'Cuadro tarifario'!D$2  , MATCH(CONCATENATE(                 IF(F877&gt;Mes,OFFSET(NroCT!B$17, MATCH($F877,NroCT!$A$18:$A1405,0),0,1,1),Periodovigente)                                                                                                                     ,A877) ,'Cuadro tarifario'!A$2:A1405,0) -1 , 0 , 1 , 1) )   , 0  ,   OFFSET(   'Cuadro tarifario'!D$2  , MATCH(CONCATENATE( IF(F877&gt;Mes,OFFSET(NroCT!B$17, MATCH($F877,NroCT!$A$18:$A1405,0),0,1,1),Periodovigente) ,A877) ,'Cuadro tarifario'!A$2:A1405,0) -1 , 0 , 1 , 1))</f>
        <v>9000</v>
      </c>
      <c r="I877" s="148">
        <f t="shared" si="252"/>
        <v>3</v>
      </c>
      <c r="J877" s="147">
        <f t="shared" si="235"/>
        <v>27000</v>
      </c>
      <c r="K877" s="149">
        <f>IF(  AND(N877&gt;0,I877=0)          ,N877 ,                         IF(  IF( F877 ,  DAYS360(DATE(YEAR(F877),MONTH(F877),1),Mes)/30  ,  DAYS360(DATE(YEAR(E877),MONTH(E877),1),Mes)/30  )  &gt;  0 , IF(F877,   DAYS360(DATE(YEAR(F877),MONTH(F877),1),Mes)/30  ,  DAYS360(DATE(YEAR(E877),MONTH(E877),1),Mes)/30) , 0)       )</f>
        <v>0</v>
      </c>
      <c r="L877" s="150">
        <f t="shared" si="253"/>
        <v>0</v>
      </c>
      <c r="M877" s="151"/>
      <c r="N877" s="152">
        <f>IF( ISERROR(OFFSET(SECUESTRADOS!D$1,MATCH(B877,SECUESTRADOS!A$2:A1405,0),0)) ,0 ,  OFFSET(SECUESTRADOS!D$1,MATCH(B877,SECUESTRADOS!A$2:A1405,0),0)  )</f>
        <v>0</v>
      </c>
      <c r="O877" s="153"/>
      <c r="P877" s="154" t="str">
        <f t="shared" si="238"/>
        <v>Bono canon</v>
      </c>
      <c r="Q877" s="154" t="str">
        <f t="shared" si="292"/>
        <v>#REF!</v>
      </c>
      <c r="R877" s="130"/>
      <c r="S877" s="130"/>
      <c r="T877" s="130"/>
    </row>
    <row r="878">
      <c r="A878" s="155" t="s">
        <v>71</v>
      </c>
      <c r="B878" s="142">
        <v>2124.0</v>
      </c>
      <c r="C878" s="143">
        <v>2124.0</v>
      </c>
      <c r="D878" s="144" t="str">
        <f>IF(   ISERROR(OFFSET(PADRON!B$2,MATCH(C:C,PADRON!A$2:A1405,0)-1,0,1,1) )  ,  ,    OFFSET(PADRON!B$2,MATCH(C:C,PADRON!A$2:A1405,0)-1,0,1,1))</f>
        <v>NOVELLI, ALBERTO</v>
      </c>
      <c r="E878" s="145">
        <v>45839.0</v>
      </c>
      <c r="F878" s="145">
        <v>45901.0</v>
      </c>
      <c r="G878" s="146" t="s">
        <v>39</v>
      </c>
      <c r="H878" s="147">
        <f>IF( ISERROR( OFFSET(   'Cuadro tarifario'!D$2  , MATCH(CONCATENATE(                 IF(F878&gt;Mes,OFFSET(NroCT!B$17, MATCH($F878,NroCT!$A$18:$A1405,0),0,1,1),Periodovigente)                                                                                                                     ,A878) ,'Cuadro tarifario'!A$2:A1405,0) -1 , 0 , 1 , 1) )   , 0  ,   OFFSET(   'Cuadro tarifario'!D$2  , MATCH(CONCATENATE( IF(F878&gt;Mes,OFFSET(NroCT!B$17, MATCH($F878,NroCT!$A$18:$A1405,0),0,1,1),Periodovigente) ,A878) ,'Cuadro tarifario'!A$2:A1405,0) -1 , 0 , 1 , 1))</f>
        <v>11000</v>
      </c>
      <c r="I878" s="148">
        <f t="shared" si="252"/>
        <v>2</v>
      </c>
      <c r="J878" s="147">
        <f t="shared" si="235"/>
        <v>22000</v>
      </c>
      <c r="K878" s="149">
        <f>IF(  AND(N878&gt;0,I878=0)          ,N878 ,                         IF(  IF( F878 ,  DAYS360(DATE(YEAR(F878),MONTH(F878),1),Mes)/30  ,  DAYS360(DATE(YEAR(E878),MONTH(E878),1),Mes)/30  )  &gt;  0 , IF(F878,   DAYS360(DATE(YEAR(F878),MONTH(F878),1),Mes)/30  ,  DAYS360(DATE(YEAR(E878),MONTH(E878),1),Mes)/30) , 0)       )</f>
        <v>0</v>
      </c>
      <c r="L878" s="150">
        <f t="shared" si="253"/>
        <v>0</v>
      </c>
      <c r="M878" s="151"/>
      <c r="N878" s="152">
        <f>IF( ISERROR(OFFSET(SECUESTRADOS!D$1,MATCH(B878,SECUESTRADOS!A$2:A1405,0),0)) ,0 ,  OFFSET(SECUESTRADOS!D$1,MATCH(B878,SECUESTRADOS!A$2:A1405,0),0)  )</f>
        <v>0</v>
      </c>
      <c r="O878" s="153"/>
      <c r="P878" s="154" t="str">
        <f t="shared" si="238"/>
        <v>.socio</v>
      </c>
      <c r="Q878" s="154" t="str">
        <f t="shared" si="292"/>
        <v>#REF!</v>
      </c>
      <c r="R878" s="130"/>
      <c r="S878" s="130"/>
      <c r="T878" s="130"/>
    </row>
    <row r="879">
      <c r="A879" s="155" t="s">
        <v>38</v>
      </c>
      <c r="B879" s="142">
        <v>2124.0</v>
      </c>
      <c r="C879" s="143">
        <v>2124.0</v>
      </c>
      <c r="D879" s="144" t="str">
        <f>IF(   ISERROR(OFFSET(PADRON!B$2,MATCH(C:C,PADRON!A$2:A1405,0)-1,0,1,1) )  ,  ,    OFFSET(PADRON!B$2,MATCH(C:C,PADRON!A$2:A1405,0)-1,0,1,1))</f>
        <v>NOVELLI, ALBERTO</v>
      </c>
      <c r="E879" s="145">
        <v>45839.0</v>
      </c>
      <c r="F879" s="145">
        <v>45901.0</v>
      </c>
      <c r="G879" s="146" t="s">
        <v>39</v>
      </c>
      <c r="H879" s="147">
        <f>IF( ISERROR( OFFSET(   'Cuadro tarifario'!D$2  , MATCH(CONCATENATE(                 IF(F879&gt;Mes,OFFSET(NroCT!B$17, MATCH($F879,NroCT!$A$18:$A1405,0),0,1,1),Periodovigente)                                                                                                                     ,A879) ,'Cuadro tarifario'!A$2:A1405,0) -1 , 0 , 1 , 1) )   , 0  ,   OFFSET(   'Cuadro tarifario'!D$2  , MATCH(CONCATENATE( IF(F879&gt;Mes,OFFSET(NroCT!B$17, MATCH($F879,NroCT!$A$18:$A1405,0),0,1,1),Periodovigente) ,A879) ,'Cuadro tarifario'!A$2:A1405,0) -1 , 0 , 1 , 1))</f>
        <v>9000</v>
      </c>
      <c r="I879" s="148">
        <f t="shared" si="252"/>
        <v>2</v>
      </c>
      <c r="J879" s="147">
        <f t="shared" si="235"/>
        <v>18000</v>
      </c>
      <c r="K879" s="149">
        <f>IF(  AND(N879&gt;0,I879=0)          ,N879 ,                         IF(  IF( F879 ,  DAYS360(DATE(YEAR(F879),MONTH(F879),1),Mes)/30  ,  DAYS360(DATE(YEAR(E879),MONTH(E879),1),Mes)/30  )  &gt;  0 , IF(F879,   DAYS360(DATE(YEAR(F879),MONTH(F879),1),Mes)/30  ,  DAYS360(DATE(YEAR(E879),MONTH(E879),1),Mes)/30) , 0)       )</f>
        <v>0</v>
      </c>
      <c r="L879" s="150">
        <f t="shared" si="253"/>
        <v>0</v>
      </c>
      <c r="M879" s="151"/>
      <c r="N879" s="152">
        <f>IF( ISERROR(OFFSET(SECUESTRADOS!D$1,MATCH(B879,SECUESTRADOS!A$2:A1405,0),0)) ,0 ,  OFFSET(SECUESTRADOS!D$1,MATCH(B879,SECUESTRADOS!A$2:A1405,0),0)  )</f>
        <v>0</v>
      </c>
      <c r="O879" s="153"/>
      <c r="P879" s="154" t="str">
        <f t="shared" si="238"/>
        <v>Bono canon</v>
      </c>
      <c r="Q879" s="154" t="str">
        <f>IF(AND(A879=#REF!,B879=#REF!,C879=#REF!),"Repetido","")</f>
        <v>#REF!</v>
      </c>
      <c r="R879" s="130"/>
      <c r="S879" s="130"/>
      <c r="T879" s="130"/>
    </row>
    <row r="880">
      <c r="A880" s="155" t="s">
        <v>48</v>
      </c>
      <c r="B880" s="142" t="s">
        <v>379</v>
      </c>
      <c r="C880" s="143">
        <v>2124.0</v>
      </c>
      <c r="D880" s="144" t="str">
        <f>IF(   ISERROR(OFFSET(PADRON!B$2,MATCH(C:C,PADRON!A$2:A1405,0)-1,0,1,1) )  ,  ,    OFFSET(PADRON!B$2,MATCH(C:C,PADRON!A$2:A1405,0)-1,0,1,1))</f>
        <v>NOVELLI, ALBERTO</v>
      </c>
      <c r="E880" s="145">
        <v>45839.0</v>
      </c>
      <c r="F880" s="145">
        <v>45870.0</v>
      </c>
      <c r="G880" s="146" t="s">
        <v>39</v>
      </c>
      <c r="H880" s="147">
        <f>IF( ISERROR( OFFSET(   'Cuadro tarifario'!D$2  , MATCH(CONCATENATE(                 IF(F880&gt;Mes,OFFSET(NroCT!B$17, MATCH($F880,NroCT!$A$18:$A1405,0),0,1,1),Periodovigente)                                                                                                                     ,A880) ,'Cuadro tarifario'!A$2:A1405,0) -1 , 0 , 1 , 1) )   , 0  ,   OFFSET(   'Cuadro tarifario'!D$2  , MATCH(CONCATENATE( IF(F880&gt;Mes,OFFSET(NroCT!B$17, MATCH($F880,NroCT!$A$18:$A1405,0),0,1,1),Periodovigente) ,A880) ,'Cuadro tarifario'!A$2:A1405,0) -1 , 0 , 1 , 1))</f>
        <v>12000</v>
      </c>
      <c r="I880" s="148">
        <f t="shared" si="252"/>
        <v>1</v>
      </c>
      <c r="J880" s="147">
        <f t="shared" si="235"/>
        <v>12000</v>
      </c>
      <c r="K880" s="149">
        <f>IF(  AND(N880&gt;0,I880=0)          ,N880 ,                         IF(  IF( F880 ,  DAYS360(DATE(YEAR(F880),MONTH(F880),1),Mes)/30  ,  DAYS360(DATE(YEAR(E880),MONTH(E880),1),Mes)/30  )  &gt;  0 , IF(F880,   DAYS360(DATE(YEAR(F880),MONTH(F880),1),Mes)/30  ,  DAYS360(DATE(YEAR(E880),MONTH(E880),1),Mes)/30) , 0)       )</f>
        <v>0</v>
      </c>
      <c r="L880" s="150">
        <f t="shared" si="253"/>
        <v>0</v>
      </c>
      <c r="M880" s="151"/>
      <c r="N880" s="152">
        <f>IF( ISERROR(OFFSET(SECUESTRADOS!D$1,MATCH(B880,SECUESTRADOS!A$2:A1405,0),0)) ,0 ,  OFFSET(SECUESTRADOS!D$1,MATCH(B880,SECUESTRADOS!A$2:A1405,0),0)  )</f>
        <v>0</v>
      </c>
      <c r="O880" s="153"/>
      <c r="P880" s="154" t="str">
        <f t="shared" si="238"/>
        <v>velero</v>
      </c>
      <c r="Q880" s="154" t="str">
        <f t="shared" ref="Q880:Q881" si="293">IF(AND(A880=#REF!,B880=#REF!,C880=#REF!),"Repetido","")</f>
        <v>#REF!</v>
      </c>
      <c r="R880" s="130"/>
      <c r="S880" s="130"/>
      <c r="T880" s="130"/>
    </row>
    <row r="881">
      <c r="A881" s="155" t="s">
        <v>71</v>
      </c>
      <c r="B881" s="142">
        <v>2126.0</v>
      </c>
      <c r="C881" s="143">
        <v>2126.0</v>
      </c>
      <c r="D881" s="144" t="str">
        <f>IF(   ISERROR(OFFSET(PADRON!B$2,MATCH(C:C,PADRON!A$2:A1405,0)-1,0,1,1) )  ,  ,    OFFSET(PADRON!B$2,MATCH(C:C,PADRON!A$2:A1405,0)-1,0,1,1))</f>
        <v>CASTAÑEDA, MARIA AMELIA</v>
      </c>
      <c r="E881" s="145">
        <v>45839.0</v>
      </c>
      <c r="F881" s="145">
        <v>45870.0</v>
      </c>
      <c r="G881" s="146" t="s">
        <v>39</v>
      </c>
      <c r="H881" s="147">
        <f>IF( ISERROR( OFFSET(   'Cuadro tarifario'!D$2  , MATCH(CONCATENATE(                 IF(F881&gt;Mes,OFFSET(NroCT!B$17, MATCH($F881,NroCT!$A$18:$A1405,0),0,1,1),Periodovigente)                                                                                                                     ,A881) ,'Cuadro tarifario'!A$2:A1405,0) -1 , 0 , 1 , 1) )   , 0  ,   OFFSET(   'Cuadro tarifario'!D$2  , MATCH(CONCATENATE( IF(F881&gt;Mes,OFFSET(NroCT!B$17, MATCH($F881,NroCT!$A$18:$A1405,0),0,1,1),Periodovigente) ,A881) ,'Cuadro tarifario'!A$2:A1405,0) -1 , 0 , 1 , 1))</f>
        <v>11000</v>
      </c>
      <c r="I881" s="148">
        <f t="shared" si="252"/>
        <v>1</v>
      </c>
      <c r="J881" s="147">
        <f t="shared" si="235"/>
        <v>11000</v>
      </c>
      <c r="K881" s="149">
        <f>IF(  AND(N881&gt;0,I881=0)          ,N881 ,                         IF(  IF( F881 ,  DAYS360(DATE(YEAR(F881),MONTH(F881),1),Mes)/30  ,  DAYS360(DATE(YEAR(E881),MONTH(E881),1),Mes)/30  )  &gt;  0 , IF(F881,   DAYS360(DATE(YEAR(F881),MONTH(F881),1),Mes)/30  ,  DAYS360(DATE(YEAR(E881),MONTH(E881),1),Mes)/30) , 0)       )</f>
        <v>0</v>
      </c>
      <c r="L881" s="150">
        <f t="shared" si="253"/>
        <v>0</v>
      </c>
      <c r="M881" s="151"/>
      <c r="N881" s="152">
        <f>IF( ISERROR(OFFSET(SECUESTRADOS!D$1,MATCH(B881,SECUESTRADOS!A$2:A1405,0),0)) ,0 ,  OFFSET(SECUESTRADOS!D$1,MATCH(B881,SECUESTRADOS!A$2:A1405,0),0)  )</f>
        <v>0</v>
      </c>
      <c r="O881" s="153"/>
      <c r="P881" s="154" t="str">
        <f t="shared" si="238"/>
        <v>.socio</v>
      </c>
      <c r="Q881" s="154" t="str">
        <f t="shared" si="293"/>
        <v>#REF!</v>
      </c>
      <c r="R881" s="130"/>
      <c r="S881" s="130"/>
      <c r="T881" s="130"/>
    </row>
    <row r="882">
      <c r="A882" s="155" t="s">
        <v>38</v>
      </c>
      <c r="B882" s="142">
        <v>2126.0</v>
      </c>
      <c r="C882" s="143">
        <v>2126.0</v>
      </c>
      <c r="D882" s="144" t="str">
        <f>IF(   ISERROR(OFFSET(PADRON!B$2,MATCH(C:C,PADRON!A$2:A1405,0)-1,0,1,1) )  ,  ,    OFFSET(PADRON!B$2,MATCH(C:C,PADRON!A$2:A1405,0)-1,0,1,1))</f>
        <v>CASTAÑEDA, MARIA AMELIA</v>
      </c>
      <c r="E882" s="145">
        <v>45839.0</v>
      </c>
      <c r="F882" s="145">
        <v>45870.0</v>
      </c>
      <c r="G882" s="146" t="s">
        <v>39</v>
      </c>
      <c r="H882" s="147">
        <f>IF( ISERROR( OFFSET(   'Cuadro tarifario'!D$2  , MATCH(CONCATENATE(                 IF(F882&gt;Mes,OFFSET(NroCT!B$17, MATCH($F882,NroCT!$A$18:$A1405,0),0,1,1),Periodovigente)                                                                                                                     ,A882) ,'Cuadro tarifario'!A$2:A1405,0) -1 , 0 , 1 , 1) )   , 0  ,   OFFSET(   'Cuadro tarifario'!D$2  , MATCH(CONCATENATE( IF(F882&gt;Mes,OFFSET(NroCT!B$17, MATCH($F882,NroCT!$A$18:$A1405,0),0,1,1),Periodovigente) ,A882) ,'Cuadro tarifario'!A$2:A1405,0) -1 , 0 , 1 , 1))</f>
        <v>9000</v>
      </c>
      <c r="I882" s="148">
        <f t="shared" si="252"/>
        <v>1</v>
      </c>
      <c r="J882" s="147">
        <f t="shared" si="235"/>
        <v>9000</v>
      </c>
      <c r="K882" s="149">
        <f>IF(  AND(N882&gt;0,I882=0)          ,N882 ,                         IF(  IF( F882 ,  DAYS360(DATE(YEAR(F882),MONTH(F882),1),Mes)/30  ,  DAYS360(DATE(YEAR(E882),MONTH(E882),1),Mes)/30  )  &gt;  0 , IF(F882,   DAYS360(DATE(YEAR(F882),MONTH(F882),1),Mes)/30  ,  DAYS360(DATE(YEAR(E882),MONTH(E882),1),Mes)/30) , 0)       )</f>
        <v>0</v>
      </c>
      <c r="L882" s="150">
        <f t="shared" si="253"/>
        <v>0</v>
      </c>
      <c r="M882" s="151"/>
      <c r="N882" s="152">
        <f>IF( ISERROR(OFFSET(SECUESTRADOS!D$1,MATCH(B882,SECUESTRADOS!A$2:A1405,0),0)) ,0 ,  OFFSET(SECUESTRADOS!D$1,MATCH(B882,SECUESTRADOS!A$2:A1405,0),0)  )</f>
        <v>0</v>
      </c>
      <c r="O882" s="153"/>
      <c r="P882" s="154" t="str">
        <f t="shared" si="238"/>
        <v>Bono canon</v>
      </c>
      <c r="Q882" s="154" t="str">
        <f>IF(AND(A882=#REF!,B882=#REF!,C882=#REF!),"Repetido","")</f>
        <v>#REF!</v>
      </c>
      <c r="R882" s="130"/>
      <c r="S882" s="130"/>
      <c r="T882" s="130"/>
    </row>
    <row r="883">
      <c r="A883" s="155" t="s">
        <v>40</v>
      </c>
      <c r="B883" s="142" t="s">
        <v>380</v>
      </c>
      <c r="C883" s="143">
        <v>2126.0</v>
      </c>
      <c r="D883" s="144" t="str">
        <f>IF(   ISERROR(OFFSET(PADRON!B$2,MATCH(C:C,PADRON!A$2:A1405,0)-1,0,1,1) )  ,  ,    OFFSET(PADRON!B$2,MATCH(C:C,PADRON!A$2:A1405,0)-1,0,1,1))</f>
        <v>CASTAÑEDA, MARIA AMELIA</v>
      </c>
      <c r="E883" s="145">
        <v>45839.0</v>
      </c>
      <c r="F883" s="145">
        <v>45870.0</v>
      </c>
      <c r="G883" s="146" t="s">
        <v>39</v>
      </c>
      <c r="H883" s="147">
        <f>IF( ISERROR( OFFSET(   'Cuadro tarifario'!D$2  , MATCH(CONCATENATE(                 IF(F883&gt;Mes,OFFSET(NroCT!B$17, MATCH($F883,NroCT!$A$18:$A1405,0),0,1,1),Periodovigente)                                                                                                                     ,A883) ,'Cuadro tarifario'!A$2:A1405,0) -1 , 0 , 1 , 1) )   , 0  ,   OFFSET(   'Cuadro tarifario'!D$2  , MATCH(CONCATENATE( IF(F883&gt;Mes,OFFSET(NroCT!B$17, MATCH($F883,NroCT!$A$18:$A1405,0),0,1,1),Periodovigente) ,A883) ,'Cuadro tarifario'!A$2:A1405,0) -1 , 0 , 1 , 1))</f>
        <v>12000</v>
      </c>
      <c r="I883" s="148">
        <f t="shared" si="252"/>
        <v>1</v>
      </c>
      <c r="J883" s="147">
        <f t="shared" si="235"/>
        <v>12000</v>
      </c>
      <c r="K883" s="149">
        <f>IF(  AND(N883&gt;0,I883=0)          ,N883 ,                         IF(  IF( F883 ,  DAYS360(DATE(YEAR(F883),MONTH(F883),1),Mes)/30  ,  DAYS360(DATE(YEAR(E883),MONTH(E883),1),Mes)/30  )  &gt;  0 , IF(F883,   DAYS360(DATE(YEAR(F883),MONTH(F883),1),Mes)/30  ,  DAYS360(DATE(YEAR(E883),MONTH(E883),1),Mes)/30) , 0)       )</f>
        <v>0</v>
      </c>
      <c r="L883" s="150">
        <f t="shared" si="253"/>
        <v>0</v>
      </c>
      <c r="M883" s="151"/>
      <c r="N883" s="152">
        <f>IF( ISERROR(OFFSET(SECUESTRADOS!D$1,MATCH(B883,SECUESTRADOS!A$2:A1405,0),0)) ,0 ,  OFFSET(SECUESTRADOS!D$1,MATCH(B883,SECUESTRADOS!A$2:A1405,0),0)  )</f>
        <v>0</v>
      </c>
      <c r="O883" s="153"/>
      <c r="P883" s="154" t="str">
        <f t="shared" si="238"/>
        <v>cuna windsurf</v>
      </c>
      <c r="Q883" s="154" t="str">
        <f>IF(AND(A883=#REF!,B883=#REF!,C883=#REF!),"Repetido","")</f>
        <v>#REF!</v>
      </c>
      <c r="R883" s="130"/>
      <c r="S883" s="130"/>
      <c r="T883" s="130"/>
    </row>
    <row r="884">
      <c r="A884" s="155" t="s">
        <v>71</v>
      </c>
      <c r="B884" s="142">
        <v>2127.0</v>
      </c>
      <c r="C884" s="143">
        <v>2127.0</v>
      </c>
      <c r="D884" s="144" t="str">
        <f>IF(   ISERROR(OFFSET(PADRON!B$2,MATCH(C:C,PADRON!A$2:A1405,0)-1,0,1,1) )  ,  ,    OFFSET(PADRON!B$2,MATCH(C:C,PADRON!A$2:A1405,0)-1,0,1,1))</f>
        <v>LANGONI, MARCELA</v>
      </c>
      <c r="E884" s="145">
        <v>45778.0</v>
      </c>
      <c r="F884" s="145">
        <v>45870.0</v>
      </c>
      <c r="G884" s="146" t="s">
        <v>39</v>
      </c>
      <c r="H884" s="147">
        <f>IF( ISERROR( OFFSET(   'Cuadro tarifario'!D$2  , MATCH(CONCATENATE(                 IF(F884&gt;Mes,OFFSET(NroCT!B$17, MATCH($F884,NroCT!$A$18:$A1405,0),0,1,1),Periodovigente)                                                                                                                     ,A884) ,'Cuadro tarifario'!A$2:A1405,0) -1 , 0 , 1 , 1) )   , 0  ,   OFFSET(   'Cuadro tarifario'!D$2  , MATCH(CONCATENATE( IF(F884&gt;Mes,OFFSET(NroCT!B$17, MATCH($F884,NroCT!$A$18:$A1405,0),0,1,1),Periodovigente) ,A884) ,'Cuadro tarifario'!A$2:A1405,0) -1 , 0 , 1 , 1))</f>
        <v>11000</v>
      </c>
      <c r="I884" s="148">
        <f t="shared" si="252"/>
        <v>3</v>
      </c>
      <c r="J884" s="147">
        <f t="shared" si="235"/>
        <v>33000</v>
      </c>
      <c r="K884" s="149">
        <f>IF(  AND(N884&gt;0,I884=0)          ,N884 ,                         IF(  IF( F884 ,  DAYS360(DATE(YEAR(F884),MONTH(F884),1),Mes)/30  ,  DAYS360(DATE(YEAR(E884),MONTH(E884),1),Mes)/30  )  &gt;  0 , IF(F884,   DAYS360(DATE(YEAR(F884),MONTH(F884),1),Mes)/30  ,  DAYS360(DATE(YEAR(E884),MONTH(E884),1),Mes)/30) , 0)       )</f>
        <v>0</v>
      </c>
      <c r="L884" s="150">
        <f t="shared" si="253"/>
        <v>0</v>
      </c>
      <c r="M884" s="151"/>
      <c r="N884" s="152">
        <f>IF( ISERROR(OFFSET(SECUESTRADOS!D$1,MATCH(B884,SECUESTRADOS!A$2:A1405,0),0)) ,0 ,  OFFSET(SECUESTRADOS!D$1,MATCH(B884,SECUESTRADOS!A$2:A1405,0),0)  )</f>
        <v>0</v>
      </c>
      <c r="O884" s="153"/>
      <c r="P884" s="154" t="str">
        <f t="shared" si="238"/>
        <v>.socio</v>
      </c>
      <c r="Q884" s="154" t="str">
        <f>IF(AND(A884=#REF!,B884=#REF!,C884=#REF!),"Repetido","")</f>
        <v>#REF!</v>
      </c>
      <c r="R884" s="130"/>
      <c r="S884" s="130"/>
      <c r="T884" s="130"/>
    </row>
    <row r="885">
      <c r="A885" s="155" t="s">
        <v>38</v>
      </c>
      <c r="B885" s="142">
        <v>2127.0</v>
      </c>
      <c r="C885" s="143">
        <v>2127.0</v>
      </c>
      <c r="D885" s="144" t="str">
        <f>IF(   ISERROR(OFFSET(PADRON!B$2,MATCH(C:C,PADRON!A$2:A1405,0)-1,0,1,1) )  ,  ,    OFFSET(PADRON!B$2,MATCH(C:C,PADRON!A$2:A1405,0)-1,0,1,1))</f>
        <v>LANGONI, MARCELA</v>
      </c>
      <c r="E885" s="145">
        <v>45778.0</v>
      </c>
      <c r="F885" s="145">
        <v>45870.0</v>
      </c>
      <c r="G885" s="146" t="s">
        <v>39</v>
      </c>
      <c r="H885" s="147">
        <f>IF( ISERROR( OFFSET(   'Cuadro tarifario'!D$2  , MATCH(CONCATENATE(                 IF(F885&gt;Mes,OFFSET(NroCT!B$17, MATCH($F885,NroCT!$A$18:$A1405,0),0,1,1),Periodovigente)                                                                                                                     ,A885) ,'Cuadro tarifario'!A$2:A1405,0) -1 , 0 , 1 , 1) )   , 0  ,   OFFSET(   'Cuadro tarifario'!D$2  , MATCH(CONCATENATE( IF(F885&gt;Mes,OFFSET(NroCT!B$17, MATCH($F885,NroCT!$A$18:$A1405,0),0,1,1),Periodovigente) ,A885) ,'Cuadro tarifario'!A$2:A1405,0) -1 , 0 , 1 , 1))</f>
        <v>9000</v>
      </c>
      <c r="I885" s="148">
        <f t="shared" si="252"/>
        <v>3</v>
      </c>
      <c r="J885" s="147">
        <f t="shared" si="235"/>
        <v>27000</v>
      </c>
      <c r="K885" s="149">
        <f>IF(  AND(N885&gt;0,I885=0)          ,N885 ,                         IF(  IF( F885 ,  DAYS360(DATE(YEAR(F885),MONTH(F885),1),Mes)/30  ,  DAYS360(DATE(YEAR(E885),MONTH(E885),1),Mes)/30  )  &gt;  0 , IF(F885,   DAYS360(DATE(YEAR(F885),MONTH(F885),1),Mes)/30  ,  DAYS360(DATE(YEAR(E885),MONTH(E885),1),Mes)/30) , 0)       )</f>
        <v>0</v>
      </c>
      <c r="L885" s="150">
        <f t="shared" si="253"/>
        <v>0</v>
      </c>
      <c r="M885" s="151"/>
      <c r="N885" s="152">
        <f>IF( ISERROR(OFFSET(SECUESTRADOS!D$1,MATCH(B885,SECUESTRADOS!A$2:A1405,0),0)) ,0 ,  OFFSET(SECUESTRADOS!D$1,MATCH(B885,SECUESTRADOS!A$2:A1405,0),0)  )</f>
        <v>0</v>
      </c>
      <c r="O885" s="153"/>
      <c r="P885" s="154" t="str">
        <f t="shared" si="238"/>
        <v>Bono canon</v>
      </c>
      <c r="Q885" s="154" t="str">
        <f>IF(AND(A885=#REF!,B885=#REF!,C885=#REF!),"Repetido","")</f>
        <v>#REF!</v>
      </c>
      <c r="R885" s="130"/>
      <c r="S885" s="130"/>
      <c r="T885" s="130"/>
    </row>
    <row r="886">
      <c r="A886" s="155" t="s">
        <v>71</v>
      </c>
      <c r="B886" s="142">
        <v>2129.0</v>
      </c>
      <c r="C886" s="143">
        <v>2129.0</v>
      </c>
      <c r="D886" s="144" t="str">
        <f>IF(   ISERROR(OFFSET(PADRON!B$2,MATCH(C:C,PADRON!A$2:A1405,0)-1,0,1,1) )  ,  ,    OFFSET(PADRON!B$2,MATCH(C:C,PADRON!A$2:A1405,0)-1,0,1,1))</f>
        <v>RODRIGUEZ, JULIAN</v>
      </c>
      <c r="E886" s="145">
        <v>45839.0</v>
      </c>
      <c r="F886" s="145">
        <v>45870.0</v>
      </c>
      <c r="G886" s="146" t="s">
        <v>39</v>
      </c>
      <c r="H886" s="147">
        <f>IF( ISERROR( OFFSET(   'Cuadro tarifario'!D$2  , MATCH(CONCATENATE(                 IF(F886&gt;Mes,OFFSET(NroCT!B$17, MATCH($F886,NroCT!$A$18:$A1405,0),0,1,1),Periodovigente)                                                                                                                     ,A886) ,'Cuadro tarifario'!A$2:A1405,0) -1 , 0 , 1 , 1) )   , 0  ,   OFFSET(   'Cuadro tarifario'!D$2  , MATCH(CONCATENATE( IF(F886&gt;Mes,OFFSET(NroCT!B$17, MATCH($F886,NroCT!$A$18:$A1405,0),0,1,1),Periodovigente) ,A886) ,'Cuadro tarifario'!A$2:A1405,0) -1 , 0 , 1 , 1))</f>
        <v>11000</v>
      </c>
      <c r="I886" s="148">
        <f t="shared" si="252"/>
        <v>1</v>
      </c>
      <c r="J886" s="147">
        <f t="shared" si="235"/>
        <v>11000</v>
      </c>
      <c r="K886" s="149">
        <f>IF(  AND(N886&gt;0,I886=0)          ,N886 ,                         IF(  IF( F886 ,  DAYS360(DATE(YEAR(F886),MONTH(F886),1),Mes)/30  ,  DAYS360(DATE(YEAR(E886),MONTH(E886),1),Mes)/30  )  &gt;  0 , IF(F886,   DAYS360(DATE(YEAR(F886),MONTH(F886),1),Mes)/30  ,  DAYS360(DATE(YEAR(E886),MONTH(E886),1),Mes)/30) , 0)       )</f>
        <v>0</v>
      </c>
      <c r="L886" s="150">
        <f t="shared" si="253"/>
        <v>0</v>
      </c>
      <c r="M886" s="151"/>
      <c r="N886" s="152">
        <f>IF( ISERROR(OFFSET(SECUESTRADOS!D$1,MATCH(B886,SECUESTRADOS!A$2:A1405,0),0)) ,0 ,  OFFSET(SECUESTRADOS!D$1,MATCH(B886,SECUESTRADOS!A$2:A1405,0),0)  )</f>
        <v>0</v>
      </c>
      <c r="O886" s="153"/>
      <c r="P886" s="154" t="str">
        <f t="shared" si="238"/>
        <v>.socio</v>
      </c>
      <c r="Q886" s="154" t="str">
        <f>IF(AND(A886=#REF!,B886=#REF!,C886=#REF!),"Repetido","")</f>
        <v>#REF!</v>
      </c>
      <c r="R886" s="130"/>
      <c r="S886" s="130"/>
      <c r="T886" s="130"/>
    </row>
    <row r="887">
      <c r="A887" s="155" t="s">
        <v>38</v>
      </c>
      <c r="B887" s="142">
        <v>2129.0</v>
      </c>
      <c r="C887" s="143">
        <v>2129.0</v>
      </c>
      <c r="D887" s="144" t="str">
        <f>IF(   ISERROR(OFFSET(PADRON!B$2,MATCH(C:C,PADRON!A$2:A1405,0)-1,0,1,1) )  ,  ,    OFFSET(PADRON!B$2,MATCH(C:C,PADRON!A$2:A1405,0)-1,0,1,1))</f>
        <v>RODRIGUEZ, JULIAN</v>
      </c>
      <c r="E887" s="145">
        <v>45839.0</v>
      </c>
      <c r="F887" s="145">
        <v>45870.0</v>
      </c>
      <c r="G887" s="146" t="s">
        <v>39</v>
      </c>
      <c r="H887" s="147">
        <f>IF( ISERROR( OFFSET(   'Cuadro tarifario'!D$2  , MATCH(CONCATENATE(                 IF(F887&gt;Mes,OFFSET(NroCT!B$17, MATCH($F887,NroCT!$A$18:$A1405,0),0,1,1),Periodovigente)                                                                                                                     ,A887) ,'Cuadro tarifario'!A$2:A1405,0) -1 , 0 , 1 , 1) )   , 0  ,   OFFSET(   'Cuadro tarifario'!D$2  , MATCH(CONCATENATE( IF(F887&gt;Mes,OFFSET(NroCT!B$17, MATCH($F887,NroCT!$A$18:$A1405,0),0,1,1),Periodovigente) ,A887) ,'Cuadro tarifario'!A$2:A1405,0) -1 , 0 , 1 , 1))</f>
        <v>9000</v>
      </c>
      <c r="I887" s="148">
        <f t="shared" si="252"/>
        <v>1</v>
      </c>
      <c r="J887" s="147">
        <f t="shared" si="235"/>
        <v>9000</v>
      </c>
      <c r="K887" s="149">
        <f>IF(  AND(N887&gt;0,I887=0)          ,N887 ,                         IF(  IF( F887 ,  DAYS360(DATE(YEAR(F887),MONTH(F887),1),Mes)/30  ,  DAYS360(DATE(YEAR(E887),MONTH(E887),1),Mes)/30  )  &gt;  0 , IF(F887,   DAYS360(DATE(YEAR(F887),MONTH(F887),1),Mes)/30  ,  DAYS360(DATE(YEAR(E887),MONTH(E887),1),Mes)/30) , 0)       )</f>
        <v>0</v>
      </c>
      <c r="L887" s="150">
        <f t="shared" si="253"/>
        <v>0</v>
      </c>
      <c r="M887" s="151"/>
      <c r="N887" s="152">
        <f>IF( ISERROR(OFFSET(SECUESTRADOS!D$1,MATCH(B887,SECUESTRADOS!A$2:A1405,0),0)) ,0 ,  OFFSET(SECUESTRADOS!D$1,MATCH(B887,SECUESTRADOS!A$2:A1405,0),0)  )</f>
        <v>0</v>
      </c>
      <c r="O887" s="153"/>
      <c r="P887" s="154" t="str">
        <f t="shared" si="238"/>
        <v>Bono canon</v>
      </c>
      <c r="Q887" s="154" t="str">
        <f>IF(AND(A887=#REF!,B887=#REF!,C887=#REF!),"Repetido","")</f>
        <v>#REF!</v>
      </c>
      <c r="R887" s="130"/>
      <c r="S887" s="130"/>
      <c r="T887" s="130"/>
    </row>
    <row r="888">
      <c r="A888" s="155" t="s">
        <v>71</v>
      </c>
      <c r="B888" s="142">
        <v>2131.0</v>
      </c>
      <c r="C888" s="143">
        <v>2131.0</v>
      </c>
      <c r="D888" s="144" t="str">
        <f>IF(   ISERROR(OFFSET(PADRON!B$2,MATCH(C:C,PADRON!A$2:A1405,0)-1,0,1,1) )  ,  ,    OFFSET(PADRON!B$2,MATCH(C:C,PADRON!A$2:A1405,0)-1,0,1,1))</f>
        <v>ABRHAM, JULIETA</v>
      </c>
      <c r="E888" s="145">
        <v>45962.0</v>
      </c>
      <c r="F888" s="145"/>
      <c r="G888" s="146" t="s">
        <v>39</v>
      </c>
      <c r="H888" s="147">
        <f>IF( ISERROR( OFFSET(   'Cuadro tarifario'!D$2  , MATCH(CONCATENATE(                 IF(F888&gt;Mes,OFFSET(NroCT!B$17, MATCH($F888,NroCT!$A$18:$A1405,0),0,1,1),Periodovigente)                                                                                                                     ,A888) ,'Cuadro tarifario'!A$2:A1405,0) -1 , 0 , 1 , 1) )   , 0  ,   OFFSET(   'Cuadro tarifario'!D$2  , MATCH(CONCATENATE( IF(F888&gt;Mes,OFFSET(NroCT!B$17, MATCH($F888,NroCT!$A$18:$A1405,0),0,1,1),Periodovigente) ,A888) ,'Cuadro tarifario'!A$2:A1405,0) -1 , 0 , 1 , 1))</f>
        <v>11000</v>
      </c>
      <c r="I888" s="148">
        <f t="shared" si="252"/>
        <v>0</v>
      </c>
      <c r="J888" s="147">
        <f t="shared" si="235"/>
        <v>0</v>
      </c>
      <c r="K888" s="149">
        <f>IF(  AND(N888&gt;0,I888=0)          ,N888 ,                         IF(  IF( F888 ,  DAYS360(DATE(YEAR(F888),MONTH(F888),1),Mes)/30  ,  DAYS360(DATE(YEAR(E888),MONTH(E888),1),Mes)/30  )  &gt;  0 , IF(F888,   DAYS360(DATE(YEAR(F888),MONTH(F888),1),Mes)/30  ,  DAYS360(DATE(YEAR(E888),MONTH(E888),1),Mes)/30) , 0)       )</f>
        <v>0</v>
      </c>
      <c r="L888" s="150">
        <f t="shared" si="253"/>
        <v>0</v>
      </c>
      <c r="M888" s="151"/>
      <c r="N888" s="152">
        <f>IF( ISERROR(OFFSET(SECUESTRADOS!D$1,MATCH(B888,SECUESTRADOS!A$2:A1405,0),0)) ,0 ,  OFFSET(SECUESTRADOS!D$1,MATCH(B888,SECUESTRADOS!A$2:A1405,0),0)  )</f>
        <v>0</v>
      </c>
      <c r="O888" s="153"/>
      <c r="P888" s="154" t="b">
        <f t="shared" si="238"/>
        <v>0</v>
      </c>
      <c r="Q888" s="154" t="str">
        <f>IF(AND(A888=#REF!,B888=#REF!,C888=#REF!),"Repetido","")</f>
        <v>#REF!</v>
      </c>
      <c r="R888" s="130"/>
      <c r="S888" s="130"/>
      <c r="T888" s="130"/>
    </row>
    <row r="889">
      <c r="A889" s="155" t="s">
        <v>38</v>
      </c>
      <c r="B889" s="142">
        <v>2131.0</v>
      </c>
      <c r="C889" s="143">
        <v>2131.0</v>
      </c>
      <c r="D889" s="144" t="str">
        <f>IF(   ISERROR(OFFSET(PADRON!B$2,MATCH(C:C,PADRON!A$2:A1405,0)-1,0,1,1) )  ,  ,    OFFSET(PADRON!B$2,MATCH(C:C,PADRON!A$2:A1405,0)-1,0,1,1))</f>
        <v>ABRHAM, JULIETA</v>
      </c>
      <c r="E889" s="145">
        <v>45962.0</v>
      </c>
      <c r="F889" s="145"/>
      <c r="G889" s="146" t="s">
        <v>39</v>
      </c>
      <c r="H889" s="147">
        <f>IF( ISERROR( OFFSET(   'Cuadro tarifario'!D$2  , MATCH(CONCATENATE(                 IF(F889&gt;Mes,OFFSET(NroCT!B$17, MATCH($F889,NroCT!$A$18:$A1405,0),0,1,1),Periodovigente)                                                                                                                     ,A889) ,'Cuadro tarifario'!A$2:A1405,0) -1 , 0 , 1 , 1) )   , 0  ,   OFFSET(   'Cuadro tarifario'!D$2  , MATCH(CONCATENATE( IF(F889&gt;Mes,OFFSET(NroCT!B$17, MATCH($F889,NroCT!$A$18:$A1405,0),0,1,1),Periodovigente) ,A889) ,'Cuadro tarifario'!A$2:A1405,0) -1 , 0 , 1 , 1))</f>
        <v>9000</v>
      </c>
      <c r="I889" s="148">
        <f t="shared" si="252"/>
        <v>0</v>
      </c>
      <c r="J889" s="147">
        <f t="shared" si="235"/>
        <v>0</v>
      </c>
      <c r="K889" s="149">
        <f>IF(  AND(N889&gt;0,I889=0)          ,N889 ,                         IF(  IF( F889 ,  DAYS360(DATE(YEAR(F889),MONTH(F889),1),Mes)/30  ,  DAYS360(DATE(YEAR(E889),MONTH(E889),1),Mes)/30  )  &gt;  0 , IF(F889,   DAYS360(DATE(YEAR(F889),MONTH(F889),1),Mes)/30  ,  DAYS360(DATE(YEAR(E889),MONTH(E889),1),Mes)/30) , 0)       )</f>
        <v>0</v>
      </c>
      <c r="L889" s="150">
        <f t="shared" si="253"/>
        <v>0</v>
      </c>
      <c r="M889" s="151"/>
      <c r="N889" s="152">
        <f>IF( ISERROR(OFFSET(SECUESTRADOS!D$1,MATCH(B889,SECUESTRADOS!A$2:A1405,0),0)) ,0 ,  OFFSET(SECUESTRADOS!D$1,MATCH(B889,SECUESTRADOS!A$2:A1405,0),0)  )</f>
        <v>0</v>
      </c>
      <c r="O889" s="153"/>
      <c r="P889" s="154" t="b">
        <f t="shared" si="238"/>
        <v>0</v>
      </c>
      <c r="Q889" s="154" t="str">
        <f t="shared" ref="Q889:Q891" si="294">IF(AND(A889=#REF!,B889=#REF!,C889=#REF!),"Repetido","")</f>
        <v>#REF!</v>
      </c>
      <c r="R889" s="130"/>
      <c r="S889" s="130"/>
      <c r="T889" s="130"/>
    </row>
    <row r="890">
      <c r="A890" s="155" t="s">
        <v>71</v>
      </c>
      <c r="B890" s="142">
        <v>2134.0</v>
      </c>
      <c r="C890" s="143">
        <v>2134.0</v>
      </c>
      <c r="D890" s="144" t="str">
        <f>IF(   ISERROR(OFFSET(PADRON!B$2,MATCH(C:C,PADRON!A$2:A1405,0)-1,0,1,1) )  ,  ,    OFFSET(PADRON!B$2,MATCH(C:C,PADRON!A$2:A1405,0)-1,0,1,1))</f>
        <v>MARMISSOLLE, MARCOS</v>
      </c>
      <c r="E890" s="145">
        <v>45809.0</v>
      </c>
      <c r="F890" s="145"/>
      <c r="G890" s="146" t="s">
        <v>39</v>
      </c>
      <c r="H890" s="147">
        <f>IF( ISERROR( OFFSET(   'Cuadro tarifario'!D$2  , MATCH(CONCATENATE(                 IF(F890&gt;Mes,OFFSET(NroCT!B$17, MATCH($F890,NroCT!$A$18:$A1405,0),0,1,1),Periodovigente)                                                                                                                     ,A890) ,'Cuadro tarifario'!A$2:A1405,0) -1 , 0 , 1 , 1) )   , 0  ,   OFFSET(   'Cuadro tarifario'!D$2  , MATCH(CONCATENATE( IF(F890&gt;Mes,OFFSET(NroCT!B$17, MATCH($F890,NroCT!$A$18:$A1405,0),0,1,1),Periodovigente) ,A890) ,'Cuadro tarifario'!A$2:A1405,0) -1 , 0 , 1 , 1))</f>
        <v>11000</v>
      </c>
      <c r="I890" s="148">
        <f t="shared" si="252"/>
        <v>0</v>
      </c>
      <c r="J890" s="147">
        <f t="shared" si="235"/>
        <v>0</v>
      </c>
      <c r="K890" s="149">
        <f>IF(  AND(N890&gt;0,I890=0)          ,N890 ,                         IF(  IF( F890 ,  DAYS360(DATE(YEAR(F890),MONTH(F890),1),Mes)/30  ,  DAYS360(DATE(YEAR(E890),MONTH(E890),1),Mes)/30  )  &gt;  0 , IF(F890,   DAYS360(DATE(YEAR(F890),MONTH(F890),1),Mes)/30  ,  DAYS360(DATE(YEAR(E890),MONTH(E890),1),Mes)/30) , 0)       )</f>
        <v>2</v>
      </c>
      <c r="L890" s="150">
        <f t="shared" si="253"/>
        <v>22000</v>
      </c>
      <c r="M890" s="151"/>
      <c r="N890" s="152">
        <f>IF( ISERROR(OFFSET(SECUESTRADOS!D$1,MATCH(B890,SECUESTRADOS!A$2:A1405,0),0)) ,0 ,  OFFSET(SECUESTRADOS!D$1,MATCH(B890,SECUESTRADOS!A$2:A1405,0),0)  )</f>
        <v>0</v>
      </c>
      <c r="O890" s="153"/>
      <c r="P890" s="154" t="b">
        <f t="shared" si="238"/>
        <v>0</v>
      </c>
      <c r="Q890" s="154" t="str">
        <f t="shared" si="294"/>
        <v>#REF!</v>
      </c>
      <c r="R890" s="130"/>
      <c r="S890" s="130"/>
      <c r="T890" s="130"/>
    </row>
    <row r="891">
      <c r="A891" s="155" t="s">
        <v>38</v>
      </c>
      <c r="B891" s="142">
        <v>2134.0</v>
      </c>
      <c r="C891" s="143">
        <v>2134.0</v>
      </c>
      <c r="D891" s="144" t="str">
        <f>IF(   ISERROR(OFFSET(PADRON!B$2,MATCH(C:C,PADRON!A$2:A1405,0)-1,0,1,1) )  ,  ,    OFFSET(PADRON!B$2,MATCH(C:C,PADRON!A$2:A1405,0)-1,0,1,1))</f>
        <v>MARMISSOLLE, MARCOS</v>
      </c>
      <c r="E891" s="145">
        <v>45809.0</v>
      </c>
      <c r="F891" s="145"/>
      <c r="G891" s="146" t="s">
        <v>39</v>
      </c>
      <c r="H891" s="147">
        <f>IF( ISERROR( OFFSET(   'Cuadro tarifario'!D$2  , MATCH(CONCATENATE(                 IF(F891&gt;Mes,OFFSET(NroCT!B$17, MATCH($F891,NroCT!$A$18:$A1405,0),0,1,1),Periodovigente)                                                                                                                     ,A891) ,'Cuadro tarifario'!A$2:A1405,0) -1 , 0 , 1 , 1) )   , 0  ,   OFFSET(   'Cuadro tarifario'!D$2  , MATCH(CONCATENATE( IF(F891&gt;Mes,OFFSET(NroCT!B$17, MATCH($F891,NroCT!$A$18:$A1405,0),0,1,1),Periodovigente) ,A891) ,'Cuadro tarifario'!A$2:A1405,0) -1 , 0 , 1 , 1))</f>
        <v>9000</v>
      </c>
      <c r="I891" s="148">
        <f t="shared" si="252"/>
        <v>0</v>
      </c>
      <c r="J891" s="147">
        <f t="shared" si="235"/>
        <v>0</v>
      </c>
      <c r="K891" s="149">
        <f>IF(  AND(N891&gt;0,I891=0)          ,N891 ,                         IF(  IF( F891 ,  DAYS360(DATE(YEAR(F891),MONTH(F891),1),Mes)/30  ,  DAYS360(DATE(YEAR(E891),MONTH(E891),1),Mes)/30  )  &gt;  0 , IF(F891,   DAYS360(DATE(YEAR(F891),MONTH(F891),1),Mes)/30  ,  DAYS360(DATE(YEAR(E891),MONTH(E891),1),Mes)/30) , 0)       )</f>
        <v>2</v>
      </c>
      <c r="L891" s="150">
        <f t="shared" si="253"/>
        <v>18000</v>
      </c>
      <c r="M891" s="151"/>
      <c r="N891" s="152">
        <f>IF( ISERROR(OFFSET(SECUESTRADOS!D$1,MATCH(B891,SECUESTRADOS!A$2:A1405,0),0)) ,0 ,  OFFSET(SECUESTRADOS!D$1,MATCH(B891,SECUESTRADOS!A$2:A1405,0),0)  )</f>
        <v>0</v>
      </c>
      <c r="O891" s="153"/>
      <c r="P891" s="154" t="b">
        <f t="shared" si="238"/>
        <v>0</v>
      </c>
      <c r="Q891" s="154" t="str">
        <f t="shared" si="294"/>
        <v>#REF!</v>
      </c>
      <c r="R891" s="130"/>
      <c r="S891" s="130"/>
      <c r="T891" s="130"/>
    </row>
    <row r="892">
      <c r="A892" s="155" t="s">
        <v>40</v>
      </c>
      <c r="B892" s="142" t="s">
        <v>381</v>
      </c>
      <c r="C892" s="143">
        <v>2134.0</v>
      </c>
      <c r="D892" s="144" t="str">
        <f>IF(   ISERROR(OFFSET(PADRON!B$2,MATCH(C:C,PADRON!A$2:A1405,0)-1,0,1,1) )  ,  ,    OFFSET(PADRON!B$2,MATCH(C:C,PADRON!A$2:A1405,0)-1,0,1,1))</f>
        <v>MARMISSOLLE, MARCOS</v>
      </c>
      <c r="E892" s="145">
        <v>45809.0</v>
      </c>
      <c r="F892" s="145"/>
      <c r="G892" s="146" t="s">
        <v>39</v>
      </c>
      <c r="H892" s="147">
        <f>IF( ISERROR( OFFSET(   'Cuadro tarifario'!D$2  , MATCH(CONCATENATE(                 IF(F892&gt;Mes,OFFSET(NroCT!B$17, MATCH($F892,NroCT!$A$18:$A1405,0),0,1,1),Periodovigente)                                                                                                                     ,A892) ,'Cuadro tarifario'!A$2:A1405,0) -1 , 0 , 1 , 1) )   , 0  ,   OFFSET(   'Cuadro tarifario'!D$2  , MATCH(CONCATENATE( IF(F892&gt;Mes,OFFSET(NroCT!B$17, MATCH($F892,NroCT!$A$18:$A1405,0),0,1,1),Periodovigente) ,A892) ,'Cuadro tarifario'!A$2:A1405,0) -1 , 0 , 1 , 1))</f>
        <v>12000</v>
      </c>
      <c r="I892" s="148">
        <f t="shared" si="252"/>
        <v>0</v>
      </c>
      <c r="J892" s="147">
        <f t="shared" si="235"/>
        <v>0</v>
      </c>
      <c r="K892" s="149">
        <f>IF(  AND(N892&gt;0,I892=0)          ,N892 ,                         IF(  IF( F892 ,  DAYS360(DATE(YEAR(F892),MONTH(F892),1),Mes)/30  ,  DAYS360(DATE(YEAR(E892),MONTH(E892),1),Mes)/30  )  &gt;  0 , IF(F892,   DAYS360(DATE(YEAR(F892),MONTH(F892),1),Mes)/30  ,  DAYS360(DATE(YEAR(E892),MONTH(E892),1),Mes)/30) , 0)       )</f>
        <v>2</v>
      </c>
      <c r="L892" s="150">
        <f t="shared" si="253"/>
        <v>24000</v>
      </c>
      <c r="M892" s="151"/>
      <c r="N892" s="152">
        <f>IF( ISERROR(OFFSET(SECUESTRADOS!D$1,MATCH(B892,SECUESTRADOS!A$2:A1405,0),0)) ,0 ,  OFFSET(SECUESTRADOS!D$1,MATCH(B892,SECUESTRADOS!A$2:A1405,0),0)  )</f>
        <v>0</v>
      </c>
      <c r="O892" s="153"/>
      <c r="P892" s="154" t="b">
        <f t="shared" si="238"/>
        <v>0</v>
      </c>
      <c r="Q892" s="154" t="str">
        <f>IF(AND(A892=#REF!,B892=#REF!,C892=#REF!),"Repetido","")</f>
        <v>#REF!</v>
      </c>
      <c r="R892" s="130"/>
      <c r="S892" s="130"/>
      <c r="T892" s="130"/>
    </row>
    <row r="893">
      <c r="A893" s="155" t="s">
        <v>71</v>
      </c>
      <c r="B893" s="142">
        <v>2136.0</v>
      </c>
      <c r="C893" s="143">
        <v>2136.0</v>
      </c>
      <c r="D893" s="144" t="str">
        <f>IF(   ISERROR(OFFSET(PADRON!B$2,MATCH(C:C,PADRON!A$2:A1405,0)-1,0,1,1) )  ,  ,    OFFSET(PADRON!B$2,MATCH(C:C,PADRON!A$2:A1405,0)-1,0,1,1))</f>
        <v>ETCHEVERS, PABLO</v>
      </c>
      <c r="E893" s="145">
        <v>45839.0</v>
      </c>
      <c r="F893" s="145">
        <v>45870.0</v>
      </c>
      <c r="G893" s="146" t="s">
        <v>39</v>
      </c>
      <c r="H893" s="147">
        <f>IF( ISERROR( OFFSET(   'Cuadro tarifario'!D$2  , MATCH(CONCATENATE(                 IF(F893&gt;Mes,OFFSET(NroCT!B$17, MATCH($F893,NroCT!$A$18:$A1405,0),0,1,1),Periodovigente)                                                                                                                     ,A893) ,'Cuadro tarifario'!A$2:A1405,0) -1 , 0 , 1 , 1) )   , 0  ,   OFFSET(   'Cuadro tarifario'!D$2  , MATCH(CONCATENATE( IF(F893&gt;Mes,OFFSET(NroCT!B$17, MATCH($F893,NroCT!$A$18:$A1405,0),0,1,1),Periodovigente) ,A893) ,'Cuadro tarifario'!A$2:A1405,0) -1 , 0 , 1 , 1))</f>
        <v>11000</v>
      </c>
      <c r="I893" s="148">
        <f t="shared" si="252"/>
        <v>1</v>
      </c>
      <c r="J893" s="147">
        <f t="shared" si="235"/>
        <v>11000</v>
      </c>
      <c r="K893" s="149">
        <f>IF(  AND(N893&gt;0,I893=0)          ,N893 ,                         IF(  IF( F893 ,  DAYS360(DATE(YEAR(F893),MONTH(F893),1),Mes)/30  ,  DAYS360(DATE(YEAR(E893),MONTH(E893),1),Mes)/30  )  &gt;  0 , IF(F893,   DAYS360(DATE(YEAR(F893),MONTH(F893),1),Mes)/30  ,  DAYS360(DATE(YEAR(E893),MONTH(E893),1),Mes)/30) , 0)       )</f>
        <v>0</v>
      </c>
      <c r="L893" s="150">
        <f t="shared" si="253"/>
        <v>0</v>
      </c>
      <c r="M893" s="151"/>
      <c r="N893" s="152">
        <f>IF( ISERROR(OFFSET(SECUESTRADOS!D$1,MATCH(B893,SECUESTRADOS!A$2:A1405,0),0)) ,0 ,  OFFSET(SECUESTRADOS!D$1,MATCH(B893,SECUESTRADOS!A$2:A1405,0),0)  )</f>
        <v>0</v>
      </c>
      <c r="O893" s="153"/>
      <c r="P893" s="154" t="str">
        <f t="shared" si="238"/>
        <v>.socio</v>
      </c>
      <c r="Q893" s="154" t="str">
        <f t="shared" ref="Q893:Q896" si="295">IF(AND(A893=#REF!,B893=#REF!,C893=#REF!),"Repetido","")</f>
        <v>#REF!</v>
      </c>
      <c r="R893" s="130"/>
      <c r="S893" s="130"/>
      <c r="T893" s="130"/>
    </row>
    <row r="894">
      <c r="A894" s="155" t="s">
        <v>38</v>
      </c>
      <c r="B894" s="142">
        <v>2136.0</v>
      </c>
      <c r="C894" s="143">
        <v>2136.0</v>
      </c>
      <c r="D894" s="144" t="str">
        <f>IF(   ISERROR(OFFSET(PADRON!B$2,MATCH(C:C,PADRON!A$2:A1405,0)-1,0,1,1) )  ,  ,    OFFSET(PADRON!B$2,MATCH(C:C,PADRON!A$2:A1405,0)-1,0,1,1))</f>
        <v>ETCHEVERS, PABLO</v>
      </c>
      <c r="E894" s="145">
        <v>45839.0</v>
      </c>
      <c r="F894" s="145">
        <v>45870.0</v>
      </c>
      <c r="G894" s="146" t="s">
        <v>39</v>
      </c>
      <c r="H894" s="147">
        <f>IF( ISERROR( OFFSET(   'Cuadro tarifario'!D$2  , MATCH(CONCATENATE(                 IF(F894&gt;Mes,OFFSET(NroCT!B$17, MATCH($F894,NroCT!$A$18:$A1405,0),0,1,1),Periodovigente)                                                                                                                     ,A894) ,'Cuadro tarifario'!A$2:A1405,0) -1 , 0 , 1 , 1) )   , 0  ,   OFFSET(   'Cuadro tarifario'!D$2  , MATCH(CONCATENATE( IF(F894&gt;Mes,OFFSET(NroCT!B$17, MATCH($F894,NroCT!$A$18:$A1405,0),0,1,1),Periodovigente) ,A894) ,'Cuadro tarifario'!A$2:A1405,0) -1 , 0 , 1 , 1))</f>
        <v>9000</v>
      </c>
      <c r="I894" s="148">
        <f t="shared" si="252"/>
        <v>1</v>
      </c>
      <c r="J894" s="147">
        <f t="shared" si="235"/>
        <v>9000</v>
      </c>
      <c r="K894" s="149">
        <f>IF(  AND(N894&gt;0,I894=0)          ,N894 ,                         IF(  IF( F894 ,  DAYS360(DATE(YEAR(F894),MONTH(F894),1),Mes)/30  ,  DAYS360(DATE(YEAR(E894),MONTH(E894),1),Mes)/30  )  &gt;  0 , IF(F894,   DAYS360(DATE(YEAR(F894),MONTH(F894),1),Mes)/30  ,  DAYS360(DATE(YEAR(E894),MONTH(E894),1),Mes)/30) , 0)       )</f>
        <v>0</v>
      </c>
      <c r="L894" s="150">
        <f t="shared" si="253"/>
        <v>0</v>
      </c>
      <c r="M894" s="151"/>
      <c r="N894" s="152">
        <f>IF( ISERROR(OFFSET(SECUESTRADOS!D$1,MATCH(B894,SECUESTRADOS!A$2:A1405,0),0)) ,0 ,  OFFSET(SECUESTRADOS!D$1,MATCH(B894,SECUESTRADOS!A$2:A1405,0),0)  )</f>
        <v>0</v>
      </c>
      <c r="O894" s="153"/>
      <c r="P894" s="154" t="str">
        <f t="shared" si="238"/>
        <v>Bono canon</v>
      </c>
      <c r="Q894" s="154" t="str">
        <f t="shared" si="295"/>
        <v>#REF!</v>
      </c>
      <c r="R894" s="130"/>
      <c r="S894" s="130"/>
      <c r="T894" s="130"/>
    </row>
    <row r="895">
      <c r="A895" s="155" t="s">
        <v>40</v>
      </c>
      <c r="B895" s="142" t="s">
        <v>382</v>
      </c>
      <c r="C895" s="143">
        <v>2136.0</v>
      </c>
      <c r="D895" s="144" t="str">
        <f>IF(   ISERROR(OFFSET(PADRON!B$2,MATCH(C:C,PADRON!A$2:A1405,0)-1,0,1,1) )  ,  ,    OFFSET(PADRON!B$2,MATCH(C:C,PADRON!A$2:A1405,0)-1,0,1,1))</f>
        <v>ETCHEVERS, PABLO</v>
      </c>
      <c r="E895" s="145">
        <v>45839.0</v>
      </c>
      <c r="F895" s="145">
        <v>45870.0</v>
      </c>
      <c r="G895" s="146" t="s">
        <v>39</v>
      </c>
      <c r="H895" s="147">
        <f>IF( ISERROR( OFFSET(   'Cuadro tarifario'!D$2  , MATCH(CONCATENATE(                 IF(F895&gt;Mes,OFFSET(NroCT!B$17, MATCH($F895,NroCT!$A$18:$A1405,0),0,1,1),Periodovigente)                                                                                                                     ,A895) ,'Cuadro tarifario'!A$2:A1405,0) -1 , 0 , 1 , 1) )   , 0  ,   OFFSET(   'Cuadro tarifario'!D$2  , MATCH(CONCATENATE( IF(F895&gt;Mes,OFFSET(NroCT!B$17, MATCH($F895,NroCT!$A$18:$A1405,0),0,1,1),Periodovigente) ,A895) ,'Cuadro tarifario'!A$2:A1405,0) -1 , 0 , 1 , 1))</f>
        <v>12000</v>
      </c>
      <c r="I895" s="148">
        <f t="shared" si="252"/>
        <v>1</v>
      </c>
      <c r="J895" s="147">
        <f t="shared" si="235"/>
        <v>12000</v>
      </c>
      <c r="K895" s="149">
        <f>IF(  AND(N895&gt;0,I895=0)          ,N895 ,                         IF(  IF( F895 ,  DAYS360(DATE(YEAR(F895),MONTH(F895),1),Mes)/30  ,  DAYS360(DATE(YEAR(E895),MONTH(E895),1),Mes)/30  )  &gt;  0 , IF(F895,   DAYS360(DATE(YEAR(F895),MONTH(F895),1),Mes)/30  ,  DAYS360(DATE(YEAR(E895),MONTH(E895),1),Mes)/30) , 0)       )</f>
        <v>0</v>
      </c>
      <c r="L895" s="150">
        <f t="shared" si="253"/>
        <v>0</v>
      </c>
      <c r="M895" s="151"/>
      <c r="N895" s="152">
        <f>IF( ISERROR(OFFSET(SECUESTRADOS!D$1,MATCH(B895,SECUESTRADOS!A$2:A1405,0),0)) ,0 ,  OFFSET(SECUESTRADOS!D$1,MATCH(B895,SECUESTRADOS!A$2:A1405,0),0)  )</f>
        <v>0</v>
      </c>
      <c r="O895" s="153"/>
      <c r="P895" s="154" t="str">
        <f t="shared" si="238"/>
        <v>cuna windsurf</v>
      </c>
      <c r="Q895" s="154" t="str">
        <f t="shared" si="295"/>
        <v>#REF!</v>
      </c>
      <c r="R895" s="130"/>
      <c r="S895" s="130"/>
      <c r="T895" s="130"/>
    </row>
    <row r="896">
      <c r="A896" s="155" t="s">
        <v>40</v>
      </c>
      <c r="B896" s="142" t="s">
        <v>383</v>
      </c>
      <c r="C896" s="143">
        <v>2136.0</v>
      </c>
      <c r="D896" s="144" t="str">
        <f>IF(   ISERROR(OFFSET(PADRON!B$2,MATCH(C:C,PADRON!A$2:A1405,0)-1,0,1,1) )  ,  ,    OFFSET(PADRON!B$2,MATCH(C:C,PADRON!A$2:A1405,0)-1,0,1,1))</f>
        <v>ETCHEVERS, PABLO</v>
      </c>
      <c r="E896" s="145">
        <v>45839.0</v>
      </c>
      <c r="F896" s="145">
        <v>45870.0</v>
      </c>
      <c r="G896" s="146" t="s">
        <v>39</v>
      </c>
      <c r="H896" s="147">
        <f>IF( ISERROR( OFFSET(   'Cuadro tarifario'!D$2  , MATCH(CONCATENATE(                 IF(F896&gt;Mes,OFFSET(NroCT!B$17, MATCH($F896,NroCT!$A$18:$A1405,0),0,1,1),Periodovigente)                                                                                                                     ,A896) ,'Cuadro tarifario'!A$2:A1405,0) -1 , 0 , 1 , 1) )   , 0  ,   OFFSET(   'Cuadro tarifario'!D$2  , MATCH(CONCATENATE( IF(F896&gt;Mes,OFFSET(NroCT!B$17, MATCH($F896,NroCT!$A$18:$A1405,0),0,1,1),Periodovigente) ,A896) ,'Cuadro tarifario'!A$2:A1405,0) -1 , 0 , 1 , 1))</f>
        <v>12000</v>
      </c>
      <c r="I896" s="148">
        <f t="shared" si="252"/>
        <v>1</v>
      </c>
      <c r="J896" s="147">
        <f t="shared" si="235"/>
        <v>12000</v>
      </c>
      <c r="K896" s="149">
        <f>IF(  AND(N896&gt;0,I896=0)          ,N896 ,                         IF(  IF( F896 ,  DAYS360(DATE(YEAR(F896),MONTH(F896),1),Mes)/30  ,  DAYS360(DATE(YEAR(E896),MONTH(E896),1),Mes)/30  )  &gt;  0 , IF(F896,   DAYS360(DATE(YEAR(F896),MONTH(F896),1),Mes)/30  ,  DAYS360(DATE(YEAR(E896),MONTH(E896),1),Mes)/30) , 0)       )</f>
        <v>0</v>
      </c>
      <c r="L896" s="150">
        <f t="shared" si="253"/>
        <v>0</v>
      </c>
      <c r="M896" s="151"/>
      <c r="N896" s="152">
        <f>IF( ISERROR(OFFSET(SECUESTRADOS!D$1,MATCH(B896,SECUESTRADOS!A$2:A1405,0),0)) ,0 ,  OFFSET(SECUESTRADOS!D$1,MATCH(B896,SECUESTRADOS!A$2:A1405,0),0)  )</f>
        <v>0</v>
      </c>
      <c r="O896" s="153"/>
      <c r="P896" s="154" t="str">
        <f t="shared" si="238"/>
        <v>cuna windsurf</v>
      </c>
      <c r="Q896" s="154" t="str">
        <f t="shared" si="295"/>
        <v>#REF!</v>
      </c>
      <c r="R896" s="130"/>
      <c r="S896" s="130"/>
      <c r="T896" s="130"/>
    </row>
    <row r="897">
      <c r="A897" s="155" t="s">
        <v>42</v>
      </c>
      <c r="B897" s="142" t="s">
        <v>384</v>
      </c>
      <c r="C897" s="143">
        <v>2136.0</v>
      </c>
      <c r="D897" s="144" t="str">
        <f>IF(   ISERROR(OFFSET(PADRON!B$2,MATCH(C:C,PADRON!A$2:A1405,0)-1,0,1,1) )  ,  ,    OFFSET(PADRON!B$2,MATCH(C:C,PADRON!A$2:A1405,0)-1,0,1,1))</f>
        <v>ETCHEVERS, PABLO</v>
      </c>
      <c r="E897" s="145">
        <v>45992.0</v>
      </c>
      <c r="F897" s="145"/>
      <c r="G897" s="146" t="s">
        <v>39</v>
      </c>
      <c r="H897" s="147">
        <f>IF( ISERROR( OFFSET(   'Cuadro tarifario'!D$2  , MATCH(CONCATENATE(                 IF(F897&gt;Mes,OFFSET(NroCT!B$17, MATCH($F897,NroCT!$A$18:$A1405,0),0,1,1),Periodovigente)                                                                                                                     ,A897) ,'Cuadro tarifario'!A$2:A1405,0) -1 , 0 , 1 , 1) )   , 0  ,   OFFSET(   'Cuadro tarifario'!D$2  , MATCH(CONCATENATE( IF(F897&gt;Mes,OFFSET(NroCT!B$17, MATCH($F897,NroCT!$A$18:$A1405,0),0,1,1),Periodovigente) ,A897) ,'Cuadro tarifario'!A$2:A1405,0) -1 , 0 , 1 , 1))</f>
        <v>4000</v>
      </c>
      <c r="I897" s="148">
        <f t="shared" si="252"/>
        <v>0</v>
      </c>
      <c r="J897" s="147">
        <f t="shared" si="235"/>
        <v>0</v>
      </c>
      <c r="K897" s="149">
        <f>IF(  AND(N897&gt;0,I897=0)          ,N897 ,                         IF(  IF( F897 ,  DAYS360(DATE(YEAR(F897),MONTH(F897),1),Mes)/30  ,  DAYS360(DATE(YEAR(E897),MONTH(E897),1),Mes)/30  )  &gt;  0 , IF(F897,   DAYS360(DATE(YEAR(F897),MONTH(F897),1),Mes)/30  ,  DAYS360(DATE(YEAR(E897),MONTH(E897),1),Mes)/30) , 0)       )</f>
        <v>0</v>
      </c>
      <c r="L897" s="150">
        <f t="shared" si="253"/>
        <v>0</v>
      </c>
      <c r="M897" s="151"/>
      <c r="N897" s="152">
        <f>IF( ISERROR(OFFSET(SECUESTRADOS!D$1,MATCH(B897,SECUESTRADOS!A$2:A1405,0),0)) ,0 ,  OFFSET(SECUESTRADOS!D$1,MATCH(B897,SECUESTRADOS!A$2:A1405,0),0)  )</f>
        <v>0</v>
      </c>
      <c r="O897" s="153"/>
      <c r="P897" s="154" t="b">
        <f t="shared" si="238"/>
        <v>0</v>
      </c>
      <c r="Q897" s="154" t="str">
        <f t="shared" ref="Q897:Q899" si="296">IF(AND(A897=#REF!,B897=#REF!,C897=#REF!),"Repetido","")</f>
        <v>#REF!</v>
      </c>
      <c r="R897" s="130"/>
      <c r="S897" s="130"/>
      <c r="T897" s="130"/>
    </row>
    <row r="898">
      <c r="A898" s="155" t="s">
        <v>42</v>
      </c>
      <c r="B898" s="142" t="s">
        <v>385</v>
      </c>
      <c r="C898" s="143">
        <v>2136.0</v>
      </c>
      <c r="D898" s="144" t="str">
        <f>IF(   ISERROR(OFFSET(PADRON!B$2,MATCH(C:C,PADRON!A$2:A1405,0)-1,0,1,1) )  ,  ,    OFFSET(PADRON!B$2,MATCH(C:C,PADRON!A$2:A1405,0)-1,0,1,1))</f>
        <v>ETCHEVERS, PABLO</v>
      </c>
      <c r="E898" s="145">
        <v>45992.0</v>
      </c>
      <c r="F898" s="145"/>
      <c r="G898" s="146" t="s">
        <v>39</v>
      </c>
      <c r="H898" s="147">
        <f>IF( ISERROR( OFFSET(   'Cuadro tarifario'!D$2  , MATCH(CONCATENATE(                 IF(F898&gt;Mes,OFFSET(NroCT!B$17, MATCH($F898,NroCT!$A$18:$A1405,0),0,1,1),Periodovigente)                                                                                                                     ,A898) ,'Cuadro tarifario'!A$2:A1405,0) -1 , 0 , 1 , 1) )   , 0  ,   OFFSET(   'Cuadro tarifario'!D$2  , MATCH(CONCATENATE( IF(F898&gt;Mes,OFFSET(NroCT!B$17, MATCH($F898,NroCT!$A$18:$A1405,0),0,1,1),Periodovigente) ,A898) ,'Cuadro tarifario'!A$2:A1405,0) -1 , 0 , 1 , 1))</f>
        <v>4000</v>
      </c>
      <c r="I898" s="148">
        <f t="shared" si="252"/>
        <v>0</v>
      </c>
      <c r="J898" s="147">
        <f t="shared" si="235"/>
        <v>0</v>
      </c>
      <c r="K898" s="149">
        <f>IF(  AND(N898&gt;0,I898=0)          ,N898 ,                         IF(  IF( F898 ,  DAYS360(DATE(YEAR(F898),MONTH(F898),1),Mes)/30  ,  DAYS360(DATE(YEAR(E898),MONTH(E898),1),Mes)/30  )  &gt;  0 , IF(F898,   DAYS360(DATE(YEAR(F898),MONTH(F898),1),Mes)/30  ,  DAYS360(DATE(YEAR(E898),MONTH(E898),1),Mes)/30) , 0)       )</f>
        <v>0</v>
      </c>
      <c r="L898" s="150">
        <f t="shared" si="253"/>
        <v>0</v>
      </c>
      <c r="M898" s="151"/>
      <c r="N898" s="152">
        <f>IF( ISERROR(OFFSET(SECUESTRADOS!D$1,MATCH(B898,SECUESTRADOS!A$2:A1405,0),0)) ,0 ,  OFFSET(SECUESTRADOS!D$1,MATCH(B898,SECUESTRADOS!A$2:A1405,0),0)  )</f>
        <v>0</v>
      </c>
      <c r="O898" s="153"/>
      <c r="P898" s="154" t="b">
        <f t="shared" si="238"/>
        <v>0</v>
      </c>
      <c r="Q898" s="154" t="str">
        <f t="shared" si="296"/>
        <v>#REF!</v>
      </c>
      <c r="R898" s="130"/>
      <c r="S898" s="130"/>
      <c r="T898" s="130"/>
    </row>
    <row r="899">
      <c r="A899" s="155" t="s">
        <v>52</v>
      </c>
      <c r="B899" s="142" t="s">
        <v>386</v>
      </c>
      <c r="C899" s="143">
        <v>2136.0</v>
      </c>
      <c r="D899" s="144" t="str">
        <f>IF(   ISERROR(OFFSET(PADRON!B$2,MATCH(C:C,PADRON!A$2:A1405,0)-1,0,1,1) )  ,  ,    OFFSET(PADRON!B$2,MATCH(C:C,PADRON!A$2:A1405,0)-1,0,1,1))</f>
        <v>ETCHEVERS, PABLO</v>
      </c>
      <c r="E899" s="145">
        <v>45992.0</v>
      </c>
      <c r="F899" s="145"/>
      <c r="G899" s="146" t="s">
        <v>39</v>
      </c>
      <c r="H899" s="147">
        <f>IF( ISERROR( OFFSET(   'Cuadro tarifario'!D$2  , MATCH(CONCATENATE(                 IF(F899&gt;Mes,OFFSET(NroCT!B$17, MATCH($F899,NroCT!$A$18:$A1405,0),0,1,1),Periodovigente)                                                                                                                     ,A899) ,'Cuadro tarifario'!A$2:A1405,0) -1 , 0 , 1 , 1) )   , 0  ,   OFFSET(   'Cuadro tarifario'!D$2  , MATCH(CONCATENATE( IF(F899&gt;Mes,OFFSET(NroCT!B$17, MATCH($F899,NroCT!$A$18:$A1405,0),0,1,1),Periodovigente) ,A899) ,'Cuadro tarifario'!A$2:A1405,0) -1 , 0 , 1 , 1))</f>
        <v>4000</v>
      </c>
      <c r="I899" s="148">
        <f t="shared" si="252"/>
        <v>0</v>
      </c>
      <c r="J899" s="147">
        <f t="shared" si="235"/>
        <v>0</v>
      </c>
      <c r="K899" s="149">
        <f>IF(  AND(N899&gt;0,I899=0)          ,N899 ,                         IF(  IF( F899 ,  DAYS360(DATE(YEAR(F899),MONTH(F899),1),Mes)/30  ,  DAYS360(DATE(YEAR(E899),MONTH(E899),1),Mes)/30  )  &gt;  0 , IF(F899,   DAYS360(DATE(YEAR(F899),MONTH(F899),1),Mes)/30  ,  DAYS360(DATE(YEAR(E899),MONTH(E899),1),Mes)/30) , 0)       )</f>
        <v>0</v>
      </c>
      <c r="L899" s="150">
        <f t="shared" si="253"/>
        <v>0</v>
      </c>
      <c r="M899" s="151"/>
      <c r="N899" s="152">
        <f>IF( ISERROR(OFFSET(SECUESTRADOS!D$1,MATCH(B899,SECUESTRADOS!A$2:A1405,0),0)) ,0 ,  OFFSET(SECUESTRADOS!D$1,MATCH(B899,SECUESTRADOS!A$2:A1405,0),0)  )</f>
        <v>0</v>
      </c>
      <c r="O899" s="153"/>
      <c r="P899" s="154" t="b">
        <f t="shared" si="238"/>
        <v>0</v>
      </c>
      <c r="Q899" s="154" t="str">
        <f t="shared" si="296"/>
        <v>#REF!</v>
      </c>
      <c r="R899" s="130"/>
      <c r="S899" s="130"/>
      <c r="T899" s="130"/>
    </row>
    <row r="900">
      <c r="A900" s="155" t="s">
        <v>71</v>
      </c>
      <c r="B900" s="142">
        <v>2138.0</v>
      </c>
      <c r="C900" s="143">
        <v>2138.0</v>
      </c>
      <c r="D900" s="144" t="str">
        <f>IF(   ISERROR(OFFSET(PADRON!B$2,MATCH(C:C,PADRON!A$2:A1405,0)-1,0,1,1) )  ,  ,    OFFSET(PADRON!B$2,MATCH(C:C,PADRON!A$2:A1405,0)-1,0,1,1))</f>
        <v>KARAGENZIAN, MATIAS</v>
      </c>
      <c r="E900" s="145">
        <v>45839.0</v>
      </c>
      <c r="F900" s="145">
        <v>45870.0</v>
      </c>
      <c r="G900" s="146" t="s">
        <v>39</v>
      </c>
      <c r="H900" s="147">
        <f>IF( ISERROR( OFFSET(   'Cuadro tarifario'!D$2  , MATCH(CONCATENATE(                 IF(F900&gt;Mes,OFFSET(NroCT!B$17, MATCH($F900,NroCT!$A$18:$A1405,0),0,1,1),Periodovigente)                                                                                                                     ,A900) ,'Cuadro tarifario'!A$2:A1405,0) -1 , 0 , 1 , 1) )   , 0  ,   OFFSET(   'Cuadro tarifario'!D$2  , MATCH(CONCATENATE( IF(F900&gt;Mes,OFFSET(NroCT!B$17, MATCH($F900,NroCT!$A$18:$A1405,0),0,1,1),Periodovigente) ,A900) ,'Cuadro tarifario'!A$2:A1405,0) -1 , 0 , 1 , 1))</f>
        <v>11000</v>
      </c>
      <c r="I900" s="148">
        <f t="shared" si="252"/>
        <v>1</v>
      </c>
      <c r="J900" s="147">
        <f t="shared" si="235"/>
        <v>11000</v>
      </c>
      <c r="K900" s="149">
        <f>IF(  AND(N900&gt;0,I900=0)          ,N900 ,                         IF(  IF( F900 ,  DAYS360(DATE(YEAR(F900),MONTH(F900),1),Mes)/30  ,  DAYS360(DATE(YEAR(E900),MONTH(E900),1),Mes)/30  )  &gt;  0 , IF(F900,   DAYS360(DATE(YEAR(F900),MONTH(F900),1),Mes)/30  ,  DAYS360(DATE(YEAR(E900),MONTH(E900),1),Mes)/30) , 0)       )</f>
        <v>0</v>
      </c>
      <c r="L900" s="150">
        <f t="shared" si="253"/>
        <v>0</v>
      </c>
      <c r="M900" s="151"/>
      <c r="N900" s="152">
        <f>IF( ISERROR(OFFSET(SECUESTRADOS!D$1,MATCH(B900,SECUESTRADOS!A$2:A1405,0),0)) ,0 ,  OFFSET(SECUESTRADOS!D$1,MATCH(B900,SECUESTRADOS!A$2:A1405,0),0)  )</f>
        <v>0</v>
      </c>
      <c r="O900" s="153"/>
      <c r="P900" s="154" t="str">
        <f t="shared" si="238"/>
        <v>.socio</v>
      </c>
      <c r="Q900" s="154" t="str">
        <f t="shared" ref="Q900:Q902" si="297">IF(AND(A900=#REF!,B900=#REF!,C900=#REF!),"Repetido","")</f>
        <v>#REF!</v>
      </c>
      <c r="R900" s="130"/>
      <c r="S900" s="130"/>
      <c r="T900" s="130"/>
    </row>
    <row r="901">
      <c r="A901" s="155" t="s">
        <v>38</v>
      </c>
      <c r="B901" s="142">
        <v>2138.0</v>
      </c>
      <c r="C901" s="143">
        <v>2138.0</v>
      </c>
      <c r="D901" s="144" t="str">
        <f>IF(   ISERROR(OFFSET(PADRON!B$2,MATCH(C:C,PADRON!A$2:A1405,0)-1,0,1,1) )  ,  ,    OFFSET(PADRON!B$2,MATCH(C:C,PADRON!A$2:A1405,0)-1,0,1,1))</f>
        <v>KARAGENZIAN, MATIAS</v>
      </c>
      <c r="E901" s="145">
        <v>45839.0</v>
      </c>
      <c r="F901" s="145">
        <v>45870.0</v>
      </c>
      <c r="G901" s="146" t="s">
        <v>39</v>
      </c>
      <c r="H901" s="147">
        <f>IF( ISERROR( OFFSET(   'Cuadro tarifario'!D$2  , MATCH(CONCATENATE(                 IF(F901&gt;Mes,OFFSET(NroCT!B$17, MATCH($F901,NroCT!$A$18:$A1405,0),0,1,1),Periodovigente)                                                                                                                     ,A901) ,'Cuadro tarifario'!A$2:A1405,0) -1 , 0 , 1 , 1) )   , 0  ,   OFFSET(   'Cuadro tarifario'!D$2  , MATCH(CONCATENATE( IF(F901&gt;Mes,OFFSET(NroCT!B$17, MATCH($F901,NroCT!$A$18:$A1405,0),0,1,1),Periodovigente) ,A901) ,'Cuadro tarifario'!A$2:A1405,0) -1 , 0 , 1 , 1))</f>
        <v>9000</v>
      </c>
      <c r="I901" s="148">
        <f t="shared" si="252"/>
        <v>1</v>
      </c>
      <c r="J901" s="147">
        <f t="shared" si="235"/>
        <v>9000</v>
      </c>
      <c r="K901" s="149">
        <f>IF(  AND(N901&gt;0,I901=0)          ,N901 ,                         IF(  IF( F901 ,  DAYS360(DATE(YEAR(F901),MONTH(F901),1),Mes)/30  ,  DAYS360(DATE(YEAR(E901),MONTH(E901),1),Mes)/30  )  &gt;  0 , IF(F901,   DAYS360(DATE(YEAR(F901),MONTH(F901),1),Mes)/30  ,  DAYS360(DATE(YEAR(E901),MONTH(E901),1),Mes)/30) , 0)       )</f>
        <v>0</v>
      </c>
      <c r="L901" s="150">
        <f t="shared" si="253"/>
        <v>0</v>
      </c>
      <c r="M901" s="151"/>
      <c r="N901" s="152">
        <f>IF( ISERROR(OFFSET(SECUESTRADOS!D$1,MATCH(B901,SECUESTRADOS!A$2:A1405,0),0)) ,0 ,  OFFSET(SECUESTRADOS!D$1,MATCH(B901,SECUESTRADOS!A$2:A1405,0),0)  )</f>
        <v>0</v>
      </c>
      <c r="O901" s="153"/>
      <c r="P901" s="154" t="str">
        <f t="shared" si="238"/>
        <v>Bono canon</v>
      </c>
      <c r="Q901" s="154" t="str">
        <f t="shared" si="297"/>
        <v>#REF!</v>
      </c>
      <c r="R901" s="130"/>
      <c r="S901" s="130"/>
      <c r="T901" s="130"/>
    </row>
    <row r="902">
      <c r="A902" s="155" t="s">
        <v>82</v>
      </c>
      <c r="B902" s="142" t="s">
        <v>387</v>
      </c>
      <c r="C902" s="143">
        <v>2138.0</v>
      </c>
      <c r="D902" s="144" t="str">
        <f>IF(   ISERROR(OFFSET(PADRON!B$2,MATCH(C:C,PADRON!A$2:A1405,0)-1,0,1,1) )  ,  ,    OFFSET(PADRON!B$2,MATCH(C:C,PADRON!A$2:A1405,0)-1,0,1,1))</f>
        <v>KARAGENZIAN, MATIAS</v>
      </c>
      <c r="E902" s="145">
        <v>45839.0</v>
      </c>
      <c r="F902" s="145">
        <v>45870.0</v>
      </c>
      <c r="G902" s="146" t="s">
        <v>39</v>
      </c>
      <c r="H902" s="147">
        <f>IF( ISERROR( OFFSET(   'Cuadro tarifario'!D$2  , MATCH(CONCATENATE(                 IF(F902&gt;Mes,OFFSET(NroCT!B$17, MATCH($F902,NroCT!$A$18:$A1405,0),0,1,1),Periodovigente)                                                                                                                     ,A902) ,'Cuadro tarifario'!A$2:A1405,0) -1 , 0 , 1 , 1) )   , 0  ,   OFFSET(   'Cuadro tarifario'!D$2  , MATCH(CONCATENATE( IF(F902&gt;Mes,OFFSET(NroCT!B$17, MATCH($F902,NroCT!$A$18:$A1405,0),0,1,1),Periodovigente) ,A902) ,'Cuadro tarifario'!A$2:A1405,0) -1 , 0 , 1 , 1))</f>
        <v>12000</v>
      </c>
      <c r="I902" s="148">
        <f t="shared" si="252"/>
        <v>1</v>
      </c>
      <c r="J902" s="147">
        <f t="shared" si="235"/>
        <v>12000</v>
      </c>
      <c r="K902" s="149">
        <f>IF(  AND(N902&gt;0,I902=0)          ,N902 ,                         IF(  IF( F902 ,  DAYS360(DATE(YEAR(F902),MONTH(F902),1),Mes)/30  ,  DAYS360(DATE(YEAR(E902),MONTH(E902),1),Mes)/30  )  &gt;  0 , IF(F902,   DAYS360(DATE(YEAR(F902),MONTH(F902),1),Mes)/30  ,  DAYS360(DATE(YEAR(E902),MONTH(E902),1),Mes)/30) , 0)       )</f>
        <v>0</v>
      </c>
      <c r="L902" s="150">
        <f t="shared" si="253"/>
        <v>0</v>
      </c>
      <c r="M902" s="151"/>
      <c r="N902" s="152">
        <f>IF( ISERROR(OFFSET(SECUESTRADOS!D$1,MATCH(B902,SECUESTRADOS!A$2:A1405,0),0)) ,0 ,  OFFSET(SECUESTRADOS!D$1,MATCH(B902,SECUESTRADOS!A$2:A1405,0),0)  )</f>
        <v>0</v>
      </c>
      <c r="O902" s="153"/>
      <c r="P902" s="154" t="str">
        <f t="shared" si="238"/>
        <v>cuna kayak</v>
      </c>
      <c r="Q902" s="154" t="str">
        <f t="shared" si="297"/>
        <v>#REF!</v>
      </c>
      <c r="R902" s="130"/>
      <c r="S902" s="130"/>
      <c r="T902" s="130"/>
    </row>
    <row r="903">
      <c r="A903" s="155" t="s">
        <v>71</v>
      </c>
      <c r="B903" s="142">
        <v>2142.0</v>
      </c>
      <c r="C903" s="143">
        <v>2142.0</v>
      </c>
      <c r="D903" s="144" t="str">
        <f>IF(   ISERROR(OFFSET(PADRON!B$2,MATCH(C:C,PADRON!A$2:A1405,0)-1,0,1,1) )  ,  ,    OFFSET(PADRON!B$2,MATCH(C:C,PADRON!A$2:A1405,0)-1,0,1,1))</f>
        <v>CELLI, HERNAN HORACIO</v>
      </c>
      <c r="E903" s="145">
        <v>45839.0</v>
      </c>
      <c r="F903" s="145">
        <v>45870.0</v>
      </c>
      <c r="G903" s="146" t="s">
        <v>39</v>
      </c>
      <c r="H903" s="147">
        <f>IF( ISERROR( OFFSET(   'Cuadro tarifario'!D$2  , MATCH(CONCATENATE(                 IF(F903&gt;Mes,OFFSET(NroCT!B$17, MATCH($F903,NroCT!$A$18:$A1405,0),0,1,1),Periodovigente)                                                                                                                     ,A903) ,'Cuadro tarifario'!A$2:A1405,0) -1 , 0 , 1 , 1) )   , 0  ,   OFFSET(   'Cuadro tarifario'!D$2  , MATCH(CONCATENATE( IF(F903&gt;Mes,OFFSET(NroCT!B$17, MATCH($F903,NroCT!$A$18:$A1405,0),0,1,1),Periodovigente) ,A903) ,'Cuadro tarifario'!A$2:A1405,0) -1 , 0 , 1 , 1))</f>
        <v>11000</v>
      </c>
      <c r="I903" s="148">
        <f t="shared" si="252"/>
        <v>1</v>
      </c>
      <c r="J903" s="147">
        <f t="shared" si="235"/>
        <v>11000</v>
      </c>
      <c r="K903" s="149">
        <f>IF(  AND(N903&gt;0,I903=0)          ,N903 ,                         IF(  IF( F903 ,  DAYS360(DATE(YEAR(F903),MONTH(F903),1),Mes)/30  ,  DAYS360(DATE(YEAR(E903),MONTH(E903),1),Mes)/30  )  &gt;  0 , IF(F903,   DAYS360(DATE(YEAR(F903),MONTH(F903),1),Mes)/30  ,  DAYS360(DATE(YEAR(E903),MONTH(E903),1),Mes)/30) , 0)       )</f>
        <v>0</v>
      </c>
      <c r="L903" s="150">
        <f t="shared" si="253"/>
        <v>0</v>
      </c>
      <c r="M903" s="151"/>
      <c r="N903" s="152">
        <f>IF( ISERROR(OFFSET(SECUESTRADOS!D$1,MATCH(B903,SECUESTRADOS!A$2:A1405,0),0)) ,0 ,  OFFSET(SECUESTRADOS!D$1,MATCH(B903,SECUESTRADOS!A$2:A1405,0),0)  )</f>
        <v>0</v>
      </c>
      <c r="O903" s="153"/>
      <c r="P903" s="154" t="str">
        <f t="shared" si="238"/>
        <v>.socio</v>
      </c>
      <c r="Q903" s="154" t="str">
        <f>IF(AND(A903=#REF!,B903=#REF!,C903=#REF!),"Repetido","")</f>
        <v>#REF!</v>
      </c>
      <c r="R903" s="130"/>
      <c r="S903" s="130"/>
      <c r="T903" s="130"/>
    </row>
    <row r="904">
      <c r="A904" s="155" t="s">
        <v>38</v>
      </c>
      <c r="B904" s="142">
        <v>2142.0</v>
      </c>
      <c r="C904" s="143">
        <v>2142.0</v>
      </c>
      <c r="D904" s="144" t="str">
        <f>IF(   ISERROR(OFFSET(PADRON!B$2,MATCH(C:C,PADRON!A$2:A1405,0)-1,0,1,1) )  ,  ,    OFFSET(PADRON!B$2,MATCH(C:C,PADRON!A$2:A1405,0)-1,0,1,1))</f>
        <v>CELLI, HERNAN HORACIO</v>
      </c>
      <c r="E904" s="145">
        <v>45839.0</v>
      </c>
      <c r="F904" s="145">
        <v>45870.0</v>
      </c>
      <c r="G904" s="146" t="s">
        <v>39</v>
      </c>
      <c r="H904" s="147">
        <f>IF( ISERROR( OFFSET(   'Cuadro tarifario'!D$2  , MATCH(CONCATENATE(                 IF(F904&gt;Mes,OFFSET(NroCT!B$17, MATCH($F904,NroCT!$A$18:$A1405,0),0,1,1),Periodovigente)                                                                                                                     ,A904) ,'Cuadro tarifario'!A$2:A1405,0) -1 , 0 , 1 , 1) )   , 0  ,   OFFSET(   'Cuadro tarifario'!D$2  , MATCH(CONCATENATE( IF(F904&gt;Mes,OFFSET(NroCT!B$17, MATCH($F904,NroCT!$A$18:$A1405,0),0,1,1),Periodovigente) ,A904) ,'Cuadro tarifario'!A$2:A1405,0) -1 , 0 , 1 , 1))</f>
        <v>9000</v>
      </c>
      <c r="I904" s="148">
        <f t="shared" si="252"/>
        <v>1</v>
      </c>
      <c r="J904" s="147">
        <f t="shared" si="235"/>
        <v>9000</v>
      </c>
      <c r="K904" s="149">
        <f>IF(  AND(N904&gt;0,I904=0)          ,N904 ,                         IF(  IF( F904 ,  DAYS360(DATE(YEAR(F904),MONTH(F904),1),Mes)/30  ,  DAYS360(DATE(YEAR(E904),MONTH(E904),1),Mes)/30  )  &gt;  0 , IF(F904,   DAYS360(DATE(YEAR(F904),MONTH(F904),1),Mes)/30  ,  DAYS360(DATE(YEAR(E904),MONTH(E904),1),Mes)/30) , 0)       )</f>
        <v>0</v>
      </c>
      <c r="L904" s="150">
        <f t="shared" si="253"/>
        <v>0</v>
      </c>
      <c r="M904" s="151"/>
      <c r="N904" s="152">
        <f>IF( ISERROR(OFFSET(SECUESTRADOS!D$1,MATCH(B904,SECUESTRADOS!A$2:A1405,0),0)) ,0 ,  OFFSET(SECUESTRADOS!D$1,MATCH(B904,SECUESTRADOS!A$2:A1405,0),0)  )</f>
        <v>0</v>
      </c>
      <c r="O904" s="153"/>
      <c r="P904" s="154" t="str">
        <f t="shared" si="238"/>
        <v>Bono canon</v>
      </c>
      <c r="Q904" s="154" t="str">
        <f t="shared" ref="Q904:Q907" si="298">IF(AND(A904=#REF!,B904=#REF!,C904=#REF!),"Repetido","")</f>
        <v>#REF!</v>
      </c>
      <c r="R904" s="130"/>
      <c r="S904" s="130"/>
      <c r="T904" s="130"/>
    </row>
    <row r="905">
      <c r="A905" s="155" t="s">
        <v>48</v>
      </c>
      <c r="B905" s="142" t="s">
        <v>388</v>
      </c>
      <c r="C905" s="143">
        <v>2142.0</v>
      </c>
      <c r="D905" s="144" t="str">
        <f>IF(   ISERROR(OFFSET(PADRON!B$2,MATCH(C:C,PADRON!A$2:A1405,0)-1,0,1,1) )  ,  ,    OFFSET(PADRON!B$2,MATCH(C:C,PADRON!A$2:A1405,0)-1,0,1,1))</f>
        <v>CELLI, HERNAN HORACIO</v>
      </c>
      <c r="E905" s="145">
        <v>45839.0</v>
      </c>
      <c r="F905" s="145">
        <v>45870.0</v>
      </c>
      <c r="G905" s="146" t="s">
        <v>39</v>
      </c>
      <c r="H905" s="147">
        <f>IF( ISERROR( OFFSET(   'Cuadro tarifario'!D$2  , MATCH(CONCATENATE(                 IF(F905&gt;Mes,OFFSET(NroCT!B$17, MATCH($F905,NroCT!$A$18:$A1405,0),0,1,1),Periodovigente)                                                                                                                     ,A905) ,'Cuadro tarifario'!A$2:A1405,0) -1 , 0 , 1 , 1) )   , 0  ,   OFFSET(   'Cuadro tarifario'!D$2  , MATCH(CONCATENATE( IF(F905&gt;Mes,OFFSET(NroCT!B$17, MATCH($F905,NroCT!$A$18:$A1405,0),0,1,1),Periodovigente) ,A905) ,'Cuadro tarifario'!A$2:A1405,0) -1 , 0 , 1 , 1))</f>
        <v>12000</v>
      </c>
      <c r="I905" s="148">
        <f t="shared" si="252"/>
        <v>1</v>
      </c>
      <c r="J905" s="147">
        <f t="shared" si="235"/>
        <v>12000</v>
      </c>
      <c r="K905" s="149">
        <f>IF(  AND(N905&gt;0,I905=0)          ,N905 ,                         IF(  IF( F905 ,  DAYS360(DATE(YEAR(F905),MONTH(F905),1),Mes)/30  ,  DAYS360(DATE(YEAR(E905),MONTH(E905),1),Mes)/30  )  &gt;  0 , IF(F905,   DAYS360(DATE(YEAR(F905),MONTH(F905),1),Mes)/30  ,  DAYS360(DATE(YEAR(E905),MONTH(E905),1),Mes)/30) , 0)       )</f>
        <v>0</v>
      </c>
      <c r="L905" s="150">
        <f t="shared" si="253"/>
        <v>0</v>
      </c>
      <c r="M905" s="151"/>
      <c r="N905" s="152">
        <f>IF( ISERROR(OFFSET(SECUESTRADOS!D$1,MATCH(B905,SECUESTRADOS!A$2:A1405,0),0)) ,0 ,  OFFSET(SECUESTRADOS!D$1,MATCH(B905,SECUESTRADOS!A$2:A1405,0),0)  )</f>
        <v>0</v>
      </c>
      <c r="O905" s="153"/>
      <c r="P905" s="154" t="str">
        <f t="shared" si="238"/>
        <v>velero</v>
      </c>
      <c r="Q905" s="154" t="str">
        <f t="shared" si="298"/>
        <v>#REF!</v>
      </c>
      <c r="R905" s="130"/>
      <c r="S905" s="130"/>
      <c r="T905" s="130"/>
    </row>
    <row r="906">
      <c r="A906" s="155" t="s">
        <v>40</v>
      </c>
      <c r="B906" s="142" t="s">
        <v>389</v>
      </c>
      <c r="C906" s="143">
        <v>2142.0</v>
      </c>
      <c r="D906" s="144" t="str">
        <f>IF(   ISERROR(OFFSET(PADRON!B$2,MATCH(C:C,PADRON!A$2:A1405,0)-1,0,1,1) )  ,  ,    OFFSET(PADRON!B$2,MATCH(C:C,PADRON!A$2:A1405,0)-1,0,1,1))</f>
        <v>CELLI, HERNAN HORACIO</v>
      </c>
      <c r="E906" s="145">
        <v>45809.0</v>
      </c>
      <c r="F906" s="145">
        <v>45870.0</v>
      </c>
      <c r="G906" s="146" t="s">
        <v>39</v>
      </c>
      <c r="H906" s="147">
        <f>IF( ISERROR( OFFSET(   'Cuadro tarifario'!D$2  , MATCH(CONCATENATE(                 IF(F906&gt;Mes,OFFSET(NroCT!B$17, MATCH($F906,NroCT!$A$18:$A1405,0),0,1,1),Periodovigente)                                                                                                                     ,A906) ,'Cuadro tarifario'!A$2:A1405,0) -1 , 0 , 1 , 1) )   , 0  ,   OFFSET(   'Cuadro tarifario'!D$2  , MATCH(CONCATENATE( IF(F906&gt;Mes,OFFSET(NroCT!B$17, MATCH($F906,NroCT!$A$18:$A1405,0),0,1,1),Periodovigente) ,A906) ,'Cuadro tarifario'!A$2:A1405,0) -1 , 0 , 1 , 1))</f>
        <v>12000</v>
      </c>
      <c r="I906" s="148">
        <f t="shared" si="252"/>
        <v>2</v>
      </c>
      <c r="J906" s="147">
        <f t="shared" si="235"/>
        <v>24000</v>
      </c>
      <c r="K906" s="149">
        <f>IF(  AND(N906&gt;0,I906=0)          ,N906 ,                         IF(  IF( F906 ,  DAYS360(DATE(YEAR(F906),MONTH(F906),1),Mes)/30  ,  DAYS360(DATE(YEAR(E906),MONTH(E906),1),Mes)/30  )  &gt;  0 , IF(F906,   DAYS360(DATE(YEAR(F906),MONTH(F906),1),Mes)/30  ,  DAYS360(DATE(YEAR(E906),MONTH(E906),1),Mes)/30) , 0)       )</f>
        <v>0</v>
      </c>
      <c r="L906" s="150">
        <f t="shared" si="253"/>
        <v>0</v>
      </c>
      <c r="M906" s="151"/>
      <c r="N906" s="152">
        <f>IF( ISERROR(OFFSET(SECUESTRADOS!D$1,MATCH(B906,SECUESTRADOS!A$2:A1405,0),0)) ,0 ,  OFFSET(SECUESTRADOS!D$1,MATCH(B906,SECUESTRADOS!A$2:A1405,0),0)  )</f>
        <v>0</v>
      </c>
      <c r="O906" s="153"/>
      <c r="P906" s="154" t="str">
        <f t="shared" si="238"/>
        <v>cuna windsurf</v>
      </c>
      <c r="Q906" s="154" t="str">
        <f t="shared" si="298"/>
        <v>#REF!</v>
      </c>
      <c r="R906" s="130"/>
      <c r="S906" s="130"/>
      <c r="T906" s="130"/>
    </row>
    <row r="907">
      <c r="A907" s="155" t="s">
        <v>52</v>
      </c>
      <c r="B907" s="142" t="s">
        <v>390</v>
      </c>
      <c r="C907" s="143">
        <v>2142.0</v>
      </c>
      <c r="D907" s="144" t="str">
        <f>IF(   ISERROR(OFFSET(PADRON!B$2,MATCH(C:C,PADRON!A$2:A1405,0)-1,0,1,1) )  ,  ,    OFFSET(PADRON!B$2,MATCH(C:C,PADRON!A$2:A1405,0)-1,0,1,1))</f>
        <v>CELLI, HERNAN HORACIO</v>
      </c>
      <c r="E907" s="145">
        <v>45992.0</v>
      </c>
      <c r="F907" s="145"/>
      <c r="G907" s="146" t="s">
        <v>39</v>
      </c>
      <c r="H907" s="147">
        <f>IF( ISERROR( OFFSET(   'Cuadro tarifario'!D$2  , MATCH(CONCATENATE(                 IF(F907&gt;Mes,OFFSET(NroCT!B$17, MATCH($F907,NroCT!$A$18:$A1405,0),0,1,1),Periodovigente)                                                                                                                     ,A907) ,'Cuadro tarifario'!A$2:A1405,0) -1 , 0 , 1 , 1) )   , 0  ,   OFFSET(   'Cuadro tarifario'!D$2  , MATCH(CONCATENATE( IF(F907&gt;Mes,OFFSET(NroCT!B$17, MATCH($F907,NroCT!$A$18:$A1405,0),0,1,1),Periodovigente) ,A907) ,'Cuadro tarifario'!A$2:A1405,0) -1 , 0 , 1 , 1))</f>
        <v>4000</v>
      </c>
      <c r="I907" s="148">
        <f t="shared" si="252"/>
        <v>0</v>
      </c>
      <c r="J907" s="147">
        <f t="shared" si="235"/>
        <v>0</v>
      </c>
      <c r="K907" s="149">
        <f>IF(  AND(N907&gt;0,I907=0)          ,N907 ,                         IF(  IF( F907 ,  DAYS360(DATE(YEAR(F907),MONTH(F907),1),Mes)/30  ,  DAYS360(DATE(YEAR(E907),MONTH(E907),1),Mes)/30  )  &gt;  0 , IF(F907,   DAYS360(DATE(YEAR(F907),MONTH(F907),1),Mes)/30  ,  DAYS360(DATE(YEAR(E907),MONTH(E907),1),Mes)/30) , 0)       )</f>
        <v>0</v>
      </c>
      <c r="L907" s="150">
        <f t="shared" si="253"/>
        <v>0</v>
      </c>
      <c r="M907" s="151"/>
      <c r="N907" s="152">
        <f>IF( ISERROR(OFFSET(SECUESTRADOS!D$1,MATCH(B907,SECUESTRADOS!A$2:A1405,0),0)) ,0 ,  OFFSET(SECUESTRADOS!D$1,MATCH(B907,SECUESTRADOS!A$2:A1405,0),0)  )</f>
        <v>0</v>
      </c>
      <c r="O907" s="153"/>
      <c r="P907" s="154" t="b">
        <f t="shared" si="238"/>
        <v>0</v>
      </c>
      <c r="Q907" s="154" t="str">
        <f t="shared" si="298"/>
        <v>#REF!</v>
      </c>
      <c r="R907" s="130"/>
      <c r="S907" s="130"/>
      <c r="T907" s="130"/>
    </row>
    <row r="908">
      <c r="A908" s="155" t="s">
        <v>71</v>
      </c>
      <c r="B908" s="142">
        <v>2143.0</v>
      </c>
      <c r="C908" s="143">
        <v>2143.0</v>
      </c>
      <c r="D908" s="144" t="str">
        <f>IF(   ISERROR(OFFSET(PADRON!B$2,MATCH(C:C,PADRON!A$2:A1405,0)-1,0,1,1) )  ,  ,    OFFSET(PADRON!B$2,MATCH(C:C,PADRON!A$2:A1405,0)-1,0,1,1))</f>
        <v>GIUDICE, RODOLFO</v>
      </c>
      <c r="E908" s="145">
        <v>45839.0</v>
      </c>
      <c r="F908" s="145">
        <v>45870.0</v>
      </c>
      <c r="G908" s="146" t="s">
        <v>39</v>
      </c>
      <c r="H908" s="147">
        <f>IF( ISERROR( OFFSET(   'Cuadro tarifario'!D$2  , MATCH(CONCATENATE(                 IF(F908&gt;Mes,OFFSET(NroCT!B$17, MATCH($F908,NroCT!$A$18:$A1405,0),0,1,1),Periodovigente)                                                                                                                     ,A908) ,'Cuadro tarifario'!A$2:A1405,0) -1 , 0 , 1 , 1) )   , 0  ,   OFFSET(   'Cuadro tarifario'!D$2  , MATCH(CONCATENATE( IF(F908&gt;Mes,OFFSET(NroCT!B$17, MATCH($F908,NroCT!$A$18:$A1405,0),0,1,1),Periodovigente) ,A908) ,'Cuadro tarifario'!A$2:A1405,0) -1 , 0 , 1 , 1))</f>
        <v>11000</v>
      </c>
      <c r="I908" s="148">
        <f t="shared" si="252"/>
        <v>1</v>
      </c>
      <c r="J908" s="147">
        <f t="shared" si="235"/>
        <v>11000</v>
      </c>
      <c r="K908" s="149">
        <f>IF(  AND(N908&gt;0,I908=0)          ,N908 ,                         IF(  IF( F908 ,  DAYS360(DATE(YEAR(F908),MONTH(F908),1),Mes)/30  ,  DAYS360(DATE(YEAR(E908),MONTH(E908),1),Mes)/30  )  &gt;  0 , IF(F908,   DAYS360(DATE(YEAR(F908),MONTH(F908),1),Mes)/30  ,  DAYS360(DATE(YEAR(E908),MONTH(E908),1),Mes)/30) , 0)       )</f>
        <v>0</v>
      </c>
      <c r="L908" s="150">
        <f t="shared" si="253"/>
        <v>0</v>
      </c>
      <c r="M908" s="151"/>
      <c r="N908" s="152">
        <f>IF( ISERROR(OFFSET(SECUESTRADOS!D$1,MATCH(B908,SECUESTRADOS!A$2:A1405,0),0)) ,0 ,  OFFSET(SECUESTRADOS!D$1,MATCH(B908,SECUESTRADOS!A$2:A1405,0),0)  )</f>
        <v>0</v>
      </c>
      <c r="O908" s="153"/>
      <c r="P908" s="154" t="str">
        <f t="shared" si="238"/>
        <v>.socio</v>
      </c>
      <c r="Q908" s="154" t="str">
        <f>IF(AND(A908=#REF!,B908=#REF!,C908=#REF!),"Repetido","")</f>
        <v>#REF!</v>
      </c>
      <c r="R908" s="130"/>
      <c r="S908" s="130"/>
      <c r="T908" s="130"/>
    </row>
    <row r="909">
      <c r="A909" s="155" t="s">
        <v>38</v>
      </c>
      <c r="B909" s="142">
        <v>2143.0</v>
      </c>
      <c r="C909" s="143">
        <v>2143.0</v>
      </c>
      <c r="D909" s="144" t="str">
        <f>IF(   ISERROR(OFFSET(PADRON!B$2,MATCH(C:C,PADRON!A$2:A1405,0)-1,0,1,1) )  ,  ,    OFFSET(PADRON!B$2,MATCH(C:C,PADRON!A$2:A1405,0)-1,0,1,1))</f>
        <v>GIUDICE, RODOLFO</v>
      </c>
      <c r="E909" s="145">
        <v>45839.0</v>
      </c>
      <c r="F909" s="145">
        <v>45870.0</v>
      </c>
      <c r="G909" s="146" t="s">
        <v>39</v>
      </c>
      <c r="H909" s="147">
        <f>IF( ISERROR( OFFSET(   'Cuadro tarifario'!D$2  , MATCH(CONCATENATE(                 IF(F909&gt;Mes,OFFSET(NroCT!B$17, MATCH($F909,NroCT!$A$18:$A1405,0),0,1,1),Periodovigente)                                                                                                                     ,A909) ,'Cuadro tarifario'!A$2:A1405,0) -1 , 0 , 1 , 1) )   , 0  ,   OFFSET(   'Cuadro tarifario'!D$2  , MATCH(CONCATENATE( IF(F909&gt;Mes,OFFSET(NroCT!B$17, MATCH($F909,NroCT!$A$18:$A1405,0),0,1,1),Periodovigente) ,A909) ,'Cuadro tarifario'!A$2:A1405,0) -1 , 0 , 1 , 1))</f>
        <v>9000</v>
      </c>
      <c r="I909" s="148">
        <f t="shared" si="252"/>
        <v>1</v>
      </c>
      <c r="J909" s="147">
        <f t="shared" si="235"/>
        <v>9000</v>
      </c>
      <c r="K909" s="149">
        <f>IF(  AND(N909&gt;0,I909=0)          ,N909 ,                         IF(  IF( F909 ,  DAYS360(DATE(YEAR(F909),MONTH(F909),1),Mes)/30  ,  DAYS360(DATE(YEAR(E909),MONTH(E909),1),Mes)/30  )  &gt;  0 , IF(F909,   DAYS360(DATE(YEAR(F909),MONTH(F909),1),Mes)/30  ,  DAYS360(DATE(YEAR(E909),MONTH(E909),1),Mes)/30) , 0)       )</f>
        <v>0</v>
      </c>
      <c r="L909" s="150">
        <f t="shared" si="253"/>
        <v>0</v>
      </c>
      <c r="M909" s="151"/>
      <c r="N909" s="152">
        <f>IF( ISERROR(OFFSET(SECUESTRADOS!D$1,MATCH(B909,SECUESTRADOS!A$2:A1405,0),0)) ,0 ,  OFFSET(SECUESTRADOS!D$1,MATCH(B909,SECUESTRADOS!A$2:A1405,0),0)  )</f>
        <v>0</v>
      </c>
      <c r="O909" s="153"/>
      <c r="P909" s="154" t="str">
        <f t="shared" si="238"/>
        <v>Bono canon</v>
      </c>
      <c r="Q909" s="154" t="str">
        <f t="shared" ref="Q909:Q910" si="299">IF(AND(A909=#REF!,B909=#REF!,C909=#REF!),"Repetido","")</f>
        <v>#REF!</v>
      </c>
      <c r="R909" s="130"/>
      <c r="S909" s="130"/>
      <c r="T909" s="130"/>
    </row>
    <row r="910">
      <c r="A910" s="155" t="s">
        <v>48</v>
      </c>
      <c r="B910" s="142" t="s">
        <v>391</v>
      </c>
      <c r="C910" s="143">
        <v>2143.0</v>
      </c>
      <c r="D910" s="144" t="str">
        <f>IF(   ISERROR(OFFSET(PADRON!B$2,MATCH(C:C,PADRON!A$2:A1405,0)-1,0,1,1) )  ,  ,    OFFSET(PADRON!B$2,MATCH(C:C,PADRON!A$2:A1405,0)-1,0,1,1))</f>
        <v>GIUDICE, RODOLFO</v>
      </c>
      <c r="E910" s="145">
        <v>45839.0</v>
      </c>
      <c r="F910" s="145">
        <v>45870.0</v>
      </c>
      <c r="G910" s="146" t="s">
        <v>39</v>
      </c>
      <c r="H910" s="147">
        <f>IF( ISERROR( OFFSET(   'Cuadro tarifario'!D$2  , MATCH(CONCATENATE(                 IF(F910&gt;Mes,OFFSET(NroCT!B$17, MATCH($F910,NroCT!$A$18:$A1405,0),0,1,1),Periodovigente)                                                                                                                     ,A910) ,'Cuadro tarifario'!A$2:A1405,0) -1 , 0 , 1 , 1) )   , 0  ,   OFFSET(   'Cuadro tarifario'!D$2  , MATCH(CONCATENATE( IF(F910&gt;Mes,OFFSET(NroCT!B$17, MATCH($F910,NroCT!$A$18:$A1405,0),0,1,1),Periodovigente) ,A910) ,'Cuadro tarifario'!A$2:A1405,0) -1 , 0 , 1 , 1))</f>
        <v>12000</v>
      </c>
      <c r="I910" s="148">
        <f t="shared" si="252"/>
        <v>1</v>
      </c>
      <c r="J910" s="147">
        <f t="shared" si="235"/>
        <v>12000</v>
      </c>
      <c r="K910" s="149">
        <f>IF(  AND(N910&gt;0,I910=0)          ,N910 ,                         IF(  IF( F910 ,  DAYS360(DATE(YEAR(F910),MONTH(F910),1),Mes)/30  ,  DAYS360(DATE(YEAR(E910),MONTH(E910),1),Mes)/30  )  &gt;  0 , IF(F910,   DAYS360(DATE(YEAR(F910),MONTH(F910),1),Mes)/30  ,  DAYS360(DATE(YEAR(E910),MONTH(E910),1),Mes)/30) , 0)       )</f>
        <v>0</v>
      </c>
      <c r="L910" s="150">
        <f t="shared" si="253"/>
        <v>0</v>
      </c>
      <c r="M910" s="151"/>
      <c r="N910" s="152">
        <f>IF( ISERROR(OFFSET(SECUESTRADOS!D$1,MATCH(B910,SECUESTRADOS!A$2:A1405,0),0)) ,0 ,  OFFSET(SECUESTRADOS!D$1,MATCH(B910,SECUESTRADOS!A$2:A1405,0),0)  )</f>
        <v>0</v>
      </c>
      <c r="O910" s="153"/>
      <c r="P910" s="154" t="str">
        <f t="shared" si="238"/>
        <v>velero</v>
      </c>
      <c r="Q910" s="154" t="str">
        <f t="shared" si="299"/>
        <v>#REF!</v>
      </c>
      <c r="R910" s="130"/>
      <c r="S910" s="130"/>
      <c r="T910" s="130"/>
    </row>
    <row r="911">
      <c r="A911" s="155" t="s">
        <v>71</v>
      </c>
      <c r="B911" s="142">
        <v>2147.0</v>
      </c>
      <c r="C911" s="143">
        <v>2147.0</v>
      </c>
      <c r="D911" s="144" t="str">
        <f>IF(   ISERROR(OFFSET(PADRON!B$2,MATCH(C:C,PADRON!A$2:A1405,0)-1,0,1,1) )  ,  ,    OFFSET(PADRON!B$2,MATCH(C:C,PADRON!A$2:A1405,0)-1,0,1,1))</f>
        <v>GALLEGO LAURA</v>
      </c>
      <c r="E911" s="145">
        <v>45839.0</v>
      </c>
      <c r="F911" s="145">
        <v>45870.0</v>
      </c>
      <c r="G911" s="146" t="s">
        <v>39</v>
      </c>
      <c r="H911" s="147">
        <f>IF( ISERROR( OFFSET(   'Cuadro tarifario'!D$2  , MATCH(CONCATENATE(                 IF(F911&gt;Mes,OFFSET(NroCT!B$17, MATCH($F911,NroCT!$A$18:$A1405,0),0,1,1),Periodovigente)                                                                                                                     ,A911) ,'Cuadro tarifario'!A$2:A1405,0) -1 , 0 , 1 , 1) )   , 0  ,   OFFSET(   'Cuadro tarifario'!D$2  , MATCH(CONCATENATE( IF(F911&gt;Mes,OFFSET(NroCT!B$17, MATCH($F911,NroCT!$A$18:$A1405,0),0,1,1),Periodovigente) ,A911) ,'Cuadro tarifario'!A$2:A1405,0) -1 , 0 , 1 , 1))</f>
        <v>11000</v>
      </c>
      <c r="I911" s="148">
        <f t="shared" si="252"/>
        <v>1</v>
      </c>
      <c r="J911" s="147">
        <f t="shared" si="235"/>
        <v>11000</v>
      </c>
      <c r="K911" s="149">
        <f>IF(  AND(N911&gt;0,I911=0)          ,N911 ,                         IF(  IF( F911 ,  DAYS360(DATE(YEAR(F911),MONTH(F911),1),Mes)/30  ,  DAYS360(DATE(YEAR(E911),MONTH(E911),1),Mes)/30  )  &gt;  0 , IF(F911,   DAYS360(DATE(YEAR(F911),MONTH(F911),1),Mes)/30  ,  DAYS360(DATE(YEAR(E911),MONTH(E911),1),Mes)/30) , 0)       )</f>
        <v>0</v>
      </c>
      <c r="L911" s="150">
        <f t="shared" si="253"/>
        <v>0</v>
      </c>
      <c r="M911" s="151"/>
      <c r="N911" s="152">
        <f>IF( ISERROR(OFFSET(SECUESTRADOS!D$1,MATCH(B911,SECUESTRADOS!A$2:A1405,0),0)) ,0 ,  OFFSET(SECUESTRADOS!D$1,MATCH(B911,SECUESTRADOS!A$2:A1405,0),0)  )</f>
        <v>0</v>
      </c>
      <c r="O911" s="153"/>
      <c r="P911" s="154" t="str">
        <f t="shared" si="238"/>
        <v>.socio</v>
      </c>
      <c r="Q911" s="154" t="str">
        <f>IF(AND(A911=#REF!,B911=#REF!,C911=#REF!),"Repetido","")</f>
        <v>#REF!</v>
      </c>
      <c r="R911" s="130"/>
      <c r="S911" s="130"/>
      <c r="T911" s="130"/>
    </row>
    <row r="912">
      <c r="A912" s="155" t="s">
        <v>38</v>
      </c>
      <c r="B912" s="142">
        <v>2147.0</v>
      </c>
      <c r="C912" s="143">
        <v>2147.0</v>
      </c>
      <c r="D912" s="144" t="str">
        <f>IF(   ISERROR(OFFSET(PADRON!B$2,MATCH(C:C,PADRON!A$2:A1405,0)-1,0,1,1) )  ,  ,    OFFSET(PADRON!B$2,MATCH(C:C,PADRON!A$2:A1405,0)-1,0,1,1))</f>
        <v>GALLEGO LAURA</v>
      </c>
      <c r="E912" s="145">
        <v>45839.0</v>
      </c>
      <c r="F912" s="145">
        <v>45870.0</v>
      </c>
      <c r="G912" s="146" t="s">
        <v>39</v>
      </c>
      <c r="H912" s="147">
        <f>IF( ISERROR( OFFSET(   'Cuadro tarifario'!D$2  , MATCH(CONCATENATE(                 IF(F912&gt;Mes,OFFSET(NroCT!B$17, MATCH($F912,NroCT!$A$18:$A1405,0),0,1,1),Periodovigente)                                                                                                                     ,A912) ,'Cuadro tarifario'!A$2:A1405,0) -1 , 0 , 1 , 1) )   , 0  ,   OFFSET(   'Cuadro tarifario'!D$2  , MATCH(CONCATENATE( IF(F912&gt;Mes,OFFSET(NroCT!B$17, MATCH($F912,NroCT!$A$18:$A1405,0),0,1,1),Periodovigente) ,A912) ,'Cuadro tarifario'!A$2:A1405,0) -1 , 0 , 1 , 1))</f>
        <v>9000</v>
      </c>
      <c r="I912" s="148">
        <f t="shared" si="252"/>
        <v>1</v>
      </c>
      <c r="J912" s="147">
        <f t="shared" si="235"/>
        <v>9000</v>
      </c>
      <c r="K912" s="149">
        <f>IF(  AND(N912&gt;0,I912=0)          ,N912 ,                         IF(  IF( F912 ,  DAYS360(DATE(YEAR(F912),MONTH(F912),1),Mes)/30  ,  DAYS360(DATE(YEAR(E912),MONTH(E912),1),Mes)/30  )  &gt;  0 , IF(F912,   DAYS360(DATE(YEAR(F912),MONTH(F912),1),Mes)/30  ,  DAYS360(DATE(YEAR(E912),MONTH(E912),1),Mes)/30) , 0)       )</f>
        <v>0</v>
      </c>
      <c r="L912" s="150">
        <f t="shared" si="253"/>
        <v>0</v>
      </c>
      <c r="M912" s="151"/>
      <c r="N912" s="152">
        <f>IF( ISERROR(OFFSET(SECUESTRADOS!D$1,MATCH(B912,SECUESTRADOS!A$2:A1405,0),0)) ,0 ,  OFFSET(SECUESTRADOS!D$1,MATCH(B912,SECUESTRADOS!A$2:A1405,0),0)  )</f>
        <v>0</v>
      </c>
      <c r="O912" s="153"/>
      <c r="P912" s="154" t="str">
        <f t="shared" si="238"/>
        <v>Bono canon</v>
      </c>
      <c r="Q912" s="154" t="str">
        <f>IF(AND(A912=#REF!,B912=#REF!,C912=#REF!),"Repetido","")</f>
        <v>#REF!</v>
      </c>
      <c r="R912" s="130"/>
      <c r="S912" s="130"/>
      <c r="T912" s="130"/>
    </row>
    <row r="913">
      <c r="A913" s="155" t="s">
        <v>71</v>
      </c>
      <c r="B913" s="142">
        <v>2153.0</v>
      </c>
      <c r="C913" s="143">
        <v>2153.0</v>
      </c>
      <c r="D913" s="144" t="str">
        <f>IF(   ISERROR(OFFSET(PADRON!B$2,MATCH(C:C,PADRON!A$2:A1405,0)-1,0,1,1) )  ,  ,    OFFSET(PADRON!B$2,MATCH(C:C,PADRON!A$2:A1405,0)-1,0,1,1))</f>
        <v>ACHINELLI, FABIO GERMAN</v>
      </c>
      <c r="E913" s="145">
        <v>45839.0</v>
      </c>
      <c r="F913" s="145">
        <v>45870.0</v>
      </c>
      <c r="G913" s="146" t="s">
        <v>39</v>
      </c>
      <c r="H913" s="147">
        <f>IF( ISERROR( OFFSET(   'Cuadro tarifario'!D$2  , MATCH(CONCATENATE(                 IF(F913&gt;Mes,OFFSET(NroCT!B$17, MATCH($F913,NroCT!$A$18:$A1405,0),0,1,1),Periodovigente)                                                                                                                     ,A913) ,'Cuadro tarifario'!A$2:A1405,0) -1 , 0 , 1 , 1) )   , 0  ,   OFFSET(   'Cuadro tarifario'!D$2  , MATCH(CONCATENATE( IF(F913&gt;Mes,OFFSET(NroCT!B$17, MATCH($F913,NroCT!$A$18:$A1405,0),0,1,1),Periodovigente) ,A913) ,'Cuadro tarifario'!A$2:A1405,0) -1 , 0 , 1 , 1))</f>
        <v>11000</v>
      </c>
      <c r="I913" s="148">
        <f t="shared" si="252"/>
        <v>1</v>
      </c>
      <c r="J913" s="147">
        <f t="shared" si="235"/>
        <v>11000</v>
      </c>
      <c r="K913" s="149">
        <f>IF(  AND(N913&gt;0,I913=0)          ,N913 ,                         IF(  IF( F913 ,  DAYS360(DATE(YEAR(F913),MONTH(F913),1),Mes)/30  ,  DAYS360(DATE(YEAR(E913),MONTH(E913),1),Mes)/30  )  &gt;  0 , IF(F913,   DAYS360(DATE(YEAR(F913),MONTH(F913),1),Mes)/30  ,  DAYS360(DATE(YEAR(E913),MONTH(E913),1),Mes)/30) , 0)       )</f>
        <v>0</v>
      </c>
      <c r="L913" s="150">
        <f t="shared" si="253"/>
        <v>0</v>
      </c>
      <c r="M913" s="151"/>
      <c r="N913" s="152">
        <f>IF( ISERROR(OFFSET(SECUESTRADOS!D$1,MATCH(B913,SECUESTRADOS!A$2:A1405,0),0)) ,0 ,  OFFSET(SECUESTRADOS!D$1,MATCH(B913,SECUESTRADOS!A$2:A1405,0),0)  )</f>
        <v>0</v>
      </c>
      <c r="O913" s="153"/>
      <c r="P913" s="154" t="str">
        <f t="shared" si="238"/>
        <v>.socio</v>
      </c>
      <c r="Q913" s="154" t="str">
        <f>IF(AND(A913=#REF!,B913=#REF!,C913=#REF!),"Repetido","")</f>
        <v>#REF!</v>
      </c>
      <c r="R913" s="130"/>
      <c r="S913" s="130"/>
      <c r="T913" s="130"/>
    </row>
    <row r="914">
      <c r="A914" s="155" t="s">
        <v>38</v>
      </c>
      <c r="B914" s="142">
        <v>2153.0</v>
      </c>
      <c r="C914" s="143">
        <v>2153.0</v>
      </c>
      <c r="D914" s="144" t="str">
        <f>IF(   ISERROR(OFFSET(PADRON!B$2,MATCH(C:C,PADRON!A$2:A1405,0)-1,0,1,1) )  ,  ,    OFFSET(PADRON!B$2,MATCH(C:C,PADRON!A$2:A1405,0)-1,0,1,1))</f>
        <v>ACHINELLI, FABIO GERMAN</v>
      </c>
      <c r="E914" s="145">
        <v>45839.0</v>
      </c>
      <c r="F914" s="145">
        <v>45870.0</v>
      </c>
      <c r="G914" s="146" t="s">
        <v>39</v>
      </c>
      <c r="H914" s="147">
        <f>IF( ISERROR( OFFSET(   'Cuadro tarifario'!D$2  , MATCH(CONCATENATE(                 IF(F914&gt;Mes,OFFSET(NroCT!B$17, MATCH($F914,NroCT!$A$18:$A1405,0),0,1,1),Periodovigente)                                                                                                                     ,A914) ,'Cuadro tarifario'!A$2:A1405,0) -1 , 0 , 1 , 1) )   , 0  ,   OFFSET(   'Cuadro tarifario'!D$2  , MATCH(CONCATENATE( IF(F914&gt;Mes,OFFSET(NroCT!B$17, MATCH($F914,NroCT!$A$18:$A1405,0),0,1,1),Periodovigente) ,A914) ,'Cuadro tarifario'!A$2:A1405,0) -1 , 0 , 1 , 1))</f>
        <v>9000</v>
      </c>
      <c r="I914" s="148">
        <f t="shared" si="252"/>
        <v>1</v>
      </c>
      <c r="J914" s="147">
        <f t="shared" si="235"/>
        <v>9000</v>
      </c>
      <c r="K914" s="149">
        <f>IF(  AND(N914&gt;0,I914=0)          ,N914 ,                         IF(  IF( F914 ,  DAYS360(DATE(YEAR(F914),MONTH(F914),1),Mes)/30  ,  DAYS360(DATE(YEAR(E914),MONTH(E914),1),Mes)/30  )  &gt;  0 , IF(F914,   DAYS360(DATE(YEAR(F914),MONTH(F914),1),Mes)/30  ,  DAYS360(DATE(YEAR(E914),MONTH(E914),1),Mes)/30) , 0)       )</f>
        <v>0</v>
      </c>
      <c r="L914" s="150">
        <f t="shared" si="253"/>
        <v>0</v>
      </c>
      <c r="M914" s="151"/>
      <c r="N914" s="152">
        <f>IF( ISERROR(OFFSET(SECUESTRADOS!D$1,MATCH(B914,SECUESTRADOS!A$2:A1405,0),0)) ,0 ,  OFFSET(SECUESTRADOS!D$1,MATCH(B914,SECUESTRADOS!A$2:A1405,0),0)  )</f>
        <v>0</v>
      </c>
      <c r="O914" s="153"/>
      <c r="P914" s="154" t="str">
        <f t="shared" si="238"/>
        <v>Bono canon</v>
      </c>
      <c r="Q914" s="154" t="str">
        <f t="shared" ref="Q914:Q915" si="300">IF(AND(A914=#REF!,B914=#REF!,C914=#REF!),"Repetido","")</f>
        <v>#REF!</v>
      </c>
      <c r="R914" s="130"/>
      <c r="S914" s="130"/>
      <c r="T914" s="130"/>
    </row>
    <row r="915">
      <c r="A915" s="155" t="s">
        <v>40</v>
      </c>
      <c r="B915" s="142" t="s">
        <v>392</v>
      </c>
      <c r="C915" s="143">
        <v>2153.0</v>
      </c>
      <c r="D915" s="144" t="str">
        <f>IF(   ISERROR(OFFSET(PADRON!B$2,MATCH(C:C,PADRON!A$2:A1405,0)-1,0,1,1) )  ,  ,    OFFSET(PADRON!B$2,MATCH(C:C,PADRON!A$2:A1405,0)-1,0,1,1))</f>
        <v>ACHINELLI, FABIO GERMAN</v>
      </c>
      <c r="E915" s="145">
        <v>45839.0</v>
      </c>
      <c r="F915" s="145">
        <v>45870.0</v>
      </c>
      <c r="G915" s="146" t="s">
        <v>39</v>
      </c>
      <c r="H915" s="147">
        <f>IF( ISERROR( OFFSET(   'Cuadro tarifario'!D$2  , MATCH(CONCATENATE(                 IF(F915&gt;Mes,OFFSET(NroCT!B$17, MATCH($F915,NroCT!$A$18:$A1405,0),0,1,1),Periodovigente)                                                                                                                     ,A915) ,'Cuadro tarifario'!A$2:A1405,0) -1 , 0 , 1 , 1) )   , 0  ,   OFFSET(   'Cuadro tarifario'!D$2  , MATCH(CONCATENATE( IF(F915&gt;Mes,OFFSET(NroCT!B$17, MATCH($F915,NroCT!$A$18:$A1405,0),0,1,1),Periodovigente) ,A915) ,'Cuadro tarifario'!A$2:A1405,0) -1 , 0 , 1 , 1))</f>
        <v>12000</v>
      </c>
      <c r="I915" s="148">
        <f t="shared" si="252"/>
        <v>1</v>
      </c>
      <c r="J915" s="147">
        <f t="shared" si="235"/>
        <v>12000</v>
      </c>
      <c r="K915" s="149">
        <f>IF(  AND(N915&gt;0,I915=0)          ,N915 ,                         IF(  IF( F915 ,  DAYS360(DATE(YEAR(F915),MONTH(F915),1),Mes)/30  ,  DAYS360(DATE(YEAR(E915),MONTH(E915),1),Mes)/30  )  &gt;  0 , IF(F915,   DAYS360(DATE(YEAR(F915),MONTH(F915),1),Mes)/30  ,  DAYS360(DATE(YEAR(E915),MONTH(E915),1),Mes)/30) , 0)       )</f>
        <v>0</v>
      </c>
      <c r="L915" s="150">
        <f t="shared" si="253"/>
        <v>0</v>
      </c>
      <c r="M915" s="151"/>
      <c r="N915" s="152">
        <f>IF( ISERROR(OFFSET(SECUESTRADOS!D$1,MATCH(B915,SECUESTRADOS!A$2:A1405,0),0)) ,0 ,  OFFSET(SECUESTRADOS!D$1,MATCH(B915,SECUESTRADOS!A$2:A1405,0),0)  )</f>
        <v>0</v>
      </c>
      <c r="O915" s="153"/>
      <c r="P915" s="154" t="str">
        <f t="shared" si="238"/>
        <v>cuna windsurf</v>
      </c>
      <c r="Q915" s="154" t="str">
        <f t="shared" si="300"/>
        <v>#REF!</v>
      </c>
      <c r="R915" s="130"/>
      <c r="S915" s="130"/>
      <c r="T915" s="130"/>
    </row>
    <row r="916">
      <c r="A916" s="155" t="s">
        <v>42</v>
      </c>
      <c r="B916" s="142" t="s">
        <v>393</v>
      </c>
      <c r="C916" s="143">
        <v>2153.0</v>
      </c>
      <c r="D916" s="144" t="str">
        <f>IF(   ISERROR(OFFSET(PADRON!B$2,MATCH(C:C,PADRON!A$2:A1405,0)-1,0,1,1) )  ,  ,    OFFSET(PADRON!B$2,MATCH(C:C,PADRON!A$2:A1405,0)-1,0,1,1))</f>
        <v>ACHINELLI, FABIO GERMAN</v>
      </c>
      <c r="E916" s="145">
        <v>45992.0</v>
      </c>
      <c r="F916" s="145"/>
      <c r="G916" s="146" t="s">
        <v>39</v>
      </c>
      <c r="H916" s="147">
        <f>IF( ISERROR( OFFSET(   'Cuadro tarifario'!D$2  , MATCH(CONCATENATE(                 IF(F916&gt;Mes,OFFSET(NroCT!B$17, MATCH($F916,NroCT!$A$18:$A1405,0),0,1,1),Periodovigente)                                                                                                                     ,A916) ,'Cuadro tarifario'!A$2:A1405,0) -1 , 0 , 1 , 1) )   , 0  ,   OFFSET(   'Cuadro tarifario'!D$2  , MATCH(CONCATENATE( IF(F916&gt;Mes,OFFSET(NroCT!B$17, MATCH($F916,NroCT!$A$18:$A1405,0),0,1,1),Periodovigente) ,A916) ,'Cuadro tarifario'!A$2:A1405,0) -1 , 0 , 1 , 1))</f>
        <v>4000</v>
      </c>
      <c r="I916" s="148">
        <f t="shared" si="252"/>
        <v>0</v>
      </c>
      <c r="J916" s="147">
        <f t="shared" si="235"/>
        <v>0</v>
      </c>
      <c r="K916" s="149">
        <f>IF(  AND(N916&gt;0,I916=0)          ,N916 ,                         IF(  IF( F916 ,  DAYS360(DATE(YEAR(F916),MONTH(F916),1),Mes)/30  ,  DAYS360(DATE(YEAR(E916),MONTH(E916),1),Mes)/30  )  &gt;  0 , IF(F916,   DAYS360(DATE(YEAR(F916),MONTH(F916),1),Mes)/30  ,  DAYS360(DATE(YEAR(E916),MONTH(E916),1),Mes)/30) , 0)       )</f>
        <v>0</v>
      </c>
      <c r="L916" s="150">
        <f t="shared" si="253"/>
        <v>0</v>
      </c>
      <c r="M916" s="151"/>
      <c r="N916" s="152">
        <f>IF( ISERROR(OFFSET(SECUESTRADOS!D$1,MATCH(B916,SECUESTRADOS!A$2:A1405,0),0)) ,0 ,  OFFSET(SECUESTRADOS!D$1,MATCH(B916,SECUESTRADOS!A$2:A1405,0),0)  )</f>
        <v>0</v>
      </c>
      <c r="O916" s="153"/>
      <c r="P916" s="154" t="b">
        <f t="shared" si="238"/>
        <v>0</v>
      </c>
      <c r="Q916" s="154" t="str">
        <f t="shared" ref="Q916:Q1002" si="301">IF(AND(A916=#REF!,B916=#REF!,C916=#REF!),"Repetido","")</f>
        <v>#REF!</v>
      </c>
      <c r="R916" s="130"/>
      <c r="S916" s="130"/>
      <c r="T916" s="130"/>
    </row>
    <row r="917">
      <c r="A917" s="155" t="s">
        <v>71</v>
      </c>
      <c r="B917" s="142">
        <v>2154.0</v>
      </c>
      <c r="C917" s="143">
        <v>2154.0</v>
      </c>
      <c r="D917" s="144" t="str">
        <f>IF(   ISERROR(OFFSET(PADRON!B$2,MATCH(C:C,PADRON!A$2:A1405,0)-1,0,1,1) )  ,  ,    OFFSET(PADRON!B$2,MATCH(C:C,PADRON!A$2:A1405,0)-1,0,1,1))</f>
        <v>GUTAVSKAS, RICARDO</v>
      </c>
      <c r="E917" s="145">
        <v>45839.0</v>
      </c>
      <c r="F917" s="145">
        <v>45870.0</v>
      </c>
      <c r="G917" s="146" t="s">
        <v>39</v>
      </c>
      <c r="H917" s="147">
        <f>IF( ISERROR( OFFSET(   'Cuadro tarifario'!D$2  , MATCH(CONCATENATE(                 IF(F917&gt;Mes,OFFSET(NroCT!B$17, MATCH($F917,NroCT!$A$18:$A1405,0),0,1,1),Periodovigente)                                                                                                                     ,A917) ,'Cuadro tarifario'!A$2:A1405,0) -1 , 0 , 1 , 1) )   , 0  ,   OFFSET(   'Cuadro tarifario'!D$2  , MATCH(CONCATENATE( IF(F917&gt;Mes,OFFSET(NroCT!B$17, MATCH($F917,NroCT!$A$18:$A1405,0),0,1,1),Periodovigente) ,A917) ,'Cuadro tarifario'!A$2:A1405,0) -1 , 0 , 1 , 1))</f>
        <v>11000</v>
      </c>
      <c r="I917" s="148">
        <f t="shared" si="252"/>
        <v>1</v>
      </c>
      <c r="J917" s="147">
        <f t="shared" si="235"/>
        <v>11000</v>
      </c>
      <c r="K917" s="149">
        <f>IF(  AND(N917&gt;0,I917=0)          ,N917 ,                         IF(  IF( F917 ,  DAYS360(DATE(YEAR(F917),MONTH(F917),1),Mes)/30  ,  DAYS360(DATE(YEAR(E917),MONTH(E917),1),Mes)/30  )  &gt;  0 , IF(F917,   DAYS360(DATE(YEAR(F917),MONTH(F917),1),Mes)/30  ,  DAYS360(DATE(YEAR(E917),MONTH(E917),1),Mes)/30) , 0)       )</f>
        <v>0</v>
      </c>
      <c r="L917" s="150">
        <f t="shared" si="253"/>
        <v>0</v>
      </c>
      <c r="M917" s="151"/>
      <c r="N917" s="152">
        <f>IF( ISERROR(OFFSET(SECUESTRADOS!D$1,MATCH(B917,SECUESTRADOS!A$2:A1405,0),0)) ,0 ,  OFFSET(SECUESTRADOS!D$1,MATCH(B917,SECUESTRADOS!A$2:A1405,0),0)  )</f>
        <v>0</v>
      </c>
      <c r="O917" s="153"/>
      <c r="P917" s="154" t="str">
        <f t="shared" si="238"/>
        <v>.socio</v>
      </c>
      <c r="Q917" s="154" t="str">
        <f t="shared" si="301"/>
        <v>#REF!</v>
      </c>
      <c r="R917" s="130"/>
      <c r="S917" s="130"/>
      <c r="T917" s="130"/>
    </row>
    <row r="918">
      <c r="A918" s="155" t="s">
        <v>38</v>
      </c>
      <c r="B918" s="142">
        <v>2154.0</v>
      </c>
      <c r="C918" s="143">
        <v>2154.0</v>
      </c>
      <c r="D918" s="144" t="str">
        <f>IF(   ISERROR(OFFSET(PADRON!B$2,MATCH(C:C,PADRON!A$2:A1405,0)-1,0,1,1) )  ,  ,    OFFSET(PADRON!B$2,MATCH(C:C,PADRON!A$2:A1405,0)-1,0,1,1))</f>
        <v>GUTAVSKAS, RICARDO</v>
      </c>
      <c r="E918" s="145">
        <v>45839.0</v>
      </c>
      <c r="F918" s="145">
        <v>45870.0</v>
      </c>
      <c r="G918" s="146" t="s">
        <v>39</v>
      </c>
      <c r="H918" s="147">
        <f>IF( ISERROR( OFFSET(   'Cuadro tarifario'!D$2  , MATCH(CONCATENATE(                 IF(F918&gt;Mes,OFFSET(NroCT!B$17, MATCH($F918,NroCT!$A$18:$A1405,0),0,1,1),Periodovigente)                                                                                                                     ,A918) ,'Cuadro tarifario'!A$2:A1405,0) -1 , 0 , 1 , 1) )   , 0  ,   OFFSET(   'Cuadro tarifario'!D$2  , MATCH(CONCATENATE( IF(F918&gt;Mes,OFFSET(NroCT!B$17, MATCH($F918,NroCT!$A$18:$A1405,0),0,1,1),Periodovigente) ,A918) ,'Cuadro tarifario'!A$2:A1405,0) -1 , 0 , 1 , 1))</f>
        <v>9000</v>
      </c>
      <c r="I918" s="148">
        <f t="shared" si="252"/>
        <v>1</v>
      </c>
      <c r="J918" s="147">
        <f t="shared" si="235"/>
        <v>9000</v>
      </c>
      <c r="K918" s="149">
        <f>IF(  AND(N918&gt;0,I918=0)          ,N918 ,                         IF(  IF( F918 ,  DAYS360(DATE(YEAR(F918),MONTH(F918),1),Mes)/30  ,  DAYS360(DATE(YEAR(E918),MONTH(E918),1),Mes)/30  )  &gt;  0 , IF(F918,   DAYS360(DATE(YEAR(F918),MONTH(F918),1),Mes)/30  ,  DAYS360(DATE(YEAR(E918),MONTH(E918),1),Mes)/30) , 0)       )</f>
        <v>0</v>
      </c>
      <c r="L918" s="150">
        <f t="shared" si="253"/>
        <v>0</v>
      </c>
      <c r="M918" s="151"/>
      <c r="N918" s="152">
        <f>IF( ISERROR(OFFSET(SECUESTRADOS!D$1,MATCH(B918,SECUESTRADOS!A$2:A1405,0),0)) ,0 ,  OFFSET(SECUESTRADOS!D$1,MATCH(B918,SECUESTRADOS!A$2:A1405,0),0)  )</f>
        <v>0</v>
      </c>
      <c r="O918" s="153"/>
      <c r="P918" s="154" t="str">
        <f t="shared" si="238"/>
        <v>Bono canon</v>
      </c>
      <c r="Q918" s="154" t="str">
        <f t="shared" si="301"/>
        <v>#REF!</v>
      </c>
      <c r="R918" s="130"/>
      <c r="S918" s="130"/>
      <c r="T918" s="130"/>
    </row>
    <row r="919">
      <c r="A919" s="155" t="s">
        <v>71</v>
      </c>
      <c r="B919" s="142">
        <v>2161.0</v>
      </c>
      <c r="C919" s="143">
        <v>2161.0</v>
      </c>
      <c r="D919" s="144" t="str">
        <f>IF(   ISERROR(OFFSET(PADRON!B$2,MATCH(C:C,PADRON!A$2:A1405,0)-1,0,1,1) )  ,  ,    OFFSET(PADRON!B$2,MATCH(C:C,PADRON!A$2:A1405,0)-1,0,1,1))</f>
        <v>OSTOLAZA, M. VICTORIA</v>
      </c>
      <c r="E919" s="145">
        <v>45839.0</v>
      </c>
      <c r="F919" s="145">
        <v>45870.0</v>
      </c>
      <c r="G919" s="146" t="s">
        <v>39</v>
      </c>
      <c r="H919" s="147">
        <f>IF( ISERROR( OFFSET(   'Cuadro tarifario'!D$2  , MATCH(CONCATENATE(                 IF(F919&gt;Mes,OFFSET(NroCT!B$17, MATCH($F919,NroCT!$A$18:$A1405,0),0,1,1),Periodovigente)                                                                                                                     ,A919) ,'Cuadro tarifario'!A$2:A1405,0) -1 , 0 , 1 , 1) )   , 0  ,   OFFSET(   'Cuadro tarifario'!D$2  , MATCH(CONCATENATE( IF(F919&gt;Mes,OFFSET(NroCT!B$17, MATCH($F919,NroCT!$A$18:$A1405,0),0,1,1),Periodovigente) ,A919) ,'Cuadro tarifario'!A$2:A1405,0) -1 , 0 , 1 , 1))</f>
        <v>11000</v>
      </c>
      <c r="I919" s="148">
        <f t="shared" si="252"/>
        <v>1</v>
      </c>
      <c r="J919" s="147">
        <f t="shared" si="235"/>
        <v>11000</v>
      </c>
      <c r="K919" s="149">
        <f>IF(  AND(N919&gt;0,I919=0)          ,N919 ,                         IF(  IF( F919 ,  DAYS360(DATE(YEAR(F919),MONTH(F919),1),Mes)/30  ,  DAYS360(DATE(YEAR(E919),MONTH(E919),1),Mes)/30  )  &gt;  0 , IF(F919,   DAYS360(DATE(YEAR(F919),MONTH(F919),1),Mes)/30  ,  DAYS360(DATE(YEAR(E919),MONTH(E919),1),Mes)/30) , 0)       )</f>
        <v>0</v>
      </c>
      <c r="L919" s="150">
        <f t="shared" si="253"/>
        <v>0</v>
      </c>
      <c r="M919" s="151"/>
      <c r="N919" s="152">
        <f>IF( ISERROR(OFFSET(SECUESTRADOS!D$1,MATCH(B919,SECUESTRADOS!A$2:A1405,0),0)) ,0 ,  OFFSET(SECUESTRADOS!D$1,MATCH(B919,SECUESTRADOS!A$2:A1405,0),0)  )</f>
        <v>0</v>
      </c>
      <c r="O919" s="153"/>
      <c r="P919" s="154" t="str">
        <f t="shared" si="238"/>
        <v>.socio</v>
      </c>
      <c r="Q919" s="154" t="str">
        <f t="shared" si="301"/>
        <v>#REF!</v>
      </c>
      <c r="R919" s="130"/>
      <c r="S919" s="130"/>
      <c r="T919" s="130"/>
    </row>
    <row r="920">
      <c r="A920" s="155" t="s">
        <v>38</v>
      </c>
      <c r="B920" s="142">
        <v>2161.0</v>
      </c>
      <c r="C920" s="143">
        <v>2161.0</v>
      </c>
      <c r="D920" s="144" t="str">
        <f>IF(   ISERROR(OFFSET(PADRON!B$2,MATCH(C:C,PADRON!A$2:A1405,0)-1,0,1,1) )  ,  ,    OFFSET(PADRON!B$2,MATCH(C:C,PADRON!A$2:A1405,0)-1,0,1,1))</f>
        <v>OSTOLAZA, M. VICTORIA</v>
      </c>
      <c r="E920" s="145">
        <v>45839.0</v>
      </c>
      <c r="F920" s="145">
        <v>45870.0</v>
      </c>
      <c r="G920" s="146" t="s">
        <v>39</v>
      </c>
      <c r="H920" s="147">
        <f>IF( ISERROR( OFFSET(   'Cuadro tarifario'!D$2  , MATCH(CONCATENATE(                 IF(F920&gt;Mes,OFFSET(NroCT!B$17, MATCH($F920,NroCT!$A$18:$A1405,0),0,1,1),Periodovigente)                                                                                                                     ,A920) ,'Cuadro tarifario'!A$2:A1405,0) -1 , 0 , 1 , 1) )   , 0  ,   OFFSET(   'Cuadro tarifario'!D$2  , MATCH(CONCATENATE( IF(F920&gt;Mes,OFFSET(NroCT!B$17, MATCH($F920,NroCT!$A$18:$A1405,0),0,1,1),Periodovigente) ,A920) ,'Cuadro tarifario'!A$2:A1405,0) -1 , 0 , 1 , 1))</f>
        <v>9000</v>
      </c>
      <c r="I920" s="148">
        <f t="shared" si="252"/>
        <v>1</v>
      </c>
      <c r="J920" s="147">
        <f t="shared" si="235"/>
        <v>9000</v>
      </c>
      <c r="K920" s="149">
        <f>IF(  AND(N920&gt;0,I920=0)          ,N920 ,                         IF(  IF( F920 ,  DAYS360(DATE(YEAR(F920),MONTH(F920),1),Mes)/30  ,  DAYS360(DATE(YEAR(E920),MONTH(E920),1),Mes)/30  )  &gt;  0 , IF(F920,   DAYS360(DATE(YEAR(F920),MONTH(F920),1),Mes)/30  ,  DAYS360(DATE(YEAR(E920),MONTH(E920),1),Mes)/30) , 0)       )</f>
        <v>0</v>
      </c>
      <c r="L920" s="150">
        <f t="shared" si="253"/>
        <v>0</v>
      </c>
      <c r="M920" s="151"/>
      <c r="N920" s="152">
        <f>IF( ISERROR(OFFSET(SECUESTRADOS!D$1,MATCH(B920,SECUESTRADOS!A$2:A1405,0),0)) ,0 ,  OFFSET(SECUESTRADOS!D$1,MATCH(B920,SECUESTRADOS!A$2:A1405,0),0)  )</f>
        <v>0</v>
      </c>
      <c r="O920" s="153"/>
      <c r="P920" s="154" t="str">
        <f t="shared" si="238"/>
        <v>Bono canon</v>
      </c>
      <c r="Q920" s="154" t="str">
        <f t="shared" si="301"/>
        <v>#REF!</v>
      </c>
      <c r="R920" s="130"/>
      <c r="S920" s="130"/>
      <c r="T920" s="130"/>
    </row>
    <row r="921">
      <c r="A921" s="155" t="s">
        <v>40</v>
      </c>
      <c r="B921" s="142" t="s">
        <v>394</v>
      </c>
      <c r="C921" s="143">
        <v>2161.0</v>
      </c>
      <c r="D921" s="144" t="str">
        <f>IF(   ISERROR(OFFSET(PADRON!B$2,MATCH(C:C,PADRON!A$2:A1405,0)-1,0,1,1) )  ,  ,    OFFSET(PADRON!B$2,MATCH(C:C,PADRON!A$2:A1405,0)-1,0,1,1))</f>
        <v>OSTOLAZA, M. VICTORIA</v>
      </c>
      <c r="E921" s="145">
        <v>45839.0</v>
      </c>
      <c r="F921" s="145">
        <v>45870.0</v>
      </c>
      <c r="G921" s="146" t="s">
        <v>39</v>
      </c>
      <c r="H921" s="147">
        <f>IF( ISERROR( OFFSET(   'Cuadro tarifario'!D$2  , MATCH(CONCATENATE(                 IF(F921&gt;Mes,OFFSET(NroCT!B$17, MATCH($F921,NroCT!$A$18:$A1405,0),0,1,1),Periodovigente)                                                                                                                     ,A921) ,'Cuadro tarifario'!A$2:A1405,0) -1 , 0 , 1 , 1) )   , 0  ,   OFFSET(   'Cuadro tarifario'!D$2  , MATCH(CONCATENATE( IF(F921&gt;Mes,OFFSET(NroCT!B$17, MATCH($F921,NroCT!$A$18:$A1405,0),0,1,1),Periodovigente) ,A921) ,'Cuadro tarifario'!A$2:A1405,0) -1 , 0 , 1 , 1))</f>
        <v>12000</v>
      </c>
      <c r="I921" s="148">
        <f t="shared" si="252"/>
        <v>1</v>
      </c>
      <c r="J921" s="147">
        <f t="shared" si="235"/>
        <v>12000</v>
      </c>
      <c r="K921" s="149">
        <f>IF(  AND(N921&gt;0,I921=0)          ,N921 ,                         IF(  IF( F921 ,  DAYS360(DATE(YEAR(F921),MONTH(F921),1),Mes)/30  ,  DAYS360(DATE(YEAR(E921),MONTH(E921),1),Mes)/30  )  &gt;  0 , IF(F921,   DAYS360(DATE(YEAR(F921),MONTH(F921),1),Mes)/30  ,  DAYS360(DATE(YEAR(E921),MONTH(E921),1),Mes)/30) , 0)       )</f>
        <v>0</v>
      </c>
      <c r="L921" s="150">
        <f t="shared" si="253"/>
        <v>0</v>
      </c>
      <c r="M921" s="151"/>
      <c r="N921" s="152">
        <f>IF( ISERROR(OFFSET(SECUESTRADOS!D$1,MATCH(B921,SECUESTRADOS!A$2:A1405,0),0)) ,0 ,  OFFSET(SECUESTRADOS!D$1,MATCH(B921,SECUESTRADOS!A$2:A1405,0),0)  )</f>
        <v>0</v>
      </c>
      <c r="O921" s="153"/>
      <c r="P921" s="154" t="str">
        <f t="shared" si="238"/>
        <v>cuna windsurf</v>
      </c>
      <c r="Q921" s="154" t="str">
        <f t="shared" si="301"/>
        <v>#REF!</v>
      </c>
      <c r="R921" s="130"/>
      <c r="S921" s="130"/>
      <c r="T921" s="130"/>
    </row>
    <row r="922">
      <c r="A922" s="155" t="s">
        <v>71</v>
      </c>
      <c r="B922" s="142">
        <v>2162.0</v>
      </c>
      <c r="C922" s="143">
        <v>2162.0</v>
      </c>
      <c r="D922" s="144" t="str">
        <f>IF(   ISERROR(OFFSET(PADRON!B$2,MATCH(C:C,PADRON!A$2:A1405,0)-1,0,1,1) )  ,  ,    OFFSET(PADRON!B$2,MATCH(C:C,PADRON!A$2:A1405,0)-1,0,1,1))</f>
        <v>HOFER, IGNACIO</v>
      </c>
      <c r="E922" s="145">
        <v>45839.0</v>
      </c>
      <c r="F922" s="145">
        <v>45870.0</v>
      </c>
      <c r="G922" s="146" t="s">
        <v>39</v>
      </c>
      <c r="H922" s="147">
        <f>IF( ISERROR( OFFSET(   'Cuadro tarifario'!D$2  , MATCH(CONCATENATE(                 IF(F922&gt;Mes,OFFSET(NroCT!B$17, MATCH($F922,NroCT!$A$18:$A1405,0),0,1,1),Periodovigente)                                                                                                                     ,A922) ,'Cuadro tarifario'!A$2:A1405,0) -1 , 0 , 1 , 1) )   , 0  ,   OFFSET(   'Cuadro tarifario'!D$2  , MATCH(CONCATENATE( IF(F922&gt;Mes,OFFSET(NroCT!B$17, MATCH($F922,NroCT!$A$18:$A1405,0),0,1,1),Periodovigente) ,A922) ,'Cuadro tarifario'!A$2:A1405,0) -1 , 0 , 1 , 1))</f>
        <v>11000</v>
      </c>
      <c r="I922" s="148">
        <f t="shared" si="252"/>
        <v>1</v>
      </c>
      <c r="J922" s="147">
        <f t="shared" si="235"/>
        <v>11000</v>
      </c>
      <c r="K922" s="149">
        <f>IF(  AND(N922&gt;0,I922=0)          ,N922 ,                         IF(  IF( F922 ,  DAYS360(DATE(YEAR(F922),MONTH(F922),1),Mes)/30  ,  DAYS360(DATE(YEAR(E922),MONTH(E922),1),Mes)/30  )  &gt;  0 , IF(F922,   DAYS360(DATE(YEAR(F922),MONTH(F922),1),Mes)/30  ,  DAYS360(DATE(YEAR(E922),MONTH(E922),1),Mes)/30) , 0)       )</f>
        <v>0</v>
      </c>
      <c r="L922" s="150">
        <f t="shared" si="253"/>
        <v>0</v>
      </c>
      <c r="M922" s="151"/>
      <c r="N922" s="152">
        <f>IF( ISERROR(OFFSET(SECUESTRADOS!D$1,MATCH(B922,SECUESTRADOS!A$2:A1405,0),0)) ,0 ,  OFFSET(SECUESTRADOS!D$1,MATCH(B922,SECUESTRADOS!A$2:A1405,0),0)  )</f>
        <v>0</v>
      </c>
      <c r="O922" s="153"/>
      <c r="P922" s="154" t="str">
        <f t="shared" si="238"/>
        <v>.socio</v>
      </c>
      <c r="Q922" s="154" t="str">
        <f t="shared" si="301"/>
        <v>#REF!</v>
      </c>
      <c r="R922" s="130"/>
      <c r="S922" s="130"/>
      <c r="T922" s="130"/>
    </row>
    <row r="923">
      <c r="A923" s="155" t="s">
        <v>38</v>
      </c>
      <c r="B923" s="142">
        <v>2162.0</v>
      </c>
      <c r="C923" s="143">
        <v>2162.0</v>
      </c>
      <c r="D923" s="144" t="str">
        <f>IF(   ISERROR(OFFSET(PADRON!B$2,MATCH(C:C,PADRON!A$2:A1405,0)-1,0,1,1) )  ,  ,    OFFSET(PADRON!B$2,MATCH(C:C,PADRON!A$2:A1405,0)-1,0,1,1))</f>
        <v>HOFER, IGNACIO</v>
      </c>
      <c r="E923" s="145">
        <v>45839.0</v>
      </c>
      <c r="F923" s="145">
        <v>45870.0</v>
      </c>
      <c r="G923" s="146" t="s">
        <v>39</v>
      </c>
      <c r="H923" s="147">
        <f>IF( ISERROR( OFFSET(   'Cuadro tarifario'!D$2  , MATCH(CONCATENATE(                 IF(F923&gt;Mes,OFFSET(NroCT!B$17, MATCH($F923,NroCT!$A$18:$A1405,0),0,1,1),Periodovigente)                                                                                                                     ,A923) ,'Cuadro tarifario'!A$2:A1405,0) -1 , 0 , 1 , 1) )   , 0  ,   OFFSET(   'Cuadro tarifario'!D$2  , MATCH(CONCATENATE( IF(F923&gt;Mes,OFFSET(NroCT!B$17, MATCH($F923,NroCT!$A$18:$A1405,0),0,1,1),Periodovigente) ,A923) ,'Cuadro tarifario'!A$2:A1405,0) -1 , 0 , 1 , 1))</f>
        <v>9000</v>
      </c>
      <c r="I923" s="148">
        <f t="shared" si="252"/>
        <v>1</v>
      </c>
      <c r="J923" s="147">
        <f t="shared" si="235"/>
        <v>9000</v>
      </c>
      <c r="K923" s="149">
        <f>IF(  AND(N923&gt;0,I923=0)          ,N923 ,                         IF(  IF( F923 ,  DAYS360(DATE(YEAR(F923),MONTH(F923),1),Mes)/30  ,  DAYS360(DATE(YEAR(E923),MONTH(E923),1),Mes)/30  )  &gt;  0 , IF(F923,   DAYS360(DATE(YEAR(F923),MONTH(F923),1),Mes)/30  ,  DAYS360(DATE(YEAR(E923),MONTH(E923),1),Mes)/30) , 0)       )</f>
        <v>0</v>
      </c>
      <c r="L923" s="150">
        <f t="shared" si="253"/>
        <v>0</v>
      </c>
      <c r="M923" s="151"/>
      <c r="N923" s="152">
        <f>IF( ISERROR(OFFSET(SECUESTRADOS!D$1,MATCH(B923,SECUESTRADOS!A$2:A1405,0),0)) ,0 ,  OFFSET(SECUESTRADOS!D$1,MATCH(B923,SECUESTRADOS!A$2:A1405,0),0)  )</f>
        <v>0</v>
      </c>
      <c r="O923" s="153"/>
      <c r="P923" s="154" t="str">
        <f t="shared" si="238"/>
        <v>Bono canon</v>
      </c>
      <c r="Q923" s="154" t="str">
        <f t="shared" si="301"/>
        <v>#REF!</v>
      </c>
      <c r="R923" s="130"/>
      <c r="S923" s="130"/>
      <c r="T923" s="130"/>
    </row>
    <row r="924">
      <c r="A924" s="155" t="s">
        <v>48</v>
      </c>
      <c r="B924" s="142" t="s">
        <v>395</v>
      </c>
      <c r="C924" s="143">
        <v>2162.0</v>
      </c>
      <c r="D924" s="144" t="str">
        <f>IF(   ISERROR(OFFSET(PADRON!B$2,MATCH(C:C,PADRON!A$2:A1405,0)-1,0,1,1) )  ,  ,    OFFSET(PADRON!B$2,MATCH(C:C,PADRON!A$2:A1405,0)-1,0,1,1))</f>
        <v>HOFER, IGNACIO</v>
      </c>
      <c r="E924" s="145">
        <v>45839.0</v>
      </c>
      <c r="F924" s="145">
        <v>45870.0</v>
      </c>
      <c r="G924" s="146" t="s">
        <v>39</v>
      </c>
      <c r="H924" s="147">
        <f>IF( ISERROR( OFFSET(   'Cuadro tarifario'!D$2  , MATCH(CONCATENATE(                 IF(F924&gt;Mes,OFFSET(NroCT!B$17, MATCH($F924,NroCT!$A$18:$A1405,0),0,1,1),Periodovigente)                                                                                                                     ,A924) ,'Cuadro tarifario'!A$2:A1405,0) -1 , 0 , 1 , 1) )   , 0  ,   OFFSET(   'Cuadro tarifario'!D$2  , MATCH(CONCATENATE( IF(F924&gt;Mes,OFFSET(NroCT!B$17, MATCH($F924,NroCT!$A$18:$A1405,0),0,1,1),Periodovigente) ,A924) ,'Cuadro tarifario'!A$2:A1405,0) -1 , 0 , 1 , 1))</f>
        <v>12000</v>
      </c>
      <c r="I924" s="148">
        <f t="shared" si="252"/>
        <v>1</v>
      </c>
      <c r="J924" s="147">
        <f t="shared" si="235"/>
        <v>12000</v>
      </c>
      <c r="K924" s="149">
        <f>IF(  AND(N924&gt;0,I924=0)          ,N924 ,                         IF(  IF( F924 ,  DAYS360(DATE(YEAR(F924),MONTH(F924),1),Mes)/30  ,  DAYS360(DATE(YEAR(E924),MONTH(E924),1),Mes)/30  )  &gt;  0 , IF(F924,   DAYS360(DATE(YEAR(F924),MONTH(F924),1),Mes)/30  ,  DAYS360(DATE(YEAR(E924),MONTH(E924),1),Mes)/30) , 0)       )</f>
        <v>0</v>
      </c>
      <c r="L924" s="150">
        <f t="shared" si="253"/>
        <v>0</v>
      </c>
      <c r="M924" s="151"/>
      <c r="N924" s="152">
        <f>IF( ISERROR(OFFSET(SECUESTRADOS!D$1,MATCH(B924,SECUESTRADOS!A$2:A1405,0),0)) ,0 ,  OFFSET(SECUESTRADOS!D$1,MATCH(B924,SECUESTRADOS!A$2:A1405,0),0)  )</f>
        <v>0</v>
      </c>
      <c r="O924" s="153"/>
      <c r="P924" s="154" t="str">
        <f t="shared" si="238"/>
        <v>velero</v>
      </c>
      <c r="Q924" s="154" t="str">
        <f t="shared" si="301"/>
        <v>#REF!</v>
      </c>
      <c r="R924" s="130"/>
      <c r="S924" s="130"/>
      <c r="T924" s="130"/>
    </row>
    <row r="925">
      <c r="A925" s="155" t="s">
        <v>71</v>
      </c>
      <c r="B925" s="142">
        <v>2163.0</v>
      </c>
      <c r="C925" s="143">
        <v>2163.0</v>
      </c>
      <c r="D925" s="144" t="str">
        <f>IF(   ISERROR(OFFSET(PADRON!B$2,MATCH(C:C,PADRON!A$2:A1405,0)-1,0,1,1) )  ,  ,    OFFSET(PADRON!B$2,MATCH(C:C,PADRON!A$2:A1405,0)-1,0,1,1))</f>
        <v>KACZAN, ALEJO</v>
      </c>
      <c r="E925" s="145">
        <v>45870.0</v>
      </c>
      <c r="F925" s="145"/>
      <c r="G925" s="146" t="s">
        <v>39</v>
      </c>
      <c r="H925" s="147">
        <f>IF( ISERROR( OFFSET(   'Cuadro tarifario'!D$2  , MATCH(CONCATENATE(                 IF(F925&gt;Mes,OFFSET(NroCT!B$17, MATCH($F925,NroCT!$A$18:$A1405,0),0,1,1),Periodovigente)                                                                                                                     ,A925) ,'Cuadro tarifario'!A$2:A1405,0) -1 , 0 , 1 , 1) )   , 0  ,   OFFSET(   'Cuadro tarifario'!D$2  , MATCH(CONCATENATE( IF(F925&gt;Mes,OFFSET(NroCT!B$17, MATCH($F925,NroCT!$A$18:$A1405,0),0,1,1),Periodovigente) ,A925) ,'Cuadro tarifario'!A$2:A1405,0) -1 , 0 , 1 , 1))</f>
        <v>11000</v>
      </c>
      <c r="I925" s="148">
        <f t="shared" si="252"/>
        <v>0</v>
      </c>
      <c r="J925" s="147">
        <f t="shared" si="235"/>
        <v>0</v>
      </c>
      <c r="K925" s="149">
        <f>IF(  AND(N925&gt;0,I925=0)          ,N925 ,                         IF(  IF( F925 ,  DAYS360(DATE(YEAR(F925),MONTH(F925),1),Mes)/30  ,  DAYS360(DATE(YEAR(E925),MONTH(E925),1),Mes)/30  )  &gt;  0 , IF(F925,   DAYS360(DATE(YEAR(F925),MONTH(F925),1),Mes)/30  ,  DAYS360(DATE(YEAR(E925),MONTH(E925),1),Mes)/30) , 0)       )</f>
        <v>0</v>
      </c>
      <c r="L925" s="150">
        <f t="shared" si="253"/>
        <v>0</v>
      </c>
      <c r="M925" s="151"/>
      <c r="N925" s="152">
        <f>IF( ISERROR(OFFSET(SECUESTRADOS!D$1,MATCH(B925,SECUESTRADOS!A$2:A1405,0),0)) ,0 ,  OFFSET(SECUESTRADOS!D$1,MATCH(B925,SECUESTRADOS!A$2:A1405,0),0)  )</f>
        <v>0</v>
      </c>
      <c r="O925" s="153"/>
      <c r="P925" s="154" t="b">
        <f t="shared" si="238"/>
        <v>0</v>
      </c>
      <c r="Q925" s="154" t="str">
        <f t="shared" si="301"/>
        <v>#REF!</v>
      </c>
      <c r="R925" s="130"/>
      <c r="S925" s="130"/>
      <c r="T925" s="130"/>
    </row>
    <row r="926">
      <c r="A926" s="155" t="s">
        <v>38</v>
      </c>
      <c r="B926" s="142">
        <v>2163.0</v>
      </c>
      <c r="C926" s="143">
        <v>2163.0</v>
      </c>
      <c r="D926" s="144" t="str">
        <f>IF(   ISERROR(OFFSET(PADRON!B$2,MATCH(C:C,PADRON!A$2:A1405,0)-1,0,1,1) )  ,  ,    OFFSET(PADRON!B$2,MATCH(C:C,PADRON!A$2:A1405,0)-1,0,1,1))</f>
        <v>KACZAN, ALEJO</v>
      </c>
      <c r="E926" s="145">
        <v>45870.0</v>
      </c>
      <c r="F926" s="145"/>
      <c r="G926" s="146" t="s">
        <v>39</v>
      </c>
      <c r="H926" s="147">
        <f>IF( ISERROR( OFFSET(   'Cuadro tarifario'!D$2  , MATCH(CONCATENATE(                 IF(F926&gt;Mes,OFFSET(NroCT!B$17, MATCH($F926,NroCT!$A$18:$A1405,0),0,1,1),Periodovigente)                                                                                                                     ,A926) ,'Cuadro tarifario'!A$2:A1405,0) -1 , 0 , 1 , 1) )   , 0  ,   OFFSET(   'Cuadro tarifario'!D$2  , MATCH(CONCATENATE( IF(F926&gt;Mes,OFFSET(NroCT!B$17, MATCH($F926,NroCT!$A$18:$A1405,0),0,1,1),Periodovigente) ,A926) ,'Cuadro tarifario'!A$2:A1405,0) -1 , 0 , 1 , 1))</f>
        <v>9000</v>
      </c>
      <c r="I926" s="148">
        <f t="shared" si="252"/>
        <v>0</v>
      </c>
      <c r="J926" s="147">
        <f t="shared" si="235"/>
        <v>0</v>
      </c>
      <c r="K926" s="149">
        <f>IF(  AND(N926&gt;0,I926=0)          ,N926 ,                         IF(  IF( F926 ,  DAYS360(DATE(YEAR(F926),MONTH(F926),1),Mes)/30  ,  DAYS360(DATE(YEAR(E926),MONTH(E926),1),Mes)/30  )  &gt;  0 , IF(F926,   DAYS360(DATE(YEAR(F926),MONTH(F926),1),Mes)/30  ,  DAYS360(DATE(YEAR(E926),MONTH(E926),1),Mes)/30) , 0)       )</f>
        <v>0</v>
      </c>
      <c r="L926" s="150">
        <f t="shared" si="253"/>
        <v>0</v>
      </c>
      <c r="M926" s="151"/>
      <c r="N926" s="152">
        <f>IF( ISERROR(OFFSET(SECUESTRADOS!D$1,MATCH(B926,SECUESTRADOS!A$2:A1405,0),0)) ,0 ,  OFFSET(SECUESTRADOS!D$1,MATCH(B926,SECUESTRADOS!A$2:A1405,0),0)  )</f>
        <v>0</v>
      </c>
      <c r="O926" s="153"/>
      <c r="P926" s="154" t="b">
        <f t="shared" si="238"/>
        <v>0</v>
      </c>
      <c r="Q926" s="154" t="str">
        <f t="shared" si="301"/>
        <v>#REF!</v>
      </c>
      <c r="R926" s="130"/>
      <c r="S926" s="130"/>
      <c r="T926" s="130"/>
    </row>
    <row r="927">
      <c r="A927" s="155" t="s">
        <v>40</v>
      </c>
      <c r="B927" s="142" t="s">
        <v>396</v>
      </c>
      <c r="C927" s="143">
        <v>2163.0</v>
      </c>
      <c r="D927" s="144" t="str">
        <f>IF(   ISERROR(OFFSET(PADRON!B$2,MATCH(C:C,PADRON!A$2:A1405,0)-1,0,1,1) )  ,  ,    OFFSET(PADRON!B$2,MATCH(C:C,PADRON!A$2:A1405,0)-1,0,1,1))</f>
        <v>KACZAN, ALEJO</v>
      </c>
      <c r="E927" s="145">
        <v>45870.0</v>
      </c>
      <c r="F927" s="145"/>
      <c r="G927" s="146" t="s">
        <v>39</v>
      </c>
      <c r="H927" s="147">
        <f>IF( ISERROR( OFFSET(   'Cuadro tarifario'!D$2  , MATCH(CONCATENATE(                 IF(F927&gt;Mes,OFFSET(NroCT!B$17, MATCH($F927,NroCT!$A$18:$A1405,0),0,1,1),Periodovigente)                                                                                                                     ,A927) ,'Cuadro tarifario'!A$2:A1405,0) -1 , 0 , 1 , 1) )   , 0  ,   OFFSET(   'Cuadro tarifario'!D$2  , MATCH(CONCATENATE( IF(F927&gt;Mes,OFFSET(NroCT!B$17, MATCH($F927,NroCT!$A$18:$A1405,0),0,1,1),Periodovigente) ,A927) ,'Cuadro tarifario'!A$2:A1405,0) -1 , 0 , 1 , 1))</f>
        <v>12000</v>
      </c>
      <c r="I927" s="148">
        <f t="shared" si="252"/>
        <v>0</v>
      </c>
      <c r="J927" s="147">
        <f t="shared" si="235"/>
        <v>0</v>
      </c>
      <c r="K927" s="149">
        <f>IF(  AND(N927&gt;0,I927=0)          ,N927 ,                         IF(  IF( F927 ,  DAYS360(DATE(YEAR(F927),MONTH(F927),1),Mes)/30  ,  DAYS360(DATE(YEAR(E927),MONTH(E927),1),Mes)/30  )  &gt;  0 , IF(F927,   DAYS360(DATE(YEAR(F927),MONTH(F927),1),Mes)/30  ,  DAYS360(DATE(YEAR(E927),MONTH(E927),1),Mes)/30) , 0)       )</f>
        <v>0</v>
      </c>
      <c r="L927" s="150">
        <f t="shared" si="253"/>
        <v>0</v>
      </c>
      <c r="M927" s="151"/>
      <c r="N927" s="152">
        <f>IF( ISERROR(OFFSET(SECUESTRADOS!D$1,MATCH(B927,SECUESTRADOS!A$2:A1405,0),0)) ,0 ,  OFFSET(SECUESTRADOS!D$1,MATCH(B927,SECUESTRADOS!A$2:A1405,0),0)  )</f>
        <v>0</v>
      </c>
      <c r="O927" s="153"/>
      <c r="P927" s="154" t="b">
        <f t="shared" si="238"/>
        <v>0</v>
      </c>
      <c r="Q927" s="154" t="str">
        <f t="shared" si="301"/>
        <v>#REF!</v>
      </c>
      <c r="R927" s="130"/>
      <c r="S927" s="130"/>
      <c r="T927" s="130"/>
    </row>
    <row r="928">
      <c r="A928" s="155" t="s">
        <v>52</v>
      </c>
      <c r="B928" s="142" t="s">
        <v>397</v>
      </c>
      <c r="C928" s="143">
        <v>2163.0</v>
      </c>
      <c r="D928" s="144" t="str">
        <f>IF(   ISERROR(OFFSET(PADRON!B$2,MATCH(C:C,PADRON!A$2:A1405,0)-1,0,1,1) )  ,  ,    OFFSET(PADRON!B$2,MATCH(C:C,PADRON!A$2:A1405,0)-1,0,1,1))</f>
        <v>KACZAN, ALEJO</v>
      </c>
      <c r="E928" s="145">
        <v>45992.0</v>
      </c>
      <c r="F928" s="145"/>
      <c r="G928" s="146" t="s">
        <v>39</v>
      </c>
      <c r="H928" s="147">
        <f>IF( ISERROR( OFFSET(   'Cuadro tarifario'!D$2  , MATCH(CONCATENATE(                 IF(F928&gt;Mes,OFFSET(NroCT!B$17, MATCH($F928,NroCT!$A$18:$A1405,0),0,1,1),Periodovigente)                                                                                                                     ,A928) ,'Cuadro tarifario'!A$2:A1405,0) -1 , 0 , 1 , 1) )   , 0  ,   OFFSET(   'Cuadro tarifario'!D$2  , MATCH(CONCATENATE( IF(F928&gt;Mes,OFFSET(NroCT!B$17, MATCH($F928,NroCT!$A$18:$A1405,0),0,1,1),Periodovigente) ,A928) ,'Cuadro tarifario'!A$2:A1405,0) -1 , 0 , 1 , 1))</f>
        <v>4000</v>
      </c>
      <c r="I928" s="148">
        <f t="shared" si="252"/>
        <v>0</v>
      </c>
      <c r="J928" s="147">
        <f t="shared" si="235"/>
        <v>0</v>
      </c>
      <c r="K928" s="149">
        <f>IF(  AND(N928&gt;0,I928=0)          ,N928 ,                         IF(  IF( F928 ,  DAYS360(DATE(YEAR(F928),MONTH(F928),1),Mes)/30  ,  DAYS360(DATE(YEAR(E928),MONTH(E928),1),Mes)/30  )  &gt;  0 , IF(F928,   DAYS360(DATE(YEAR(F928),MONTH(F928),1),Mes)/30  ,  DAYS360(DATE(YEAR(E928),MONTH(E928),1),Mes)/30) , 0)       )</f>
        <v>0</v>
      </c>
      <c r="L928" s="150">
        <f t="shared" si="253"/>
        <v>0</v>
      </c>
      <c r="M928" s="151"/>
      <c r="N928" s="152">
        <f>IF( ISERROR(OFFSET(SECUESTRADOS!D$1,MATCH(B928,SECUESTRADOS!A$2:A1405,0),0)) ,0 ,  OFFSET(SECUESTRADOS!D$1,MATCH(B928,SECUESTRADOS!A$2:A1405,0),0)  )</f>
        <v>0</v>
      </c>
      <c r="O928" s="153"/>
      <c r="P928" s="154" t="b">
        <f t="shared" si="238"/>
        <v>0</v>
      </c>
      <c r="Q928" s="154" t="str">
        <f t="shared" si="301"/>
        <v>#REF!</v>
      </c>
      <c r="R928" s="130"/>
      <c r="S928" s="130"/>
      <c r="T928" s="130"/>
    </row>
    <row r="929">
      <c r="A929" s="155" t="s">
        <v>71</v>
      </c>
      <c r="B929" s="142">
        <v>2164.0</v>
      </c>
      <c r="C929" s="143">
        <v>2164.0</v>
      </c>
      <c r="D929" s="144" t="str">
        <f>IF(   ISERROR(OFFSET(PADRON!B$2,MATCH(C:C,PADRON!A$2:A1405,0)-1,0,1,1) )  ,  ,    OFFSET(PADRON!B$2,MATCH(C:C,PADRON!A$2:A1405,0)-1,0,1,1))</f>
        <v>SAN CRISTOBAL, JAVIER</v>
      </c>
      <c r="E929" s="145">
        <v>45992.0</v>
      </c>
      <c r="F929" s="145"/>
      <c r="G929" s="146" t="s">
        <v>39</v>
      </c>
      <c r="H929" s="147">
        <f>IF( ISERROR( OFFSET(   'Cuadro tarifario'!D$2  , MATCH(CONCATENATE(                 IF(F929&gt;Mes,OFFSET(NroCT!B$17, MATCH($F929,NroCT!$A$18:$A1405,0),0,1,1),Periodovigente)                                                                                                                     ,A929) ,'Cuadro tarifario'!A$2:A1405,0) -1 , 0 , 1 , 1) )   , 0  ,   OFFSET(   'Cuadro tarifario'!D$2  , MATCH(CONCATENATE( IF(F929&gt;Mes,OFFSET(NroCT!B$17, MATCH($F929,NroCT!$A$18:$A1405,0),0,1,1),Periodovigente) ,A929) ,'Cuadro tarifario'!A$2:A1405,0) -1 , 0 , 1 , 1))</f>
        <v>11000</v>
      </c>
      <c r="I929" s="148">
        <f t="shared" si="252"/>
        <v>0</v>
      </c>
      <c r="J929" s="147">
        <f t="shared" si="235"/>
        <v>0</v>
      </c>
      <c r="K929" s="149">
        <f>IF(  AND(N929&gt;0,I929=0)          ,N929 ,                         IF(  IF( F929 ,  DAYS360(DATE(YEAR(F929),MONTH(F929),1),Mes)/30  ,  DAYS360(DATE(YEAR(E929),MONTH(E929),1),Mes)/30  )  &gt;  0 , IF(F929,   DAYS360(DATE(YEAR(F929),MONTH(F929),1),Mes)/30  ,  DAYS360(DATE(YEAR(E929),MONTH(E929),1),Mes)/30) , 0)       )</f>
        <v>0</v>
      </c>
      <c r="L929" s="150">
        <f t="shared" si="253"/>
        <v>0</v>
      </c>
      <c r="M929" s="151"/>
      <c r="N929" s="152">
        <f>IF( ISERROR(OFFSET(SECUESTRADOS!D$1,MATCH(B929,SECUESTRADOS!A$2:A1405,0),0)) ,0 ,  OFFSET(SECUESTRADOS!D$1,MATCH(B929,SECUESTRADOS!A$2:A1405,0),0)  )</f>
        <v>0</v>
      </c>
      <c r="O929" s="153"/>
      <c r="P929" s="154" t="b">
        <f t="shared" si="238"/>
        <v>0</v>
      </c>
      <c r="Q929" s="154" t="str">
        <f t="shared" si="301"/>
        <v>#REF!</v>
      </c>
      <c r="R929" s="130"/>
      <c r="S929" s="130"/>
      <c r="T929" s="130"/>
    </row>
    <row r="930">
      <c r="A930" s="155" t="s">
        <v>38</v>
      </c>
      <c r="B930" s="142">
        <v>2164.0</v>
      </c>
      <c r="C930" s="143">
        <v>2164.0</v>
      </c>
      <c r="D930" s="144" t="str">
        <f>IF(   ISERROR(OFFSET(PADRON!B$2,MATCH(C:C,PADRON!A$2:A1405,0)-1,0,1,1) )  ,  ,    OFFSET(PADRON!B$2,MATCH(C:C,PADRON!A$2:A1405,0)-1,0,1,1))</f>
        <v>SAN CRISTOBAL, JAVIER</v>
      </c>
      <c r="E930" s="145">
        <v>45992.0</v>
      </c>
      <c r="F930" s="145"/>
      <c r="G930" s="146" t="s">
        <v>39</v>
      </c>
      <c r="H930" s="147">
        <f>IF( ISERROR( OFFSET(   'Cuadro tarifario'!D$2  , MATCH(CONCATENATE(                 IF(F930&gt;Mes,OFFSET(NroCT!B$17, MATCH($F930,NroCT!$A$18:$A1405,0),0,1,1),Periodovigente)                                                                                                                     ,A930) ,'Cuadro tarifario'!A$2:A1405,0) -1 , 0 , 1 , 1) )   , 0  ,   OFFSET(   'Cuadro tarifario'!D$2  , MATCH(CONCATENATE( IF(F930&gt;Mes,OFFSET(NroCT!B$17, MATCH($F930,NroCT!$A$18:$A1405,0),0,1,1),Periodovigente) ,A930) ,'Cuadro tarifario'!A$2:A1405,0) -1 , 0 , 1 , 1))</f>
        <v>9000</v>
      </c>
      <c r="I930" s="148">
        <f t="shared" si="252"/>
        <v>0</v>
      </c>
      <c r="J930" s="147">
        <f t="shared" si="235"/>
        <v>0</v>
      </c>
      <c r="K930" s="149">
        <f>IF(  AND(N930&gt;0,I930=0)          ,N930 ,                         IF(  IF( F930 ,  DAYS360(DATE(YEAR(F930),MONTH(F930),1),Mes)/30  ,  DAYS360(DATE(YEAR(E930),MONTH(E930),1),Mes)/30  )  &gt;  0 , IF(F930,   DAYS360(DATE(YEAR(F930),MONTH(F930),1),Mes)/30  ,  DAYS360(DATE(YEAR(E930),MONTH(E930),1),Mes)/30) , 0)       )</f>
        <v>0</v>
      </c>
      <c r="L930" s="150">
        <f t="shared" si="253"/>
        <v>0</v>
      </c>
      <c r="M930" s="151"/>
      <c r="N930" s="152">
        <f>IF( ISERROR(OFFSET(SECUESTRADOS!D$1,MATCH(B930,SECUESTRADOS!A$2:A1405,0),0)) ,0 ,  OFFSET(SECUESTRADOS!D$1,MATCH(B930,SECUESTRADOS!A$2:A1405,0),0)  )</f>
        <v>0</v>
      </c>
      <c r="O930" s="153"/>
      <c r="P930" s="154" t="b">
        <f t="shared" si="238"/>
        <v>0</v>
      </c>
      <c r="Q930" s="154" t="str">
        <f t="shared" si="301"/>
        <v>#REF!</v>
      </c>
      <c r="R930" s="130"/>
      <c r="S930" s="130"/>
      <c r="T930" s="130"/>
    </row>
    <row r="931">
      <c r="A931" s="155" t="s">
        <v>40</v>
      </c>
      <c r="B931" s="142" t="s">
        <v>398</v>
      </c>
      <c r="C931" s="143">
        <v>2164.0</v>
      </c>
      <c r="D931" s="144" t="str">
        <f>IF(   ISERROR(OFFSET(PADRON!B$2,MATCH(C:C,PADRON!A$2:A1405,0)-1,0,1,1) )  ,  ,    OFFSET(PADRON!B$2,MATCH(C:C,PADRON!A$2:A1405,0)-1,0,1,1))</f>
        <v>SAN CRISTOBAL, JAVIER</v>
      </c>
      <c r="E931" s="145">
        <v>45992.0</v>
      </c>
      <c r="F931" s="145"/>
      <c r="G931" s="146" t="s">
        <v>39</v>
      </c>
      <c r="H931" s="147">
        <f>IF( ISERROR( OFFSET(   'Cuadro tarifario'!D$2  , MATCH(CONCATENATE(                 IF(F931&gt;Mes,OFFSET(NroCT!B$17, MATCH($F931,NroCT!$A$18:$A1405,0),0,1,1),Periodovigente)                                                                                                                     ,A931) ,'Cuadro tarifario'!A$2:A1405,0) -1 , 0 , 1 , 1) )   , 0  ,   OFFSET(   'Cuadro tarifario'!D$2  , MATCH(CONCATENATE( IF(F931&gt;Mes,OFFSET(NroCT!B$17, MATCH($F931,NroCT!$A$18:$A1405,0),0,1,1),Periodovigente) ,A931) ,'Cuadro tarifario'!A$2:A1405,0) -1 , 0 , 1 , 1))</f>
        <v>12000</v>
      </c>
      <c r="I931" s="148">
        <f t="shared" si="252"/>
        <v>0</v>
      </c>
      <c r="J931" s="147">
        <f t="shared" si="235"/>
        <v>0</v>
      </c>
      <c r="K931" s="149">
        <f>IF(  AND(N931&gt;0,I931=0)          ,N931 ,                         IF(  IF( F931 ,  DAYS360(DATE(YEAR(F931),MONTH(F931),1),Mes)/30  ,  DAYS360(DATE(YEAR(E931),MONTH(E931),1),Mes)/30  )  &gt;  0 , IF(F931,   DAYS360(DATE(YEAR(F931),MONTH(F931),1),Mes)/30  ,  DAYS360(DATE(YEAR(E931),MONTH(E931),1),Mes)/30) , 0)       )</f>
        <v>0</v>
      </c>
      <c r="L931" s="150">
        <f t="shared" si="253"/>
        <v>0</v>
      </c>
      <c r="M931" s="151"/>
      <c r="N931" s="152">
        <f>IF( ISERROR(OFFSET(SECUESTRADOS!D$1,MATCH(B931,SECUESTRADOS!A$2:A1405,0),0)) ,0 ,  OFFSET(SECUESTRADOS!D$1,MATCH(B931,SECUESTRADOS!A$2:A1405,0),0)  )</f>
        <v>0</v>
      </c>
      <c r="O931" s="153"/>
      <c r="P931" s="154" t="b">
        <f t="shared" si="238"/>
        <v>0</v>
      </c>
      <c r="Q931" s="154" t="str">
        <f t="shared" si="301"/>
        <v>#REF!</v>
      </c>
      <c r="R931" s="130"/>
      <c r="S931" s="130"/>
      <c r="T931" s="130"/>
    </row>
    <row r="932">
      <c r="A932" s="155" t="s">
        <v>52</v>
      </c>
      <c r="B932" s="142" t="s">
        <v>399</v>
      </c>
      <c r="C932" s="143">
        <v>2164.0</v>
      </c>
      <c r="D932" s="144" t="str">
        <f>IF(   ISERROR(OFFSET(PADRON!B$2,MATCH(C:C,PADRON!A$2:A1405,0)-1,0,1,1) )  ,  ,    OFFSET(PADRON!B$2,MATCH(C:C,PADRON!A$2:A1405,0)-1,0,1,1))</f>
        <v>SAN CRISTOBAL, JAVIER</v>
      </c>
      <c r="E932" s="145">
        <v>45992.0</v>
      </c>
      <c r="F932" s="145"/>
      <c r="G932" s="146" t="s">
        <v>39</v>
      </c>
      <c r="H932" s="147">
        <f>IF( ISERROR( OFFSET(   'Cuadro tarifario'!D$2  , MATCH(CONCATENATE(                 IF(F932&gt;Mes,OFFSET(NroCT!B$17, MATCH($F932,NroCT!$A$18:$A1405,0),0,1,1),Periodovigente)                                                                                                                     ,A932) ,'Cuadro tarifario'!A$2:A1405,0) -1 , 0 , 1 , 1) )   , 0  ,   OFFSET(   'Cuadro tarifario'!D$2  , MATCH(CONCATENATE( IF(F932&gt;Mes,OFFSET(NroCT!B$17, MATCH($F932,NroCT!$A$18:$A1405,0),0,1,1),Periodovigente) ,A932) ,'Cuadro tarifario'!A$2:A1405,0) -1 , 0 , 1 , 1))</f>
        <v>4000</v>
      </c>
      <c r="I932" s="148">
        <f t="shared" si="252"/>
        <v>0</v>
      </c>
      <c r="J932" s="147">
        <f t="shared" si="235"/>
        <v>0</v>
      </c>
      <c r="K932" s="149">
        <f>IF(  AND(N932&gt;0,I932=0)          ,N932 ,                         IF(  IF( F932 ,  DAYS360(DATE(YEAR(F932),MONTH(F932),1),Mes)/30  ,  DAYS360(DATE(YEAR(E932),MONTH(E932),1),Mes)/30  )  &gt;  0 , IF(F932,   DAYS360(DATE(YEAR(F932),MONTH(F932),1),Mes)/30  ,  DAYS360(DATE(YEAR(E932),MONTH(E932),1),Mes)/30) , 0)       )</f>
        <v>0</v>
      </c>
      <c r="L932" s="150">
        <f t="shared" si="253"/>
        <v>0</v>
      </c>
      <c r="M932" s="151"/>
      <c r="N932" s="152">
        <f>IF( ISERROR(OFFSET(SECUESTRADOS!D$1,MATCH(B932,SECUESTRADOS!A$2:A1405,0),0)) ,0 ,  OFFSET(SECUESTRADOS!D$1,MATCH(B932,SECUESTRADOS!A$2:A1405,0),0)  )</f>
        <v>0</v>
      </c>
      <c r="O932" s="153"/>
      <c r="P932" s="154" t="b">
        <f t="shared" si="238"/>
        <v>0</v>
      </c>
      <c r="Q932" s="154" t="str">
        <f t="shared" si="301"/>
        <v>#REF!</v>
      </c>
      <c r="R932" s="130"/>
      <c r="S932" s="130"/>
      <c r="T932" s="130"/>
    </row>
    <row r="933">
      <c r="A933" s="155" t="s">
        <v>71</v>
      </c>
      <c r="B933" s="142">
        <v>2165.0</v>
      </c>
      <c r="C933" s="143">
        <v>2165.0</v>
      </c>
      <c r="D933" s="144" t="str">
        <f>IF(   ISERROR(OFFSET(PADRON!B$2,MATCH(C:C,PADRON!A$2:A1405,0)-1,0,1,1) )  ,  ,    OFFSET(PADRON!B$2,MATCH(C:C,PADRON!A$2:A1405,0)-1,0,1,1))</f>
        <v>RAMIREZ, BIBIANA EDITH</v>
      </c>
      <c r="E933" s="145">
        <v>45992.0</v>
      </c>
      <c r="F933" s="145"/>
      <c r="G933" s="146" t="s">
        <v>39</v>
      </c>
      <c r="H933" s="147">
        <f>IF( ISERROR( OFFSET(   'Cuadro tarifario'!D$2  , MATCH(CONCATENATE(                 IF(F933&gt;Mes,OFFSET(NroCT!B$17, MATCH($F933,NroCT!$A$18:$A1405,0),0,1,1),Periodovigente)                                                                                                                     ,A933) ,'Cuadro tarifario'!A$2:A1405,0) -1 , 0 , 1 , 1) )   , 0  ,   OFFSET(   'Cuadro tarifario'!D$2  , MATCH(CONCATENATE( IF(F933&gt;Mes,OFFSET(NroCT!B$17, MATCH($F933,NroCT!$A$18:$A1405,0),0,1,1),Periodovigente) ,A933) ,'Cuadro tarifario'!A$2:A1405,0) -1 , 0 , 1 , 1))</f>
        <v>11000</v>
      </c>
      <c r="I933" s="148">
        <f t="shared" si="252"/>
        <v>0</v>
      </c>
      <c r="J933" s="147">
        <f t="shared" si="235"/>
        <v>0</v>
      </c>
      <c r="K933" s="149">
        <f>IF(  AND(N933&gt;0,I933=0)          ,N933 ,                         IF(  IF( F933 ,  DAYS360(DATE(YEAR(F933),MONTH(F933),1),Mes)/30  ,  DAYS360(DATE(YEAR(E933),MONTH(E933),1),Mes)/30  )  &gt;  0 , IF(F933,   DAYS360(DATE(YEAR(F933),MONTH(F933),1),Mes)/30  ,  DAYS360(DATE(YEAR(E933),MONTH(E933),1),Mes)/30) , 0)       )</f>
        <v>0</v>
      </c>
      <c r="L933" s="150">
        <f t="shared" si="253"/>
        <v>0</v>
      </c>
      <c r="M933" s="151"/>
      <c r="N933" s="152">
        <f>IF( ISERROR(OFFSET(SECUESTRADOS!D$1,MATCH(B933,SECUESTRADOS!A$2:A1405,0),0)) ,0 ,  OFFSET(SECUESTRADOS!D$1,MATCH(B933,SECUESTRADOS!A$2:A1405,0),0)  )</f>
        <v>0</v>
      </c>
      <c r="O933" s="153"/>
      <c r="P933" s="154" t="b">
        <f t="shared" si="238"/>
        <v>0</v>
      </c>
      <c r="Q933" s="154" t="str">
        <f t="shared" si="301"/>
        <v>#REF!</v>
      </c>
      <c r="R933" s="130"/>
      <c r="S933" s="130"/>
      <c r="T933" s="130"/>
    </row>
    <row r="934">
      <c r="A934" s="155" t="s">
        <v>38</v>
      </c>
      <c r="B934" s="142">
        <v>2165.0</v>
      </c>
      <c r="C934" s="143">
        <v>2165.0</v>
      </c>
      <c r="D934" s="144" t="str">
        <f>IF(   ISERROR(OFFSET(PADRON!B$2,MATCH(C:C,PADRON!A$2:A1405,0)-1,0,1,1) )  ,  ,    OFFSET(PADRON!B$2,MATCH(C:C,PADRON!A$2:A1405,0)-1,0,1,1))</f>
        <v>RAMIREZ, BIBIANA EDITH</v>
      </c>
      <c r="E934" s="145">
        <v>45992.0</v>
      </c>
      <c r="F934" s="145"/>
      <c r="G934" s="146" t="s">
        <v>39</v>
      </c>
      <c r="H934" s="147">
        <f>IF( ISERROR( OFFSET(   'Cuadro tarifario'!D$2  , MATCH(CONCATENATE(                 IF(F934&gt;Mes,OFFSET(NroCT!B$17, MATCH($F934,NroCT!$A$18:$A1405,0),0,1,1),Periodovigente)                                                                                                                     ,A934) ,'Cuadro tarifario'!A$2:A1405,0) -1 , 0 , 1 , 1) )   , 0  ,   OFFSET(   'Cuadro tarifario'!D$2  , MATCH(CONCATENATE( IF(F934&gt;Mes,OFFSET(NroCT!B$17, MATCH($F934,NroCT!$A$18:$A1405,0),0,1,1),Periodovigente) ,A934) ,'Cuadro tarifario'!A$2:A1405,0) -1 , 0 , 1 , 1))</f>
        <v>9000</v>
      </c>
      <c r="I934" s="148">
        <f t="shared" si="252"/>
        <v>0</v>
      </c>
      <c r="J934" s="147">
        <f t="shared" si="235"/>
        <v>0</v>
      </c>
      <c r="K934" s="149">
        <f>IF(  AND(N934&gt;0,I934=0)          ,N934 ,                         IF(  IF( F934 ,  DAYS360(DATE(YEAR(F934),MONTH(F934),1),Mes)/30  ,  DAYS360(DATE(YEAR(E934),MONTH(E934),1),Mes)/30  )  &gt;  0 , IF(F934,   DAYS360(DATE(YEAR(F934),MONTH(F934),1),Mes)/30  ,  DAYS360(DATE(YEAR(E934),MONTH(E934),1),Mes)/30) , 0)       )</f>
        <v>0</v>
      </c>
      <c r="L934" s="150">
        <f t="shared" si="253"/>
        <v>0</v>
      </c>
      <c r="M934" s="151"/>
      <c r="N934" s="152">
        <f>IF( ISERROR(OFFSET(SECUESTRADOS!D$1,MATCH(B934,SECUESTRADOS!A$2:A1405,0),0)) ,0 ,  OFFSET(SECUESTRADOS!D$1,MATCH(B934,SECUESTRADOS!A$2:A1405,0),0)  )</f>
        <v>0</v>
      </c>
      <c r="O934" s="153"/>
      <c r="P934" s="154" t="b">
        <f t="shared" si="238"/>
        <v>0</v>
      </c>
      <c r="Q934" s="154" t="str">
        <f t="shared" si="301"/>
        <v>#REF!</v>
      </c>
      <c r="R934" s="130"/>
      <c r="S934" s="130"/>
      <c r="T934" s="130"/>
    </row>
    <row r="935">
      <c r="A935" s="155" t="s">
        <v>71</v>
      </c>
      <c r="B935" s="142">
        <v>2166.0</v>
      </c>
      <c r="C935" s="143">
        <v>2166.0</v>
      </c>
      <c r="D935" s="144" t="str">
        <f>IF(   ISERROR(OFFSET(PADRON!B$2,MATCH(C:C,PADRON!A$2:A1405,0)-1,0,1,1) )  ,  ,    OFFSET(PADRON!B$2,MATCH(C:C,PADRON!A$2:A1405,0)-1,0,1,1))</f>
        <v>SAN CRISTOBAL, MARIA CANDELARIA</v>
      </c>
      <c r="E935" s="145">
        <v>45992.0</v>
      </c>
      <c r="F935" s="145"/>
      <c r="G935" s="146" t="s">
        <v>39</v>
      </c>
      <c r="H935" s="147">
        <f>IF( ISERROR( OFFSET(   'Cuadro tarifario'!D$2  , MATCH(CONCATENATE(                 IF(F935&gt;Mes,OFFSET(NroCT!B$17, MATCH($F935,NroCT!$A$18:$A1405,0),0,1,1),Periodovigente)                                                                                                                     ,A935) ,'Cuadro tarifario'!A$2:A1405,0) -1 , 0 , 1 , 1) )   , 0  ,   OFFSET(   'Cuadro tarifario'!D$2  , MATCH(CONCATENATE( IF(F935&gt;Mes,OFFSET(NroCT!B$17, MATCH($F935,NroCT!$A$18:$A1405,0),0,1,1),Periodovigente) ,A935) ,'Cuadro tarifario'!A$2:A1405,0) -1 , 0 , 1 , 1))</f>
        <v>11000</v>
      </c>
      <c r="I935" s="148">
        <f t="shared" si="252"/>
        <v>0</v>
      </c>
      <c r="J935" s="147">
        <f t="shared" si="235"/>
        <v>0</v>
      </c>
      <c r="K935" s="149">
        <f>IF(  AND(N935&gt;0,I935=0)          ,N935 ,                         IF(  IF( F935 ,  DAYS360(DATE(YEAR(F935),MONTH(F935),1),Mes)/30  ,  DAYS360(DATE(YEAR(E935),MONTH(E935),1),Mes)/30  )  &gt;  0 , IF(F935,   DAYS360(DATE(YEAR(F935),MONTH(F935),1),Mes)/30  ,  DAYS360(DATE(YEAR(E935),MONTH(E935),1),Mes)/30) , 0)       )</f>
        <v>0</v>
      </c>
      <c r="L935" s="150">
        <f t="shared" si="253"/>
        <v>0</v>
      </c>
      <c r="M935" s="151"/>
      <c r="N935" s="152">
        <f>IF( ISERROR(OFFSET(SECUESTRADOS!D$1,MATCH(B935,SECUESTRADOS!A$2:A1405,0),0)) ,0 ,  OFFSET(SECUESTRADOS!D$1,MATCH(B935,SECUESTRADOS!A$2:A1405,0),0)  )</f>
        <v>0</v>
      </c>
      <c r="O935" s="153"/>
      <c r="P935" s="154" t="b">
        <f t="shared" si="238"/>
        <v>0</v>
      </c>
      <c r="Q935" s="154" t="str">
        <f t="shared" si="301"/>
        <v>#REF!</v>
      </c>
      <c r="R935" s="130"/>
      <c r="S935" s="130"/>
      <c r="T935" s="130"/>
    </row>
    <row r="936">
      <c r="A936" s="155" t="s">
        <v>38</v>
      </c>
      <c r="B936" s="142">
        <v>2166.0</v>
      </c>
      <c r="C936" s="143">
        <v>2166.0</v>
      </c>
      <c r="D936" s="144" t="str">
        <f>IF(   ISERROR(OFFSET(PADRON!B$2,MATCH(C:C,PADRON!A$2:A1405,0)-1,0,1,1) )  ,  ,    OFFSET(PADRON!B$2,MATCH(C:C,PADRON!A$2:A1405,0)-1,0,1,1))</f>
        <v>SAN CRISTOBAL, MARIA CANDELARIA</v>
      </c>
      <c r="E936" s="145">
        <v>45992.0</v>
      </c>
      <c r="F936" s="145"/>
      <c r="G936" s="146" t="s">
        <v>39</v>
      </c>
      <c r="H936" s="147">
        <f>IF( ISERROR( OFFSET(   'Cuadro tarifario'!D$2  , MATCH(CONCATENATE(                 IF(F936&gt;Mes,OFFSET(NroCT!B$17, MATCH($F936,NroCT!$A$18:$A1405,0),0,1,1),Periodovigente)                                                                                                                     ,A936) ,'Cuadro tarifario'!A$2:A1405,0) -1 , 0 , 1 , 1) )   , 0  ,   OFFSET(   'Cuadro tarifario'!D$2  , MATCH(CONCATENATE( IF(F936&gt;Mes,OFFSET(NroCT!B$17, MATCH($F936,NroCT!$A$18:$A1405,0),0,1,1),Periodovigente) ,A936) ,'Cuadro tarifario'!A$2:A1405,0) -1 , 0 , 1 , 1))</f>
        <v>9000</v>
      </c>
      <c r="I936" s="148">
        <f t="shared" si="252"/>
        <v>0</v>
      </c>
      <c r="J936" s="147">
        <f t="shared" si="235"/>
        <v>0</v>
      </c>
      <c r="K936" s="149">
        <f>IF(  AND(N936&gt;0,I936=0)          ,N936 ,                         IF(  IF( F936 ,  DAYS360(DATE(YEAR(F936),MONTH(F936),1),Mes)/30  ,  DAYS360(DATE(YEAR(E936),MONTH(E936),1),Mes)/30  )  &gt;  0 , IF(F936,   DAYS360(DATE(YEAR(F936),MONTH(F936),1),Mes)/30  ,  DAYS360(DATE(YEAR(E936),MONTH(E936),1),Mes)/30) , 0)       )</f>
        <v>0</v>
      </c>
      <c r="L936" s="150">
        <f t="shared" si="253"/>
        <v>0</v>
      </c>
      <c r="M936" s="151"/>
      <c r="N936" s="152">
        <f>IF( ISERROR(OFFSET(SECUESTRADOS!D$1,MATCH(B936,SECUESTRADOS!A$2:A1405,0),0)) ,0 ,  OFFSET(SECUESTRADOS!D$1,MATCH(B936,SECUESTRADOS!A$2:A1405,0),0)  )</f>
        <v>0</v>
      </c>
      <c r="O936" s="153"/>
      <c r="P936" s="154" t="b">
        <f t="shared" si="238"/>
        <v>0</v>
      </c>
      <c r="Q936" s="154" t="str">
        <f t="shared" si="301"/>
        <v>#REF!</v>
      </c>
      <c r="R936" s="130"/>
      <c r="S936" s="130"/>
      <c r="T936" s="130"/>
    </row>
    <row r="937">
      <c r="A937" s="155" t="s">
        <v>71</v>
      </c>
      <c r="B937" s="142">
        <v>2167.0</v>
      </c>
      <c r="C937" s="143">
        <v>2167.0</v>
      </c>
      <c r="D937" s="144" t="str">
        <f>IF(   ISERROR(OFFSET(PADRON!B$2,MATCH(C:C,PADRON!A$2:A1405,0)-1,0,1,1) )  ,  ,    OFFSET(PADRON!B$2,MATCH(C:C,PADRON!A$2:A1405,0)-1,0,1,1))</f>
        <v>WOLCAN, JEREMIAS</v>
      </c>
      <c r="E937" s="145">
        <v>45839.0</v>
      </c>
      <c r="F937" s="145">
        <v>45870.0</v>
      </c>
      <c r="G937" s="146" t="s">
        <v>39</v>
      </c>
      <c r="H937" s="147">
        <f>IF( ISERROR( OFFSET(   'Cuadro tarifario'!D$2  , MATCH(CONCATENATE(                 IF(F937&gt;Mes,OFFSET(NroCT!B$17, MATCH($F937,NroCT!$A$18:$A1405,0),0,1,1),Periodovigente)                                                                                                                     ,A937) ,'Cuadro tarifario'!A$2:A1405,0) -1 , 0 , 1 , 1) )   , 0  ,   OFFSET(   'Cuadro tarifario'!D$2  , MATCH(CONCATENATE( IF(F937&gt;Mes,OFFSET(NroCT!B$17, MATCH($F937,NroCT!$A$18:$A1405,0),0,1,1),Periodovigente) ,A937) ,'Cuadro tarifario'!A$2:A1405,0) -1 , 0 , 1 , 1))</f>
        <v>11000</v>
      </c>
      <c r="I937" s="148">
        <f t="shared" si="252"/>
        <v>1</v>
      </c>
      <c r="J937" s="147">
        <f t="shared" si="235"/>
        <v>11000</v>
      </c>
      <c r="K937" s="149">
        <f>IF(  AND(N937&gt;0,I937=0)          ,N937 ,                         IF(  IF( F937 ,  DAYS360(DATE(YEAR(F937),MONTH(F937),1),Mes)/30  ,  DAYS360(DATE(YEAR(E937),MONTH(E937),1),Mes)/30  )  &gt;  0 , IF(F937,   DAYS360(DATE(YEAR(F937),MONTH(F937),1),Mes)/30  ,  DAYS360(DATE(YEAR(E937),MONTH(E937),1),Mes)/30) , 0)       )</f>
        <v>0</v>
      </c>
      <c r="L937" s="150">
        <f t="shared" si="253"/>
        <v>0</v>
      </c>
      <c r="M937" s="151"/>
      <c r="N937" s="152">
        <f>IF( ISERROR(OFFSET(SECUESTRADOS!D$1,MATCH(B937,SECUESTRADOS!A$2:A1405,0),0)) ,0 ,  OFFSET(SECUESTRADOS!D$1,MATCH(B937,SECUESTRADOS!A$2:A1405,0),0)  )</f>
        <v>0</v>
      </c>
      <c r="O937" s="153"/>
      <c r="P937" s="154" t="str">
        <f t="shared" si="238"/>
        <v>.socio</v>
      </c>
      <c r="Q937" s="154" t="str">
        <f t="shared" si="301"/>
        <v>#REF!</v>
      </c>
      <c r="R937" s="130"/>
      <c r="S937" s="130"/>
      <c r="T937" s="130"/>
    </row>
    <row r="938">
      <c r="A938" s="155" t="s">
        <v>38</v>
      </c>
      <c r="B938" s="142">
        <v>2167.0</v>
      </c>
      <c r="C938" s="143">
        <v>2167.0</v>
      </c>
      <c r="D938" s="144" t="str">
        <f>IF(   ISERROR(OFFSET(PADRON!B$2,MATCH(C:C,PADRON!A$2:A1405,0)-1,0,1,1) )  ,  ,    OFFSET(PADRON!B$2,MATCH(C:C,PADRON!A$2:A1405,0)-1,0,1,1))</f>
        <v>WOLCAN, JEREMIAS</v>
      </c>
      <c r="E938" s="145">
        <v>45839.0</v>
      </c>
      <c r="F938" s="145">
        <v>45870.0</v>
      </c>
      <c r="G938" s="146" t="s">
        <v>39</v>
      </c>
      <c r="H938" s="147">
        <f>IF( ISERROR( OFFSET(   'Cuadro tarifario'!D$2  , MATCH(CONCATENATE(                 IF(F938&gt;Mes,OFFSET(NroCT!B$17, MATCH($F938,NroCT!$A$18:$A1405,0),0,1,1),Periodovigente)                                                                                                                     ,A938) ,'Cuadro tarifario'!A$2:A1405,0) -1 , 0 , 1 , 1) )   , 0  ,   OFFSET(   'Cuadro tarifario'!D$2  , MATCH(CONCATENATE( IF(F938&gt;Mes,OFFSET(NroCT!B$17, MATCH($F938,NroCT!$A$18:$A1405,0),0,1,1),Periodovigente) ,A938) ,'Cuadro tarifario'!A$2:A1405,0) -1 , 0 , 1 , 1))</f>
        <v>9000</v>
      </c>
      <c r="I938" s="148">
        <f t="shared" si="252"/>
        <v>1</v>
      </c>
      <c r="J938" s="147">
        <f t="shared" si="235"/>
        <v>9000</v>
      </c>
      <c r="K938" s="149">
        <f>IF(  AND(N938&gt;0,I938=0)          ,N938 ,                         IF(  IF( F938 ,  DAYS360(DATE(YEAR(F938),MONTH(F938),1),Mes)/30  ,  DAYS360(DATE(YEAR(E938),MONTH(E938),1),Mes)/30  )  &gt;  0 , IF(F938,   DAYS360(DATE(YEAR(F938),MONTH(F938),1),Mes)/30  ,  DAYS360(DATE(YEAR(E938),MONTH(E938),1),Mes)/30) , 0)       )</f>
        <v>0</v>
      </c>
      <c r="L938" s="150">
        <f t="shared" si="253"/>
        <v>0</v>
      </c>
      <c r="M938" s="151"/>
      <c r="N938" s="152">
        <f>IF( ISERROR(OFFSET(SECUESTRADOS!D$1,MATCH(B938,SECUESTRADOS!A$2:A1405,0),0)) ,0 ,  OFFSET(SECUESTRADOS!D$1,MATCH(B938,SECUESTRADOS!A$2:A1405,0),0)  )</f>
        <v>0</v>
      </c>
      <c r="O938" s="153"/>
      <c r="P938" s="154" t="str">
        <f t="shared" si="238"/>
        <v>Bono canon</v>
      </c>
      <c r="Q938" s="154" t="str">
        <f t="shared" si="301"/>
        <v>#REF!</v>
      </c>
      <c r="R938" s="130"/>
      <c r="S938" s="130"/>
      <c r="T938" s="130"/>
    </row>
    <row r="939">
      <c r="A939" s="155" t="s">
        <v>40</v>
      </c>
      <c r="B939" s="142" t="s">
        <v>400</v>
      </c>
      <c r="C939" s="143">
        <v>2167.0</v>
      </c>
      <c r="D939" s="144" t="str">
        <f>IF(   ISERROR(OFFSET(PADRON!B$2,MATCH(C:C,PADRON!A$2:A1405,0)-1,0,1,1) )  ,  ,    OFFSET(PADRON!B$2,MATCH(C:C,PADRON!A$2:A1405,0)-1,0,1,1))</f>
        <v>WOLCAN, JEREMIAS</v>
      </c>
      <c r="E939" s="145">
        <v>45839.0</v>
      </c>
      <c r="F939" s="145">
        <v>45870.0</v>
      </c>
      <c r="G939" s="146" t="s">
        <v>39</v>
      </c>
      <c r="H939" s="147">
        <f>IF( ISERROR( OFFSET(   'Cuadro tarifario'!D$2  , MATCH(CONCATENATE(                 IF(F939&gt;Mes,OFFSET(NroCT!B$17, MATCH($F939,NroCT!$A$18:$A1405,0),0,1,1),Periodovigente)                                                                                                                     ,A939) ,'Cuadro tarifario'!A$2:A1405,0) -1 , 0 , 1 , 1) )   , 0  ,   OFFSET(   'Cuadro tarifario'!D$2  , MATCH(CONCATENATE( IF(F939&gt;Mes,OFFSET(NroCT!B$17, MATCH($F939,NroCT!$A$18:$A1405,0),0,1,1),Periodovigente) ,A939) ,'Cuadro tarifario'!A$2:A1405,0) -1 , 0 , 1 , 1))</f>
        <v>12000</v>
      </c>
      <c r="I939" s="148">
        <f t="shared" si="252"/>
        <v>1</v>
      </c>
      <c r="J939" s="147">
        <f t="shared" si="235"/>
        <v>12000</v>
      </c>
      <c r="K939" s="149">
        <f>IF(  AND(N939&gt;0,I939=0)          ,N939 ,                         IF(  IF( F939 ,  DAYS360(DATE(YEAR(F939),MONTH(F939),1),Mes)/30  ,  DAYS360(DATE(YEAR(E939),MONTH(E939),1),Mes)/30  )  &gt;  0 , IF(F939,   DAYS360(DATE(YEAR(F939),MONTH(F939),1),Mes)/30  ,  DAYS360(DATE(YEAR(E939),MONTH(E939),1),Mes)/30) , 0)       )</f>
        <v>0</v>
      </c>
      <c r="L939" s="150">
        <f t="shared" si="253"/>
        <v>0</v>
      </c>
      <c r="M939" s="151"/>
      <c r="N939" s="152">
        <f>IF( ISERROR(OFFSET(SECUESTRADOS!D$1,MATCH(B939,SECUESTRADOS!A$2:A1405,0),0)) ,0 ,  OFFSET(SECUESTRADOS!D$1,MATCH(B939,SECUESTRADOS!A$2:A1405,0),0)  )</f>
        <v>0</v>
      </c>
      <c r="O939" s="153"/>
      <c r="P939" s="154" t="str">
        <f t="shared" si="238"/>
        <v>cuna windsurf</v>
      </c>
      <c r="Q939" s="154" t="str">
        <f t="shared" si="301"/>
        <v>#REF!</v>
      </c>
      <c r="R939" s="130"/>
      <c r="S939" s="130"/>
      <c r="T939" s="130"/>
    </row>
    <row r="940">
      <c r="A940" s="155" t="s">
        <v>71</v>
      </c>
      <c r="B940" s="142">
        <v>2168.0</v>
      </c>
      <c r="C940" s="143">
        <v>2168.0</v>
      </c>
      <c r="D940" s="144" t="str">
        <f>IF(   ISERROR(OFFSET(PADRON!B$2,MATCH(C:C,PADRON!A$2:A1405,0)-1,0,1,1) )  ,  ,    OFFSET(PADRON!B$2,MATCH(C:C,PADRON!A$2:A1405,0)-1,0,1,1))</f>
        <v>PELLIZZARI, KARINA</v>
      </c>
      <c r="E940" s="145">
        <v>45839.0</v>
      </c>
      <c r="F940" s="145"/>
      <c r="G940" s="146" t="s">
        <v>39</v>
      </c>
      <c r="H940" s="147">
        <f>IF( ISERROR( OFFSET(   'Cuadro tarifario'!D$2  , MATCH(CONCATENATE(                 IF(F940&gt;Mes,OFFSET(NroCT!B$17, MATCH($F940,NroCT!$A$18:$A1405,0),0,1,1),Periodovigente)                                                                                                                     ,A940) ,'Cuadro tarifario'!A$2:A1405,0) -1 , 0 , 1 , 1) )   , 0  ,   OFFSET(   'Cuadro tarifario'!D$2  , MATCH(CONCATENATE( IF(F940&gt;Mes,OFFSET(NroCT!B$17, MATCH($F940,NroCT!$A$18:$A1405,0),0,1,1),Periodovigente) ,A940) ,'Cuadro tarifario'!A$2:A1405,0) -1 , 0 , 1 , 1))</f>
        <v>11000</v>
      </c>
      <c r="I940" s="148">
        <f t="shared" si="252"/>
        <v>0</v>
      </c>
      <c r="J940" s="147">
        <f t="shared" si="235"/>
        <v>0</v>
      </c>
      <c r="K940" s="149">
        <f>IF(  AND(N940&gt;0,I940=0)          ,N940 ,                         IF(  IF( F940 ,  DAYS360(DATE(YEAR(F940),MONTH(F940),1),Mes)/30  ,  DAYS360(DATE(YEAR(E940),MONTH(E940),1),Mes)/30  )  &gt;  0 , IF(F940,   DAYS360(DATE(YEAR(F940),MONTH(F940),1),Mes)/30  ,  DAYS360(DATE(YEAR(E940),MONTH(E940),1),Mes)/30) , 0)       )</f>
        <v>1</v>
      </c>
      <c r="L940" s="150">
        <f t="shared" si="253"/>
        <v>11000</v>
      </c>
      <c r="M940" s="151"/>
      <c r="N940" s="152">
        <f>IF( ISERROR(OFFSET(SECUESTRADOS!D$1,MATCH(B940,SECUESTRADOS!A$2:A1405,0),0)) ,0 ,  OFFSET(SECUESTRADOS!D$1,MATCH(B940,SECUESTRADOS!A$2:A1405,0),0)  )</f>
        <v>0</v>
      </c>
      <c r="O940" s="153"/>
      <c r="P940" s="154" t="b">
        <f t="shared" si="238"/>
        <v>0</v>
      </c>
      <c r="Q940" s="154" t="str">
        <f t="shared" si="301"/>
        <v>#REF!</v>
      </c>
      <c r="R940" s="130"/>
      <c r="S940" s="130"/>
      <c r="T940" s="130"/>
    </row>
    <row r="941">
      <c r="A941" s="155" t="s">
        <v>38</v>
      </c>
      <c r="B941" s="142">
        <v>2168.0</v>
      </c>
      <c r="C941" s="143">
        <v>2168.0</v>
      </c>
      <c r="D941" s="144" t="str">
        <f>IF(   ISERROR(OFFSET(PADRON!B$2,MATCH(C:C,PADRON!A$2:A1405,0)-1,0,1,1) )  ,  ,    OFFSET(PADRON!B$2,MATCH(C:C,PADRON!A$2:A1405,0)-1,0,1,1))</f>
        <v>PELLIZZARI, KARINA</v>
      </c>
      <c r="E941" s="145">
        <v>45839.0</v>
      </c>
      <c r="F941" s="145"/>
      <c r="G941" s="146" t="s">
        <v>39</v>
      </c>
      <c r="H941" s="147">
        <f>IF( ISERROR( OFFSET(   'Cuadro tarifario'!D$2  , MATCH(CONCATENATE(                 IF(F941&gt;Mes,OFFSET(NroCT!B$17, MATCH($F941,NroCT!$A$18:$A1405,0),0,1,1),Periodovigente)                                                                                                                     ,A941) ,'Cuadro tarifario'!A$2:A1405,0) -1 , 0 , 1 , 1) )   , 0  ,   OFFSET(   'Cuadro tarifario'!D$2  , MATCH(CONCATENATE( IF(F941&gt;Mes,OFFSET(NroCT!B$17, MATCH($F941,NroCT!$A$18:$A1405,0),0,1,1),Periodovigente) ,A941) ,'Cuadro tarifario'!A$2:A1405,0) -1 , 0 , 1 , 1))</f>
        <v>9000</v>
      </c>
      <c r="I941" s="148">
        <f t="shared" si="252"/>
        <v>0</v>
      </c>
      <c r="J941" s="147">
        <f t="shared" si="235"/>
        <v>0</v>
      </c>
      <c r="K941" s="149">
        <f>IF(  AND(N941&gt;0,I941=0)          ,N941 ,                         IF(  IF( F941 ,  DAYS360(DATE(YEAR(F941),MONTH(F941),1),Mes)/30  ,  DAYS360(DATE(YEAR(E941),MONTH(E941),1),Mes)/30  )  &gt;  0 , IF(F941,   DAYS360(DATE(YEAR(F941),MONTH(F941),1),Mes)/30  ,  DAYS360(DATE(YEAR(E941),MONTH(E941),1),Mes)/30) , 0)       )</f>
        <v>1</v>
      </c>
      <c r="L941" s="150">
        <f t="shared" si="253"/>
        <v>9000</v>
      </c>
      <c r="M941" s="151"/>
      <c r="N941" s="152">
        <f>IF( ISERROR(OFFSET(SECUESTRADOS!D$1,MATCH(B941,SECUESTRADOS!A$2:A1405,0),0)) ,0 ,  OFFSET(SECUESTRADOS!D$1,MATCH(B941,SECUESTRADOS!A$2:A1405,0),0)  )</f>
        <v>0</v>
      </c>
      <c r="O941" s="153"/>
      <c r="P941" s="154" t="b">
        <f t="shared" si="238"/>
        <v>0</v>
      </c>
      <c r="Q941" s="154" t="str">
        <f t="shared" si="301"/>
        <v>#REF!</v>
      </c>
      <c r="R941" s="130"/>
      <c r="S941" s="130"/>
      <c r="T941" s="130"/>
    </row>
    <row r="942">
      <c r="A942" s="155" t="s">
        <v>82</v>
      </c>
      <c r="B942" s="142" t="s">
        <v>401</v>
      </c>
      <c r="C942" s="143">
        <v>2168.0</v>
      </c>
      <c r="D942" s="144" t="str">
        <f>IF(   ISERROR(OFFSET(PADRON!B$2,MATCH(C:C,PADRON!A$2:A1405,0)-1,0,1,1) )  ,  ,    OFFSET(PADRON!B$2,MATCH(C:C,PADRON!A$2:A1405,0)-1,0,1,1))</f>
        <v>PELLIZZARI, KARINA</v>
      </c>
      <c r="E942" s="145">
        <v>45839.0</v>
      </c>
      <c r="F942" s="145"/>
      <c r="G942" s="146" t="s">
        <v>39</v>
      </c>
      <c r="H942" s="147">
        <f>IF( ISERROR( OFFSET(   'Cuadro tarifario'!D$2  , MATCH(CONCATENATE(                 IF(F942&gt;Mes,OFFSET(NroCT!B$17, MATCH($F942,NroCT!$A$18:$A1405,0),0,1,1),Periodovigente)                                                                                                                     ,A942) ,'Cuadro tarifario'!A$2:A1405,0) -1 , 0 , 1 , 1) )   , 0  ,   OFFSET(   'Cuadro tarifario'!D$2  , MATCH(CONCATENATE( IF(F942&gt;Mes,OFFSET(NroCT!B$17, MATCH($F942,NroCT!$A$18:$A1405,0),0,1,1),Periodovigente) ,A942) ,'Cuadro tarifario'!A$2:A1405,0) -1 , 0 , 1 , 1))</f>
        <v>12000</v>
      </c>
      <c r="I942" s="148">
        <f t="shared" si="252"/>
        <v>0</v>
      </c>
      <c r="J942" s="147">
        <f t="shared" si="235"/>
        <v>0</v>
      </c>
      <c r="K942" s="149">
        <f>IF(  AND(N942&gt;0,I942=0)          ,N942 ,                         IF(  IF( F942 ,  DAYS360(DATE(YEAR(F942),MONTH(F942),1),Mes)/30  ,  DAYS360(DATE(YEAR(E942),MONTH(E942),1),Mes)/30  )  &gt;  0 , IF(F942,   DAYS360(DATE(YEAR(F942),MONTH(F942),1),Mes)/30  ,  DAYS360(DATE(YEAR(E942),MONTH(E942),1),Mes)/30) , 0)       )</f>
        <v>1</v>
      </c>
      <c r="L942" s="150">
        <f t="shared" si="253"/>
        <v>12000</v>
      </c>
      <c r="M942" s="151"/>
      <c r="N942" s="152">
        <f>IF( ISERROR(OFFSET(SECUESTRADOS!D$1,MATCH(B942,SECUESTRADOS!A$2:A1405,0),0)) ,0 ,  OFFSET(SECUESTRADOS!D$1,MATCH(B942,SECUESTRADOS!A$2:A1405,0),0)  )</f>
        <v>0</v>
      </c>
      <c r="O942" s="153"/>
      <c r="P942" s="154" t="b">
        <f t="shared" si="238"/>
        <v>0</v>
      </c>
      <c r="Q942" s="154" t="str">
        <f t="shared" si="301"/>
        <v>#REF!</v>
      </c>
      <c r="R942" s="130"/>
      <c r="S942" s="130"/>
      <c r="T942" s="130"/>
    </row>
    <row r="943">
      <c r="A943" s="155" t="s">
        <v>71</v>
      </c>
      <c r="B943" s="142">
        <v>2169.0</v>
      </c>
      <c r="C943" s="143">
        <v>2169.0</v>
      </c>
      <c r="D943" s="144" t="str">
        <f>IF(   ISERROR(OFFSET(PADRON!B$2,MATCH(C:C,PADRON!A$2:A1405,0)-1,0,1,1) )  ,  ,    OFFSET(PADRON!B$2,MATCH(C:C,PADRON!A$2:A1405,0)-1,0,1,1))</f>
        <v>GONGORA, DANIEL</v>
      </c>
      <c r="E943" s="145">
        <v>45839.0</v>
      </c>
      <c r="F943" s="145">
        <v>45870.0</v>
      </c>
      <c r="G943" s="146" t="s">
        <v>39</v>
      </c>
      <c r="H943" s="147">
        <f>IF( ISERROR( OFFSET(   'Cuadro tarifario'!D$2  , MATCH(CONCATENATE(                 IF(F943&gt;Mes,OFFSET(NroCT!B$17, MATCH($F943,NroCT!$A$18:$A1405,0),0,1,1),Periodovigente)                                                                                                                     ,A943) ,'Cuadro tarifario'!A$2:A1405,0) -1 , 0 , 1 , 1) )   , 0  ,   OFFSET(   'Cuadro tarifario'!D$2  , MATCH(CONCATENATE( IF(F943&gt;Mes,OFFSET(NroCT!B$17, MATCH($F943,NroCT!$A$18:$A1405,0),0,1,1),Periodovigente) ,A943) ,'Cuadro tarifario'!A$2:A1405,0) -1 , 0 , 1 , 1))</f>
        <v>11000</v>
      </c>
      <c r="I943" s="148">
        <f t="shared" si="252"/>
        <v>1</v>
      </c>
      <c r="J943" s="147">
        <f t="shared" si="235"/>
        <v>11000</v>
      </c>
      <c r="K943" s="149">
        <f>IF(  AND(N943&gt;0,I943=0)          ,N943 ,                         IF(  IF( F943 ,  DAYS360(DATE(YEAR(F943),MONTH(F943),1),Mes)/30  ,  DAYS360(DATE(YEAR(E943),MONTH(E943),1),Mes)/30  )  &gt;  0 , IF(F943,   DAYS360(DATE(YEAR(F943),MONTH(F943),1),Mes)/30  ,  DAYS360(DATE(YEAR(E943),MONTH(E943),1),Mes)/30) , 0)       )</f>
        <v>0</v>
      </c>
      <c r="L943" s="150">
        <f t="shared" si="253"/>
        <v>0</v>
      </c>
      <c r="M943" s="151"/>
      <c r="N943" s="152">
        <f>IF( ISERROR(OFFSET(SECUESTRADOS!D$1,MATCH(B943,SECUESTRADOS!A$2:A1405,0),0)) ,0 ,  OFFSET(SECUESTRADOS!D$1,MATCH(B943,SECUESTRADOS!A$2:A1405,0),0)  )</f>
        <v>0</v>
      </c>
      <c r="O943" s="153"/>
      <c r="P943" s="154" t="str">
        <f t="shared" si="238"/>
        <v>.socio</v>
      </c>
      <c r="Q943" s="154" t="str">
        <f t="shared" si="301"/>
        <v>#REF!</v>
      </c>
      <c r="R943" s="130"/>
      <c r="S943" s="130"/>
      <c r="T943" s="130"/>
    </row>
    <row r="944">
      <c r="A944" s="155" t="s">
        <v>38</v>
      </c>
      <c r="B944" s="142">
        <v>2169.0</v>
      </c>
      <c r="C944" s="143">
        <v>2169.0</v>
      </c>
      <c r="D944" s="144" t="str">
        <f>IF(   ISERROR(OFFSET(PADRON!B$2,MATCH(C:C,PADRON!A$2:A1405,0)-1,0,1,1) )  ,  ,    OFFSET(PADRON!B$2,MATCH(C:C,PADRON!A$2:A1405,0)-1,0,1,1))</f>
        <v>GONGORA, DANIEL</v>
      </c>
      <c r="E944" s="145">
        <v>45839.0</v>
      </c>
      <c r="F944" s="145">
        <v>45870.0</v>
      </c>
      <c r="G944" s="146" t="s">
        <v>39</v>
      </c>
      <c r="H944" s="147">
        <f>IF( ISERROR( OFFSET(   'Cuadro tarifario'!D$2  , MATCH(CONCATENATE(                 IF(F944&gt;Mes,OFFSET(NroCT!B$17, MATCH($F944,NroCT!$A$18:$A1405,0),0,1,1),Periodovigente)                                                                                                                     ,A944) ,'Cuadro tarifario'!A$2:A1405,0) -1 , 0 , 1 , 1) )   , 0  ,   OFFSET(   'Cuadro tarifario'!D$2  , MATCH(CONCATENATE( IF(F944&gt;Mes,OFFSET(NroCT!B$17, MATCH($F944,NroCT!$A$18:$A1405,0),0,1,1),Periodovigente) ,A944) ,'Cuadro tarifario'!A$2:A1405,0) -1 , 0 , 1 , 1))</f>
        <v>9000</v>
      </c>
      <c r="I944" s="148">
        <f t="shared" si="252"/>
        <v>1</v>
      </c>
      <c r="J944" s="147">
        <f t="shared" si="235"/>
        <v>9000</v>
      </c>
      <c r="K944" s="149">
        <f>IF(  AND(N944&gt;0,I944=0)          ,N944 ,                         IF(  IF( F944 ,  DAYS360(DATE(YEAR(F944),MONTH(F944),1),Mes)/30  ,  DAYS360(DATE(YEAR(E944),MONTH(E944),1),Mes)/30  )  &gt;  0 , IF(F944,   DAYS360(DATE(YEAR(F944),MONTH(F944),1),Mes)/30  ,  DAYS360(DATE(YEAR(E944),MONTH(E944),1),Mes)/30) , 0)       )</f>
        <v>0</v>
      </c>
      <c r="L944" s="150">
        <f t="shared" si="253"/>
        <v>0</v>
      </c>
      <c r="M944" s="151"/>
      <c r="N944" s="152">
        <f>IF( ISERROR(OFFSET(SECUESTRADOS!D$1,MATCH(B944,SECUESTRADOS!A$2:A1405,0),0)) ,0 ,  OFFSET(SECUESTRADOS!D$1,MATCH(B944,SECUESTRADOS!A$2:A1405,0),0)  )</f>
        <v>0</v>
      </c>
      <c r="O944" s="153"/>
      <c r="P944" s="154" t="str">
        <f t="shared" si="238"/>
        <v>Bono canon</v>
      </c>
      <c r="Q944" s="154" t="str">
        <f t="shared" si="301"/>
        <v>#REF!</v>
      </c>
      <c r="R944" s="130"/>
      <c r="S944" s="130"/>
      <c r="T944" s="130"/>
    </row>
    <row r="945">
      <c r="A945" s="155" t="s">
        <v>48</v>
      </c>
      <c r="B945" s="142" t="s">
        <v>402</v>
      </c>
      <c r="C945" s="143">
        <v>2169.0</v>
      </c>
      <c r="D945" s="144" t="str">
        <f>IF(   ISERROR(OFFSET(PADRON!B$2,MATCH(C:C,PADRON!A$2:A1405,0)-1,0,1,1) )  ,  ,    OFFSET(PADRON!B$2,MATCH(C:C,PADRON!A$2:A1405,0)-1,0,1,1))</f>
        <v>GONGORA, DANIEL</v>
      </c>
      <c r="E945" s="145">
        <v>45839.0</v>
      </c>
      <c r="F945" s="145">
        <v>45870.0</v>
      </c>
      <c r="G945" s="146" t="s">
        <v>39</v>
      </c>
      <c r="H945" s="147">
        <f>IF( ISERROR( OFFSET(   'Cuadro tarifario'!D$2  , MATCH(CONCATENATE(                 IF(F945&gt;Mes,OFFSET(NroCT!B$17, MATCH($F945,NroCT!$A$18:$A1405,0),0,1,1),Periodovigente)                                                                                                                     ,A945) ,'Cuadro tarifario'!A$2:A1405,0) -1 , 0 , 1 , 1) )   , 0  ,   OFFSET(   'Cuadro tarifario'!D$2  , MATCH(CONCATENATE( IF(F945&gt;Mes,OFFSET(NroCT!B$17, MATCH($F945,NroCT!$A$18:$A1405,0),0,1,1),Periodovigente) ,A945) ,'Cuadro tarifario'!A$2:A1405,0) -1 , 0 , 1 , 1))</f>
        <v>12000</v>
      </c>
      <c r="I945" s="148">
        <f t="shared" si="252"/>
        <v>1</v>
      </c>
      <c r="J945" s="147">
        <f t="shared" si="235"/>
        <v>12000</v>
      </c>
      <c r="K945" s="149">
        <f>IF(  AND(N945&gt;0,I945=0)          ,N945 ,                         IF(  IF( F945 ,  DAYS360(DATE(YEAR(F945),MONTH(F945),1),Mes)/30  ,  DAYS360(DATE(YEAR(E945),MONTH(E945),1),Mes)/30  )  &gt;  0 , IF(F945,   DAYS360(DATE(YEAR(F945),MONTH(F945),1),Mes)/30  ,  DAYS360(DATE(YEAR(E945),MONTH(E945),1),Mes)/30) , 0)       )</f>
        <v>0</v>
      </c>
      <c r="L945" s="150">
        <f t="shared" si="253"/>
        <v>0</v>
      </c>
      <c r="M945" s="151"/>
      <c r="N945" s="152">
        <f>IF( ISERROR(OFFSET(SECUESTRADOS!D$1,MATCH(B945,SECUESTRADOS!A$2:A1405,0),0)) ,0 ,  OFFSET(SECUESTRADOS!D$1,MATCH(B945,SECUESTRADOS!A$2:A1405,0),0)  )</f>
        <v>0</v>
      </c>
      <c r="O945" s="153"/>
      <c r="P945" s="154" t="str">
        <f t="shared" si="238"/>
        <v>velero</v>
      </c>
      <c r="Q945" s="154" t="str">
        <f t="shared" si="301"/>
        <v>#REF!</v>
      </c>
      <c r="R945" s="130"/>
      <c r="S945" s="130"/>
      <c r="T945" s="130"/>
    </row>
    <row r="946">
      <c r="A946" s="155" t="s">
        <v>52</v>
      </c>
      <c r="B946" s="142" t="s">
        <v>352</v>
      </c>
      <c r="C946" s="143">
        <v>2169.0</v>
      </c>
      <c r="D946" s="144" t="str">
        <f>IF(   ISERROR(OFFSET(PADRON!B$2,MATCH(C:C,PADRON!A$2:A1405,0)-1,0,1,1) )  ,  ,    OFFSET(PADRON!B$2,MATCH(C:C,PADRON!A$2:A1405,0)-1,0,1,1))</f>
        <v>GONGORA, DANIEL</v>
      </c>
      <c r="E946" s="145">
        <v>45992.0</v>
      </c>
      <c r="F946" s="145"/>
      <c r="G946" s="146" t="s">
        <v>39</v>
      </c>
      <c r="H946" s="147">
        <f>IF( ISERROR( OFFSET(   'Cuadro tarifario'!D$2  , MATCH(CONCATENATE(                 IF(F946&gt;Mes,OFFSET(NroCT!B$17, MATCH($F946,NroCT!$A$18:$A1405,0),0,1,1),Periodovigente)                                                                                                                     ,A946) ,'Cuadro tarifario'!A$2:A1405,0) -1 , 0 , 1 , 1) )   , 0  ,   OFFSET(   'Cuadro tarifario'!D$2  , MATCH(CONCATENATE( IF(F946&gt;Mes,OFFSET(NroCT!B$17, MATCH($F946,NroCT!$A$18:$A1405,0),0,1,1),Periodovigente) ,A946) ,'Cuadro tarifario'!A$2:A1405,0) -1 , 0 , 1 , 1))</f>
        <v>4000</v>
      </c>
      <c r="I946" s="148">
        <f t="shared" si="252"/>
        <v>0</v>
      </c>
      <c r="J946" s="147">
        <f t="shared" si="235"/>
        <v>0</v>
      </c>
      <c r="K946" s="149">
        <f>IF(  AND(N946&gt;0,I946=0)          ,N946 ,                         IF(  IF( F946 ,  DAYS360(DATE(YEAR(F946),MONTH(F946),1),Mes)/30  ,  DAYS360(DATE(YEAR(E946),MONTH(E946),1),Mes)/30  )  &gt;  0 , IF(F946,   DAYS360(DATE(YEAR(F946),MONTH(F946),1),Mes)/30  ,  DAYS360(DATE(YEAR(E946),MONTH(E946),1),Mes)/30) , 0)       )</f>
        <v>0</v>
      </c>
      <c r="L946" s="150">
        <f t="shared" si="253"/>
        <v>0</v>
      </c>
      <c r="M946" s="151"/>
      <c r="N946" s="152">
        <f>IF( ISERROR(OFFSET(SECUESTRADOS!D$1,MATCH(B946,SECUESTRADOS!A$2:A1405,0),0)) ,0 ,  OFFSET(SECUESTRADOS!D$1,MATCH(B946,SECUESTRADOS!A$2:A1405,0),0)  )</f>
        <v>0</v>
      </c>
      <c r="O946" s="153"/>
      <c r="P946" s="154" t="b">
        <f t="shared" si="238"/>
        <v>0</v>
      </c>
      <c r="Q946" s="154" t="str">
        <f t="shared" si="301"/>
        <v>#REF!</v>
      </c>
      <c r="R946" s="130"/>
      <c r="S946" s="130"/>
      <c r="T946" s="130"/>
    </row>
    <row r="947">
      <c r="A947" s="155" t="s">
        <v>71</v>
      </c>
      <c r="B947" s="142">
        <v>2170.0</v>
      </c>
      <c r="C947" s="143">
        <v>2170.0</v>
      </c>
      <c r="D947" s="144" t="str">
        <f>IF(   ISERROR(OFFSET(PADRON!B$2,MATCH(C:C,PADRON!A$2:A1405,0)-1,0,1,1) )  ,  ,    OFFSET(PADRON!B$2,MATCH(C:C,PADRON!A$2:A1405,0)-1,0,1,1))</f>
        <v>GALARZA, JUAN MANUEL</v>
      </c>
      <c r="E947" s="145">
        <v>45839.0</v>
      </c>
      <c r="F947" s="145">
        <v>45870.0</v>
      </c>
      <c r="G947" s="146" t="s">
        <v>39</v>
      </c>
      <c r="H947" s="147">
        <f>IF( ISERROR( OFFSET(   'Cuadro tarifario'!D$2  , MATCH(CONCATENATE(                 IF(F947&gt;Mes,OFFSET(NroCT!B$17, MATCH($F947,NroCT!$A$18:$A1405,0),0,1,1),Periodovigente)                                                                                                                     ,A947) ,'Cuadro tarifario'!A$2:A1405,0) -1 , 0 , 1 , 1) )   , 0  ,   OFFSET(   'Cuadro tarifario'!D$2  , MATCH(CONCATENATE( IF(F947&gt;Mes,OFFSET(NroCT!B$17, MATCH($F947,NroCT!$A$18:$A1405,0),0,1,1),Periodovigente) ,A947) ,'Cuadro tarifario'!A$2:A1405,0) -1 , 0 , 1 , 1))</f>
        <v>11000</v>
      </c>
      <c r="I947" s="148">
        <f t="shared" si="252"/>
        <v>1</v>
      </c>
      <c r="J947" s="147">
        <f t="shared" si="235"/>
        <v>11000</v>
      </c>
      <c r="K947" s="149">
        <f>IF(  AND(N947&gt;0,I947=0)          ,N947 ,                         IF(  IF( F947 ,  DAYS360(DATE(YEAR(F947),MONTH(F947),1),Mes)/30  ,  DAYS360(DATE(YEAR(E947),MONTH(E947),1),Mes)/30  )  &gt;  0 , IF(F947,   DAYS360(DATE(YEAR(F947),MONTH(F947),1),Mes)/30  ,  DAYS360(DATE(YEAR(E947),MONTH(E947),1),Mes)/30) , 0)       )</f>
        <v>0</v>
      </c>
      <c r="L947" s="150">
        <f t="shared" si="253"/>
        <v>0</v>
      </c>
      <c r="M947" s="151"/>
      <c r="N947" s="152">
        <f>IF( ISERROR(OFFSET(SECUESTRADOS!D$1,MATCH(B947,SECUESTRADOS!A$2:A1405,0),0)) ,0 ,  OFFSET(SECUESTRADOS!D$1,MATCH(B947,SECUESTRADOS!A$2:A1405,0),0)  )</f>
        <v>0</v>
      </c>
      <c r="O947" s="153"/>
      <c r="P947" s="154" t="str">
        <f t="shared" si="238"/>
        <v>.socio</v>
      </c>
      <c r="Q947" s="154" t="str">
        <f t="shared" si="301"/>
        <v>#REF!</v>
      </c>
      <c r="R947" s="130"/>
      <c r="S947" s="130"/>
      <c r="T947" s="130"/>
    </row>
    <row r="948">
      <c r="A948" s="155" t="s">
        <v>38</v>
      </c>
      <c r="B948" s="142">
        <v>2170.0</v>
      </c>
      <c r="C948" s="143">
        <v>2170.0</v>
      </c>
      <c r="D948" s="144" t="str">
        <f>IF(   ISERROR(OFFSET(PADRON!B$2,MATCH(C:C,PADRON!A$2:A1405,0)-1,0,1,1) )  ,  ,    OFFSET(PADRON!B$2,MATCH(C:C,PADRON!A$2:A1405,0)-1,0,1,1))</f>
        <v>GALARZA, JUAN MANUEL</v>
      </c>
      <c r="E948" s="145">
        <v>45839.0</v>
      </c>
      <c r="F948" s="145">
        <v>45870.0</v>
      </c>
      <c r="G948" s="146" t="s">
        <v>39</v>
      </c>
      <c r="H948" s="147">
        <f>IF( ISERROR( OFFSET(   'Cuadro tarifario'!D$2  , MATCH(CONCATENATE(                 IF(F948&gt;Mes,OFFSET(NroCT!B$17, MATCH($F948,NroCT!$A$18:$A1405,0),0,1,1),Periodovigente)                                                                                                                     ,A948) ,'Cuadro tarifario'!A$2:A1405,0) -1 , 0 , 1 , 1) )   , 0  ,   OFFSET(   'Cuadro tarifario'!D$2  , MATCH(CONCATENATE( IF(F948&gt;Mes,OFFSET(NroCT!B$17, MATCH($F948,NroCT!$A$18:$A1405,0),0,1,1),Periodovigente) ,A948) ,'Cuadro tarifario'!A$2:A1405,0) -1 , 0 , 1 , 1))</f>
        <v>9000</v>
      </c>
      <c r="I948" s="148">
        <f t="shared" si="252"/>
        <v>1</v>
      </c>
      <c r="J948" s="147">
        <f t="shared" si="235"/>
        <v>9000</v>
      </c>
      <c r="K948" s="149">
        <f>IF(  AND(N948&gt;0,I948=0)          ,N948 ,                         IF(  IF( F948 ,  DAYS360(DATE(YEAR(F948),MONTH(F948),1),Mes)/30  ,  DAYS360(DATE(YEAR(E948),MONTH(E948),1),Mes)/30  )  &gt;  0 , IF(F948,   DAYS360(DATE(YEAR(F948),MONTH(F948),1),Mes)/30  ,  DAYS360(DATE(YEAR(E948),MONTH(E948),1),Mes)/30) , 0)       )</f>
        <v>0</v>
      </c>
      <c r="L948" s="150">
        <f t="shared" si="253"/>
        <v>0</v>
      </c>
      <c r="M948" s="151"/>
      <c r="N948" s="152">
        <f>IF( ISERROR(OFFSET(SECUESTRADOS!D$1,MATCH(B948,SECUESTRADOS!A$2:A1405,0),0)) ,0 ,  OFFSET(SECUESTRADOS!D$1,MATCH(B948,SECUESTRADOS!A$2:A1405,0),0)  )</f>
        <v>0</v>
      </c>
      <c r="O948" s="153"/>
      <c r="P948" s="154" t="str">
        <f t="shared" si="238"/>
        <v>Bono canon</v>
      </c>
      <c r="Q948" s="154" t="str">
        <f t="shared" si="301"/>
        <v>#REF!</v>
      </c>
      <c r="R948" s="130"/>
      <c r="S948" s="130"/>
      <c r="T948" s="130"/>
    </row>
    <row r="949">
      <c r="A949" s="155" t="s">
        <v>48</v>
      </c>
      <c r="B949" s="142" t="s">
        <v>403</v>
      </c>
      <c r="C949" s="143">
        <v>2170.0</v>
      </c>
      <c r="D949" s="144" t="str">
        <f>IF(   ISERROR(OFFSET(PADRON!B$2,MATCH(C:C,PADRON!A$2:A1405,0)-1,0,1,1) )  ,  ,    OFFSET(PADRON!B$2,MATCH(C:C,PADRON!A$2:A1405,0)-1,0,1,1))</f>
        <v>GALARZA, JUAN MANUEL</v>
      </c>
      <c r="E949" s="145">
        <v>45839.0</v>
      </c>
      <c r="F949" s="145">
        <v>45870.0</v>
      </c>
      <c r="G949" s="146" t="s">
        <v>39</v>
      </c>
      <c r="H949" s="147">
        <f>IF( ISERROR( OFFSET(   'Cuadro tarifario'!D$2  , MATCH(CONCATENATE(                 IF(F949&gt;Mes,OFFSET(NroCT!B$17, MATCH($F949,NroCT!$A$18:$A1405,0),0,1,1),Periodovigente)                                                                                                                     ,A949) ,'Cuadro tarifario'!A$2:A1405,0) -1 , 0 , 1 , 1) )   , 0  ,   OFFSET(   'Cuadro tarifario'!D$2  , MATCH(CONCATENATE( IF(F949&gt;Mes,OFFSET(NroCT!B$17, MATCH($F949,NroCT!$A$18:$A1405,0),0,1,1),Periodovigente) ,A949) ,'Cuadro tarifario'!A$2:A1405,0) -1 , 0 , 1 , 1))</f>
        <v>12000</v>
      </c>
      <c r="I949" s="148">
        <f t="shared" si="252"/>
        <v>1</v>
      </c>
      <c r="J949" s="147">
        <f t="shared" si="235"/>
        <v>12000</v>
      </c>
      <c r="K949" s="149">
        <f>IF(  AND(N949&gt;0,I949=0)          ,N949 ,                         IF(  IF( F949 ,  DAYS360(DATE(YEAR(F949),MONTH(F949),1),Mes)/30  ,  DAYS360(DATE(YEAR(E949),MONTH(E949),1),Mes)/30  )  &gt;  0 , IF(F949,   DAYS360(DATE(YEAR(F949),MONTH(F949),1),Mes)/30  ,  DAYS360(DATE(YEAR(E949),MONTH(E949),1),Mes)/30) , 0)       )</f>
        <v>0</v>
      </c>
      <c r="L949" s="150">
        <f t="shared" si="253"/>
        <v>0</v>
      </c>
      <c r="M949" s="151"/>
      <c r="N949" s="152">
        <f>IF( ISERROR(OFFSET(SECUESTRADOS!D$1,MATCH(B949,SECUESTRADOS!A$2:A1405,0),0)) ,0 ,  OFFSET(SECUESTRADOS!D$1,MATCH(B949,SECUESTRADOS!A$2:A1405,0),0)  )</f>
        <v>0</v>
      </c>
      <c r="O949" s="153"/>
      <c r="P949" s="154" t="str">
        <f t="shared" si="238"/>
        <v>velero</v>
      </c>
      <c r="Q949" s="154" t="str">
        <f t="shared" si="301"/>
        <v>#REF!</v>
      </c>
      <c r="R949" s="130"/>
      <c r="S949" s="130"/>
      <c r="T949" s="130"/>
    </row>
    <row r="950">
      <c r="A950" s="155" t="s">
        <v>48</v>
      </c>
      <c r="B950" s="142"/>
      <c r="C950" s="143">
        <v>2170.0</v>
      </c>
      <c r="D950" s="144" t="str">
        <f>IF(   ISERROR(OFFSET(PADRON!B$2,MATCH(C:C,PADRON!A$2:A1405,0)-1,0,1,1) )  ,  ,    OFFSET(PADRON!B$2,MATCH(C:C,PADRON!A$2:A1405,0)-1,0,1,1))</f>
        <v>GALARZA, JUAN MANUEL</v>
      </c>
      <c r="E950" s="145">
        <v>45839.0</v>
      </c>
      <c r="F950" s="145">
        <v>45870.0</v>
      </c>
      <c r="G950" s="146" t="s">
        <v>39</v>
      </c>
      <c r="H950" s="147">
        <f>IF( ISERROR( OFFSET(   'Cuadro tarifario'!D$2  , MATCH(CONCATENATE(                 IF(F950&gt;Mes,OFFSET(NroCT!B$17, MATCH($F950,NroCT!$A$18:$A1405,0),0,1,1),Periodovigente)                                                                                                                     ,A950) ,'Cuadro tarifario'!A$2:A1405,0) -1 , 0 , 1 , 1) )   , 0  ,   OFFSET(   'Cuadro tarifario'!D$2  , MATCH(CONCATENATE( IF(F950&gt;Mes,OFFSET(NroCT!B$17, MATCH($F950,NroCT!$A$18:$A1405,0),0,1,1),Periodovigente) ,A950) ,'Cuadro tarifario'!A$2:A1405,0) -1 , 0 , 1 , 1))</f>
        <v>12000</v>
      </c>
      <c r="I950" s="148">
        <f t="shared" si="252"/>
        <v>1</v>
      </c>
      <c r="J950" s="147">
        <f t="shared" si="235"/>
        <v>12000</v>
      </c>
      <c r="K950" s="149">
        <f>IF(  AND(N950&gt;0,I950=0)          ,N950 ,                         IF(  IF( F950 ,  DAYS360(DATE(YEAR(F950),MONTH(F950),1),Mes)/30  ,  DAYS360(DATE(YEAR(E950),MONTH(E950),1),Mes)/30  )  &gt;  0 , IF(F950,   DAYS360(DATE(YEAR(F950),MONTH(F950),1),Mes)/30  ,  DAYS360(DATE(YEAR(E950),MONTH(E950),1),Mes)/30) , 0)       )</f>
        <v>0</v>
      </c>
      <c r="L950" s="150">
        <f t="shared" si="253"/>
        <v>0</v>
      </c>
      <c r="M950" s="151"/>
      <c r="N950" s="152">
        <f>IF( ISERROR(OFFSET(SECUESTRADOS!D$1,MATCH(B950,SECUESTRADOS!A$2:A1405,0),0)) ,0 ,  OFFSET(SECUESTRADOS!D$1,MATCH(B950,SECUESTRADOS!A$2:A1405,0),0)  )</f>
        <v>0</v>
      </c>
      <c r="O950" s="153"/>
      <c r="P950" s="154" t="str">
        <f t="shared" si="238"/>
        <v>velero</v>
      </c>
      <c r="Q950" s="154" t="str">
        <f t="shared" si="301"/>
        <v>#REF!</v>
      </c>
      <c r="R950" s="130"/>
      <c r="S950" s="130"/>
      <c r="T950" s="130"/>
    </row>
    <row r="951">
      <c r="A951" s="155" t="s">
        <v>50</v>
      </c>
      <c r="B951" s="142" t="s">
        <v>404</v>
      </c>
      <c r="C951" s="143">
        <v>2170.0</v>
      </c>
      <c r="D951" s="144" t="str">
        <f>IF(   ISERROR(OFFSET(PADRON!B$2,MATCH(C:C,PADRON!A$2:A1405,0)-1,0,1,1) )  ,  ,    OFFSET(PADRON!B$2,MATCH(C:C,PADRON!A$2:A1405,0)-1,0,1,1))</f>
        <v>GALARZA, JUAN MANUEL</v>
      </c>
      <c r="E951" s="145">
        <v>45992.0</v>
      </c>
      <c r="F951" s="145"/>
      <c r="G951" s="146" t="s">
        <v>39</v>
      </c>
      <c r="H951" s="147">
        <f>IF( ISERROR( OFFSET(   'Cuadro tarifario'!D$2  , MATCH(CONCATENATE(                 IF(F951&gt;Mes,OFFSET(NroCT!B$17, MATCH($F951,NroCT!$A$18:$A1405,0),0,1,1),Periodovigente)                                                                                                                     ,A951) ,'Cuadro tarifario'!A$2:A1405,0) -1 , 0 , 1 , 1) )   , 0  ,   OFFSET(   'Cuadro tarifario'!D$2  , MATCH(CONCATENATE( IF(F951&gt;Mes,OFFSET(NroCT!B$17, MATCH($F951,NroCT!$A$18:$A1405,0),0,1,1),Periodovigente) ,A951) ,'Cuadro tarifario'!A$2:A1405,0) -1 , 0 , 1 , 1))</f>
        <v>3600</v>
      </c>
      <c r="I951" s="148">
        <f t="shared" si="252"/>
        <v>0</v>
      </c>
      <c r="J951" s="147">
        <f t="shared" si="235"/>
        <v>0</v>
      </c>
      <c r="K951" s="149">
        <f>IF(  AND(N951&gt;0,I951=0)          ,N951 ,                         IF(  IF( F951 ,  DAYS360(DATE(YEAR(F951),MONTH(F951),1),Mes)/30  ,  DAYS360(DATE(YEAR(E951),MONTH(E951),1),Mes)/30  )  &gt;  0 , IF(F951,   DAYS360(DATE(YEAR(F951),MONTH(F951),1),Mes)/30  ,  DAYS360(DATE(YEAR(E951),MONTH(E951),1),Mes)/30) , 0)       )</f>
        <v>0</v>
      </c>
      <c r="L951" s="150">
        <f t="shared" si="253"/>
        <v>0</v>
      </c>
      <c r="M951" s="151"/>
      <c r="N951" s="152">
        <f>IF( ISERROR(OFFSET(SECUESTRADOS!D$1,MATCH(B951,SECUESTRADOS!A$2:A1405,0),0)) ,0 ,  OFFSET(SECUESTRADOS!D$1,MATCH(B951,SECUESTRADOS!A$2:A1405,0),0)  )</f>
        <v>0</v>
      </c>
      <c r="O951" s="153"/>
      <c r="P951" s="154" t="b">
        <f t="shared" si="238"/>
        <v>0</v>
      </c>
      <c r="Q951" s="154" t="str">
        <f t="shared" si="301"/>
        <v>#REF!</v>
      </c>
      <c r="R951" s="130"/>
      <c r="S951" s="130"/>
      <c r="T951" s="130"/>
    </row>
    <row r="952">
      <c r="A952" s="155" t="s">
        <v>71</v>
      </c>
      <c r="B952" s="142">
        <v>2171.0</v>
      </c>
      <c r="C952" s="143">
        <v>2171.0</v>
      </c>
      <c r="D952" s="144" t="str">
        <f>IF(   ISERROR(OFFSET(PADRON!B$2,MATCH(C:C,PADRON!A$2:A1405,0)-1,0,1,1) )  ,  ,    OFFSET(PADRON!B$2,MATCH(C:C,PADRON!A$2:A1405,0)-1,0,1,1))</f>
        <v>UNGARO, M.PILAR</v>
      </c>
      <c r="E952" s="145">
        <v>45839.0</v>
      </c>
      <c r="F952" s="145">
        <v>45870.0</v>
      </c>
      <c r="G952" s="146" t="s">
        <v>39</v>
      </c>
      <c r="H952" s="147">
        <f>IF( ISERROR( OFFSET(   'Cuadro tarifario'!D$2  , MATCH(CONCATENATE(                 IF(F952&gt;Mes,OFFSET(NroCT!B$17, MATCH($F952,NroCT!$A$18:$A1405,0),0,1,1),Periodovigente)                                                                                                                     ,A952) ,'Cuadro tarifario'!A$2:A1405,0) -1 , 0 , 1 , 1) )   , 0  ,   OFFSET(   'Cuadro tarifario'!D$2  , MATCH(CONCATENATE( IF(F952&gt;Mes,OFFSET(NroCT!B$17, MATCH($F952,NroCT!$A$18:$A1405,0),0,1,1),Periodovigente) ,A952) ,'Cuadro tarifario'!A$2:A1405,0) -1 , 0 , 1 , 1))</f>
        <v>11000</v>
      </c>
      <c r="I952" s="148">
        <f t="shared" si="252"/>
        <v>1</v>
      </c>
      <c r="J952" s="147">
        <f t="shared" si="235"/>
        <v>11000</v>
      </c>
      <c r="K952" s="149">
        <f>IF(  AND(N952&gt;0,I952=0)          ,N952 ,                         IF(  IF( F952 ,  DAYS360(DATE(YEAR(F952),MONTH(F952),1),Mes)/30  ,  DAYS360(DATE(YEAR(E952),MONTH(E952),1),Mes)/30  )  &gt;  0 , IF(F952,   DAYS360(DATE(YEAR(F952),MONTH(F952),1),Mes)/30  ,  DAYS360(DATE(YEAR(E952),MONTH(E952),1),Mes)/30) , 0)       )</f>
        <v>0</v>
      </c>
      <c r="L952" s="150">
        <f t="shared" si="253"/>
        <v>0</v>
      </c>
      <c r="M952" s="151"/>
      <c r="N952" s="152">
        <f>IF( ISERROR(OFFSET(SECUESTRADOS!D$1,MATCH(B952,SECUESTRADOS!A$2:A1405,0),0)) ,0 ,  OFFSET(SECUESTRADOS!D$1,MATCH(B952,SECUESTRADOS!A$2:A1405,0),0)  )</f>
        <v>0</v>
      </c>
      <c r="O952" s="153"/>
      <c r="P952" s="154" t="str">
        <f t="shared" si="238"/>
        <v>.socio</v>
      </c>
      <c r="Q952" s="154" t="str">
        <f t="shared" si="301"/>
        <v>#REF!</v>
      </c>
      <c r="R952" s="130"/>
      <c r="S952" s="130"/>
      <c r="T952" s="130"/>
    </row>
    <row r="953">
      <c r="A953" s="155" t="s">
        <v>38</v>
      </c>
      <c r="B953" s="142">
        <v>2171.0</v>
      </c>
      <c r="C953" s="143">
        <v>2171.0</v>
      </c>
      <c r="D953" s="144" t="str">
        <f>IF(   ISERROR(OFFSET(PADRON!B$2,MATCH(C:C,PADRON!A$2:A1405,0)-1,0,1,1) )  ,  ,    OFFSET(PADRON!B$2,MATCH(C:C,PADRON!A$2:A1405,0)-1,0,1,1))</f>
        <v>UNGARO, M.PILAR</v>
      </c>
      <c r="E953" s="145">
        <v>45839.0</v>
      </c>
      <c r="F953" s="145">
        <v>45870.0</v>
      </c>
      <c r="G953" s="146" t="s">
        <v>39</v>
      </c>
      <c r="H953" s="147">
        <f>IF( ISERROR( OFFSET(   'Cuadro tarifario'!D$2  , MATCH(CONCATENATE(                 IF(F953&gt;Mes,OFFSET(NroCT!B$17, MATCH($F953,NroCT!$A$18:$A1405,0),0,1,1),Periodovigente)                                                                                                                     ,A953) ,'Cuadro tarifario'!A$2:A1405,0) -1 , 0 , 1 , 1) )   , 0  ,   OFFSET(   'Cuadro tarifario'!D$2  , MATCH(CONCATENATE( IF(F953&gt;Mes,OFFSET(NroCT!B$17, MATCH($F953,NroCT!$A$18:$A1405,0),0,1,1),Periodovigente) ,A953) ,'Cuadro tarifario'!A$2:A1405,0) -1 , 0 , 1 , 1))</f>
        <v>9000</v>
      </c>
      <c r="I953" s="148">
        <f t="shared" si="252"/>
        <v>1</v>
      </c>
      <c r="J953" s="147">
        <f t="shared" si="235"/>
        <v>9000</v>
      </c>
      <c r="K953" s="149">
        <f>IF(  AND(N953&gt;0,I953=0)          ,N953 ,                         IF(  IF( F953 ,  DAYS360(DATE(YEAR(F953),MONTH(F953),1),Mes)/30  ,  DAYS360(DATE(YEAR(E953),MONTH(E953),1),Mes)/30  )  &gt;  0 , IF(F953,   DAYS360(DATE(YEAR(F953),MONTH(F953),1),Mes)/30  ,  DAYS360(DATE(YEAR(E953),MONTH(E953),1),Mes)/30) , 0)       )</f>
        <v>0</v>
      </c>
      <c r="L953" s="150">
        <f t="shared" si="253"/>
        <v>0</v>
      </c>
      <c r="M953" s="151"/>
      <c r="N953" s="152">
        <f>IF( ISERROR(OFFSET(SECUESTRADOS!D$1,MATCH(B953,SECUESTRADOS!A$2:A1405,0),0)) ,0 ,  OFFSET(SECUESTRADOS!D$1,MATCH(B953,SECUESTRADOS!A$2:A1405,0),0)  )</f>
        <v>0</v>
      </c>
      <c r="O953" s="153"/>
      <c r="P953" s="154" t="str">
        <f t="shared" si="238"/>
        <v>Bono canon</v>
      </c>
      <c r="Q953" s="154" t="str">
        <f t="shared" si="301"/>
        <v>#REF!</v>
      </c>
      <c r="R953" s="130"/>
      <c r="S953" s="130"/>
      <c r="T953" s="130"/>
    </row>
    <row r="954">
      <c r="A954" s="155" t="s">
        <v>71</v>
      </c>
      <c r="B954" s="142">
        <v>2172.0</v>
      </c>
      <c r="C954" s="143">
        <v>2172.0</v>
      </c>
      <c r="D954" s="144" t="str">
        <f>IF(   ISERROR(OFFSET(PADRON!B$2,MATCH(C:C,PADRON!A$2:A1405,0)-1,0,1,1) )  ,  ,    OFFSET(PADRON!B$2,MATCH(C:C,PADRON!A$2:A1405,0)-1,0,1,1))</f>
        <v>CERDA, DIEGO</v>
      </c>
      <c r="E954" s="145">
        <v>45870.0</v>
      </c>
      <c r="F954" s="145"/>
      <c r="G954" s="146" t="s">
        <v>39</v>
      </c>
      <c r="H954" s="147">
        <f>IF( ISERROR( OFFSET(   'Cuadro tarifario'!D$2  , MATCH(CONCATENATE(                 IF(F954&gt;Mes,OFFSET(NroCT!B$17, MATCH($F954,NroCT!$A$18:$A1405,0),0,1,1),Periodovigente)                                                                                                                     ,A954) ,'Cuadro tarifario'!A$2:A1405,0) -1 , 0 , 1 , 1) )   , 0  ,   OFFSET(   'Cuadro tarifario'!D$2  , MATCH(CONCATENATE( IF(F954&gt;Mes,OFFSET(NroCT!B$17, MATCH($F954,NroCT!$A$18:$A1405,0),0,1,1),Periodovigente) ,A954) ,'Cuadro tarifario'!A$2:A1405,0) -1 , 0 , 1 , 1))</f>
        <v>11000</v>
      </c>
      <c r="I954" s="148">
        <f t="shared" si="252"/>
        <v>0</v>
      </c>
      <c r="J954" s="147">
        <f t="shared" si="235"/>
        <v>0</v>
      </c>
      <c r="K954" s="149">
        <f>IF(  AND(N954&gt;0,I954=0)          ,N954 ,                         IF(  IF( F954 ,  DAYS360(DATE(YEAR(F954),MONTH(F954),1),Mes)/30  ,  DAYS360(DATE(YEAR(E954),MONTH(E954),1),Mes)/30  )  &gt;  0 , IF(F954,   DAYS360(DATE(YEAR(F954),MONTH(F954),1),Mes)/30  ,  DAYS360(DATE(YEAR(E954),MONTH(E954),1),Mes)/30) , 0)       )</f>
        <v>0</v>
      </c>
      <c r="L954" s="150">
        <f t="shared" si="253"/>
        <v>0</v>
      </c>
      <c r="M954" s="151"/>
      <c r="N954" s="152">
        <f>IF( ISERROR(OFFSET(SECUESTRADOS!D$1,MATCH(B954,SECUESTRADOS!A$2:A1405,0),0)) ,0 ,  OFFSET(SECUESTRADOS!D$1,MATCH(B954,SECUESTRADOS!A$2:A1405,0),0)  )</f>
        <v>0</v>
      </c>
      <c r="O954" s="153"/>
      <c r="P954" s="154" t="b">
        <f t="shared" si="238"/>
        <v>0</v>
      </c>
      <c r="Q954" s="154" t="str">
        <f t="shared" si="301"/>
        <v>#REF!</v>
      </c>
      <c r="R954" s="130"/>
      <c r="S954" s="130"/>
      <c r="T954" s="130"/>
    </row>
    <row r="955">
      <c r="A955" s="155" t="s">
        <v>38</v>
      </c>
      <c r="B955" s="142">
        <v>2172.0</v>
      </c>
      <c r="C955" s="143">
        <v>2172.0</v>
      </c>
      <c r="D955" s="144" t="str">
        <f>IF(   ISERROR(OFFSET(PADRON!B$2,MATCH(C:C,PADRON!A$2:A1405,0)-1,0,1,1) )  ,  ,    OFFSET(PADRON!B$2,MATCH(C:C,PADRON!A$2:A1405,0)-1,0,1,1))</f>
        <v>CERDA, DIEGO</v>
      </c>
      <c r="E955" s="145">
        <v>45870.0</v>
      </c>
      <c r="F955" s="145"/>
      <c r="G955" s="146" t="s">
        <v>39</v>
      </c>
      <c r="H955" s="147">
        <f>IF( ISERROR( OFFSET(   'Cuadro tarifario'!D$2  , MATCH(CONCATENATE(                 IF(F955&gt;Mes,OFFSET(NroCT!B$17, MATCH($F955,NroCT!$A$18:$A1405,0),0,1,1),Periodovigente)                                                                                                                     ,A955) ,'Cuadro tarifario'!A$2:A1405,0) -1 , 0 , 1 , 1) )   , 0  ,   OFFSET(   'Cuadro tarifario'!D$2  , MATCH(CONCATENATE( IF(F955&gt;Mes,OFFSET(NroCT!B$17, MATCH($F955,NroCT!$A$18:$A1405,0),0,1,1),Periodovigente) ,A955) ,'Cuadro tarifario'!A$2:A1405,0) -1 , 0 , 1 , 1))</f>
        <v>9000</v>
      </c>
      <c r="I955" s="148">
        <f t="shared" si="252"/>
        <v>0</v>
      </c>
      <c r="J955" s="147">
        <f t="shared" si="235"/>
        <v>0</v>
      </c>
      <c r="K955" s="149">
        <f>IF(  AND(N955&gt;0,I955=0)          ,N955 ,                         IF(  IF( F955 ,  DAYS360(DATE(YEAR(F955),MONTH(F955),1),Mes)/30  ,  DAYS360(DATE(YEAR(E955),MONTH(E955),1),Mes)/30  )  &gt;  0 , IF(F955,   DAYS360(DATE(YEAR(F955),MONTH(F955),1),Mes)/30  ,  DAYS360(DATE(YEAR(E955),MONTH(E955),1),Mes)/30) , 0)       )</f>
        <v>0</v>
      </c>
      <c r="L955" s="150">
        <f t="shared" si="253"/>
        <v>0</v>
      </c>
      <c r="M955" s="151"/>
      <c r="N955" s="152">
        <f>IF( ISERROR(OFFSET(SECUESTRADOS!D$1,MATCH(B955,SECUESTRADOS!A$2:A1405,0),0)) ,0 ,  OFFSET(SECUESTRADOS!D$1,MATCH(B955,SECUESTRADOS!A$2:A1405,0),0)  )</f>
        <v>0</v>
      </c>
      <c r="O955" s="153"/>
      <c r="P955" s="154" t="b">
        <f t="shared" si="238"/>
        <v>0</v>
      </c>
      <c r="Q955" s="154" t="str">
        <f t="shared" si="301"/>
        <v>#REF!</v>
      </c>
      <c r="R955" s="130"/>
      <c r="S955" s="130"/>
      <c r="T955" s="130"/>
    </row>
    <row r="956">
      <c r="A956" s="155" t="s">
        <v>82</v>
      </c>
      <c r="B956" s="142" t="s">
        <v>405</v>
      </c>
      <c r="C956" s="143">
        <v>2172.0</v>
      </c>
      <c r="D956" s="144" t="str">
        <f>IF(   ISERROR(OFFSET(PADRON!B$2,MATCH(C:C,PADRON!A$2:A1405,0)-1,0,1,1) )  ,  ,    OFFSET(PADRON!B$2,MATCH(C:C,PADRON!A$2:A1405,0)-1,0,1,1))</f>
        <v>CERDA, DIEGO</v>
      </c>
      <c r="E956" s="145">
        <v>45870.0</v>
      </c>
      <c r="F956" s="145"/>
      <c r="G956" s="146" t="s">
        <v>39</v>
      </c>
      <c r="H956" s="147">
        <f>IF( ISERROR( OFFSET(   'Cuadro tarifario'!D$2  , MATCH(CONCATENATE(                 IF(F956&gt;Mes,OFFSET(NroCT!B$17, MATCH($F956,NroCT!$A$18:$A1405,0),0,1,1),Periodovigente)                                                                                                                     ,A956) ,'Cuadro tarifario'!A$2:A1405,0) -1 , 0 , 1 , 1) )   , 0  ,   OFFSET(   'Cuadro tarifario'!D$2  , MATCH(CONCATENATE( IF(F956&gt;Mes,OFFSET(NroCT!B$17, MATCH($F956,NroCT!$A$18:$A1405,0),0,1,1),Periodovigente) ,A956) ,'Cuadro tarifario'!A$2:A1405,0) -1 , 0 , 1 , 1))</f>
        <v>12000</v>
      </c>
      <c r="I956" s="148">
        <f t="shared" si="252"/>
        <v>0</v>
      </c>
      <c r="J956" s="147">
        <f t="shared" si="235"/>
        <v>0</v>
      </c>
      <c r="K956" s="149">
        <f>IF(  AND(N956&gt;0,I956=0)          ,N956 ,                         IF(  IF( F956 ,  DAYS360(DATE(YEAR(F956),MONTH(F956),1),Mes)/30  ,  DAYS360(DATE(YEAR(E956),MONTH(E956),1),Mes)/30  )  &gt;  0 , IF(F956,   DAYS360(DATE(YEAR(F956),MONTH(F956),1),Mes)/30  ,  DAYS360(DATE(YEAR(E956),MONTH(E956),1),Mes)/30) , 0)       )</f>
        <v>0</v>
      </c>
      <c r="L956" s="150">
        <f t="shared" si="253"/>
        <v>0</v>
      </c>
      <c r="M956" s="151"/>
      <c r="N956" s="152">
        <f>IF( ISERROR(OFFSET(SECUESTRADOS!D$1,MATCH(B956,SECUESTRADOS!A$2:A1405,0),0)) ,0 ,  OFFSET(SECUESTRADOS!D$1,MATCH(B956,SECUESTRADOS!A$2:A1405,0),0)  )</f>
        <v>0</v>
      </c>
      <c r="O956" s="153"/>
      <c r="P956" s="154" t="b">
        <f t="shared" si="238"/>
        <v>0</v>
      </c>
      <c r="Q956" s="154" t="str">
        <f t="shared" si="301"/>
        <v>#REF!</v>
      </c>
      <c r="R956" s="130"/>
      <c r="S956" s="130"/>
      <c r="T956" s="130"/>
    </row>
    <row r="957">
      <c r="A957" s="155" t="s">
        <v>82</v>
      </c>
      <c r="B957" s="142" t="s">
        <v>406</v>
      </c>
      <c r="C957" s="143">
        <v>2172.0</v>
      </c>
      <c r="D957" s="144" t="str">
        <f>IF(   ISERROR(OFFSET(PADRON!B$2,MATCH(C:C,PADRON!A$2:A1405,0)-1,0,1,1) )  ,  ,    OFFSET(PADRON!B$2,MATCH(C:C,PADRON!A$2:A1405,0)-1,0,1,1))</f>
        <v>CERDA, DIEGO</v>
      </c>
      <c r="E957" s="145">
        <v>45870.0</v>
      </c>
      <c r="F957" s="145"/>
      <c r="G957" s="159" t="s">
        <v>39</v>
      </c>
      <c r="H957" s="147">
        <f>IF( ISERROR( OFFSET(   'Cuadro tarifario'!D$2  , MATCH(CONCATENATE(                 IF(F957&gt;Mes,OFFSET(NroCT!B$17, MATCH($F957,NroCT!$A$18:$A1405,0),0,1,1),Periodovigente)                                                                                                                     ,A957) ,'Cuadro tarifario'!A$2:A1405,0) -1 , 0 , 1 , 1) )   , 0  ,   OFFSET(   'Cuadro tarifario'!D$2  , MATCH(CONCATENATE( IF(F957&gt;Mes,OFFSET(NroCT!B$17, MATCH($F957,NroCT!$A$18:$A1405,0),0,1,1),Periodovigente) ,A957) ,'Cuadro tarifario'!A$2:A1405,0) -1 , 0 , 1 , 1))</f>
        <v>12000</v>
      </c>
      <c r="I957" s="148">
        <f t="shared" si="252"/>
        <v>0</v>
      </c>
      <c r="J957" s="147">
        <f t="shared" si="235"/>
        <v>0</v>
      </c>
      <c r="K957" s="149">
        <f>IF(  AND(N957&gt;0,I957=0)          ,N957 ,                         IF(  IF( F957 ,  DAYS360(DATE(YEAR(F957),MONTH(F957),1),Mes)/30  ,  DAYS360(DATE(YEAR(E957),MONTH(E957),1),Mes)/30  )  &gt;  0 , IF(F957,   DAYS360(DATE(YEAR(F957),MONTH(F957),1),Mes)/30  ,  DAYS360(DATE(YEAR(E957),MONTH(E957),1),Mes)/30) , 0)       )</f>
        <v>0</v>
      </c>
      <c r="L957" s="150">
        <f t="shared" si="253"/>
        <v>0</v>
      </c>
      <c r="M957" s="151"/>
      <c r="N957" s="152">
        <f>IF( ISERROR(OFFSET(SECUESTRADOS!D$1,MATCH(B957,SECUESTRADOS!A$2:A1405,0),0)) ,0 ,  OFFSET(SECUESTRADOS!D$1,MATCH(B957,SECUESTRADOS!A$2:A1405,0),0)  )</f>
        <v>0</v>
      </c>
      <c r="O957" s="153"/>
      <c r="P957" s="154" t="b">
        <f t="shared" si="238"/>
        <v>0</v>
      </c>
      <c r="Q957" s="154" t="str">
        <f t="shared" si="301"/>
        <v>#REF!</v>
      </c>
      <c r="R957" s="130"/>
      <c r="S957" s="130"/>
      <c r="T957" s="130"/>
    </row>
    <row r="958">
      <c r="A958" s="155" t="s">
        <v>71</v>
      </c>
      <c r="B958" s="142">
        <v>2174.0</v>
      </c>
      <c r="C958" s="143">
        <v>2174.0</v>
      </c>
      <c r="D958" s="144" t="str">
        <f>IF(   ISERROR(OFFSET(PADRON!B$2,MATCH(C:C,PADRON!A$2:A1405,0)-1,0,1,1) )  ,  ,    OFFSET(PADRON!B$2,MATCH(C:C,PADRON!A$2:A1405,0)-1,0,1,1))</f>
        <v>LOPEZ, NORA</v>
      </c>
      <c r="E958" s="145">
        <v>45839.0</v>
      </c>
      <c r="F958" s="145">
        <v>45870.0</v>
      </c>
      <c r="G958" s="146" t="s">
        <v>39</v>
      </c>
      <c r="H958" s="147">
        <f>IF( ISERROR( OFFSET(   'Cuadro tarifario'!D$2  , MATCH(CONCATENATE(                 IF(F958&gt;Mes,OFFSET(NroCT!B$17, MATCH($F958,NroCT!$A$18:$A1405,0),0,1,1),Periodovigente)                                                                                                                     ,A958) ,'Cuadro tarifario'!A$2:A1405,0) -1 , 0 , 1 , 1) )   , 0  ,   OFFSET(   'Cuadro tarifario'!D$2  , MATCH(CONCATENATE( IF(F958&gt;Mes,OFFSET(NroCT!B$17, MATCH($F958,NroCT!$A$18:$A1405,0),0,1,1),Periodovigente) ,A958) ,'Cuadro tarifario'!A$2:A1405,0) -1 , 0 , 1 , 1))</f>
        <v>11000</v>
      </c>
      <c r="I958" s="148">
        <f t="shared" si="252"/>
        <v>1</v>
      </c>
      <c r="J958" s="147">
        <f t="shared" si="235"/>
        <v>11000</v>
      </c>
      <c r="K958" s="149">
        <f>IF(  AND(N958&gt;0,I958=0)          ,N958 ,                         IF(  IF( F958 ,  DAYS360(DATE(YEAR(F958),MONTH(F958),1),Mes)/30  ,  DAYS360(DATE(YEAR(E958),MONTH(E958),1),Mes)/30  )  &gt;  0 , IF(F958,   DAYS360(DATE(YEAR(F958),MONTH(F958),1),Mes)/30  ,  DAYS360(DATE(YEAR(E958),MONTH(E958),1),Mes)/30) , 0)       )</f>
        <v>0</v>
      </c>
      <c r="L958" s="150">
        <f t="shared" si="253"/>
        <v>0</v>
      </c>
      <c r="M958" s="151"/>
      <c r="N958" s="152">
        <f>IF( ISERROR(OFFSET(SECUESTRADOS!D$1,MATCH(B958,SECUESTRADOS!A$2:A1405,0),0)) ,0 ,  OFFSET(SECUESTRADOS!D$1,MATCH(B958,SECUESTRADOS!A$2:A1405,0),0)  )</f>
        <v>0</v>
      </c>
      <c r="O958" s="153"/>
      <c r="P958" s="154" t="str">
        <f t="shared" si="238"/>
        <v>.socio</v>
      </c>
      <c r="Q958" s="154" t="str">
        <f t="shared" si="301"/>
        <v>#REF!</v>
      </c>
      <c r="R958" s="130"/>
      <c r="S958" s="130"/>
      <c r="T958" s="130"/>
    </row>
    <row r="959">
      <c r="A959" s="155" t="s">
        <v>38</v>
      </c>
      <c r="B959" s="142">
        <v>2174.0</v>
      </c>
      <c r="C959" s="143">
        <v>2174.0</v>
      </c>
      <c r="D959" s="144" t="str">
        <f>IF(   ISERROR(OFFSET(PADRON!B$2,MATCH(C:C,PADRON!A$2:A1405,0)-1,0,1,1) )  ,  ,    OFFSET(PADRON!B$2,MATCH(C:C,PADRON!A$2:A1405,0)-1,0,1,1))</f>
        <v>LOPEZ, NORA</v>
      </c>
      <c r="E959" s="145">
        <v>45839.0</v>
      </c>
      <c r="F959" s="145">
        <v>45870.0</v>
      </c>
      <c r="G959" s="146" t="s">
        <v>39</v>
      </c>
      <c r="H959" s="147">
        <f>IF( ISERROR( OFFSET(   'Cuadro tarifario'!D$2  , MATCH(CONCATENATE(                 IF(F959&gt;Mes,OFFSET(NroCT!B$17, MATCH($F959,NroCT!$A$18:$A1405,0),0,1,1),Periodovigente)                                                                                                                     ,A959) ,'Cuadro tarifario'!A$2:A1405,0) -1 , 0 , 1 , 1) )   , 0  ,   OFFSET(   'Cuadro tarifario'!D$2  , MATCH(CONCATENATE( IF(F959&gt;Mes,OFFSET(NroCT!B$17, MATCH($F959,NroCT!$A$18:$A1405,0),0,1,1),Periodovigente) ,A959) ,'Cuadro tarifario'!A$2:A1405,0) -1 , 0 , 1 , 1))</f>
        <v>9000</v>
      </c>
      <c r="I959" s="148">
        <f t="shared" si="252"/>
        <v>1</v>
      </c>
      <c r="J959" s="147">
        <f t="shared" si="235"/>
        <v>9000</v>
      </c>
      <c r="K959" s="149">
        <f>IF(  AND(N959&gt;0,I959=0)          ,N959 ,                         IF(  IF( F959 ,  DAYS360(DATE(YEAR(F959),MONTH(F959),1),Mes)/30  ,  DAYS360(DATE(YEAR(E959),MONTH(E959),1),Mes)/30  )  &gt;  0 , IF(F959,   DAYS360(DATE(YEAR(F959),MONTH(F959),1),Mes)/30  ,  DAYS360(DATE(YEAR(E959),MONTH(E959),1),Mes)/30) , 0)       )</f>
        <v>0</v>
      </c>
      <c r="L959" s="150">
        <f t="shared" si="253"/>
        <v>0</v>
      </c>
      <c r="M959" s="151"/>
      <c r="N959" s="152">
        <f>IF( ISERROR(OFFSET(SECUESTRADOS!D$1,MATCH(B959,SECUESTRADOS!A$2:A1405,0),0)) ,0 ,  OFFSET(SECUESTRADOS!D$1,MATCH(B959,SECUESTRADOS!A$2:A1405,0),0)  )</f>
        <v>0</v>
      </c>
      <c r="O959" s="153"/>
      <c r="P959" s="154" t="str">
        <f t="shared" si="238"/>
        <v>Bono canon</v>
      </c>
      <c r="Q959" s="154" t="str">
        <f t="shared" si="301"/>
        <v>#REF!</v>
      </c>
      <c r="R959" s="130"/>
      <c r="S959" s="130"/>
      <c r="T959" s="130"/>
    </row>
    <row r="960">
      <c r="A960" s="155" t="s">
        <v>40</v>
      </c>
      <c r="B960" s="142" t="s">
        <v>407</v>
      </c>
      <c r="C960" s="143">
        <v>2174.0</v>
      </c>
      <c r="D960" s="144" t="str">
        <f>IF(   ISERROR(OFFSET(PADRON!B$2,MATCH(C:C,PADRON!A$2:A1405,0)-1,0,1,1) )  ,  ,    OFFSET(PADRON!B$2,MATCH(C:C,PADRON!A$2:A1405,0)-1,0,1,1))</f>
        <v>LOPEZ, NORA</v>
      </c>
      <c r="E960" s="145">
        <v>45839.0</v>
      </c>
      <c r="F960" s="145">
        <v>45870.0</v>
      </c>
      <c r="G960" s="146" t="s">
        <v>39</v>
      </c>
      <c r="H960" s="147">
        <f>IF( ISERROR( OFFSET(   'Cuadro tarifario'!D$2  , MATCH(CONCATENATE(                 IF(F960&gt;Mes,OFFSET(NroCT!B$17, MATCH($F960,NroCT!$A$18:$A1405,0),0,1,1),Periodovigente)                                                                                                                     ,A960) ,'Cuadro tarifario'!A$2:A1405,0) -1 , 0 , 1 , 1) )   , 0  ,   OFFSET(   'Cuadro tarifario'!D$2  , MATCH(CONCATENATE( IF(F960&gt;Mes,OFFSET(NroCT!B$17, MATCH($F960,NroCT!$A$18:$A1405,0),0,1,1),Periodovigente) ,A960) ,'Cuadro tarifario'!A$2:A1405,0) -1 , 0 , 1 , 1))</f>
        <v>12000</v>
      </c>
      <c r="I960" s="148">
        <f t="shared" si="252"/>
        <v>1</v>
      </c>
      <c r="J960" s="147">
        <f t="shared" si="235"/>
        <v>12000</v>
      </c>
      <c r="K960" s="149">
        <f>IF(  AND(N960&gt;0,I960=0)          ,N960 ,                         IF(  IF( F960 ,  DAYS360(DATE(YEAR(F960),MONTH(F960),1),Mes)/30  ,  DAYS360(DATE(YEAR(E960),MONTH(E960),1),Mes)/30  )  &gt;  0 , IF(F960,   DAYS360(DATE(YEAR(F960),MONTH(F960),1),Mes)/30  ,  DAYS360(DATE(YEAR(E960),MONTH(E960),1),Mes)/30) , 0)       )</f>
        <v>0</v>
      </c>
      <c r="L960" s="150">
        <f t="shared" si="253"/>
        <v>0</v>
      </c>
      <c r="M960" s="151"/>
      <c r="N960" s="152">
        <f>IF( ISERROR(OFFSET(SECUESTRADOS!D$1,MATCH(B960,SECUESTRADOS!A$2:A1405,0),0)) ,0 ,  OFFSET(SECUESTRADOS!D$1,MATCH(B960,SECUESTRADOS!A$2:A1405,0),0)  )</f>
        <v>0</v>
      </c>
      <c r="O960" s="153"/>
      <c r="P960" s="154" t="str">
        <f t="shared" si="238"/>
        <v>cuna windsurf</v>
      </c>
      <c r="Q960" s="154" t="str">
        <f t="shared" si="301"/>
        <v>#REF!</v>
      </c>
      <c r="R960" s="130"/>
      <c r="S960" s="130"/>
      <c r="T960" s="130"/>
    </row>
    <row r="961">
      <c r="A961" s="155" t="s">
        <v>71</v>
      </c>
      <c r="B961" s="142">
        <v>2175.0</v>
      </c>
      <c r="C961" s="143">
        <v>2175.0</v>
      </c>
      <c r="D961" s="144" t="str">
        <f>IF(   ISERROR(OFFSET(PADRON!B$2,MATCH(C:C,PADRON!A$2:A1405,0)-1,0,1,1) )  ,  ,    OFFSET(PADRON!B$2,MATCH(C:C,PADRON!A$2:A1405,0)-1,0,1,1))</f>
        <v>GIOMMI, FEDERICO</v>
      </c>
      <c r="E961" s="145">
        <v>45839.0</v>
      </c>
      <c r="F961" s="145">
        <v>45870.0</v>
      </c>
      <c r="G961" s="146" t="s">
        <v>39</v>
      </c>
      <c r="H961" s="147">
        <f>IF( ISERROR( OFFSET(   'Cuadro tarifario'!D$2  , MATCH(CONCATENATE(                 IF(F961&gt;Mes,OFFSET(NroCT!B$17, MATCH($F961,NroCT!$A$18:$A1405,0),0,1,1),Periodovigente)                                                                                                                     ,A961) ,'Cuadro tarifario'!A$2:A1405,0) -1 , 0 , 1 , 1) )   , 0  ,   OFFSET(   'Cuadro tarifario'!D$2  , MATCH(CONCATENATE( IF(F961&gt;Mes,OFFSET(NroCT!B$17, MATCH($F961,NroCT!$A$18:$A1405,0),0,1,1),Periodovigente) ,A961) ,'Cuadro tarifario'!A$2:A1405,0) -1 , 0 , 1 , 1))</f>
        <v>11000</v>
      </c>
      <c r="I961" s="148">
        <f t="shared" si="252"/>
        <v>1</v>
      </c>
      <c r="J961" s="147">
        <f t="shared" si="235"/>
        <v>11000</v>
      </c>
      <c r="K961" s="149">
        <f>IF(  AND(N961&gt;0,I961=0)          ,N961 ,                         IF(  IF( F961 ,  DAYS360(DATE(YEAR(F961),MONTH(F961),1),Mes)/30  ,  DAYS360(DATE(YEAR(E961),MONTH(E961),1),Mes)/30  )  &gt;  0 , IF(F961,   DAYS360(DATE(YEAR(F961),MONTH(F961),1),Mes)/30  ,  DAYS360(DATE(YEAR(E961),MONTH(E961),1),Mes)/30) , 0)       )</f>
        <v>0</v>
      </c>
      <c r="L961" s="150">
        <f t="shared" si="253"/>
        <v>0</v>
      </c>
      <c r="M961" s="151"/>
      <c r="N961" s="152">
        <f>IF( ISERROR(OFFSET(SECUESTRADOS!D$1,MATCH(B961,SECUESTRADOS!A$2:A1405,0),0)) ,0 ,  OFFSET(SECUESTRADOS!D$1,MATCH(B961,SECUESTRADOS!A$2:A1405,0),0)  )</f>
        <v>0</v>
      </c>
      <c r="O961" s="153"/>
      <c r="P961" s="154" t="str">
        <f t="shared" si="238"/>
        <v>.socio</v>
      </c>
      <c r="Q961" s="154" t="str">
        <f t="shared" si="301"/>
        <v>#REF!</v>
      </c>
      <c r="R961" s="130"/>
      <c r="S961" s="130"/>
      <c r="T961" s="130"/>
    </row>
    <row r="962">
      <c r="A962" s="155" t="s">
        <v>38</v>
      </c>
      <c r="B962" s="142">
        <v>2175.0</v>
      </c>
      <c r="C962" s="143">
        <v>2175.0</v>
      </c>
      <c r="D962" s="144" t="str">
        <f>IF(   ISERROR(OFFSET(PADRON!B$2,MATCH(C:C,PADRON!A$2:A1405,0)-1,0,1,1) )  ,  ,    OFFSET(PADRON!B$2,MATCH(C:C,PADRON!A$2:A1405,0)-1,0,1,1))</f>
        <v>GIOMMI, FEDERICO</v>
      </c>
      <c r="E962" s="145">
        <v>45839.0</v>
      </c>
      <c r="F962" s="145">
        <v>45870.0</v>
      </c>
      <c r="G962" s="146" t="s">
        <v>39</v>
      </c>
      <c r="H962" s="147">
        <f>IF( ISERROR( OFFSET(   'Cuadro tarifario'!D$2  , MATCH(CONCATENATE(                 IF(F962&gt;Mes,OFFSET(NroCT!B$17, MATCH($F962,NroCT!$A$18:$A1405,0),0,1,1),Periodovigente)                                                                                                                     ,A962) ,'Cuadro tarifario'!A$2:A1405,0) -1 , 0 , 1 , 1) )   , 0  ,   OFFSET(   'Cuadro tarifario'!D$2  , MATCH(CONCATENATE( IF(F962&gt;Mes,OFFSET(NroCT!B$17, MATCH($F962,NroCT!$A$18:$A1405,0),0,1,1),Periodovigente) ,A962) ,'Cuadro tarifario'!A$2:A1405,0) -1 , 0 , 1 , 1))</f>
        <v>9000</v>
      </c>
      <c r="I962" s="148">
        <f t="shared" si="252"/>
        <v>1</v>
      </c>
      <c r="J962" s="147">
        <f t="shared" si="235"/>
        <v>9000</v>
      </c>
      <c r="K962" s="149">
        <f>IF(  AND(N962&gt;0,I962=0)          ,N962 ,                         IF(  IF( F962 ,  DAYS360(DATE(YEAR(F962),MONTH(F962),1),Mes)/30  ,  DAYS360(DATE(YEAR(E962),MONTH(E962),1),Mes)/30  )  &gt;  0 , IF(F962,   DAYS360(DATE(YEAR(F962),MONTH(F962),1),Mes)/30  ,  DAYS360(DATE(YEAR(E962),MONTH(E962),1),Mes)/30) , 0)       )</f>
        <v>0</v>
      </c>
      <c r="L962" s="150">
        <f t="shared" si="253"/>
        <v>0</v>
      </c>
      <c r="M962" s="151"/>
      <c r="N962" s="152">
        <f>IF( ISERROR(OFFSET(SECUESTRADOS!D$1,MATCH(B962,SECUESTRADOS!A$2:A1405,0),0)) ,0 ,  OFFSET(SECUESTRADOS!D$1,MATCH(B962,SECUESTRADOS!A$2:A1405,0),0)  )</f>
        <v>0</v>
      </c>
      <c r="O962" s="153"/>
      <c r="P962" s="154" t="str">
        <f t="shared" si="238"/>
        <v>Bono canon</v>
      </c>
      <c r="Q962" s="154" t="str">
        <f t="shared" si="301"/>
        <v>#REF!</v>
      </c>
      <c r="R962" s="130"/>
      <c r="S962" s="130"/>
      <c r="T962" s="130"/>
    </row>
    <row r="963">
      <c r="A963" s="155" t="s">
        <v>40</v>
      </c>
      <c r="B963" s="142" t="s">
        <v>408</v>
      </c>
      <c r="C963" s="143">
        <v>2175.0</v>
      </c>
      <c r="D963" s="144" t="str">
        <f>IF(   ISERROR(OFFSET(PADRON!B$2,MATCH(C:C,PADRON!A$2:A1405,0)-1,0,1,1) )  ,  ,    OFFSET(PADRON!B$2,MATCH(C:C,PADRON!A$2:A1405,0)-1,0,1,1))</f>
        <v>GIOMMI, FEDERICO</v>
      </c>
      <c r="E963" s="145">
        <v>45839.0</v>
      </c>
      <c r="F963" s="145">
        <v>45870.0</v>
      </c>
      <c r="G963" s="146" t="s">
        <v>39</v>
      </c>
      <c r="H963" s="147">
        <f>IF( ISERROR( OFFSET(   'Cuadro tarifario'!D$2  , MATCH(CONCATENATE(                 IF(F963&gt;Mes,OFFSET(NroCT!B$17, MATCH($F963,NroCT!$A$18:$A1405,0),0,1,1),Periodovigente)                                                                                                                     ,A963) ,'Cuadro tarifario'!A$2:A1405,0) -1 , 0 , 1 , 1) )   , 0  ,   OFFSET(   'Cuadro tarifario'!D$2  , MATCH(CONCATENATE( IF(F963&gt;Mes,OFFSET(NroCT!B$17, MATCH($F963,NroCT!$A$18:$A1405,0),0,1,1),Periodovigente) ,A963) ,'Cuadro tarifario'!A$2:A1405,0) -1 , 0 , 1 , 1))</f>
        <v>12000</v>
      </c>
      <c r="I963" s="148">
        <f t="shared" si="252"/>
        <v>1</v>
      </c>
      <c r="J963" s="147">
        <f t="shared" si="235"/>
        <v>12000</v>
      </c>
      <c r="K963" s="149">
        <f>IF(  AND(N963&gt;0,I963=0)          ,N963 ,                         IF(  IF( F963 ,  DAYS360(DATE(YEAR(F963),MONTH(F963),1),Mes)/30  ,  DAYS360(DATE(YEAR(E963),MONTH(E963),1),Mes)/30  )  &gt;  0 , IF(F963,   DAYS360(DATE(YEAR(F963),MONTH(F963),1),Mes)/30  ,  DAYS360(DATE(YEAR(E963),MONTH(E963),1),Mes)/30) , 0)       )</f>
        <v>0</v>
      </c>
      <c r="L963" s="150">
        <f t="shared" si="253"/>
        <v>0</v>
      </c>
      <c r="M963" s="151"/>
      <c r="N963" s="152">
        <f>IF( ISERROR(OFFSET(SECUESTRADOS!D$1,MATCH(B963,SECUESTRADOS!A$2:A1405,0),0)) ,0 ,  OFFSET(SECUESTRADOS!D$1,MATCH(B963,SECUESTRADOS!A$2:A1405,0),0)  )</f>
        <v>0</v>
      </c>
      <c r="O963" s="153"/>
      <c r="P963" s="154" t="str">
        <f t="shared" si="238"/>
        <v>cuna windsurf</v>
      </c>
      <c r="Q963" s="154" t="str">
        <f t="shared" si="301"/>
        <v>#REF!</v>
      </c>
      <c r="R963" s="130"/>
      <c r="S963" s="130"/>
      <c r="T963" s="130"/>
    </row>
    <row r="964">
      <c r="A964" s="155" t="s">
        <v>71</v>
      </c>
      <c r="B964" s="142">
        <v>2176.0</v>
      </c>
      <c r="C964" s="143">
        <v>2176.0</v>
      </c>
      <c r="D964" s="144" t="str">
        <f>IF(   ISERROR(OFFSET(PADRON!B$2,MATCH(C:C,PADRON!A$2:A1405,0)-1,0,1,1) )  ,  ,    OFFSET(PADRON!B$2,MATCH(C:C,PADRON!A$2:A1405,0)-1,0,1,1))</f>
        <v>BASUALDO, MIGUEL ANGEL</v>
      </c>
      <c r="E964" s="145">
        <v>45839.0</v>
      </c>
      <c r="F964" s="145"/>
      <c r="G964" s="146" t="s">
        <v>39</v>
      </c>
      <c r="H964" s="147">
        <f>IF( ISERROR( OFFSET(   'Cuadro tarifario'!D$2  , MATCH(CONCATENATE(                 IF(F964&gt;Mes,OFFSET(NroCT!B$17, MATCH($F964,NroCT!$A$18:$A1405,0),0,1,1),Periodovigente)                                                                                                                     ,A964) ,'Cuadro tarifario'!A$2:A1405,0) -1 , 0 , 1 , 1) )   , 0  ,   OFFSET(   'Cuadro tarifario'!D$2  , MATCH(CONCATENATE( IF(F964&gt;Mes,OFFSET(NroCT!B$17, MATCH($F964,NroCT!$A$18:$A1405,0),0,1,1),Periodovigente) ,A964) ,'Cuadro tarifario'!A$2:A1405,0) -1 , 0 , 1 , 1))</f>
        <v>11000</v>
      </c>
      <c r="I964" s="148">
        <f t="shared" si="252"/>
        <v>0</v>
      </c>
      <c r="J964" s="147">
        <f t="shared" si="235"/>
        <v>0</v>
      </c>
      <c r="K964" s="149">
        <f>IF(  AND(N964&gt;0,I964=0)          ,N964 ,                         IF(  IF( F964 ,  DAYS360(DATE(YEAR(F964),MONTH(F964),1),Mes)/30  ,  DAYS360(DATE(YEAR(E964),MONTH(E964),1),Mes)/30  )  &gt;  0 , IF(F964,   DAYS360(DATE(YEAR(F964),MONTH(F964),1),Mes)/30  ,  DAYS360(DATE(YEAR(E964),MONTH(E964),1),Mes)/30) , 0)       )</f>
        <v>1</v>
      </c>
      <c r="L964" s="150">
        <f t="shared" si="253"/>
        <v>11000</v>
      </c>
      <c r="M964" s="151"/>
      <c r="N964" s="152">
        <f>IF( ISERROR(OFFSET(SECUESTRADOS!D$1,MATCH(B964,SECUESTRADOS!A$2:A1405,0),0)) ,0 ,  OFFSET(SECUESTRADOS!D$1,MATCH(B964,SECUESTRADOS!A$2:A1405,0),0)  )</f>
        <v>0</v>
      </c>
      <c r="O964" s="153"/>
      <c r="P964" s="154" t="b">
        <f t="shared" si="238"/>
        <v>0</v>
      </c>
      <c r="Q964" s="154" t="str">
        <f t="shared" si="301"/>
        <v>#REF!</v>
      </c>
      <c r="R964" s="130"/>
      <c r="S964" s="130"/>
      <c r="T964" s="130"/>
    </row>
    <row r="965">
      <c r="A965" s="155" t="s">
        <v>38</v>
      </c>
      <c r="B965" s="142">
        <v>2176.0</v>
      </c>
      <c r="C965" s="143">
        <v>2176.0</v>
      </c>
      <c r="D965" s="144" t="str">
        <f>IF(   ISERROR(OFFSET(PADRON!B$2,MATCH(C:C,PADRON!A$2:A1405,0)-1,0,1,1) )  ,  ,    OFFSET(PADRON!B$2,MATCH(C:C,PADRON!A$2:A1405,0)-1,0,1,1))</f>
        <v>BASUALDO, MIGUEL ANGEL</v>
      </c>
      <c r="E965" s="145">
        <v>45839.0</v>
      </c>
      <c r="F965" s="145"/>
      <c r="G965" s="146" t="s">
        <v>39</v>
      </c>
      <c r="H965" s="147">
        <f>IF( ISERROR( OFFSET(   'Cuadro tarifario'!D$2  , MATCH(CONCATENATE(                 IF(F965&gt;Mes,OFFSET(NroCT!B$17, MATCH($F965,NroCT!$A$18:$A1405,0),0,1,1),Periodovigente)                                                                                                                     ,A965) ,'Cuadro tarifario'!A$2:A1405,0) -1 , 0 , 1 , 1) )   , 0  ,   OFFSET(   'Cuadro tarifario'!D$2  , MATCH(CONCATENATE( IF(F965&gt;Mes,OFFSET(NroCT!B$17, MATCH($F965,NroCT!$A$18:$A1405,0),0,1,1),Periodovigente) ,A965) ,'Cuadro tarifario'!A$2:A1405,0) -1 , 0 , 1 , 1))</f>
        <v>9000</v>
      </c>
      <c r="I965" s="148">
        <f t="shared" si="252"/>
        <v>0</v>
      </c>
      <c r="J965" s="147">
        <f t="shared" si="235"/>
        <v>0</v>
      </c>
      <c r="K965" s="149">
        <f>IF(  AND(N965&gt;0,I965=0)          ,N965 ,                         IF(  IF( F965 ,  DAYS360(DATE(YEAR(F965),MONTH(F965),1),Mes)/30  ,  DAYS360(DATE(YEAR(E965),MONTH(E965),1),Mes)/30  )  &gt;  0 , IF(F965,   DAYS360(DATE(YEAR(F965),MONTH(F965),1),Mes)/30  ,  DAYS360(DATE(YEAR(E965),MONTH(E965),1),Mes)/30) , 0)       )</f>
        <v>1</v>
      </c>
      <c r="L965" s="150">
        <f t="shared" si="253"/>
        <v>9000</v>
      </c>
      <c r="M965" s="151"/>
      <c r="N965" s="152">
        <f>IF( ISERROR(OFFSET(SECUESTRADOS!D$1,MATCH(B965,SECUESTRADOS!A$2:A1405,0),0)) ,0 ,  OFFSET(SECUESTRADOS!D$1,MATCH(B965,SECUESTRADOS!A$2:A1405,0),0)  )</f>
        <v>0</v>
      </c>
      <c r="O965" s="153"/>
      <c r="P965" s="154" t="b">
        <f t="shared" si="238"/>
        <v>0</v>
      </c>
      <c r="Q965" s="154" t="str">
        <f t="shared" si="301"/>
        <v>#REF!</v>
      </c>
      <c r="R965" s="130"/>
      <c r="S965" s="130"/>
      <c r="T965" s="130"/>
    </row>
    <row r="966">
      <c r="A966" s="155" t="s">
        <v>82</v>
      </c>
      <c r="B966" s="142" t="s">
        <v>409</v>
      </c>
      <c r="C966" s="143">
        <v>2176.0</v>
      </c>
      <c r="D966" s="144" t="str">
        <f>IF(   ISERROR(OFFSET(PADRON!B$2,MATCH(C:C,PADRON!A$2:A1405,0)-1,0,1,1) )  ,  ,    OFFSET(PADRON!B$2,MATCH(C:C,PADRON!A$2:A1405,0)-1,0,1,1))</f>
        <v>BASUALDO, MIGUEL ANGEL</v>
      </c>
      <c r="E966" s="145">
        <v>45839.0</v>
      </c>
      <c r="F966" s="145"/>
      <c r="G966" s="146" t="s">
        <v>39</v>
      </c>
      <c r="H966" s="147">
        <f>IF( ISERROR( OFFSET(   'Cuadro tarifario'!D$2  , MATCH(CONCATENATE(                 IF(F966&gt;Mes,OFFSET(NroCT!B$17, MATCH($F966,NroCT!$A$18:$A1405,0),0,1,1),Periodovigente)                                                                                                                     ,A966) ,'Cuadro tarifario'!A$2:A1405,0) -1 , 0 , 1 , 1) )   , 0  ,   OFFSET(   'Cuadro tarifario'!D$2  , MATCH(CONCATENATE( IF(F966&gt;Mes,OFFSET(NroCT!B$17, MATCH($F966,NroCT!$A$18:$A1405,0),0,1,1),Periodovigente) ,A966) ,'Cuadro tarifario'!A$2:A1405,0) -1 , 0 , 1 , 1))</f>
        <v>12000</v>
      </c>
      <c r="I966" s="148">
        <f t="shared" si="252"/>
        <v>0</v>
      </c>
      <c r="J966" s="147">
        <f t="shared" si="235"/>
        <v>0</v>
      </c>
      <c r="K966" s="149">
        <f>IF(  AND(N966&gt;0,I966=0)          ,N966 ,                         IF(  IF( F966 ,  DAYS360(DATE(YEAR(F966),MONTH(F966),1),Mes)/30  ,  DAYS360(DATE(YEAR(E966),MONTH(E966),1),Mes)/30  )  &gt;  0 , IF(F966,   DAYS360(DATE(YEAR(F966),MONTH(F966),1),Mes)/30  ,  DAYS360(DATE(YEAR(E966),MONTH(E966),1),Mes)/30) , 0)       )</f>
        <v>1</v>
      </c>
      <c r="L966" s="150">
        <f t="shared" si="253"/>
        <v>12000</v>
      </c>
      <c r="M966" s="151"/>
      <c r="N966" s="152">
        <f>IF( ISERROR(OFFSET(SECUESTRADOS!D$1,MATCH(B966,SECUESTRADOS!A$2:A1405,0),0)) ,0 ,  OFFSET(SECUESTRADOS!D$1,MATCH(B966,SECUESTRADOS!A$2:A1405,0),0)  )</f>
        <v>0</v>
      </c>
      <c r="O966" s="153"/>
      <c r="P966" s="154" t="b">
        <f t="shared" si="238"/>
        <v>0</v>
      </c>
      <c r="Q966" s="154" t="str">
        <f t="shared" si="301"/>
        <v>#REF!</v>
      </c>
      <c r="R966" s="130"/>
      <c r="S966" s="130"/>
      <c r="T966" s="130"/>
    </row>
    <row r="967">
      <c r="A967" s="155" t="s">
        <v>71</v>
      </c>
      <c r="B967" s="142">
        <v>2177.0</v>
      </c>
      <c r="C967" s="143">
        <v>2177.0</v>
      </c>
      <c r="D967" s="144" t="str">
        <f>IF(   ISERROR(OFFSET(PADRON!B$2,MATCH(C:C,PADRON!A$2:A1405,0)-1,0,1,1) )  ,  ,    OFFSET(PADRON!B$2,MATCH(C:C,PADRON!A$2:A1405,0)-1,0,1,1))</f>
        <v>BIANCHI, SANTIAGO</v>
      </c>
      <c r="E967" s="145">
        <v>45870.0</v>
      </c>
      <c r="F967" s="145"/>
      <c r="G967" s="146" t="s">
        <v>39</v>
      </c>
      <c r="H967" s="147">
        <f>IF( ISERROR( OFFSET(   'Cuadro tarifario'!D$2  , MATCH(CONCATENATE(                 IF(F967&gt;Mes,OFFSET(NroCT!B$17, MATCH($F967,NroCT!$A$18:$A1405,0),0,1,1),Periodovigente)                                                                                                                     ,A967) ,'Cuadro tarifario'!A$2:A1405,0) -1 , 0 , 1 , 1) )   , 0  ,   OFFSET(   'Cuadro tarifario'!D$2  , MATCH(CONCATENATE( IF(F967&gt;Mes,OFFSET(NroCT!B$17, MATCH($F967,NroCT!$A$18:$A1405,0),0,1,1),Periodovigente) ,A967) ,'Cuadro tarifario'!A$2:A1405,0) -1 , 0 , 1 , 1))</f>
        <v>11000</v>
      </c>
      <c r="I967" s="148">
        <f t="shared" si="252"/>
        <v>0</v>
      </c>
      <c r="J967" s="147">
        <f t="shared" si="235"/>
        <v>0</v>
      </c>
      <c r="K967" s="149">
        <f>IF(  AND(N967&gt;0,I967=0)          ,N967 ,                         IF(  IF( F967 ,  DAYS360(DATE(YEAR(F967),MONTH(F967),1),Mes)/30  ,  DAYS360(DATE(YEAR(E967),MONTH(E967),1),Mes)/30  )  &gt;  0 , IF(F967,   DAYS360(DATE(YEAR(F967),MONTH(F967),1),Mes)/30  ,  DAYS360(DATE(YEAR(E967),MONTH(E967),1),Mes)/30) , 0)       )</f>
        <v>0</v>
      </c>
      <c r="L967" s="150">
        <f t="shared" si="253"/>
        <v>0</v>
      </c>
      <c r="M967" s="151"/>
      <c r="N967" s="152">
        <f>IF( ISERROR(OFFSET(SECUESTRADOS!D$1,MATCH(B967,SECUESTRADOS!A$2:A1405,0),0)) ,0 ,  OFFSET(SECUESTRADOS!D$1,MATCH(B967,SECUESTRADOS!A$2:A1405,0),0)  )</f>
        <v>0</v>
      </c>
      <c r="O967" s="153"/>
      <c r="P967" s="154" t="b">
        <f t="shared" si="238"/>
        <v>0</v>
      </c>
      <c r="Q967" s="154" t="str">
        <f t="shared" si="301"/>
        <v>#REF!</v>
      </c>
      <c r="R967" s="130"/>
      <c r="S967" s="130"/>
      <c r="T967" s="130"/>
    </row>
    <row r="968">
      <c r="A968" s="155" t="s">
        <v>38</v>
      </c>
      <c r="B968" s="142">
        <v>2177.0</v>
      </c>
      <c r="C968" s="143">
        <v>2177.0</v>
      </c>
      <c r="D968" s="144" t="str">
        <f>IF(   ISERROR(OFFSET(PADRON!B$2,MATCH(C:C,PADRON!A$2:A1405,0)-1,0,1,1) )  ,  ,    OFFSET(PADRON!B$2,MATCH(C:C,PADRON!A$2:A1405,0)-1,0,1,1))</f>
        <v>BIANCHI, SANTIAGO</v>
      </c>
      <c r="E968" s="145">
        <v>45870.0</v>
      </c>
      <c r="F968" s="145"/>
      <c r="G968" s="146" t="s">
        <v>39</v>
      </c>
      <c r="H968" s="147">
        <f>IF( ISERROR( OFFSET(   'Cuadro tarifario'!D$2  , MATCH(CONCATENATE(                 IF(F968&gt;Mes,OFFSET(NroCT!B$17, MATCH($F968,NroCT!$A$18:$A1405,0),0,1,1),Periodovigente)                                                                                                                     ,A968) ,'Cuadro tarifario'!A$2:A1405,0) -1 , 0 , 1 , 1) )   , 0  ,   OFFSET(   'Cuadro tarifario'!D$2  , MATCH(CONCATENATE( IF(F968&gt;Mes,OFFSET(NroCT!B$17, MATCH($F968,NroCT!$A$18:$A1405,0),0,1,1),Periodovigente) ,A968) ,'Cuadro tarifario'!A$2:A1405,0) -1 , 0 , 1 , 1))</f>
        <v>9000</v>
      </c>
      <c r="I968" s="148">
        <f t="shared" si="252"/>
        <v>0</v>
      </c>
      <c r="J968" s="147">
        <f t="shared" si="235"/>
        <v>0</v>
      </c>
      <c r="K968" s="149">
        <f>IF(  AND(N968&gt;0,I968=0)          ,N968 ,                         IF(  IF( F968 ,  DAYS360(DATE(YEAR(F968),MONTH(F968),1),Mes)/30  ,  DAYS360(DATE(YEAR(E968),MONTH(E968),1),Mes)/30  )  &gt;  0 , IF(F968,   DAYS360(DATE(YEAR(F968),MONTH(F968),1),Mes)/30  ,  DAYS360(DATE(YEAR(E968),MONTH(E968),1),Mes)/30) , 0)       )</f>
        <v>0</v>
      </c>
      <c r="L968" s="150">
        <f t="shared" si="253"/>
        <v>0</v>
      </c>
      <c r="M968" s="151"/>
      <c r="N968" s="152">
        <f>IF( ISERROR(OFFSET(SECUESTRADOS!D$1,MATCH(B968,SECUESTRADOS!A$2:A1405,0),0)) ,0 ,  OFFSET(SECUESTRADOS!D$1,MATCH(B968,SECUESTRADOS!A$2:A1405,0),0)  )</f>
        <v>0</v>
      </c>
      <c r="O968" s="153"/>
      <c r="P968" s="154" t="b">
        <f t="shared" si="238"/>
        <v>0</v>
      </c>
      <c r="Q968" s="154" t="str">
        <f t="shared" si="301"/>
        <v>#REF!</v>
      </c>
      <c r="R968" s="130"/>
      <c r="S968" s="130"/>
      <c r="T968" s="130"/>
    </row>
    <row r="969">
      <c r="A969" s="155" t="s">
        <v>48</v>
      </c>
      <c r="B969" s="142" t="s">
        <v>410</v>
      </c>
      <c r="C969" s="143">
        <v>2177.0</v>
      </c>
      <c r="D969" s="144" t="str">
        <f>IF(   ISERROR(OFFSET(PADRON!B$2,MATCH(C:C,PADRON!A$2:A1405,0)-1,0,1,1) )  ,  ,    OFFSET(PADRON!B$2,MATCH(C:C,PADRON!A$2:A1405,0)-1,0,1,1))</f>
        <v>BIANCHI, SANTIAGO</v>
      </c>
      <c r="E969" s="145">
        <v>45870.0</v>
      </c>
      <c r="F969" s="145"/>
      <c r="G969" s="146" t="s">
        <v>39</v>
      </c>
      <c r="H969" s="147">
        <f>IF( ISERROR( OFFSET(   'Cuadro tarifario'!D$2  , MATCH(CONCATENATE(                 IF(F969&gt;Mes,OFFSET(NroCT!B$17, MATCH($F969,NroCT!$A$18:$A1405,0),0,1,1),Periodovigente)                                                                                                                     ,A969) ,'Cuadro tarifario'!A$2:A1405,0) -1 , 0 , 1 , 1) )   , 0  ,   OFFSET(   'Cuadro tarifario'!D$2  , MATCH(CONCATENATE( IF(F969&gt;Mes,OFFSET(NroCT!B$17, MATCH($F969,NroCT!$A$18:$A1405,0),0,1,1),Periodovigente) ,A969) ,'Cuadro tarifario'!A$2:A1405,0) -1 , 0 , 1 , 1))</f>
        <v>12000</v>
      </c>
      <c r="I969" s="148">
        <f t="shared" si="252"/>
        <v>0</v>
      </c>
      <c r="J969" s="147">
        <f t="shared" si="235"/>
        <v>0</v>
      </c>
      <c r="K969" s="149">
        <f>IF(  AND(N969&gt;0,I969=0)          ,N969 ,                         IF(  IF( F969 ,  DAYS360(DATE(YEAR(F969),MONTH(F969),1),Mes)/30  ,  DAYS360(DATE(YEAR(E969),MONTH(E969),1),Mes)/30  )  &gt;  0 , IF(F969,   DAYS360(DATE(YEAR(F969),MONTH(F969),1),Mes)/30  ,  DAYS360(DATE(YEAR(E969),MONTH(E969),1),Mes)/30) , 0)       )</f>
        <v>0</v>
      </c>
      <c r="L969" s="150">
        <f t="shared" si="253"/>
        <v>0</v>
      </c>
      <c r="M969" s="151"/>
      <c r="N969" s="152">
        <f>IF( ISERROR(OFFSET(SECUESTRADOS!D$1,MATCH(B969,SECUESTRADOS!A$2:A1405,0),0)) ,0 ,  OFFSET(SECUESTRADOS!D$1,MATCH(B969,SECUESTRADOS!A$2:A1405,0),0)  )</f>
        <v>0</v>
      </c>
      <c r="O969" s="153"/>
      <c r="P969" s="154" t="b">
        <f t="shared" si="238"/>
        <v>0</v>
      </c>
      <c r="Q969" s="154" t="str">
        <f t="shared" si="301"/>
        <v>#REF!</v>
      </c>
      <c r="R969" s="130"/>
      <c r="S969" s="130"/>
      <c r="T969" s="130"/>
    </row>
    <row r="970">
      <c r="A970" s="155" t="s">
        <v>40</v>
      </c>
      <c r="B970" s="142" t="s">
        <v>411</v>
      </c>
      <c r="C970" s="143">
        <v>2177.0</v>
      </c>
      <c r="D970" s="144" t="str">
        <f>IF(   ISERROR(OFFSET(PADRON!B$2,MATCH(C:C,PADRON!A$2:A1405,0)-1,0,1,1) )  ,  ,    OFFSET(PADRON!B$2,MATCH(C:C,PADRON!A$2:A1405,0)-1,0,1,1))</f>
        <v>BIANCHI, SANTIAGO</v>
      </c>
      <c r="E970" s="145">
        <v>45870.0</v>
      </c>
      <c r="F970" s="145"/>
      <c r="G970" s="146" t="s">
        <v>39</v>
      </c>
      <c r="H970" s="147">
        <f>IF( ISERROR( OFFSET(   'Cuadro tarifario'!D$2  , MATCH(CONCATENATE(                 IF(F970&gt;Mes,OFFSET(NroCT!B$17, MATCH($F970,NroCT!$A$18:$A1405,0),0,1,1),Periodovigente)                                                                                                                     ,A970) ,'Cuadro tarifario'!A$2:A1405,0) -1 , 0 , 1 , 1) )   , 0  ,   OFFSET(   'Cuadro tarifario'!D$2  , MATCH(CONCATENATE( IF(F970&gt;Mes,OFFSET(NroCT!B$17, MATCH($F970,NroCT!$A$18:$A1405,0),0,1,1),Periodovigente) ,A970) ,'Cuadro tarifario'!A$2:A1405,0) -1 , 0 , 1 , 1))</f>
        <v>12000</v>
      </c>
      <c r="I970" s="148">
        <f t="shared" si="252"/>
        <v>0</v>
      </c>
      <c r="J970" s="147">
        <f t="shared" si="235"/>
        <v>0</v>
      </c>
      <c r="K970" s="149">
        <f>IF(  AND(N970&gt;0,I970=0)          ,N970 ,                         IF(  IF( F970 ,  DAYS360(DATE(YEAR(F970),MONTH(F970),1),Mes)/30  ,  DAYS360(DATE(YEAR(E970),MONTH(E970),1),Mes)/30  )  &gt;  0 , IF(F970,   DAYS360(DATE(YEAR(F970),MONTH(F970),1),Mes)/30  ,  DAYS360(DATE(YEAR(E970),MONTH(E970),1),Mes)/30) , 0)       )</f>
        <v>0</v>
      </c>
      <c r="L970" s="150">
        <f t="shared" si="253"/>
        <v>0</v>
      </c>
      <c r="M970" s="151"/>
      <c r="N970" s="152">
        <f>IF( ISERROR(OFFSET(SECUESTRADOS!D$1,MATCH(B970,SECUESTRADOS!A$2:A1405,0),0)) ,0 ,  OFFSET(SECUESTRADOS!D$1,MATCH(B970,SECUESTRADOS!A$2:A1405,0),0)  )</f>
        <v>0</v>
      </c>
      <c r="O970" s="153"/>
      <c r="P970" s="154" t="b">
        <f t="shared" si="238"/>
        <v>0</v>
      </c>
      <c r="Q970" s="154" t="str">
        <f t="shared" si="301"/>
        <v>#REF!</v>
      </c>
      <c r="R970" s="130"/>
      <c r="S970" s="130"/>
      <c r="T970" s="130"/>
    </row>
    <row r="971">
      <c r="A971" s="155" t="s">
        <v>52</v>
      </c>
      <c r="B971" s="142" t="s">
        <v>412</v>
      </c>
      <c r="C971" s="143">
        <v>2177.0</v>
      </c>
      <c r="D971" s="144" t="str">
        <f>IF(   ISERROR(OFFSET(PADRON!B$2,MATCH(C:C,PADRON!A$2:A1405,0)-1,0,1,1) )  ,  ,    OFFSET(PADRON!B$2,MATCH(C:C,PADRON!A$2:A1405,0)-1,0,1,1))</f>
        <v>BIANCHI, SANTIAGO</v>
      </c>
      <c r="E971" s="145">
        <v>45992.0</v>
      </c>
      <c r="F971" s="145"/>
      <c r="G971" s="146" t="s">
        <v>39</v>
      </c>
      <c r="H971" s="147">
        <f>IF( ISERROR( OFFSET(   'Cuadro tarifario'!D$2  , MATCH(CONCATENATE(                 IF(F971&gt;Mes,OFFSET(NroCT!B$17, MATCH($F971,NroCT!$A$18:$A1405,0),0,1,1),Periodovigente)                                                                                                                     ,A971) ,'Cuadro tarifario'!A$2:A1405,0) -1 , 0 , 1 , 1) )   , 0  ,   OFFSET(   'Cuadro tarifario'!D$2  , MATCH(CONCATENATE( IF(F971&gt;Mes,OFFSET(NroCT!B$17, MATCH($F971,NroCT!$A$18:$A1405,0),0,1,1),Periodovigente) ,A971) ,'Cuadro tarifario'!A$2:A1405,0) -1 , 0 , 1 , 1))</f>
        <v>4000</v>
      </c>
      <c r="I971" s="148">
        <f t="shared" si="252"/>
        <v>0</v>
      </c>
      <c r="J971" s="147">
        <f t="shared" si="235"/>
        <v>0</v>
      </c>
      <c r="K971" s="149">
        <f>IF(  AND(N971&gt;0,I971=0)          ,N971 ,                         IF(  IF( F971 ,  DAYS360(DATE(YEAR(F971),MONTH(F971),1),Mes)/30  ,  DAYS360(DATE(YEAR(E971),MONTH(E971),1),Mes)/30  )  &gt;  0 , IF(F971,   DAYS360(DATE(YEAR(F971),MONTH(F971),1),Mes)/30  ,  DAYS360(DATE(YEAR(E971),MONTH(E971),1),Mes)/30) , 0)       )</f>
        <v>0</v>
      </c>
      <c r="L971" s="150">
        <f t="shared" si="253"/>
        <v>0</v>
      </c>
      <c r="M971" s="151"/>
      <c r="N971" s="152">
        <f>IF( ISERROR(OFFSET(SECUESTRADOS!D$1,MATCH(B971,SECUESTRADOS!A$2:A1405,0),0)) ,0 ,  OFFSET(SECUESTRADOS!D$1,MATCH(B971,SECUESTRADOS!A$2:A1405,0),0)  )</f>
        <v>0</v>
      </c>
      <c r="O971" s="153"/>
      <c r="P971" s="154" t="b">
        <f t="shared" si="238"/>
        <v>0</v>
      </c>
      <c r="Q971" s="154" t="str">
        <f t="shared" si="301"/>
        <v>#REF!</v>
      </c>
      <c r="R971" s="130"/>
      <c r="S971" s="130"/>
      <c r="T971" s="130"/>
    </row>
    <row r="972">
      <c r="A972" s="155" t="s">
        <v>71</v>
      </c>
      <c r="B972" s="142">
        <v>2181.0</v>
      </c>
      <c r="C972" s="143">
        <v>2181.0</v>
      </c>
      <c r="D972" s="144" t="str">
        <f>IF(   ISERROR(OFFSET(PADRON!B$2,MATCH(C:C,PADRON!A$2:A1405,0)-1,0,1,1) )  ,  ,    OFFSET(PADRON!B$2,MATCH(C:C,PADRON!A$2:A1405,0)-1,0,1,1))</f>
        <v>OSTOLAZA, M. SOLEDAD</v>
      </c>
      <c r="E972" s="145">
        <v>45839.0</v>
      </c>
      <c r="F972" s="145">
        <v>45870.0</v>
      </c>
      <c r="G972" s="146" t="s">
        <v>39</v>
      </c>
      <c r="H972" s="147">
        <f>IF( ISERROR( OFFSET(   'Cuadro tarifario'!D$2  , MATCH(CONCATENATE(                 IF(F972&gt;Mes,OFFSET(NroCT!B$17, MATCH($F972,NroCT!$A$18:$A1405,0),0,1,1),Periodovigente)                                                                                                                     ,A972) ,'Cuadro tarifario'!A$2:A1405,0) -1 , 0 , 1 , 1) )   , 0  ,   OFFSET(   'Cuadro tarifario'!D$2  , MATCH(CONCATENATE( IF(F972&gt;Mes,OFFSET(NroCT!B$17, MATCH($F972,NroCT!$A$18:$A1405,0),0,1,1),Periodovigente) ,A972) ,'Cuadro tarifario'!A$2:A1405,0) -1 , 0 , 1 , 1))</f>
        <v>11000</v>
      </c>
      <c r="I972" s="148">
        <f t="shared" si="252"/>
        <v>1</v>
      </c>
      <c r="J972" s="147">
        <f t="shared" si="235"/>
        <v>11000</v>
      </c>
      <c r="K972" s="149">
        <f>IF(  AND(N972&gt;0,I972=0)          ,N972 ,                         IF(  IF( F972 ,  DAYS360(DATE(YEAR(F972),MONTH(F972),1),Mes)/30  ,  DAYS360(DATE(YEAR(E972),MONTH(E972),1),Mes)/30  )  &gt;  0 , IF(F972,   DAYS360(DATE(YEAR(F972),MONTH(F972),1),Mes)/30  ,  DAYS360(DATE(YEAR(E972),MONTH(E972),1),Mes)/30) , 0)       )</f>
        <v>0</v>
      </c>
      <c r="L972" s="150">
        <f t="shared" si="253"/>
        <v>0</v>
      </c>
      <c r="M972" s="151"/>
      <c r="N972" s="152">
        <f>IF( ISERROR(OFFSET(SECUESTRADOS!D$1,MATCH(B972,SECUESTRADOS!A$2:A1405,0),0)) ,0 ,  OFFSET(SECUESTRADOS!D$1,MATCH(B972,SECUESTRADOS!A$2:A1405,0),0)  )</f>
        <v>0</v>
      </c>
      <c r="O972" s="153"/>
      <c r="P972" s="154" t="str">
        <f t="shared" si="238"/>
        <v>.socio</v>
      </c>
      <c r="Q972" s="154" t="str">
        <f t="shared" si="301"/>
        <v>#REF!</v>
      </c>
      <c r="R972" s="130"/>
      <c r="S972" s="130"/>
      <c r="T972" s="130"/>
    </row>
    <row r="973">
      <c r="A973" s="155" t="s">
        <v>38</v>
      </c>
      <c r="B973" s="142">
        <v>2181.0</v>
      </c>
      <c r="C973" s="143">
        <v>2181.0</v>
      </c>
      <c r="D973" s="144" t="str">
        <f>IF(   ISERROR(OFFSET(PADRON!B$2,MATCH(C:C,PADRON!A$2:A1405,0)-1,0,1,1) )  ,  ,    OFFSET(PADRON!B$2,MATCH(C:C,PADRON!A$2:A1405,0)-1,0,1,1))</f>
        <v>OSTOLAZA, M. SOLEDAD</v>
      </c>
      <c r="E973" s="145">
        <v>45839.0</v>
      </c>
      <c r="F973" s="145">
        <v>45870.0</v>
      </c>
      <c r="G973" s="146" t="s">
        <v>39</v>
      </c>
      <c r="H973" s="147">
        <f>IF( ISERROR( OFFSET(   'Cuadro tarifario'!D$2  , MATCH(CONCATENATE(                 IF(F973&gt;Mes,OFFSET(NroCT!B$17, MATCH($F973,NroCT!$A$18:$A1405,0),0,1,1),Periodovigente)                                                                                                                     ,A973) ,'Cuadro tarifario'!A$2:A1405,0) -1 , 0 , 1 , 1) )   , 0  ,   OFFSET(   'Cuadro tarifario'!D$2  , MATCH(CONCATENATE( IF(F973&gt;Mes,OFFSET(NroCT!B$17, MATCH($F973,NroCT!$A$18:$A1405,0),0,1,1),Periodovigente) ,A973) ,'Cuadro tarifario'!A$2:A1405,0) -1 , 0 , 1 , 1))</f>
        <v>9000</v>
      </c>
      <c r="I973" s="148">
        <f t="shared" si="252"/>
        <v>1</v>
      </c>
      <c r="J973" s="147">
        <f t="shared" si="235"/>
        <v>9000</v>
      </c>
      <c r="K973" s="149">
        <f>IF(  AND(N973&gt;0,I973=0)          ,N973 ,                         IF(  IF( F973 ,  DAYS360(DATE(YEAR(F973),MONTH(F973),1),Mes)/30  ,  DAYS360(DATE(YEAR(E973),MONTH(E973),1),Mes)/30  )  &gt;  0 , IF(F973,   DAYS360(DATE(YEAR(F973),MONTH(F973),1),Mes)/30  ,  DAYS360(DATE(YEAR(E973),MONTH(E973),1),Mes)/30) , 0)       )</f>
        <v>0</v>
      </c>
      <c r="L973" s="150">
        <f t="shared" si="253"/>
        <v>0</v>
      </c>
      <c r="M973" s="151"/>
      <c r="N973" s="152">
        <f>IF( ISERROR(OFFSET(SECUESTRADOS!D$1,MATCH(B973,SECUESTRADOS!A$2:A1405,0),0)) ,0 ,  OFFSET(SECUESTRADOS!D$1,MATCH(B973,SECUESTRADOS!A$2:A1405,0),0)  )</f>
        <v>0</v>
      </c>
      <c r="O973" s="153"/>
      <c r="P973" s="154" t="str">
        <f t="shared" si="238"/>
        <v>Bono canon</v>
      </c>
      <c r="Q973" s="154" t="str">
        <f t="shared" si="301"/>
        <v>#REF!</v>
      </c>
      <c r="R973" s="130"/>
      <c r="S973" s="130"/>
      <c r="T973" s="130"/>
    </row>
    <row r="974">
      <c r="A974" s="155" t="s">
        <v>71</v>
      </c>
      <c r="B974" s="142">
        <v>2183.0</v>
      </c>
      <c r="C974" s="143">
        <v>2183.0</v>
      </c>
      <c r="D974" s="144" t="str">
        <f>IF(   ISERROR(OFFSET(PADRON!B$2,MATCH(C:C,PADRON!A$2:A1405,0)-1,0,1,1) )  ,  ,    OFFSET(PADRON!B$2,MATCH(C:C,PADRON!A$2:A1405,0)-1,0,1,1))</f>
        <v>KARAKACHOFF, MARIA AGUSTINA</v>
      </c>
      <c r="E974" s="145">
        <v>45839.0</v>
      </c>
      <c r="F974" s="145">
        <v>45870.0</v>
      </c>
      <c r="G974" s="146" t="s">
        <v>39</v>
      </c>
      <c r="H974" s="147">
        <f>IF( ISERROR( OFFSET(   'Cuadro tarifario'!D$2  , MATCH(CONCATENATE(                 IF(F974&gt;Mes,OFFSET(NroCT!B$17, MATCH($F974,NroCT!$A$18:$A1405,0),0,1,1),Periodovigente)                                                                                                                     ,A974) ,'Cuadro tarifario'!A$2:A1405,0) -1 , 0 , 1 , 1) )   , 0  ,   OFFSET(   'Cuadro tarifario'!D$2  , MATCH(CONCATENATE( IF(F974&gt;Mes,OFFSET(NroCT!B$17, MATCH($F974,NroCT!$A$18:$A1405,0),0,1,1),Periodovigente) ,A974) ,'Cuadro tarifario'!A$2:A1405,0) -1 , 0 , 1 , 1))</f>
        <v>11000</v>
      </c>
      <c r="I974" s="148">
        <f t="shared" si="252"/>
        <v>1</v>
      </c>
      <c r="J974" s="147">
        <f t="shared" si="235"/>
        <v>11000</v>
      </c>
      <c r="K974" s="149">
        <f>IF(  AND(N974&gt;0,I974=0)          ,N974 ,                         IF(  IF( F974 ,  DAYS360(DATE(YEAR(F974),MONTH(F974),1),Mes)/30  ,  DAYS360(DATE(YEAR(E974),MONTH(E974),1),Mes)/30  )  &gt;  0 , IF(F974,   DAYS360(DATE(YEAR(F974),MONTH(F974),1),Mes)/30  ,  DAYS360(DATE(YEAR(E974),MONTH(E974),1),Mes)/30) , 0)       )</f>
        <v>0</v>
      </c>
      <c r="L974" s="150">
        <f t="shared" si="253"/>
        <v>0</v>
      </c>
      <c r="M974" s="151"/>
      <c r="N974" s="152">
        <f>IF( ISERROR(OFFSET(SECUESTRADOS!D$1,MATCH(B974,SECUESTRADOS!A$2:A1405,0),0)) ,0 ,  OFFSET(SECUESTRADOS!D$1,MATCH(B974,SECUESTRADOS!A$2:A1405,0),0)  )</f>
        <v>0</v>
      </c>
      <c r="O974" s="153"/>
      <c r="P974" s="154" t="str">
        <f t="shared" si="238"/>
        <v>.socio</v>
      </c>
      <c r="Q974" s="154" t="str">
        <f t="shared" si="301"/>
        <v>#REF!</v>
      </c>
      <c r="R974" s="130"/>
      <c r="S974" s="130"/>
      <c r="T974" s="130"/>
    </row>
    <row r="975">
      <c r="A975" s="155" t="s">
        <v>38</v>
      </c>
      <c r="B975" s="142">
        <v>2183.0</v>
      </c>
      <c r="C975" s="143">
        <v>2183.0</v>
      </c>
      <c r="D975" s="144" t="str">
        <f>IF(   ISERROR(OFFSET(PADRON!B$2,MATCH(C:C,PADRON!A$2:A1405,0)-1,0,1,1) )  ,  ,    OFFSET(PADRON!B$2,MATCH(C:C,PADRON!A$2:A1405,0)-1,0,1,1))</f>
        <v>KARAKACHOFF, MARIA AGUSTINA</v>
      </c>
      <c r="E975" s="145">
        <v>45839.0</v>
      </c>
      <c r="F975" s="145">
        <v>45870.0</v>
      </c>
      <c r="G975" s="146" t="s">
        <v>39</v>
      </c>
      <c r="H975" s="147">
        <f>IF( ISERROR( OFFSET(   'Cuadro tarifario'!D$2  , MATCH(CONCATENATE(                 IF(F975&gt;Mes,OFFSET(NroCT!B$17, MATCH($F975,NroCT!$A$18:$A1405,0),0,1,1),Periodovigente)                                                                                                                     ,A975) ,'Cuadro tarifario'!A$2:A1405,0) -1 , 0 , 1 , 1) )   , 0  ,   OFFSET(   'Cuadro tarifario'!D$2  , MATCH(CONCATENATE( IF(F975&gt;Mes,OFFSET(NroCT!B$17, MATCH($F975,NroCT!$A$18:$A1405,0),0,1,1),Periodovigente) ,A975) ,'Cuadro tarifario'!A$2:A1405,0) -1 , 0 , 1 , 1))</f>
        <v>9000</v>
      </c>
      <c r="I975" s="148">
        <f t="shared" si="252"/>
        <v>1</v>
      </c>
      <c r="J975" s="147">
        <f t="shared" si="235"/>
        <v>9000</v>
      </c>
      <c r="K975" s="149">
        <f>IF(  AND(N975&gt;0,I975=0)          ,N975 ,                         IF(  IF( F975 ,  DAYS360(DATE(YEAR(F975),MONTH(F975),1),Mes)/30  ,  DAYS360(DATE(YEAR(E975),MONTH(E975),1),Mes)/30  )  &gt;  0 , IF(F975,   DAYS360(DATE(YEAR(F975),MONTH(F975),1),Mes)/30  ,  DAYS360(DATE(YEAR(E975),MONTH(E975),1),Mes)/30) , 0)       )</f>
        <v>0</v>
      </c>
      <c r="L975" s="150">
        <f t="shared" si="253"/>
        <v>0</v>
      </c>
      <c r="M975" s="151"/>
      <c r="N975" s="152">
        <f>IF( ISERROR(OFFSET(SECUESTRADOS!D$1,MATCH(B975,SECUESTRADOS!A$2:A1405,0),0)) ,0 ,  OFFSET(SECUESTRADOS!D$1,MATCH(B975,SECUESTRADOS!A$2:A1405,0),0)  )</f>
        <v>0</v>
      </c>
      <c r="O975" s="153"/>
      <c r="P975" s="154" t="str">
        <f t="shared" si="238"/>
        <v>Bono canon</v>
      </c>
      <c r="Q975" s="154" t="str">
        <f t="shared" si="301"/>
        <v>#REF!</v>
      </c>
      <c r="R975" s="130"/>
      <c r="S975" s="130"/>
      <c r="T975" s="130"/>
    </row>
    <row r="976">
      <c r="A976" s="155" t="s">
        <v>71</v>
      </c>
      <c r="B976" s="142">
        <v>2188.0</v>
      </c>
      <c r="C976" s="143">
        <v>2188.0</v>
      </c>
      <c r="D976" s="144" t="str">
        <f>IF(   ISERROR(OFFSET(PADRON!B$2,MATCH(C:C,PADRON!A$2:A1405,0)-1,0,1,1) )  ,  ,    OFFSET(PADRON!B$2,MATCH(C:C,PADRON!A$2:A1405,0)-1,0,1,1))</f>
        <v>GALVAN, MANUEL</v>
      </c>
      <c r="E976" s="145">
        <v>45901.0</v>
      </c>
      <c r="F976" s="145"/>
      <c r="G976" s="146" t="s">
        <v>39</v>
      </c>
      <c r="H976" s="147">
        <f>IF( ISERROR( OFFSET(   'Cuadro tarifario'!D$2  , MATCH(CONCATENATE(                 IF(F976&gt;Mes,OFFSET(NroCT!B$17, MATCH($F976,NroCT!$A$18:$A1405,0),0,1,1),Periodovigente)                                                                                                                     ,A976) ,'Cuadro tarifario'!A$2:A1405,0) -1 , 0 , 1 , 1) )   , 0  ,   OFFSET(   'Cuadro tarifario'!D$2  , MATCH(CONCATENATE( IF(F976&gt;Mes,OFFSET(NroCT!B$17, MATCH($F976,NroCT!$A$18:$A1405,0),0,1,1),Periodovigente) ,A976) ,'Cuadro tarifario'!A$2:A1405,0) -1 , 0 , 1 , 1))</f>
        <v>11000</v>
      </c>
      <c r="I976" s="148">
        <f t="shared" si="252"/>
        <v>0</v>
      </c>
      <c r="J976" s="147">
        <f t="shared" si="235"/>
        <v>0</v>
      </c>
      <c r="K976" s="149">
        <f>IF(  AND(N976&gt;0,I976=0)          ,N976 ,                         IF(  IF( F976 ,  DAYS360(DATE(YEAR(F976),MONTH(F976),1),Mes)/30  ,  DAYS360(DATE(YEAR(E976),MONTH(E976),1),Mes)/30  )  &gt;  0 , IF(F976,   DAYS360(DATE(YEAR(F976),MONTH(F976),1),Mes)/30  ,  DAYS360(DATE(YEAR(E976),MONTH(E976),1),Mes)/30) , 0)       )</f>
        <v>0</v>
      </c>
      <c r="L976" s="150">
        <f t="shared" si="253"/>
        <v>0</v>
      </c>
      <c r="M976" s="151"/>
      <c r="N976" s="152">
        <f>IF( ISERROR(OFFSET(SECUESTRADOS!D$1,MATCH(B976,SECUESTRADOS!A$2:A1405,0),0)) ,0 ,  OFFSET(SECUESTRADOS!D$1,MATCH(B976,SECUESTRADOS!A$2:A1405,0),0)  )</f>
        <v>0</v>
      </c>
      <c r="O976" s="153"/>
      <c r="P976" s="154" t="b">
        <f t="shared" si="238"/>
        <v>0</v>
      </c>
      <c r="Q976" s="154" t="str">
        <f t="shared" si="301"/>
        <v>#REF!</v>
      </c>
      <c r="R976" s="130"/>
      <c r="S976" s="130"/>
      <c r="T976" s="130"/>
    </row>
    <row r="977">
      <c r="A977" s="155" t="s">
        <v>38</v>
      </c>
      <c r="B977" s="142">
        <v>2188.0</v>
      </c>
      <c r="C977" s="143">
        <v>2188.0</v>
      </c>
      <c r="D977" s="144" t="str">
        <f>IF(   ISERROR(OFFSET(PADRON!B$2,MATCH(C:C,PADRON!A$2:A1405,0)-1,0,1,1) )  ,  ,    OFFSET(PADRON!B$2,MATCH(C:C,PADRON!A$2:A1405,0)-1,0,1,1))</f>
        <v>GALVAN, MANUEL</v>
      </c>
      <c r="E977" s="145">
        <v>45901.0</v>
      </c>
      <c r="F977" s="145"/>
      <c r="G977" s="146" t="s">
        <v>39</v>
      </c>
      <c r="H977" s="147">
        <f>IF( ISERROR( OFFSET(   'Cuadro tarifario'!D$2  , MATCH(CONCATENATE(                 IF(F977&gt;Mes,OFFSET(NroCT!B$17, MATCH($F977,NroCT!$A$18:$A1405,0),0,1,1),Periodovigente)                                                                                                                     ,A977) ,'Cuadro tarifario'!A$2:A1405,0) -1 , 0 , 1 , 1) )   , 0  ,   OFFSET(   'Cuadro tarifario'!D$2  , MATCH(CONCATENATE( IF(F977&gt;Mes,OFFSET(NroCT!B$17, MATCH($F977,NroCT!$A$18:$A1405,0),0,1,1),Periodovigente) ,A977) ,'Cuadro tarifario'!A$2:A1405,0) -1 , 0 , 1 , 1))</f>
        <v>9000</v>
      </c>
      <c r="I977" s="148">
        <f t="shared" si="252"/>
        <v>0</v>
      </c>
      <c r="J977" s="147">
        <f t="shared" si="235"/>
        <v>0</v>
      </c>
      <c r="K977" s="149">
        <f>IF(  AND(N977&gt;0,I977=0)          ,N977 ,                         IF(  IF( F977 ,  DAYS360(DATE(YEAR(F977),MONTH(F977),1),Mes)/30  ,  DAYS360(DATE(YEAR(E977),MONTH(E977),1),Mes)/30  )  &gt;  0 , IF(F977,   DAYS360(DATE(YEAR(F977),MONTH(F977),1),Mes)/30  ,  DAYS360(DATE(YEAR(E977),MONTH(E977),1),Mes)/30) , 0)       )</f>
        <v>0</v>
      </c>
      <c r="L977" s="150">
        <f t="shared" si="253"/>
        <v>0</v>
      </c>
      <c r="M977" s="160"/>
      <c r="N977" s="152">
        <f>IF( ISERROR(OFFSET(SECUESTRADOS!D$1,MATCH(B977,SECUESTRADOS!A$2:A1405,0),0)) ,0 ,  OFFSET(SECUESTRADOS!D$1,MATCH(B977,SECUESTRADOS!A$2:A1405,0),0)  )</f>
        <v>0</v>
      </c>
      <c r="O977" s="153"/>
      <c r="P977" s="154" t="b">
        <f t="shared" si="238"/>
        <v>0</v>
      </c>
      <c r="Q977" s="154" t="str">
        <f t="shared" si="301"/>
        <v>#REF!</v>
      </c>
      <c r="R977" s="130"/>
      <c r="S977" s="130"/>
      <c r="T977" s="130"/>
    </row>
    <row r="978">
      <c r="A978" s="155" t="s">
        <v>82</v>
      </c>
      <c r="B978" s="142" t="s">
        <v>413</v>
      </c>
      <c r="C978" s="143">
        <v>2188.0</v>
      </c>
      <c r="D978" s="144" t="str">
        <f>IF(   ISERROR(OFFSET(PADRON!B$2,MATCH(C:C,PADRON!A$2:A1405,0)-1,0,1,1) )  ,  ,    OFFSET(PADRON!B$2,MATCH(C:C,PADRON!A$2:A1405,0)-1,0,1,1))</f>
        <v>GALVAN, MANUEL</v>
      </c>
      <c r="E978" s="145">
        <v>45901.0</v>
      </c>
      <c r="F978" s="145"/>
      <c r="G978" s="146" t="s">
        <v>39</v>
      </c>
      <c r="H978" s="147">
        <f>IF( ISERROR( OFFSET(   'Cuadro tarifario'!D$2  , MATCH(CONCATENATE(                 IF(F978&gt;Mes,OFFSET(NroCT!B$17, MATCH($F978,NroCT!$A$18:$A1405,0),0,1,1),Periodovigente)                                                                                                                     ,A978) ,'Cuadro tarifario'!A$2:A1405,0) -1 , 0 , 1 , 1) )   , 0  ,   OFFSET(   'Cuadro tarifario'!D$2  , MATCH(CONCATENATE( IF(F978&gt;Mes,OFFSET(NroCT!B$17, MATCH($F978,NroCT!$A$18:$A1405,0),0,1,1),Periodovigente) ,A978) ,'Cuadro tarifario'!A$2:A1405,0) -1 , 0 , 1 , 1))</f>
        <v>12000</v>
      </c>
      <c r="I978" s="148">
        <f t="shared" si="252"/>
        <v>0</v>
      </c>
      <c r="J978" s="147">
        <f t="shared" si="235"/>
        <v>0</v>
      </c>
      <c r="K978" s="149">
        <f>IF(  AND(N978&gt;0,I978=0)          ,N978 ,                         IF(  IF( F978 ,  DAYS360(DATE(YEAR(F978),MONTH(F978),1),Mes)/30  ,  DAYS360(DATE(YEAR(E978),MONTH(E978),1),Mes)/30  )  &gt;  0 , IF(F978,   DAYS360(DATE(YEAR(F978),MONTH(F978),1),Mes)/30  ,  DAYS360(DATE(YEAR(E978),MONTH(E978),1),Mes)/30) , 0)       )</f>
        <v>0</v>
      </c>
      <c r="L978" s="150">
        <f t="shared" si="253"/>
        <v>0</v>
      </c>
      <c r="M978" s="151"/>
      <c r="N978" s="152">
        <f>IF( ISERROR(OFFSET(SECUESTRADOS!D$1,MATCH(B978,SECUESTRADOS!A$2:A1405,0),0)) ,0 ,  OFFSET(SECUESTRADOS!D$1,MATCH(B978,SECUESTRADOS!A$2:A1405,0),0)  )</f>
        <v>0</v>
      </c>
      <c r="O978" s="153"/>
      <c r="P978" s="154" t="b">
        <f t="shared" si="238"/>
        <v>0</v>
      </c>
      <c r="Q978" s="154" t="str">
        <f t="shared" si="301"/>
        <v>#REF!</v>
      </c>
      <c r="R978" s="130"/>
      <c r="S978" s="130"/>
      <c r="T978" s="130"/>
    </row>
    <row r="979">
      <c r="A979" s="155" t="s">
        <v>71</v>
      </c>
      <c r="B979" s="142">
        <v>2191.0</v>
      </c>
      <c r="C979" s="143">
        <v>2191.0</v>
      </c>
      <c r="D979" s="144" t="str">
        <f>IF(   ISERROR(OFFSET(PADRON!B$2,MATCH(C:C,PADRON!A$2:A1405,0)-1,0,1,1) )  ,  ,    OFFSET(PADRON!B$2,MATCH(C:C,PADRON!A$2:A1405,0)-1,0,1,1))</f>
        <v>ARAMBURU,MELINA</v>
      </c>
      <c r="E979" s="145">
        <v>45839.0</v>
      </c>
      <c r="F979" s="145">
        <v>45901.0</v>
      </c>
      <c r="G979" s="146" t="s">
        <v>39</v>
      </c>
      <c r="H979" s="147">
        <f>IF( ISERROR( OFFSET(   'Cuadro tarifario'!D$2  , MATCH(CONCATENATE(                 IF(F979&gt;Mes,OFFSET(NroCT!B$17, MATCH($F979,NroCT!$A$18:$A1405,0),0,1,1),Periodovigente)                                                                                                                     ,A979) ,'Cuadro tarifario'!A$2:A1405,0) -1 , 0 , 1 , 1) )   , 0  ,   OFFSET(   'Cuadro tarifario'!D$2  , MATCH(CONCATENATE( IF(F979&gt;Mes,OFFSET(NroCT!B$17, MATCH($F979,NroCT!$A$18:$A1405,0),0,1,1),Periodovigente) ,A979) ,'Cuadro tarifario'!A$2:A1405,0) -1 , 0 , 1 , 1))</f>
        <v>11000</v>
      </c>
      <c r="I979" s="148">
        <f t="shared" si="252"/>
        <v>2</v>
      </c>
      <c r="J979" s="147">
        <f t="shared" si="235"/>
        <v>22000</v>
      </c>
      <c r="K979" s="149">
        <f>IF(  AND(N979&gt;0,I979=0)          ,N979 ,                         IF(  IF( F979 ,  DAYS360(DATE(YEAR(F979),MONTH(F979),1),Mes)/30  ,  DAYS360(DATE(YEAR(E979),MONTH(E979),1),Mes)/30  )  &gt;  0 , IF(F979,   DAYS360(DATE(YEAR(F979),MONTH(F979),1),Mes)/30  ,  DAYS360(DATE(YEAR(E979),MONTH(E979),1),Mes)/30) , 0)       )</f>
        <v>0</v>
      </c>
      <c r="L979" s="150">
        <f t="shared" si="253"/>
        <v>0</v>
      </c>
      <c r="M979" s="156" t="s">
        <v>312</v>
      </c>
      <c r="N979" s="152">
        <f>IF( ISERROR(OFFSET(SECUESTRADOS!D$1,MATCH(B979,SECUESTRADOS!A$2:A1405,0),0)) ,0 ,  OFFSET(SECUESTRADOS!D$1,MATCH(B979,SECUESTRADOS!A$2:A1405,0),0)  )</f>
        <v>0</v>
      </c>
      <c r="O979" s="153"/>
      <c r="P979" s="154" t="str">
        <f t="shared" si="238"/>
        <v>.socio</v>
      </c>
      <c r="Q979" s="154" t="str">
        <f t="shared" si="301"/>
        <v>#REF!</v>
      </c>
      <c r="R979" s="130"/>
      <c r="S979" s="130"/>
      <c r="T979" s="130"/>
    </row>
    <row r="980">
      <c r="A980" s="155" t="s">
        <v>38</v>
      </c>
      <c r="B980" s="142">
        <v>2191.0</v>
      </c>
      <c r="C980" s="143">
        <v>2191.0</v>
      </c>
      <c r="D980" s="144" t="str">
        <f>IF(   ISERROR(OFFSET(PADRON!B$2,MATCH(C:C,PADRON!A$2:A1405,0)-1,0,1,1) )  ,  ,    OFFSET(PADRON!B$2,MATCH(C:C,PADRON!A$2:A1405,0)-1,0,1,1))</f>
        <v>ARAMBURU,MELINA</v>
      </c>
      <c r="E980" s="145">
        <v>45839.0</v>
      </c>
      <c r="F980" s="145">
        <v>45901.0</v>
      </c>
      <c r="G980" s="146" t="s">
        <v>39</v>
      </c>
      <c r="H980" s="147">
        <f>IF( ISERROR( OFFSET(   'Cuadro tarifario'!D$2  , MATCH(CONCATENATE(                 IF(F980&gt;Mes,OFFSET(NroCT!B$17, MATCH($F980,NroCT!$A$18:$A1405,0),0,1,1),Periodovigente)                                                                                                                     ,A980) ,'Cuadro tarifario'!A$2:A1405,0) -1 , 0 , 1 , 1) )   , 0  ,   OFFSET(   'Cuadro tarifario'!D$2  , MATCH(CONCATENATE( IF(F980&gt;Mes,OFFSET(NroCT!B$17, MATCH($F980,NroCT!$A$18:$A1405,0),0,1,1),Periodovigente) ,A980) ,'Cuadro tarifario'!A$2:A1405,0) -1 , 0 , 1 , 1))</f>
        <v>9000</v>
      </c>
      <c r="I980" s="148">
        <f t="shared" si="252"/>
        <v>2</v>
      </c>
      <c r="J980" s="147">
        <f t="shared" si="235"/>
        <v>18000</v>
      </c>
      <c r="K980" s="149">
        <f>IF(  AND(N980&gt;0,I980=0)          ,N980 ,                         IF(  IF( F980 ,  DAYS360(DATE(YEAR(F980),MONTH(F980),1),Mes)/30  ,  DAYS360(DATE(YEAR(E980),MONTH(E980),1),Mes)/30  )  &gt;  0 , IF(F980,   DAYS360(DATE(YEAR(F980),MONTH(F980),1),Mes)/30  ,  DAYS360(DATE(YEAR(E980),MONTH(E980),1),Mes)/30) , 0)       )</f>
        <v>0</v>
      </c>
      <c r="L980" s="150">
        <f t="shared" si="253"/>
        <v>0</v>
      </c>
      <c r="M980" s="160"/>
      <c r="N980" s="152">
        <f>IF( ISERROR(OFFSET(SECUESTRADOS!D$1,MATCH(B980,SECUESTRADOS!A$2:A1405,0),0)) ,0 ,  OFFSET(SECUESTRADOS!D$1,MATCH(B980,SECUESTRADOS!A$2:A1405,0),0)  )</f>
        <v>0</v>
      </c>
      <c r="O980" s="153"/>
      <c r="P980" s="154" t="str">
        <f t="shared" si="238"/>
        <v>Bono canon</v>
      </c>
      <c r="Q980" s="154" t="str">
        <f t="shared" si="301"/>
        <v>#REF!</v>
      </c>
      <c r="R980" s="130"/>
      <c r="S980" s="130"/>
      <c r="T980" s="130"/>
    </row>
    <row r="981">
      <c r="A981" s="155" t="s">
        <v>40</v>
      </c>
      <c r="B981" s="142" t="s">
        <v>414</v>
      </c>
      <c r="C981" s="143">
        <v>2191.0</v>
      </c>
      <c r="D981" s="144" t="str">
        <f>IF(   ISERROR(OFFSET(PADRON!B$2,MATCH(C:C,PADRON!A$2:A1405,0)-1,0,1,1) )  ,  ,    OFFSET(PADRON!B$2,MATCH(C:C,PADRON!A$2:A1405,0)-1,0,1,1))</f>
        <v>ARAMBURU,MELINA</v>
      </c>
      <c r="E981" s="145">
        <v>45839.0</v>
      </c>
      <c r="F981" s="145">
        <v>45901.0</v>
      </c>
      <c r="G981" s="146" t="s">
        <v>39</v>
      </c>
      <c r="H981" s="147">
        <f>IF( ISERROR( OFFSET(   'Cuadro tarifario'!D$2  , MATCH(CONCATENATE(                 IF(F981&gt;Mes,OFFSET(NroCT!B$17, MATCH($F981,NroCT!$A$18:$A1405,0),0,1,1),Periodovigente)                                                                                                                     ,A981) ,'Cuadro tarifario'!A$2:A1405,0) -1 , 0 , 1 , 1) )   , 0  ,   OFFSET(   'Cuadro tarifario'!D$2  , MATCH(CONCATENATE( IF(F981&gt;Mes,OFFSET(NroCT!B$17, MATCH($F981,NroCT!$A$18:$A1405,0),0,1,1),Periodovigente) ,A981) ,'Cuadro tarifario'!A$2:A1405,0) -1 , 0 , 1 , 1))</f>
        <v>12000</v>
      </c>
      <c r="I981" s="148">
        <f t="shared" si="252"/>
        <v>2</v>
      </c>
      <c r="J981" s="147">
        <f t="shared" si="235"/>
        <v>24000</v>
      </c>
      <c r="K981" s="149">
        <f>IF(  AND(N981&gt;0,I981=0)          ,N981 ,                         IF(  IF( F981 ,  DAYS360(DATE(YEAR(F981),MONTH(F981),1),Mes)/30  ,  DAYS360(DATE(YEAR(E981),MONTH(E981),1),Mes)/30  )  &gt;  0 , IF(F981,   DAYS360(DATE(YEAR(F981),MONTH(F981),1),Mes)/30  ,  DAYS360(DATE(YEAR(E981),MONTH(E981),1),Mes)/30) , 0)       )</f>
        <v>0</v>
      </c>
      <c r="L981" s="150">
        <f t="shared" si="253"/>
        <v>0</v>
      </c>
      <c r="M981" s="160"/>
      <c r="N981" s="152">
        <f>IF( ISERROR(OFFSET(SECUESTRADOS!D$1,MATCH(B981,SECUESTRADOS!A$2:A1405,0),0)) ,0 ,  OFFSET(SECUESTRADOS!D$1,MATCH(B981,SECUESTRADOS!A$2:A1405,0),0)  )</f>
        <v>0</v>
      </c>
      <c r="O981" s="153"/>
      <c r="P981" s="154" t="str">
        <f t="shared" si="238"/>
        <v>cuna windsurf</v>
      </c>
      <c r="Q981" s="154" t="str">
        <f t="shared" si="301"/>
        <v>#REF!</v>
      </c>
      <c r="R981" s="130"/>
      <c r="S981" s="130"/>
      <c r="T981" s="130"/>
    </row>
    <row r="982">
      <c r="A982" s="155" t="s">
        <v>71</v>
      </c>
      <c r="B982" s="142">
        <v>2198.0</v>
      </c>
      <c r="C982" s="143">
        <v>2198.0</v>
      </c>
      <c r="D982" s="144" t="str">
        <f>IF(   ISERROR(OFFSET(PADRON!B$2,MATCH(C:C,PADRON!A$2:A1405,0)-1,0,1,1) )  ,  ,    OFFSET(PADRON!B$2,MATCH(C:C,PADRON!A$2:A1405,0)-1,0,1,1))</f>
        <v>GUERRERO, M. LUZ</v>
      </c>
      <c r="E982" s="145">
        <v>45839.0</v>
      </c>
      <c r="F982" s="145">
        <v>45870.0</v>
      </c>
      <c r="G982" s="146" t="s">
        <v>39</v>
      </c>
      <c r="H982" s="147">
        <f>IF( ISERROR( OFFSET(   'Cuadro tarifario'!D$2  , MATCH(CONCATENATE(                 IF(F982&gt;Mes,OFFSET(NroCT!B$17, MATCH($F982,NroCT!$A$18:$A1405,0),0,1,1),Periodovigente)                                                                                                                     ,A982) ,'Cuadro tarifario'!A$2:A1405,0) -1 , 0 , 1 , 1) )   , 0  ,   OFFSET(   'Cuadro tarifario'!D$2  , MATCH(CONCATENATE( IF(F982&gt;Mes,OFFSET(NroCT!B$17, MATCH($F982,NroCT!$A$18:$A1405,0),0,1,1),Periodovigente) ,A982) ,'Cuadro tarifario'!A$2:A1405,0) -1 , 0 , 1 , 1))</f>
        <v>11000</v>
      </c>
      <c r="I982" s="148">
        <f t="shared" si="252"/>
        <v>1</v>
      </c>
      <c r="J982" s="147">
        <f t="shared" si="235"/>
        <v>11000</v>
      </c>
      <c r="K982" s="149">
        <f>IF(  AND(N982&gt;0,I982=0)          ,N982 ,                         IF(  IF( F982 ,  DAYS360(DATE(YEAR(F982),MONTH(F982),1),Mes)/30  ,  DAYS360(DATE(YEAR(E982),MONTH(E982),1),Mes)/30  )  &gt;  0 , IF(F982,   DAYS360(DATE(YEAR(F982),MONTH(F982),1),Mes)/30  ,  DAYS360(DATE(YEAR(E982),MONTH(E982),1),Mes)/30) , 0)       )</f>
        <v>0</v>
      </c>
      <c r="L982" s="150">
        <f t="shared" si="253"/>
        <v>0</v>
      </c>
      <c r="M982" s="156" t="s">
        <v>312</v>
      </c>
      <c r="N982" s="152">
        <f>IF( ISERROR(OFFSET(SECUESTRADOS!D$1,MATCH(B982,SECUESTRADOS!A$2:A1405,0),0)) ,0 ,  OFFSET(SECUESTRADOS!D$1,MATCH(B982,SECUESTRADOS!A$2:A1405,0),0)  )</f>
        <v>0</v>
      </c>
      <c r="O982" s="153"/>
      <c r="P982" s="154" t="str">
        <f t="shared" si="238"/>
        <v>.socio</v>
      </c>
      <c r="Q982" s="154" t="str">
        <f t="shared" si="301"/>
        <v>#REF!</v>
      </c>
      <c r="R982" s="130"/>
      <c r="S982" s="130"/>
      <c r="T982" s="130"/>
    </row>
    <row r="983">
      <c r="A983" s="155" t="s">
        <v>38</v>
      </c>
      <c r="B983" s="142">
        <v>2198.0</v>
      </c>
      <c r="C983" s="143">
        <v>2198.0</v>
      </c>
      <c r="D983" s="144" t="str">
        <f>IF(   ISERROR(OFFSET(PADRON!B$2,MATCH(C:C,PADRON!A$2:A1405,0)-1,0,1,1) )  ,  ,    OFFSET(PADRON!B$2,MATCH(C:C,PADRON!A$2:A1405,0)-1,0,1,1))</f>
        <v>GUERRERO, M. LUZ</v>
      </c>
      <c r="E983" s="145">
        <v>45839.0</v>
      </c>
      <c r="F983" s="145">
        <v>45870.0</v>
      </c>
      <c r="G983" s="146" t="s">
        <v>39</v>
      </c>
      <c r="H983" s="147">
        <f>IF( ISERROR( OFFSET(   'Cuadro tarifario'!D$2  , MATCH(CONCATENATE(                 IF(F983&gt;Mes,OFFSET(NroCT!B$17, MATCH($F983,NroCT!$A$18:$A1405,0),0,1,1),Periodovigente)                                                                                                                     ,A983) ,'Cuadro tarifario'!A$2:A1405,0) -1 , 0 , 1 , 1) )   , 0  ,   OFFSET(   'Cuadro tarifario'!D$2  , MATCH(CONCATENATE( IF(F983&gt;Mes,OFFSET(NroCT!B$17, MATCH($F983,NroCT!$A$18:$A1405,0),0,1,1),Periodovigente) ,A983) ,'Cuadro tarifario'!A$2:A1405,0) -1 , 0 , 1 , 1))</f>
        <v>9000</v>
      </c>
      <c r="I983" s="148">
        <f t="shared" si="252"/>
        <v>1</v>
      </c>
      <c r="J983" s="147">
        <f t="shared" si="235"/>
        <v>9000</v>
      </c>
      <c r="K983" s="149">
        <f>IF(  AND(N983&gt;0,I983=0)          ,N983 ,                         IF(  IF( F983 ,  DAYS360(DATE(YEAR(F983),MONTH(F983),1),Mes)/30  ,  DAYS360(DATE(YEAR(E983),MONTH(E983),1),Mes)/30  )  &gt;  0 , IF(F983,   DAYS360(DATE(YEAR(F983),MONTH(F983),1),Mes)/30  ,  DAYS360(DATE(YEAR(E983),MONTH(E983),1),Mes)/30) , 0)       )</f>
        <v>0</v>
      </c>
      <c r="L983" s="150">
        <f t="shared" si="253"/>
        <v>0</v>
      </c>
      <c r="M983" s="160"/>
      <c r="N983" s="152">
        <f>IF( ISERROR(OFFSET(SECUESTRADOS!D$1,MATCH(B983,SECUESTRADOS!A$2:A1405,0),0)) ,0 ,  OFFSET(SECUESTRADOS!D$1,MATCH(B983,SECUESTRADOS!A$2:A1405,0),0)  )</f>
        <v>0</v>
      </c>
      <c r="O983" s="153"/>
      <c r="P983" s="154" t="str">
        <f t="shared" si="238"/>
        <v>Bono canon</v>
      </c>
      <c r="Q983" s="154" t="str">
        <f t="shared" si="301"/>
        <v>#REF!</v>
      </c>
      <c r="R983" s="130"/>
      <c r="S983" s="130"/>
      <c r="T983" s="130"/>
    </row>
    <row r="984">
      <c r="A984" s="155" t="s">
        <v>71</v>
      </c>
      <c r="B984" s="142">
        <v>2200.0</v>
      </c>
      <c r="C984" s="143">
        <v>2200.0</v>
      </c>
      <c r="D984" s="144" t="str">
        <f>IF(   ISERROR(OFFSET(PADRON!B$2,MATCH(C:C,PADRON!A$2:A1405,0)-1,0,1,1) )  ,  ,    OFFSET(PADRON!B$2,MATCH(C:C,PADRON!A$2:A1405,0)-1,0,1,1))</f>
        <v>RADI ,NORA EDITH</v>
      </c>
      <c r="E984" s="145">
        <v>45839.0</v>
      </c>
      <c r="F984" s="145">
        <v>45870.0</v>
      </c>
      <c r="G984" s="146" t="s">
        <v>39</v>
      </c>
      <c r="H984" s="147">
        <f>IF( ISERROR( OFFSET(   'Cuadro tarifario'!D$2  , MATCH(CONCATENATE(                 IF(F984&gt;Mes,OFFSET(NroCT!B$17, MATCH($F984,NroCT!$A$18:$A1405,0),0,1,1),Periodovigente)                                                                                                                     ,A984) ,'Cuadro tarifario'!A$2:A1405,0) -1 , 0 , 1 , 1) )   , 0  ,   OFFSET(   'Cuadro tarifario'!D$2  , MATCH(CONCATENATE( IF(F984&gt;Mes,OFFSET(NroCT!B$17, MATCH($F984,NroCT!$A$18:$A1405,0),0,1,1),Periodovigente) ,A984) ,'Cuadro tarifario'!A$2:A1405,0) -1 , 0 , 1 , 1))</f>
        <v>11000</v>
      </c>
      <c r="I984" s="148">
        <f t="shared" si="252"/>
        <v>1</v>
      </c>
      <c r="J984" s="147">
        <f t="shared" si="235"/>
        <v>11000</v>
      </c>
      <c r="K984" s="149">
        <f>IF(  AND(N984&gt;0,I984=0)          ,N984 ,                         IF(  IF( F984 ,  DAYS360(DATE(YEAR(F984),MONTH(F984),1),Mes)/30  ,  DAYS360(DATE(YEAR(E984),MONTH(E984),1),Mes)/30  )  &gt;  0 , IF(F984,   DAYS360(DATE(YEAR(F984),MONTH(F984),1),Mes)/30  ,  DAYS360(DATE(YEAR(E984),MONTH(E984),1),Mes)/30) , 0)       )</f>
        <v>0</v>
      </c>
      <c r="L984" s="150">
        <f t="shared" si="253"/>
        <v>0</v>
      </c>
      <c r="M984" s="156" t="s">
        <v>312</v>
      </c>
      <c r="N984" s="152">
        <f>IF( ISERROR(OFFSET(SECUESTRADOS!D$1,MATCH(B984,SECUESTRADOS!A$2:A1405,0),0)) ,0 ,  OFFSET(SECUESTRADOS!D$1,MATCH(B984,SECUESTRADOS!A$2:A1405,0),0)  )</f>
        <v>0</v>
      </c>
      <c r="O984" s="153"/>
      <c r="P984" s="154" t="str">
        <f t="shared" si="238"/>
        <v>.socio</v>
      </c>
      <c r="Q984" s="154" t="str">
        <f t="shared" si="301"/>
        <v>#REF!</v>
      </c>
      <c r="R984" s="130"/>
      <c r="S984" s="130"/>
      <c r="T984" s="130"/>
    </row>
    <row r="985">
      <c r="A985" s="155" t="s">
        <v>38</v>
      </c>
      <c r="B985" s="142">
        <v>2200.0</v>
      </c>
      <c r="C985" s="143">
        <v>2200.0</v>
      </c>
      <c r="D985" s="144" t="str">
        <f>IF(   ISERROR(OFFSET(PADRON!B$2,MATCH(C:C,PADRON!A$2:A1405,0)-1,0,1,1) )  ,  ,    OFFSET(PADRON!B$2,MATCH(C:C,PADRON!A$2:A1405,0)-1,0,1,1))</f>
        <v>RADI ,NORA EDITH</v>
      </c>
      <c r="E985" s="145">
        <v>45839.0</v>
      </c>
      <c r="F985" s="145">
        <v>45870.0</v>
      </c>
      <c r="G985" s="146" t="s">
        <v>39</v>
      </c>
      <c r="H985" s="147">
        <f>IF( ISERROR( OFFSET(   'Cuadro tarifario'!D$2  , MATCH(CONCATENATE(                 IF(F985&gt;Mes,OFFSET(NroCT!B$17, MATCH($F985,NroCT!$A$18:$A1405,0),0,1,1),Periodovigente)                                                                                                                     ,A985) ,'Cuadro tarifario'!A$2:A1405,0) -1 , 0 , 1 , 1) )   , 0  ,   OFFSET(   'Cuadro tarifario'!D$2  , MATCH(CONCATENATE( IF(F985&gt;Mes,OFFSET(NroCT!B$17, MATCH($F985,NroCT!$A$18:$A1405,0),0,1,1),Periodovigente) ,A985) ,'Cuadro tarifario'!A$2:A1405,0) -1 , 0 , 1 , 1))</f>
        <v>9000</v>
      </c>
      <c r="I985" s="148">
        <f t="shared" si="252"/>
        <v>1</v>
      </c>
      <c r="J985" s="147">
        <f t="shared" si="235"/>
        <v>9000</v>
      </c>
      <c r="K985" s="149">
        <f>IF(  AND(N985&gt;0,I985=0)          ,N985 ,                         IF(  IF( F985 ,  DAYS360(DATE(YEAR(F985),MONTH(F985),1),Mes)/30  ,  DAYS360(DATE(YEAR(E985),MONTH(E985),1),Mes)/30  )  &gt;  0 , IF(F985,   DAYS360(DATE(YEAR(F985),MONTH(F985),1),Mes)/30  ,  DAYS360(DATE(YEAR(E985),MONTH(E985),1),Mes)/30) , 0)       )</f>
        <v>0</v>
      </c>
      <c r="L985" s="150">
        <f t="shared" si="253"/>
        <v>0</v>
      </c>
      <c r="M985" s="160"/>
      <c r="N985" s="152">
        <f>IF( ISERROR(OFFSET(SECUESTRADOS!D$1,MATCH(B985,SECUESTRADOS!A$2:A1405,0),0)) ,0 ,  OFFSET(SECUESTRADOS!D$1,MATCH(B985,SECUESTRADOS!A$2:A1405,0),0)  )</f>
        <v>0</v>
      </c>
      <c r="O985" s="153"/>
      <c r="P985" s="154" t="str">
        <f t="shared" si="238"/>
        <v>Bono canon</v>
      </c>
      <c r="Q985" s="154" t="str">
        <f t="shared" si="301"/>
        <v>#REF!</v>
      </c>
      <c r="R985" s="130"/>
      <c r="S985" s="130"/>
      <c r="T985" s="130"/>
    </row>
    <row r="986">
      <c r="A986" s="155" t="s">
        <v>82</v>
      </c>
      <c r="B986" s="142" t="s">
        <v>415</v>
      </c>
      <c r="C986" s="143">
        <v>2200.0</v>
      </c>
      <c r="D986" s="144" t="str">
        <f>IF(   ISERROR(OFFSET(PADRON!B$2,MATCH(C:C,PADRON!A$2:A1405,0)-1,0,1,1) )  ,  ,    OFFSET(PADRON!B$2,MATCH(C:C,PADRON!A$2:A1405,0)-1,0,1,1))</f>
        <v>RADI ,NORA EDITH</v>
      </c>
      <c r="E986" s="145">
        <v>45839.0</v>
      </c>
      <c r="F986" s="145">
        <v>45870.0</v>
      </c>
      <c r="G986" s="146" t="s">
        <v>39</v>
      </c>
      <c r="H986" s="147">
        <f>IF( ISERROR( OFFSET(   'Cuadro tarifario'!D$2  , MATCH(CONCATENATE(                 IF(F986&gt;Mes,OFFSET(NroCT!B$17, MATCH($F986,NroCT!$A$18:$A1405,0),0,1,1),Periodovigente)                                                                                                                     ,A986) ,'Cuadro tarifario'!A$2:A1405,0) -1 , 0 , 1 , 1) )   , 0  ,   OFFSET(   'Cuadro tarifario'!D$2  , MATCH(CONCATENATE( IF(F986&gt;Mes,OFFSET(NroCT!B$17, MATCH($F986,NroCT!$A$18:$A1405,0),0,1,1),Periodovigente) ,A986) ,'Cuadro tarifario'!A$2:A1405,0) -1 , 0 , 1 , 1))</f>
        <v>12000</v>
      </c>
      <c r="I986" s="148">
        <f t="shared" si="252"/>
        <v>1</v>
      </c>
      <c r="J986" s="147">
        <f t="shared" si="235"/>
        <v>12000</v>
      </c>
      <c r="K986" s="149">
        <f>IF(  AND(N986&gt;0,I986=0)          ,N986 ,                         IF(  IF( F986 ,  DAYS360(DATE(YEAR(F986),MONTH(F986),1),Mes)/30  ,  DAYS360(DATE(YEAR(E986),MONTH(E986),1),Mes)/30  )  &gt;  0 , IF(F986,   DAYS360(DATE(YEAR(F986),MONTH(F986),1),Mes)/30  ,  DAYS360(DATE(YEAR(E986),MONTH(E986),1),Mes)/30) , 0)       )</f>
        <v>0</v>
      </c>
      <c r="L986" s="150">
        <f t="shared" si="253"/>
        <v>0</v>
      </c>
      <c r="M986" s="160"/>
      <c r="N986" s="152">
        <f>IF( ISERROR(OFFSET(SECUESTRADOS!D$1,MATCH(B986,SECUESTRADOS!A$2:A1405,0),0)) ,0 ,  OFFSET(SECUESTRADOS!D$1,MATCH(B986,SECUESTRADOS!A$2:A1405,0),0)  )</f>
        <v>0</v>
      </c>
      <c r="O986" s="153"/>
      <c r="P986" s="154" t="str">
        <f t="shared" si="238"/>
        <v>cuna kayak</v>
      </c>
      <c r="Q986" s="154" t="str">
        <f t="shared" si="301"/>
        <v>#REF!</v>
      </c>
      <c r="R986" s="130"/>
      <c r="S986" s="130"/>
      <c r="T986" s="130"/>
    </row>
    <row r="987">
      <c r="A987" s="155" t="s">
        <v>38</v>
      </c>
      <c r="B987" s="142">
        <v>2201.0</v>
      </c>
      <c r="C987" s="143">
        <v>2201.0</v>
      </c>
      <c r="D987" s="144" t="str">
        <f>IF(   ISERROR(OFFSET(PADRON!B$2,MATCH(C:C,PADRON!A$2:A1405,0)-1,0,1,1) )  ,  ,    OFFSET(PADRON!B$2,MATCH(C:C,PADRON!A$2:A1405,0)-1,0,1,1))</f>
        <v>LOZANO, SILVINA</v>
      </c>
      <c r="E987" s="145">
        <v>45839.0</v>
      </c>
      <c r="F987" s="145">
        <v>45870.0</v>
      </c>
      <c r="G987" s="146" t="s">
        <v>39</v>
      </c>
      <c r="H987" s="147">
        <f>IF( ISERROR( OFFSET(   'Cuadro tarifario'!D$2  , MATCH(CONCATENATE(                 IF(F987&gt;Mes,OFFSET(NroCT!B$17, MATCH($F987,NroCT!$A$18:$A1405,0),0,1,1),Periodovigente)                                                                                                                     ,A987) ,'Cuadro tarifario'!A$2:A1405,0) -1 , 0 , 1 , 1) )   , 0  ,   OFFSET(   'Cuadro tarifario'!D$2  , MATCH(CONCATENATE( IF(F987&gt;Mes,OFFSET(NroCT!B$17, MATCH($F987,NroCT!$A$18:$A1405,0),0,1,1),Periodovigente) ,A987) ,'Cuadro tarifario'!A$2:A1405,0) -1 , 0 , 1 , 1))</f>
        <v>9000</v>
      </c>
      <c r="I987" s="148">
        <f t="shared" si="252"/>
        <v>1</v>
      </c>
      <c r="J987" s="147">
        <f t="shared" si="235"/>
        <v>9000</v>
      </c>
      <c r="K987" s="149">
        <f>IF(  AND(N987&gt;0,I987=0)          ,N987 ,                         IF(  IF( F987 ,  DAYS360(DATE(YEAR(F987),MONTH(F987),1),Mes)/30  ,  DAYS360(DATE(YEAR(E987),MONTH(E987),1),Mes)/30  )  &gt;  0 , IF(F987,   DAYS360(DATE(YEAR(F987),MONTH(F987),1),Mes)/30  ,  DAYS360(DATE(YEAR(E987),MONTH(E987),1),Mes)/30) , 0)       )</f>
        <v>0</v>
      </c>
      <c r="L987" s="150">
        <f t="shared" si="253"/>
        <v>0</v>
      </c>
      <c r="M987" s="160"/>
      <c r="N987" s="152">
        <f>IF( ISERROR(OFFSET(SECUESTRADOS!D$1,MATCH(B987,SECUESTRADOS!A$2:A1405,0),0)) ,0 ,  OFFSET(SECUESTRADOS!D$1,MATCH(B987,SECUESTRADOS!A$2:A1405,0),0)  )</f>
        <v>0</v>
      </c>
      <c r="O987" s="153"/>
      <c r="P987" s="154" t="str">
        <f t="shared" si="238"/>
        <v>Bono canon</v>
      </c>
      <c r="Q987" s="154" t="str">
        <f t="shared" si="301"/>
        <v>#REF!</v>
      </c>
      <c r="R987" s="130"/>
      <c r="S987" s="130"/>
      <c r="T987" s="130"/>
    </row>
    <row r="988">
      <c r="A988" s="155" t="s">
        <v>71</v>
      </c>
      <c r="B988" s="142">
        <v>2201.0</v>
      </c>
      <c r="C988" s="143">
        <v>2201.0</v>
      </c>
      <c r="D988" s="144" t="str">
        <f>IF(   ISERROR(OFFSET(PADRON!B$2,MATCH(C:C,PADRON!A$2:A1405,0)-1,0,1,1) )  ,  ,    OFFSET(PADRON!B$2,MATCH(C:C,PADRON!A$2:A1405,0)-1,0,1,1))</f>
        <v>LOZANO, SILVINA</v>
      </c>
      <c r="E988" s="145">
        <v>45839.0</v>
      </c>
      <c r="F988" s="145">
        <v>45870.0</v>
      </c>
      <c r="G988" s="146" t="s">
        <v>39</v>
      </c>
      <c r="H988" s="147">
        <f>IF( ISERROR( OFFSET(   'Cuadro tarifario'!D$2  , MATCH(CONCATENATE(                 IF(F988&gt;Mes,OFFSET(NroCT!B$17, MATCH($F988,NroCT!$A$18:$A1405,0),0,1,1),Periodovigente)                                                                                                                     ,A988) ,'Cuadro tarifario'!A$2:A1405,0) -1 , 0 , 1 , 1) )   , 0  ,   OFFSET(   'Cuadro tarifario'!D$2  , MATCH(CONCATENATE( IF(F988&gt;Mes,OFFSET(NroCT!B$17, MATCH($F988,NroCT!$A$18:$A1405,0),0,1,1),Periodovigente) ,A988) ,'Cuadro tarifario'!A$2:A1405,0) -1 , 0 , 1 , 1))</f>
        <v>11000</v>
      </c>
      <c r="I988" s="148">
        <f t="shared" si="252"/>
        <v>1</v>
      </c>
      <c r="J988" s="147">
        <f t="shared" si="235"/>
        <v>11000</v>
      </c>
      <c r="K988" s="149">
        <f>IF(  AND(N988&gt;0,I988=0)          ,N988 ,                         IF(  IF( F988 ,  DAYS360(DATE(YEAR(F988),MONTH(F988),1),Mes)/30  ,  DAYS360(DATE(YEAR(E988),MONTH(E988),1),Mes)/30  )  &gt;  0 , IF(F988,   DAYS360(DATE(YEAR(F988),MONTH(F988),1),Mes)/30  ,  DAYS360(DATE(YEAR(E988),MONTH(E988),1),Mes)/30) , 0)       )</f>
        <v>0</v>
      </c>
      <c r="L988" s="150">
        <f t="shared" si="253"/>
        <v>0</v>
      </c>
      <c r="M988" s="156"/>
      <c r="N988" s="152">
        <f>IF( ISERROR(OFFSET(SECUESTRADOS!D$1,MATCH(B988,SECUESTRADOS!A$2:A1405,0),0)) ,0 ,  OFFSET(SECUESTRADOS!D$1,MATCH(B988,SECUESTRADOS!A$2:A1405,0),0)  )</f>
        <v>0</v>
      </c>
      <c r="O988" s="153"/>
      <c r="P988" s="154" t="str">
        <f t="shared" si="238"/>
        <v>.socio</v>
      </c>
      <c r="Q988" s="154" t="str">
        <f t="shared" si="301"/>
        <v>#REF!</v>
      </c>
      <c r="R988" s="130"/>
      <c r="S988" s="130"/>
      <c r="T988" s="130"/>
    </row>
    <row r="989">
      <c r="A989" s="155" t="s">
        <v>71</v>
      </c>
      <c r="B989" s="142">
        <v>2203.0</v>
      </c>
      <c r="C989" s="143">
        <v>2203.0</v>
      </c>
      <c r="D989" s="144" t="str">
        <f>IF(   ISERROR(OFFSET(PADRON!B$2,MATCH(C:C,PADRON!A$2:A1405,0)-1,0,1,1) )  ,  ,    OFFSET(PADRON!B$2,MATCH(C:C,PADRON!A$2:A1405,0)-1,0,1,1))</f>
        <v>MANCUSO, MARCELO</v>
      </c>
      <c r="E989" s="145">
        <v>45839.0</v>
      </c>
      <c r="F989" s="145"/>
      <c r="G989" s="146" t="s">
        <v>39</v>
      </c>
      <c r="H989" s="147">
        <f>IF( ISERROR( OFFSET(   'Cuadro tarifario'!D$2  , MATCH(CONCATENATE(                 IF(F989&gt;Mes,OFFSET(NroCT!B$17, MATCH($F989,NroCT!$A$18:$A1405,0),0,1,1),Periodovigente)                                                                                                                     ,A989) ,'Cuadro tarifario'!A$2:A1405,0) -1 , 0 , 1 , 1) )   , 0  ,   OFFSET(   'Cuadro tarifario'!D$2  , MATCH(CONCATENATE( IF(F989&gt;Mes,OFFSET(NroCT!B$17, MATCH($F989,NroCT!$A$18:$A1405,0),0,1,1),Periodovigente) ,A989) ,'Cuadro tarifario'!A$2:A1405,0) -1 , 0 , 1 , 1))</f>
        <v>11000</v>
      </c>
      <c r="I989" s="148">
        <f t="shared" si="252"/>
        <v>0</v>
      </c>
      <c r="J989" s="147">
        <f t="shared" si="235"/>
        <v>0</v>
      </c>
      <c r="K989" s="149">
        <f>IF(  AND(N989&gt;0,I989=0)          ,N989 ,                         IF(  IF( F989 ,  DAYS360(DATE(YEAR(F989),MONTH(F989),1),Mes)/30  ,  DAYS360(DATE(YEAR(E989),MONTH(E989),1),Mes)/30  )  &gt;  0 , IF(F989,   DAYS360(DATE(YEAR(F989),MONTH(F989),1),Mes)/30  ,  DAYS360(DATE(YEAR(E989),MONTH(E989),1),Mes)/30) , 0)       )</f>
        <v>1</v>
      </c>
      <c r="L989" s="150">
        <f t="shared" si="253"/>
        <v>11000</v>
      </c>
      <c r="M989" s="160"/>
      <c r="N989" s="152">
        <f>IF( ISERROR(OFFSET(SECUESTRADOS!D$1,MATCH(B989,SECUESTRADOS!A$2:A1405,0),0)) ,0 ,  OFFSET(SECUESTRADOS!D$1,MATCH(B989,SECUESTRADOS!A$2:A1405,0),0)  )</f>
        <v>0</v>
      </c>
      <c r="O989" s="153"/>
      <c r="P989" s="154" t="b">
        <f t="shared" si="238"/>
        <v>0</v>
      </c>
      <c r="Q989" s="154" t="str">
        <f t="shared" si="301"/>
        <v>#REF!</v>
      </c>
      <c r="R989" s="130"/>
      <c r="S989" s="130"/>
      <c r="T989" s="130"/>
    </row>
    <row r="990">
      <c r="A990" s="155" t="s">
        <v>38</v>
      </c>
      <c r="B990" s="142">
        <v>2203.0</v>
      </c>
      <c r="C990" s="143">
        <v>2203.0</v>
      </c>
      <c r="D990" s="144" t="str">
        <f>IF(   ISERROR(OFFSET(PADRON!B$2,MATCH(C:C,PADRON!A$2:A1405,0)-1,0,1,1) )  ,  ,    OFFSET(PADRON!B$2,MATCH(C:C,PADRON!A$2:A1405,0)-1,0,1,1))</f>
        <v>MANCUSO, MARCELO</v>
      </c>
      <c r="E990" s="145">
        <v>45839.0</v>
      </c>
      <c r="F990" s="145"/>
      <c r="G990" s="159" t="s">
        <v>39</v>
      </c>
      <c r="H990" s="147">
        <f>IF( ISERROR( OFFSET(   'Cuadro tarifario'!D$2  , MATCH(CONCATENATE(                 IF(F990&gt;Mes,OFFSET(NroCT!B$17, MATCH($F990,NroCT!$A$18:$A1405,0),0,1,1),Periodovigente)                                                                                                                     ,A990) ,'Cuadro tarifario'!A$2:A1405,0) -1 , 0 , 1 , 1) )   , 0  ,   OFFSET(   'Cuadro tarifario'!D$2  , MATCH(CONCATENATE( IF(F990&gt;Mes,OFFSET(NroCT!B$17, MATCH($F990,NroCT!$A$18:$A1405,0),0,1,1),Periodovigente) ,A990) ,'Cuadro tarifario'!A$2:A1405,0) -1 , 0 , 1 , 1))</f>
        <v>9000</v>
      </c>
      <c r="I990" s="148">
        <f t="shared" si="252"/>
        <v>0</v>
      </c>
      <c r="J990" s="147">
        <f t="shared" si="235"/>
        <v>0</v>
      </c>
      <c r="K990" s="149">
        <f>IF(  AND(N990&gt;0,I990=0)          ,N990 ,                         IF(  IF( F990 ,  DAYS360(DATE(YEAR(F990),MONTH(F990),1),Mes)/30  ,  DAYS360(DATE(YEAR(E990),MONTH(E990),1),Mes)/30  )  &gt;  0 , IF(F990,   DAYS360(DATE(YEAR(F990),MONTH(F990),1),Mes)/30  ,  DAYS360(DATE(YEAR(E990),MONTH(E990),1),Mes)/30) , 0)       )</f>
        <v>1</v>
      </c>
      <c r="L990" s="150">
        <f t="shared" si="253"/>
        <v>9000</v>
      </c>
      <c r="M990" s="160"/>
      <c r="N990" s="152">
        <f>IF( ISERROR(OFFSET(SECUESTRADOS!D$1,MATCH(B990,SECUESTRADOS!A$2:A1405,0),0)) ,0 ,  OFFSET(SECUESTRADOS!D$1,MATCH(B990,SECUESTRADOS!A$2:A1405,0),0)  )</f>
        <v>0</v>
      </c>
      <c r="O990" s="153"/>
      <c r="P990" s="154" t="b">
        <f t="shared" si="238"/>
        <v>0</v>
      </c>
      <c r="Q990" s="154" t="str">
        <f t="shared" si="301"/>
        <v>#REF!</v>
      </c>
      <c r="R990" s="130"/>
      <c r="S990" s="130"/>
      <c r="T990" s="130"/>
    </row>
    <row r="991">
      <c r="A991" s="155" t="s">
        <v>71</v>
      </c>
      <c r="B991" s="142">
        <v>2205.0</v>
      </c>
      <c r="C991" s="143">
        <v>2205.0</v>
      </c>
      <c r="D991" s="144" t="str">
        <f>IF(   ISERROR(OFFSET(PADRON!B$2,MATCH(C:C,PADRON!A$2:A1405,0)-1,0,1,1) )  ,  ,    OFFSET(PADRON!B$2,MATCH(C:C,PADRON!A$2:A1405,0)-1,0,1,1))</f>
        <v>MAURI, MARIANGEL</v>
      </c>
      <c r="E991" s="145">
        <v>45839.0</v>
      </c>
      <c r="F991" s="145">
        <v>45870.0</v>
      </c>
      <c r="G991" s="146" t="s">
        <v>39</v>
      </c>
      <c r="H991" s="147">
        <f>IF( ISERROR( OFFSET(   'Cuadro tarifario'!D$2  , MATCH(CONCATENATE(                 IF(F991&gt;Mes,OFFSET(NroCT!B$17, MATCH($F991,NroCT!$A$18:$A1405,0),0,1,1),Periodovigente)                                                                                                                     ,A991) ,'Cuadro tarifario'!A$2:A1405,0) -1 , 0 , 1 , 1) )   , 0  ,   OFFSET(   'Cuadro tarifario'!D$2  , MATCH(CONCATENATE( IF(F991&gt;Mes,OFFSET(NroCT!B$17, MATCH($F991,NroCT!$A$18:$A1405,0),0,1,1),Periodovigente) ,A991) ,'Cuadro tarifario'!A$2:A1405,0) -1 , 0 , 1 , 1))</f>
        <v>11000</v>
      </c>
      <c r="I991" s="148">
        <f t="shared" si="252"/>
        <v>1</v>
      </c>
      <c r="J991" s="147">
        <f t="shared" si="235"/>
        <v>11000</v>
      </c>
      <c r="K991" s="149">
        <f>IF(  AND(N991&gt;0,I991=0)          ,N991 ,                         IF(  IF( F991 ,  DAYS360(DATE(YEAR(F991),MONTH(F991),1),Mes)/30  ,  DAYS360(DATE(YEAR(E991),MONTH(E991),1),Mes)/30  )  &gt;  0 , IF(F991,   DAYS360(DATE(YEAR(F991),MONTH(F991),1),Mes)/30  ,  DAYS360(DATE(YEAR(E991),MONTH(E991),1),Mes)/30) , 0)       )</f>
        <v>0</v>
      </c>
      <c r="L991" s="150">
        <f t="shared" si="253"/>
        <v>0</v>
      </c>
      <c r="M991" s="160"/>
      <c r="N991" s="152">
        <f>IF( ISERROR(OFFSET(SECUESTRADOS!D$1,MATCH(B991,SECUESTRADOS!A$2:A1405,0),0)) ,0 ,  OFFSET(SECUESTRADOS!D$1,MATCH(B991,SECUESTRADOS!A$2:A1405,0),0)  )</f>
        <v>0</v>
      </c>
      <c r="O991" s="153"/>
      <c r="P991" s="154" t="str">
        <f t="shared" si="238"/>
        <v>.socio</v>
      </c>
      <c r="Q991" s="154" t="str">
        <f t="shared" si="301"/>
        <v>#REF!</v>
      </c>
      <c r="R991" s="130"/>
      <c r="S991" s="130"/>
      <c r="T991" s="130"/>
    </row>
    <row r="992">
      <c r="A992" s="155" t="s">
        <v>38</v>
      </c>
      <c r="B992" s="142">
        <v>2205.0</v>
      </c>
      <c r="C992" s="143">
        <v>2205.0</v>
      </c>
      <c r="D992" s="144" t="str">
        <f>IF(   ISERROR(OFFSET(PADRON!B$2,MATCH(C:C,PADRON!A$2:A1405,0)-1,0,1,1) )  ,  ,    OFFSET(PADRON!B$2,MATCH(C:C,PADRON!A$2:A1405,0)-1,0,1,1))</f>
        <v>MAURI, MARIANGEL</v>
      </c>
      <c r="E992" s="145">
        <v>45839.0</v>
      </c>
      <c r="F992" s="145">
        <v>45870.0</v>
      </c>
      <c r="G992" s="146" t="s">
        <v>39</v>
      </c>
      <c r="H992" s="147">
        <f>IF( ISERROR( OFFSET(   'Cuadro tarifario'!D$2  , MATCH(CONCATENATE(                 IF(F992&gt;Mes,OFFSET(NroCT!B$17, MATCH($F992,NroCT!$A$18:$A1405,0),0,1,1),Periodovigente)                                                                                                                     ,A992) ,'Cuadro tarifario'!A$2:A1405,0) -1 , 0 , 1 , 1) )   , 0  ,   OFFSET(   'Cuadro tarifario'!D$2  , MATCH(CONCATENATE( IF(F992&gt;Mes,OFFSET(NroCT!B$17, MATCH($F992,NroCT!$A$18:$A1405,0),0,1,1),Periodovigente) ,A992) ,'Cuadro tarifario'!A$2:A1405,0) -1 , 0 , 1 , 1))</f>
        <v>9000</v>
      </c>
      <c r="I992" s="148">
        <f t="shared" si="252"/>
        <v>1</v>
      </c>
      <c r="J992" s="147">
        <f t="shared" si="235"/>
        <v>9000</v>
      </c>
      <c r="K992" s="149">
        <f>IF(  AND(N992&gt;0,I992=0)          ,N992 ,                         IF(  IF( F992 ,  DAYS360(DATE(YEAR(F992),MONTH(F992),1),Mes)/30  ,  DAYS360(DATE(YEAR(E992),MONTH(E992),1),Mes)/30  )  &gt;  0 , IF(F992,   DAYS360(DATE(YEAR(F992),MONTH(F992),1),Mes)/30  ,  DAYS360(DATE(YEAR(E992),MONTH(E992),1),Mes)/30) , 0)       )</f>
        <v>0</v>
      </c>
      <c r="L992" s="150">
        <f t="shared" si="253"/>
        <v>0</v>
      </c>
      <c r="M992" s="156"/>
      <c r="N992" s="152">
        <f>IF( ISERROR(OFFSET(SECUESTRADOS!D$1,MATCH(B992,SECUESTRADOS!A$2:A1405,0),0)) ,0 ,  OFFSET(SECUESTRADOS!D$1,MATCH(B992,SECUESTRADOS!A$2:A1405,0),0)  )</f>
        <v>0</v>
      </c>
      <c r="O992" s="153"/>
      <c r="P992" s="154" t="str">
        <f t="shared" si="238"/>
        <v>Bono canon</v>
      </c>
      <c r="Q992" s="154" t="str">
        <f t="shared" si="301"/>
        <v>#REF!</v>
      </c>
      <c r="R992" s="130"/>
      <c r="S992" s="130"/>
      <c r="T992" s="130"/>
    </row>
    <row r="993">
      <c r="A993" s="155" t="s">
        <v>71</v>
      </c>
      <c r="B993" s="142">
        <v>2206.0</v>
      </c>
      <c r="C993" s="143">
        <v>2206.0</v>
      </c>
      <c r="D993" s="144" t="str">
        <f>IF(   ISERROR(OFFSET(PADRON!B$2,MATCH(C:C,PADRON!A$2:A1405,0)-1,0,1,1) )  ,  ,    OFFSET(PADRON!B$2,MATCH(C:C,PADRON!A$2:A1405,0)-1,0,1,1))</f>
        <v>NOUZEILLES, ANDREA</v>
      </c>
      <c r="E993" s="145">
        <v>45839.0</v>
      </c>
      <c r="F993" s="145">
        <v>45870.0</v>
      </c>
      <c r="G993" s="146" t="s">
        <v>39</v>
      </c>
      <c r="H993" s="147">
        <f>IF( ISERROR( OFFSET(   'Cuadro tarifario'!D$2  , MATCH(CONCATENATE(                 IF(F993&gt;Mes,OFFSET(NroCT!B$17, MATCH($F993,NroCT!$A$18:$A1405,0),0,1,1),Periodovigente)                                                                                                                     ,A993) ,'Cuadro tarifario'!A$2:A1405,0) -1 , 0 , 1 , 1) )   , 0  ,   OFFSET(   'Cuadro tarifario'!D$2  , MATCH(CONCATENATE( IF(F993&gt;Mes,OFFSET(NroCT!B$17, MATCH($F993,NroCT!$A$18:$A1405,0),0,1,1),Periodovigente) ,A993) ,'Cuadro tarifario'!A$2:A1405,0) -1 , 0 , 1 , 1))</f>
        <v>11000</v>
      </c>
      <c r="I993" s="148">
        <f t="shared" si="252"/>
        <v>1</v>
      </c>
      <c r="J993" s="147">
        <f t="shared" si="235"/>
        <v>11000</v>
      </c>
      <c r="K993" s="149">
        <f>IF(  AND(N993&gt;0,I993=0)          ,N993 ,                         IF(  IF( F993 ,  DAYS360(DATE(YEAR(F993),MONTH(F993),1),Mes)/30  ,  DAYS360(DATE(YEAR(E993),MONTH(E993),1),Mes)/30  )  &gt;  0 , IF(F993,   DAYS360(DATE(YEAR(F993),MONTH(F993),1),Mes)/30  ,  DAYS360(DATE(YEAR(E993),MONTH(E993),1),Mes)/30) , 0)       )</f>
        <v>0</v>
      </c>
      <c r="L993" s="150">
        <f t="shared" si="253"/>
        <v>0</v>
      </c>
      <c r="M993" s="160"/>
      <c r="N993" s="152">
        <f>IF( ISERROR(OFFSET(SECUESTRADOS!D$1,MATCH(B993,SECUESTRADOS!A$2:A1405,0),0)) ,0 ,  OFFSET(SECUESTRADOS!D$1,MATCH(B993,SECUESTRADOS!A$2:A1405,0),0)  )</f>
        <v>0</v>
      </c>
      <c r="O993" s="153"/>
      <c r="P993" s="154" t="str">
        <f t="shared" si="238"/>
        <v>.socio</v>
      </c>
      <c r="Q993" s="154" t="str">
        <f t="shared" si="301"/>
        <v>#REF!</v>
      </c>
      <c r="R993" s="130"/>
      <c r="S993" s="130"/>
      <c r="T993" s="130"/>
    </row>
    <row r="994">
      <c r="A994" s="155" t="s">
        <v>38</v>
      </c>
      <c r="B994" s="142">
        <v>2206.0</v>
      </c>
      <c r="C994" s="143">
        <v>2206.0</v>
      </c>
      <c r="D994" s="144" t="str">
        <f>IF(   ISERROR(OFFSET(PADRON!B$2,MATCH(C:C,PADRON!A$2:A1405,0)-1,0,1,1) )  ,  ,    OFFSET(PADRON!B$2,MATCH(C:C,PADRON!A$2:A1405,0)-1,0,1,1))</f>
        <v>NOUZEILLES, ANDREA</v>
      </c>
      <c r="E994" s="145">
        <v>45839.0</v>
      </c>
      <c r="F994" s="145">
        <v>45870.0</v>
      </c>
      <c r="G994" s="146" t="s">
        <v>39</v>
      </c>
      <c r="H994" s="147">
        <f>IF( ISERROR( OFFSET(   'Cuadro tarifario'!D$2  , MATCH(CONCATENATE(                 IF(F994&gt;Mes,OFFSET(NroCT!B$17, MATCH($F994,NroCT!$A$18:$A1405,0),0,1,1),Periodovigente)                                                                                                                     ,A994) ,'Cuadro tarifario'!A$2:A1405,0) -1 , 0 , 1 , 1) )   , 0  ,   OFFSET(   'Cuadro tarifario'!D$2  , MATCH(CONCATENATE( IF(F994&gt;Mes,OFFSET(NroCT!B$17, MATCH($F994,NroCT!$A$18:$A1405,0),0,1,1),Periodovigente) ,A994) ,'Cuadro tarifario'!A$2:A1405,0) -1 , 0 , 1 , 1))</f>
        <v>9000</v>
      </c>
      <c r="I994" s="148">
        <f t="shared" si="252"/>
        <v>1</v>
      </c>
      <c r="J994" s="147">
        <f t="shared" si="235"/>
        <v>9000</v>
      </c>
      <c r="K994" s="149">
        <f>IF(  AND(N994&gt;0,I994=0)          ,N994 ,                         IF(  IF( F994 ,  DAYS360(DATE(YEAR(F994),MONTH(F994),1),Mes)/30  ,  DAYS360(DATE(YEAR(E994),MONTH(E994),1),Mes)/30  )  &gt;  0 , IF(F994,   DAYS360(DATE(YEAR(F994),MONTH(F994),1),Mes)/30  ,  DAYS360(DATE(YEAR(E994),MONTH(E994),1),Mes)/30) , 0)       )</f>
        <v>0</v>
      </c>
      <c r="L994" s="150">
        <f t="shared" si="253"/>
        <v>0</v>
      </c>
      <c r="M994" s="156"/>
      <c r="N994" s="152">
        <f>IF( ISERROR(OFFSET(SECUESTRADOS!D$1,MATCH(B994,SECUESTRADOS!A$2:A1405,0),0)) ,0 ,  OFFSET(SECUESTRADOS!D$1,MATCH(B994,SECUESTRADOS!A$2:A1405,0),0)  )</f>
        <v>0</v>
      </c>
      <c r="O994" s="153"/>
      <c r="P994" s="154" t="str">
        <f t="shared" si="238"/>
        <v>Bono canon</v>
      </c>
      <c r="Q994" s="154" t="str">
        <f t="shared" si="301"/>
        <v>#REF!</v>
      </c>
      <c r="R994" s="130"/>
      <c r="S994" s="130"/>
      <c r="T994" s="130"/>
    </row>
    <row r="995">
      <c r="A995" s="155" t="s">
        <v>40</v>
      </c>
      <c r="B995" s="142" t="s">
        <v>416</v>
      </c>
      <c r="C995" s="143">
        <v>2206.0</v>
      </c>
      <c r="D995" s="144" t="str">
        <f>IF(   ISERROR(OFFSET(PADRON!B$2,MATCH(C:C,PADRON!A$2:A1405,0)-1,0,1,1) )  ,  ,    OFFSET(PADRON!B$2,MATCH(C:C,PADRON!A$2:A1405,0)-1,0,1,1))</f>
        <v>NOUZEILLES, ANDREA</v>
      </c>
      <c r="E995" s="145">
        <v>45839.0</v>
      </c>
      <c r="F995" s="145">
        <v>45870.0</v>
      </c>
      <c r="G995" s="146" t="s">
        <v>39</v>
      </c>
      <c r="H995" s="147">
        <f>IF( ISERROR( OFFSET(   'Cuadro tarifario'!D$2  , MATCH(CONCATENATE(                 IF(F995&gt;Mes,OFFSET(NroCT!B$17, MATCH($F995,NroCT!$A$18:$A1405,0),0,1,1),Periodovigente)                                                                                                                     ,A995) ,'Cuadro tarifario'!A$2:A1405,0) -1 , 0 , 1 , 1) )   , 0  ,   OFFSET(   'Cuadro tarifario'!D$2  , MATCH(CONCATENATE( IF(F995&gt;Mes,OFFSET(NroCT!B$17, MATCH($F995,NroCT!$A$18:$A1405,0),0,1,1),Periodovigente) ,A995) ,'Cuadro tarifario'!A$2:A1405,0) -1 , 0 , 1 , 1))</f>
        <v>12000</v>
      </c>
      <c r="I995" s="148">
        <f t="shared" si="252"/>
        <v>1</v>
      </c>
      <c r="J995" s="147">
        <f t="shared" si="235"/>
        <v>12000</v>
      </c>
      <c r="K995" s="149">
        <f>IF(  AND(N995&gt;0,I995=0)          ,N995 ,                         IF(  IF( F995 ,  DAYS360(DATE(YEAR(F995),MONTH(F995),1),Mes)/30  ,  DAYS360(DATE(YEAR(E995),MONTH(E995),1),Mes)/30  )  &gt;  0 , IF(F995,   DAYS360(DATE(YEAR(F995),MONTH(F995),1),Mes)/30  ,  DAYS360(DATE(YEAR(E995),MONTH(E995),1),Mes)/30) , 0)       )</f>
        <v>0</v>
      </c>
      <c r="L995" s="150">
        <f t="shared" si="253"/>
        <v>0</v>
      </c>
      <c r="M995" s="156"/>
      <c r="N995" s="152">
        <f>IF( ISERROR(OFFSET(SECUESTRADOS!D$1,MATCH(B995,SECUESTRADOS!A$2:A1405,0),0)) ,0 ,  OFFSET(SECUESTRADOS!D$1,MATCH(B995,SECUESTRADOS!A$2:A1405,0),0)  )</f>
        <v>0</v>
      </c>
      <c r="O995" s="153"/>
      <c r="P995" s="154" t="str">
        <f t="shared" si="238"/>
        <v>cuna windsurf</v>
      </c>
      <c r="Q995" s="154" t="str">
        <f t="shared" si="301"/>
        <v>#REF!</v>
      </c>
      <c r="R995" s="130"/>
      <c r="S995" s="130"/>
      <c r="T995" s="130"/>
    </row>
    <row r="996">
      <c r="A996" s="155" t="s">
        <v>40</v>
      </c>
      <c r="B996" s="142" t="s">
        <v>417</v>
      </c>
      <c r="C996" s="143">
        <v>2206.0</v>
      </c>
      <c r="D996" s="144" t="str">
        <f>IF(   ISERROR(OFFSET(PADRON!B$2,MATCH(C:C,PADRON!A$2:A1405,0)-1,0,1,1) )  ,  ,    OFFSET(PADRON!B$2,MATCH(C:C,PADRON!A$2:A1405,0)-1,0,1,1))</f>
        <v>NOUZEILLES, ANDREA</v>
      </c>
      <c r="E996" s="145">
        <v>45839.0</v>
      </c>
      <c r="F996" s="145">
        <v>45870.0</v>
      </c>
      <c r="G996" s="146" t="s">
        <v>39</v>
      </c>
      <c r="H996" s="147">
        <f>IF( ISERROR( OFFSET(   'Cuadro tarifario'!D$2  , MATCH(CONCATENATE(                 IF(F996&gt;Mes,OFFSET(NroCT!B$17, MATCH($F996,NroCT!$A$18:$A1405,0),0,1,1),Periodovigente)                                                                                                                     ,A996) ,'Cuadro tarifario'!A$2:A1405,0) -1 , 0 , 1 , 1) )   , 0  ,   OFFSET(   'Cuadro tarifario'!D$2  , MATCH(CONCATENATE( IF(F996&gt;Mes,OFFSET(NroCT!B$17, MATCH($F996,NroCT!$A$18:$A1405,0),0,1,1),Periodovigente) ,A996) ,'Cuadro tarifario'!A$2:A1405,0) -1 , 0 , 1 , 1))</f>
        <v>12000</v>
      </c>
      <c r="I996" s="148">
        <f t="shared" si="252"/>
        <v>1</v>
      </c>
      <c r="J996" s="147">
        <f t="shared" si="235"/>
        <v>12000</v>
      </c>
      <c r="K996" s="149">
        <f>IF(  AND(N996&gt;0,I996=0)          ,N996 ,                         IF(  IF( F996 ,  DAYS360(DATE(YEAR(F996),MONTH(F996),1),Mes)/30  ,  DAYS360(DATE(YEAR(E996),MONTH(E996),1),Mes)/30  )  &gt;  0 , IF(F996,   DAYS360(DATE(YEAR(F996),MONTH(F996),1),Mes)/30  ,  DAYS360(DATE(YEAR(E996),MONTH(E996),1),Mes)/30) , 0)       )</f>
        <v>0</v>
      </c>
      <c r="L996" s="150">
        <f t="shared" si="253"/>
        <v>0</v>
      </c>
      <c r="M996" s="156"/>
      <c r="N996" s="152">
        <f>IF( ISERROR(OFFSET(SECUESTRADOS!D$1,MATCH(B996,SECUESTRADOS!A$2:A1405,0),0)) ,0 ,  OFFSET(SECUESTRADOS!D$1,MATCH(B996,SECUESTRADOS!A$2:A1405,0),0)  )</f>
        <v>0</v>
      </c>
      <c r="O996" s="153"/>
      <c r="P996" s="154" t="str">
        <f t="shared" si="238"/>
        <v>cuna windsurf</v>
      </c>
      <c r="Q996" s="154" t="str">
        <f t="shared" si="301"/>
        <v>#REF!</v>
      </c>
      <c r="R996" s="130"/>
      <c r="S996" s="130"/>
      <c r="T996" s="130"/>
    </row>
    <row r="997">
      <c r="A997" s="155" t="s">
        <v>50</v>
      </c>
      <c r="B997" s="142" t="s">
        <v>418</v>
      </c>
      <c r="C997" s="143">
        <v>2206.0</v>
      </c>
      <c r="D997" s="144" t="str">
        <f>IF(   ISERROR(OFFSET(PADRON!B$2,MATCH(C:C,PADRON!A$2:A1405,0)-1,0,1,1) )  ,  ,    OFFSET(PADRON!B$2,MATCH(C:C,PADRON!A$2:A1405,0)-1,0,1,1))</f>
        <v>NOUZEILLES, ANDREA</v>
      </c>
      <c r="E997" s="145">
        <v>45992.0</v>
      </c>
      <c r="F997" s="145"/>
      <c r="G997" s="146" t="s">
        <v>39</v>
      </c>
      <c r="H997" s="147">
        <f>IF( ISERROR( OFFSET(   'Cuadro tarifario'!D$2  , MATCH(CONCATENATE(                 IF(F997&gt;Mes,OFFSET(NroCT!B$17, MATCH($F997,NroCT!$A$18:$A1405,0),0,1,1),Periodovigente)                                                                                                                     ,A997) ,'Cuadro tarifario'!A$2:A1405,0) -1 , 0 , 1 , 1) )   , 0  ,   OFFSET(   'Cuadro tarifario'!D$2  , MATCH(CONCATENATE( IF(F997&gt;Mes,OFFSET(NroCT!B$17, MATCH($F997,NroCT!$A$18:$A1405,0),0,1,1),Periodovigente) ,A997) ,'Cuadro tarifario'!A$2:A1405,0) -1 , 0 , 1 , 1))</f>
        <v>3600</v>
      </c>
      <c r="I997" s="148">
        <f t="shared" si="252"/>
        <v>0</v>
      </c>
      <c r="J997" s="147">
        <f t="shared" si="235"/>
        <v>0</v>
      </c>
      <c r="K997" s="149">
        <f>IF(  AND(N997&gt;0,I997=0)          ,N997 ,                         IF(  IF( F997 ,  DAYS360(DATE(YEAR(F997),MONTH(F997),1),Mes)/30  ,  DAYS360(DATE(YEAR(E997),MONTH(E997),1),Mes)/30  )  &gt;  0 , IF(F997,   DAYS360(DATE(YEAR(F997),MONTH(F997),1),Mes)/30  ,  DAYS360(DATE(YEAR(E997),MONTH(E997),1),Mes)/30) , 0)       )</f>
        <v>0</v>
      </c>
      <c r="L997" s="150">
        <f t="shared" si="253"/>
        <v>0</v>
      </c>
      <c r="M997" s="156"/>
      <c r="N997" s="152">
        <f>IF( ISERROR(OFFSET(SECUESTRADOS!D$1,MATCH(B997,SECUESTRADOS!A$2:A1405,0),0)) ,0 ,  OFFSET(SECUESTRADOS!D$1,MATCH(B997,SECUESTRADOS!A$2:A1405,0),0)  )</f>
        <v>0</v>
      </c>
      <c r="O997" s="153"/>
      <c r="P997" s="154" t="b">
        <f t="shared" si="238"/>
        <v>0</v>
      </c>
      <c r="Q997" s="154" t="str">
        <f t="shared" si="301"/>
        <v>#REF!</v>
      </c>
      <c r="R997" s="130"/>
      <c r="S997" s="130"/>
      <c r="T997" s="130"/>
    </row>
    <row r="998">
      <c r="A998" s="155" t="s">
        <v>71</v>
      </c>
      <c r="B998" s="142">
        <v>2208.0</v>
      </c>
      <c r="C998" s="143">
        <v>2208.0</v>
      </c>
      <c r="D998" s="144" t="str">
        <f>IF(   ISERROR(OFFSET(PADRON!B$2,MATCH(C:C,PADRON!A$2:A1405,0)-1,0,1,1) )  ,  ,    OFFSET(PADRON!B$2,MATCH(C:C,PADRON!A$2:A1405,0)-1,0,1,1))</f>
        <v>ROLLA, NICOLAS</v>
      </c>
      <c r="E998" s="145">
        <v>45809.0</v>
      </c>
      <c r="F998" s="145">
        <v>45870.0</v>
      </c>
      <c r="G998" s="146" t="s">
        <v>39</v>
      </c>
      <c r="H998" s="147">
        <f>IF( ISERROR( OFFSET(   'Cuadro tarifario'!D$2  , MATCH(CONCATENATE(                 IF(F998&gt;Mes,OFFSET(NroCT!B$17, MATCH($F998,NroCT!$A$18:$A1405,0),0,1,1),Periodovigente)                                                                                                                     ,A998) ,'Cuadro tarifario'!A$2:A1405,0) -1 , 0 , 1 , 1) )   , 0  ,   OFFSET(   'Cuadro tarifario'!D$2  , MATCH(CONCATENATE( IF(F998&gt;Mes,OFFSET(NroCT!B$17, MATCH($F998,NroCT!$A$18:$A1405,0),0,1,1),Periodovigente) ,A998) ,'Cuadro tarifario'!A$2:A1405,0) -1 , 0 , 1 , 1))</f>
        <v>11000</v>
      </c>
      <c r="I998" s="148">
        <f t="shared" si="252"/>
        <v>2</v>
      </c>
      <c r="J998" s="147">
        <f t="shared" si="235"/>
        <v>22000</v>
      </c>
      <c r="K998" s="149">
        <f>IF(  AND(N998&gt;0,I998=0)          ,N998 ,                         IF(  IF( F998 ,  DAYS360(DATE(YEAR(F998),MONTH(F998),1),Mes)/30  ,  DAYS360(DATE(YEAR(E998),MONTH(E998),1),Mes)/30  )  &gt;  0 , IF(F998,   DAYS360(DATE(YEAR(F998),MONTH(F998),1),Mes)/30  ,  DAYS360(DATE(YEAR(E998),MONTH(E998),1),Mes)/30) , 0)       )</f>
        <v>0</v>
      </c>
      <c r="L998" s="150">
        <f t="shared" si="253"/>
        <v>0</v>
      </c>
      <c r="M998" s="156"/>
      <c r="N998" s="152">
        <f>IF( ISERROR(OFFSET(SECUESTRADOS!D$1,MATCH(B998,SECUESTRADOS!A$2:A1405,0),0)) ,0 ,  OFFSET(SECUESTRADOS!D$1,MATCH(B998,SECUESTRADOS!A$2:A1405,0),0)  )</f>
        <v>0</v>
      </c>
      <c r="O998" s="153"/>
      <c r="P998" s="154" t="str">
        <f t="shared" si="238"/>
        <v>.socio</v>
      </c>
      <c r="Q998" s="154" t="str">
        <f t="shared" si="301"/>
        <v>#REF!</v>
      </c>
      <c r="R998" s="130"/>
      <c r="S998" s="130"/>
      <c r="T998" s="130"/>
    </row>
    <row r="999">
      <c r="A999" s="155" t="s">
        <v>38</v>
      </c>
      <c r="B999" s="142">
        <v>2208.0</v>
      </c>
      <c r="C999" s="143">
        <v>2208.0</v>
      </c>
      <c r="D999" s="144" t="str">
        <f>IF(   ISERROR(OFFSET(PADRON!B$2,MATCH(C:C,PADRON!A$2:A1405,0)-1,0,1,1) )  ,  ,    OFFSET(PADRON!B$2,MATCH(C:C,PADRON!A$2:A1405,0)-1,0,1,1))</f>
        <v>ROLLA, NICOLAS</v>
      </c>
      <c r="E999" s="145">
        <v>45809.0</v>
      </c>
      <c r="F999" s="145">
        <v>45870.0</v>
      </c>
      <c r="G999" s="146" t="s">
        <v>39</v>
      </c>
      <c r="H999" s="147">
        <f>IF( ISERROR( OFFSET(   'Cuadro tarifario'!D$2  , MATCH(CONCATENATE(                 IF(F999&gt;Mes,OFFSET(NroCT!B$17, MATCH($F999,NroCT!$A$18:$A1405,0),0,1,1),Periodovigente)                                                                                                                     ,A999) ,'Cuadro tarifario'!A$2:A1405,0) -1 , 0 , 1 , 1) )   , 0  ,   OFFSET(   'Cuadro tarifario'!D$2  , MATCH(CONCATENATE( IF(F999&gt;Mes,OFFSET(NroCT!B$17, MATCH($F999,NroCT!$A$18:$A1405,0),0,1,1),Periodovigente) ,A999) ,'Cuadro tarifario'!A$2:A1405,0) -1 , 0 , 1 , 1))</f>
        <v>9000</v>
      </c>
      <c r="I999" s="148">
        <f t="shared" si="252"/>
        <v>2</v>
      </c>
      <c r="J999" s="147">
        <f t="shared" si="235"/>
        <v>18000</v>
      </c>
      <c r="K999" s="149">
        <f>IF(  AND(N999&gt;0,I999=0)          ,N999 ,                         IF(  IF( F999 ,  DAYS360(DATE(YEAR(F999),MONTH(F999),1),Mes)/30  ,  DAYS360(DATE(YEAR(E999),MONTH(E999),1),Mes)/30  )  &gt;  0 , IF(F999,   DAYS360(DATE(YEAR(F999),MONTH(F999),1),Mes)/30  ,  DAYS360(DATE(YEAR(E999),MONTH(E999),1),Mes)/30) , 0)       )</f>
        <v>0</v>
      </c>
      <c r="L999" s="150">
        <f t="shared" si="253"/>
        <v>0</v>
      </c>
      <c r="M999" s="156"/>
      <c r="N999" s="152">
        <f>IF( ISERROR(OFFSET(SECUESTRADOS!D$1,MATCH(B999,SECUESTRADOS!A$2:A1405,0),0)) ,0 ,  OFFSET(SECUESTRADOS!D$1,MATCH(B999,SECUESTRADOS!A$2:A1405,0),0)  )</f>
        <v>0</v>
      </c>
      <c r="O999" s="153"/>
      <c r="P999" s="154" t="str">
        <f t="shared" si="238"/>
        <v>Bono canon</v>
      </c>
      <c r="Q999" s="154" t="str">
        <f t="shared" si="301"/>
        <v>#REF!</v>
      </c>
      <c r="R999" s="130"/>
      <c r="S999" s="130"/>
      <c r="T999" s="130"/>
    </row>
    <row r="1000">
      <c r="A1000" s="155" t="s">
        <v>40</v>
      </c>
      <c r="B1000" s="142" t="s">
        <v>419</v>
      </c>
      <c r="C1000" s="143">
        <v>2208.0</v>
      </c>
      <c r="D1000" s="144" t="str">
        <f>IF(   ISERROR(OFFSET(PADRON!B$2,MATCH(C:C,PADRON!A$2:A1405,0)-1,0,1,1) )  ,  ,    OFFSET(PADRON!B$2,MATCH(C:C,PADRON!A$2:A1405,0)-1,0,1,1))</f>
        <v>ROLLA, NICOLAS</v>
      </c>
      <c r="E1000" s="145">
        <v>45809.0</v>
      </c>
      <c r="F1000" s="145">
        <v>45870.0</v>
      </c>
      <c r="G1000" s="146" t="s">
        <v>39</v>
      </c>
      <c r="H1000" s="147">
        <f>IF( ISERROR( OFFSET(   'Cuadro tarifario'!D$2  , MATCH(CONCATENATE(                 IF(F1000&gt;Mes,OFFSET(NroCT!B$17, MATCH($F1000,NroCT!$A$18:$A1405,0),0,1,1),Periodovigente)                                                                                                                     ,A1000) ,'Cuadro tarifario'!A$2:A1405,0) -1 , 0 , 1 , 1) )   , 0  ,   OFFSET(   'Cuadro tarifario'!D$2  , MATCH(CONCATENATE( IF(F1000&gt;Mes,OFFSET(NroCT!B$17, MATCH($F1000,NroCT!$A$18:$A1405,0),0,1,1),Periodovigente) ,A1000) ,'Cuadro tarifario'!A$2:A1405,0) -1 , 0 , 1 , 1))</f>
        <v>12000</v>
      </c>
      <c r="I1000" s="148">
        <f t="shared" si="252"/>
        <v>2</v>
      </c>
      <c r="J1000" s="147">
        <f t="shared" si="235"/>
        <v>24000</v>
      </c>
      <c r="K1000" s="149">
        <f>IF(  AND(N1000&gt;0,I1000=0)          ,N1000 ,                         IF(  IF( F1000 ,  DAYS360(DATE(YEAR(F1000),MONTH(F1000),1),Mes)/30  ,  DAYS360(DATE(YEAR(E1000),MONTH(E1000),1),Mes)/30  )  &gt;  0 , IF(F1000,   DAYS360(DATE(YEAR(F1000),MONTH(F1000),1),Mes)/30  ,  DAYS360(DATE(YEAR(E1000),MONTH(E1000),1),Mes)/30) , 0)       )</f>
        <v>0</v>
      </c>
      <c r="L1000" s="150">
        <f t="shared" si="253"/>
        <v>0</v>
      </c>
      <c r="M1000" s="156"/>
      <c r="N1000" s="152">
        <f>IF( ISERROR(OFFSET(SECUESTRADOS!D$1,MATCH(B1000,SECUESTRADOS!A$2:A1405,0),0)) ,0 ,  OFFSET(SECUESTRADOS!D$1,MATCH(B1000,SECUESTRADOS!A$2:A1405,0),0)  )</f>
        <v>0</v>
      </c>
      <c r="O1000" s="153"/>
      <c r="P1000" s="154" t="str">
        <f t="shared" si="238"/>
        <v>cuna windsurf</v>
      </c>
      <c r="Q1000" s="154" t="str">
        <f t="shared" si="301"/>
        <v>#REF!</v>
      </c>
      <c r="R1000" s="130"/>
      <c r="S1000" s="130"/>
      <c r="T1000" s="130"/>
    </row>
    <row r="1001">
      <c r="A1001" s="155" t="s">
        <v>71</v>
      </c>
      <c r="B1001" s="142">
        <v>2209.0</v>
      </c>
      <c r="C1001" s="143">
        <v>2209.0</v>
      </c>
      <c r="D1001" s="144" t="str">
        <f>IF(   ISERROR(OFFSET(PADRON!B$2,MATCH(C:C,PADRON!A$2:A1405,0)-1,0,1,1) )  ,  ,    OFFSET(PADRON!B$2,MATCH(C:C,PADRON!A$2:A1405,0)-1,0,1,1))</f>
        <v>QUINTERO BLANCO, SERGIO</v>
      </c>
      <c r="E1001" s="145">
        <v>45839.0</v>
      </c>
      <c r="F1001" s="145">
        <v>45870.0</v>
      </c>
      <c r="G1001" s="146" t="s">
        <v>39</v>
      </c>
      <c r="H1001" s="147">
        <f>IF( ISERROR( OFFSET(   'Cuadro tarifario'!D$2  , MATCH(CONCATENATE(                 IF(F1001&gt;Mes,OFFSET(NroCT!B$17, MATCH($F1001,NroCT!$A$18:$A1405,0),0,1,1),Periodovigente)                                                                                                                     ,A1001) ,'Cuadro tarifario'!A$2:A1405,0) -1 , 0 , 1 , 1) )   , 0  ,   OFFSET(   'Cuadro tarifario'!D$2  , MATCH(CONCATENATE( IF(F1001&gt;Mes,OFFSET(NroCT!B$17, MATCH($F1001,NroCT!$A$18:$A1405,0),0,1,1),Periodovigente) ,A1001) ,'Cuadro tarifario'!A$2:A1405,0) -1 , 0 , 1 , 1))</f>
        <v>11000</v>
      </c>
      <c r="I1001" s="148">
        <f t="shared" si="252"/>
        <v>1</v>
      </c>
      <c r="J1001" s="147">
        <f t="shared" si="235"/>
        <v>11000</v>
      </c>
      <c r="K1001" s="149">
        <f>IF(  AND(N1001&gt;0,I1001=0)          ,N1001 ,                         IF(  IF( F1001 ,  DAYS360(DATE(YEAR(F1001),MONTH(F1001),1),Mes)/30  ,  DAYS360(DATE(YEAR(E1001),MONTH(E1001),1),Mes)/30  )  &gt;  0 , IF(F1001,   DAYS360(DATE(YEAR(F1001),MONTH(F1001),1),Mes)/30  ,  DAYS360(DATE(YEAR(E1001),MONTH(E1001),1),Mes)/30) , 0)       )</f>
        <v>0</v>
      </c>
      <c r="L1001" s="150">
        <f t="shared" si="253"/>
        <v>0</v>
      </c>
      <c r="M1001" s="156"/>
      <c r="N1001" s="152">
        <f>IF( ISERROR(OFFSET(SECUESTRADOS!D$1,MATCH(B1001,SECUESTRADOS!A$2:A1405,0),0)) ,0 ,  OFFSET(SECUESTRADOS!D$1,MATCH(B1001,SECUESTRADOS!A$2:A1405,0),0)  )</f>
        <v>0</v>
      </c>
      <c r="O1001" s="153"/>
      <c r="P1001" s="154" t="str">
        <f t="shared" si="238"/>
        <v>.socio</v>
      </c>
      <c r="Q1001" s="154" t="str">
        <f t="shared" si="301"/>
        <v>#REF!</v>
      </c>
      <c r="R1001" s="130"/>
      <c r="S1001" s="130"/>
      <c r="T1001" s="130"/>
    </row>
    <row r="1002">
      <c r="A1002" s="155" t="s">
        <v>38</v>
      </c>
      <c r="B1002" s="142">
        <v>2209.0</v>
      </c>
      <c r="C1002" s="143">
        <v>2209.0</v>
      </c>
      <c r="D1002" s="144" t="str">
        <f>IF(   ISERROR(OFFSET(PADRON!B$2,MATCH(C:C,PADRON!A$2:A1405,0)-1,0,1,1) )  ,  ,    OFFSET(PADRON!B$2,MATCH(C:C,PADRON!A$2:A1405,0)-1,0,1,1))</f>
        <v>QUINTERO BLANCO, SERGIO</v>
      </c>
      <c r="E1002" s="145">
        <v>45839.0</v>
      </c>
      <c r="F1002" s="145">
        <v>45870.0</v>
      </c>
      <c r="G1002" s="146" t="s">
        <v>39</v>
      </c>
      <c r="H1002" s="147">
        <f>IF( ISERROR( OFFSET(   'Cuadro tarifario'!D$2  , MATCH(CONCATENATE(                 IF(F1002&gt;Mes,OFFSET(NroCT!B$17, MATCH($F1002,NroCT!$A$18:$A1405,0),0,1,1),Periodovigente)                                                                                                                     ,A1002) ,'Cuadro tarifario'!A$2:A1405,0) -1 , 0 , 1 , 1) )   , 0  ,   OFFSET(   'Cuadro tarifario'!D$2  , MATCH(CONCATENATE( IF(F1002&gt;Mes,OFFSET(NroCT!B$17, MATCH($F1002,NroCT!$A$18:$A1405,0),0,1,1),Periodovigente) ,A1002) ,'Cuadro tarifario'!A$2:A1405,0) -1 , 0 , 1 , 1))</f>
        <v>9000</v>
      </c>
      <c r="I1002" s="148">
        <f t="shared" si="252"/>
        <v>1</v>
      </c>
      <c r="J1002" s="147">
        <f t="shared" si="235"/>
        <v>9000</v>
      </c>
      <c r="K1002" s="149">
        <f>IF(  AND(N1002&gt;0,I1002=0)          ,N1002 ,                         IF(  IF( F1002 ,  DAYS360(DATE(YEAR(F1002),MONTH(F1002),1),Mes)/30  ,  DAYS360(DATE(YEAR(E1002),MONTH(E1002),1),Mes)/30  )  &gt;  0 , IF(F1002,   DAYS360(DATE(YEAR(F1002),MONTH(F1002),1),Mes)/30  ,  DAYS360(DATE(YEAR(E1002),MONTH(E1002),1),Mes)/30) , 0)       )</f>
        <v>0</v>
      </c>
      <c r="L1002" s="150">
        <f t="shared" si="253"/>
        <v>0</v>
      </c>
      <c r="M1002" s="156"/>
      <c r="N1002" s="152">
        <f>IF( ISERROR(OFFSET(SECUESTRADOS!D$1,MATCH(B1002,SECUESTRADOS!A$2:A1405,0),0)) ,0 ,  OFFSET(SECUESTRADOS!D$1,MATCH(B1002,SECUESTRADOS!A$2:A1405,0),0)  )</f>
        <v>0</v>
      </c>
      <c r="O1002" s="153"/>
      <c r="P1002" s="154" t="str">
        <f t="shared" si="238"/>
        <v>Bono canon</v>
      </c>
      <c r="Q1002" s="154" t="str">
        <f t="shared" si="301"/>
        <v>#REF!</v>
      </c>
      <c r="R1002" s="130"/>
      <c r="S1002" s="130"/>
      <c r="T1002" s="130"/>
    </row>
    <row r="1003" ht="15.0" customHeight="1">
      <c r="A1003" s="112" t="s">
        <v>82</v>
      </c>
      <c r="B1003" s="113" t="s">
        <v>420</v>
      </c>
      <c r="C1003" s="19">
        <v>2209.0</v>
      </c>
      <c r="D1003" s="20" t="str">
        <f>IF(   ISERROR(OFFSET(PADRON!B$2,MATCH(C:C,PADRON!A$2:A1405,0)-1,0,1,1) )  ,  ,    OFFSET(PADRON!B$2,MATCH(C:C,PADRON!A$2:A1405,0)-1,0,1,1))</f>
        <v>QUINTERO BLANCO, SERGIO</v>
      </c>
      <c r="E1003" s="21">
        <v>45839.0</v>
      </c>
      <c r="F1003" s="21">
        <v>45870.0</v>
      </c>
      <c r="G1003" s="23" t="s">
        <v>39</v>
      </c>
      <c r="H1003" s="24">
        <f>IF( ISERROR( OFFSET(   'Cuadro tarifario'!D$2  , MATCH(CONCATENATE(                 IF(F1003&gt;Mes,OFFSET(NroCT!B$17, MATCH($F1003,NroCT!$A$18:$A1405,0),0,1,1),Periodovigente)                                                                                                                     ,A1003) ,'Cuadro tarifario'!A$2:A1405,0) -1 , 0 , 1 , 1) )   , 0  ,   OFFSET(   'Cuadro tarifario'!D$2  , MATCH(CONCATENATE( IF(F1003&gt;Mes,OFFSET(NroCT!B$17, MATCH($F1003,NroCT!$A$18:$A1405,0),0,1,1),Periodovigente) ,A1003) ,'Cuadro tarifario'!A$2:A1405,0) -1 , 0 , 1 , 1))</f>
        <v>12000</v>
      </c>
      <c r="I1003" s="106">
        <f t="shared" si="252"/>
        <v>1</v>
      </c>
      <c r="J1003" s="107">
        <f t="shared" si="235"/>
        <v>12000</v>
      </c>
      <c r="K1003" s="108">
        <f>IF(  AND(N1003&gt;0,I1003=0)          ,N1003 ,                         IF(  IF( F1003 ,  DAYS360(DATE(YEAR(F1003),MONTH(F1003),1),Mes)/30  ,  DAYS360(DATE(YEAR(E1003),MONTH(E1003),1),Mes)/30  )  &gt;  0 , IF(F1003,   DAYS360(DATE(YEAR(F1003),MONTH(F1003),1),Mes)/30  ,  DAYS360(DATE(YEAR(E1003),MONTH(E1003),1),Mes)/30) , 0)       )</f>
        <v>0</v>
      </c>
      <c r="L1003" s="109">
        <f t="shared" si="253"/>
        <v>0</v>
      </c>
      <c r="M1003" s="110"/>
      <c r="N1003" s="29">
        <f>IF( ISERROR(OFFSET(SECUESTRADOS!D$1,MATCH(B1003,SECUESTRADOS!A$2:A1405,0),0)) ,0 ,  OFFSET(SECUESTRADOS!D$1,MATCH(B1003,SECUESTRADOS!A$2:A1405,0),0)  )</f>
        <v>0</v>
      </c>
      <c r="O1003" s="30"/>
      <c r="P1003" s="17" t="str">
        <f t="shared" si="238"/>
        <v>cuna kayak</v>
      </c>
      <c r="Q1003" s="17" t="str">
        <f>IF(AND(A1003=A298,B1003=B298,C1003=C298),"Repetido","")</f>
        <v/>
      </c>
      <c r="R1003" s="31"/>
      <c r="S1003" s="31"/>
      <c r="T1003" s="31"/>
    </row>
    <row r="1004">
      <c r="A1004" s="155" t="s">
        <v>71</v>
      </c>
      <c r="B1004" s="142">
        <v>2210.0</v>
      </c>
      <c r="C1004" s="143">
        <v>2210.0</v>
      </c>
      <c r="D1004" s="144" t="str">
        <f>IF(   ISERROR(OFFSET(PADRON!B$2,MATCH(C:C,PADRON!A$2:A1405,0)-1,0,1,1) )  ,  ,    OFFSET(PADRON!B$2,MATCH(C:C,PADRON!A$2:A1405,0)-1,0,1,1))</f>
        <v>ARANDIA, MAURICIO</v>
      </c>
      <c r="E1004" s="145">
        <v>45689.0</v>
      </c>
      <c r="F1004" s="145">
        <v>45839.0</v>
      </c>
      <c r="G1004" s="146" t="s">
        <v>39</v>
      </c>
      <c r="H1004" s="147">
        <f>IF( ISERROR( OFFSET(   'Cuadro tarifario'!D$2  , MATCH(CONCATENATE(                 IF(F1004&gt;Mes,OFFSET(NroCT!B$17, MATCH($F1004,NroCT!$A$18:$A1405,0),0,1,1),Periodovigente)                                                                                                                     ,A1004) ,'Cuadro tarifario'!A$2:A1405,0) -1 , 0 , 1 , 1) )   , 0  ,   OFFSET(   'Cuadro tarifario'!D$2  , MATCH(CONCATENATE( IF(F1004&gt;Mes,OFFSET(NroCT!B$17, MATCH($F1004,NroCT!$A$18:$A1405,0),0,1,1),Periodovigente) ,A1004) ,'Cuadro tarifario'!A$2:A1405,0) -1 , 0 , 1 , 1))</f>
        <v>11000</v>
      </c>
      <c r="I1004" s="148">
        <f t="shared" si="252"/>
        <v>5</v>
      </c>
      <c r="J1004" s="147">
        <f t="shared" si="235"/>
        <v>55000</v>
      </c>
      <c r="K1004" s="149">
        <f>IF(  AND(N1004&gt;0,I1004=0)          ,N1004 ,                         IF(  IF( F1004 ,  DAYS360(DATE(YEAR(F1004),MONTH(F1004),1),Mes)/30  ,  DAYS360(DATE(YEAR(E1004),MONTH(E1004),1),Mes)/30  )  &gt;  0 , IF(F1004,   DAYS360(DATE(YEAR(F1004),MONTH(F1004),1),Mes)/30  ,  DAYS360(DATE(YEAR(E1004),MONTH(E1004),1),Mes)/30) , 0)       )</f>
        <v>1</v>
      </c>
      <c r="L1004" s="150">
        <f t="shared" si="253"/>
        <v>11000</v>
      </c>
      <c r="M1004" s="156"/>
      <c r="N1004" s="152">
        <f>IF( ISERROR(OFFSET(SECUESTRADOS!D$1,MATCH(B1004,SECUESTRADOS!A$2:A1405,0),0)) ,0 ,  OFFSET(SECUESTRADOS!D$1,MATCH(B1004,SECUESTRADOS!A$2:A1405,0),0)  )</f>
        <v>0</v>
      </c>
      <c r="O1004" s="153"/>
      <c r="P1004" s="154" t="str">
        <f t="shared" si="238"/>
        <v>.socio</v>
      </c>
      <c r="Q1004" s="154" t="str">
        <f t="shared" ref="Q1004:Q1006" si="302">IF(AND(A1004=#REF!,B1004=#REF!,C1004=#REF!),"Repetido","")</f>
        <v>#REF!</v>
      </c>
      <c r="R1004" s="130"/>
      <c r="S1004" s="130"/>
      <c r="T1004" s="130"/>
    </row>
    <row r="1005">
      <c r="A1005" s="155" t="s">
        <v>38</v>
      </c>
      <c r="B1005" s="142">
        <v>2210.0</v>
      </c>
      <c r="C1005" s="143">
        <v>2210.0</v>
      </c>
      <c r="D1005" s="144" t="str">
        <f>IF(   ISERROR(OFFSET(PADRON!B$2,MATCH(C:C,PADRON!A$2:A1405,0)-1,0,1,1) )  ,  ,    OFFSET(PADRON!B$2,MATCH(C:C,PADRON!A$2:A1405,0)-1,0,1,1))</f>
        <v>ARANDIA, MAURICIO</v>
      </c>
      <c r="E1005" s="145">
        <v>45689.0</v>
      </c>
      <c r="F1005" s="145">
        <v>45839.0</v>
      </c>
      <c r="G1005" s="146" t="s">
        <v>39</v>
      </c>
      <c r="H1005" s="147">
        <f>IF( ISERROR( OFFSET(   'Cuadro tarifario'!D$2  , MATCH(CONCATENATE(                 IF(F1005&gt;Mes,OFFSET(NroCT!B$17, MATCH($F1005,NroCT!$A$18:$A1405,0),0,1,1),Periodovigente)                                                                                                                     ,A1005) ,'Cuadro tarifario'!A$2:A1405,0) -1 , 0 , 1 , 1) )   , 0  ,   OFFSET(   'Cuadro tarifario'!D$2  , MATCH(CONCATENATE( IF(F1005&gt;Mes,OFFSET(NroCT!B$17, MATCH($F1005,NroCT!$A$18:$A1405,0),0,1,1),Periodovigente) ,A1005) ,'Cuadro tarifario'!A$2:A1405,0) -1 , 0 , 1 , 1))</f>
        <v>9000</v>
      </c>
      <c r="I1005" s="148">
        <f t="shared" si="252"/>
        <v>5</v>
      </c>
      <c r="J1005" s="147">
        <f t="shared" si="235"/>
        <v>45000</v>
      </c>
      <c r="K1005" s="149">
        <f>IF(  AND(N1005&gt;0,I1005=0)          ,N1005 ,                         IF(  IF( F1005 ,  DAYS360(DATE(YEAR(F1005),MONTH(F1005),1),Mes)/30  ,  DAYS360(DATE(YEAR(E1005),MONTH(E1005),1),Mes)/30  )  &gt;  0 , IF(F1005,   DAYS360(DATE(YEAR(F1005),MONTH(F1005),1),Mes)/30  ,  DAYS360(DATE(YEAR(E1005),MONTH(E1005),1),Mes)/30) , 0)       )</f>
        <v>1</v>
      </c>
      <c r="L1005" s="150">
        <f t="shared" si="253"/>
        <v>9000</v>
      </c>
      <c r="M1005" s="156"/>
      <c r="N1005" s="152">
        <f>IF( ISERROR(OFFSET(SECUESTRADOS!D$1,MATCH(B1005,SECUESTRADOS!A$2:A1405,0),0)) ,0 ,  OFFSET(SECUESTRADOS!D$1,MATCH(B1005,SECUESTRADOS!A$2:A1405,0),0)  )</f>
        <v>0</v>
      </c>
      <c r="O1005" s="153"/>
      <c r="P1005" s="154" t="str">
        <f t="shared" si="238"/>
        <v>Bono canon</v>
      </c>
      <c r="Q1005" s="154" t="str">
        <f t="shared" si="302"/>
        <v>#REF!</v>
      </c>
      <c r="R1005" s="130"/>
      <c r="S1005" s="130"/>
      <c r="T1005" s="130"/>
    </row>
    <row r="1006">
      <c r="A1006" s="155" t="s">
        <v>40</v>
      </c>
      <c r="B1006" s="142" t="s">
        <v>421</v>
      </c>
      <c r="C1006" s="143">
        <v>2210.0</v>
      </c>
      <c r="D1006" s="144" t="str">
        <f>IF(   ISERROR(OFFSET(PADRON!B$2,MATCH(C:C,PADRON!A$2:A1405,0)-1,0,1,1) )  ,  ,    OFFSET(PADRON!B$2,MATCH(C:C,PADRON!A$2:A1405,0)-1,0,1,1))</f>
        <v>ARANDIA, MAURICIO</v>
      </c>
      <c r="E1006" s="145">
        <v>45689.0</v>
      </c>
      <c r="F1006" s="145">
        <v>45839.0</v>
      </c>
      <c r="G1006" s="146" t="s">
        <v>39</v>
      </c>
      <c r="H1006" s="147">
        <f>IF( ISERROR( OFFSET(   'Cuadro tarifario'!D$2  , MATCH(CONCATENATE(                 IF(F1006&gt;Mes,OFFSET(NroCT!B$17, MATCH($F1006,NroCT!$A$18:$A1405,0),0,1,1),Periodovigente)                                                                                                                     ,A1006) ,'Cuadro tarifario'!A$2:A1405,0) -1 , 0 , 1 , 1) )   , 0  ,   OFFSET(   'Cuadro tarifario'!D$2  , MATCH(CONCATENATE( IF(F1006&gt;Mes,OFFSET(NroCT!B$17, MATCH($F1006,NroCT!$A$18:$A1405,0),0,1,1),Periodovigente) ,A1006) ,'Cuadro tarifario'!A$2:A1405,0) -1 , 0 , 1 , 1))</f>
        <v>12000</v>
      </c>
      <c r="I1006" s="148">
        <f t="shared" si="252"/>
        <v>5</v>
      </c>
      <c r="J1006" s="147">
        <f t="shared" si="235"/>
        <v>60000</v>
      </c>
      <c r="K1006" s="149">
        <f>IF(  AND(N1006&gt;0,I1006=0)          ,N1006 ,                         IF(  IF( F1006 ,  DAYS360(DATE(YEAR(F1006),MONTH(F1006),1),Mes)/30  ,  DAYS360(DATE(YEAR(E1006),MONTH(E1006),1),Mes)/30  )  &gt;  0 , IF(F1006,   DAYS360(DATE(YEAR(F1006),MONTH(F1006),1),Mes)/30  ,  DAYS360(DATE(YEAR(E1006),MONTH(E1006),1),Mes)/30) , 0)       )</f>
        <v>1</v>
      </c>
      <c r="L1006" s="150">
        <f t="shared" si="253"/>
        <v>12000</v>
      </c>
      <c r="M1006" s="156"/>
      <c r="N1006" s="152">
        <f>IF( ISERROR(OFFSET(SECUESTRADOS!D$1,MATCH(B1006,SECUESTRADOS!A$2:A1405,0),0)) ,0 ,  OFFSET(SECUESTRADOS!D$1,MATCH(B1006,SECUESTRADOS!A$2:A1405,0),0)  )</f>
        <v>0</v>
      </c>
      <c r="O1006" s="153"/>
      <c r="P1006" s="154" t="str">
        <f t="shared" si="238"/>
        <v>cuna windsurf</v>
      </c>
      <c r="Q1006" s="154" t="str">
        <f t="shared" si="302"/>
        <v>#REF!</v>
      </c>
      <c r="R1006" s="130"/>
      <c r="S1006" s="130"/>
      <c r="T1006" s="130"/>
    </row>
    <row r="1007" ht="15.0" customHeight="1">
      <c r="A1007" s="113" t="s">
        <v>71</v>
      </c>
      <c r="B1007" s="113">
        <v>2211.0</v>
      </c>
      <c r="C1007" s="19">
        <v>2211.0</v>
      </c>
      <c r="D1007" s="20" t="str">
        <f>IF(   ISERROR(OFFSET(PADRON!B$2,MATCH(C:C,PADRON!A$2:A1405,0)-1,0,1,1) )  ,  ,    OFFSET(PADRON!B$2,MATCH(C:C,PADRON!A$2:A1405,0)-1,0,1,1))</f>
        <v>COLLENZ, JUSTINA</v>
      </c>
      <c r="E1007" s="21">
        <v>45839.0</v>
      </c>
      <c r="F1007" s="21">
        <v>45870.0</v>
      </c>
      <c r="G1007" s="23" t="s">
        <v>39</v>
      </c>
      <c r="H1007" s="24">
        <f>IF( ISERROR( OFFSET(   'Cuadro tarifario'!D$2  , MATCH(CONCATENATE(                 IF(F1007&gt;Mes,OFFSET(NroCT!B$17, MATCH($F1007,NroCT!$A$18:$A1405,0),0,1,1),Periodovigente)                                                                                                                     ,A1007) ,'Cuadro tarifario'!A$2:A1405,0) -1 , 0 , 1 , 1) )   , 0  ,   OFFSET(   'Cuadro tarifario'!D$2  , MATCH(CONCATENATE( IF(F1007&gt;Mes,OFFSET(NroCT!B$17, MATCH($F1007,NroCT!$A$18:$A1405,0),0,1,1),Periodovigente) ,A1007) ,'Cuadro tarifario'!A$2:A1405,0) -1 , 0 , 1 , 1))</f>
        <v>11000</v>
      </c>
      <c r="I1007" s="106">
        <f t="shared" si="252"/>
        <v>1</v>
      </c>
      <c r="J1007" s="107">
        <f t="shared" si="235"/>
        <v>11000</v>
      </c>
      <c r="K1007" s="108">
        <f>IF(  AND(N1007&gt;0,I1007=0)          ,N1007 ,                         IF(  IF( F1007 ,  DAYS360(DATE(YEAR(F1007),MONTH(F1007),1),Mes)/30  ,  DAYS360(DATE(YEAR(E1007),MONTH(E1007),1),Mes)/30  )  &gt;  0 , IF(F1007,   DAYS360(DATE(YEAR(F1007),MONTH(F1007),1),Mes)/30  ,  DAYS360(DATE(YEAR(E1007),MONTH(E1007),1),Mes)/30) , 0)       )</f>
        <v>0</v>
      </c>
      <c r="L1007" s="109">
        <f t="shared" si="253"/>
        <v>0</v>
      </c>
      <c r="M1007" s="110"/>
      <c r="N1007" s="29">
        <f>IF( ISERROR(OFFSET(SECUESTRADOS!D$1,MATCH(B1007,SECUESTRADOS!A$2:A1405,0),0)) ,0 ,  OFFSET(SECUESTRADOS!D$1,MATCH(B1007,SECUESTRADOS!A$2:A1405,0),0)  )</f>
        <v>0</v>
      </c>
      <c r="O1007" s="30"/>
      <c r="P1007" s="17" t="str">
        <f t="shared" si="238"/>
        <v>.socio</v>
      </c>
      <c r="Q1007" s="17" t="str">
        <f>IF(AND(A1007=A302,B1007=B302,C1007=C302),"Repetido","")</f>
        <v/>
      </c>
      <c r="R1007" s="31"/>
      <c r="S1007" s="31"/>
      <c r="T1007" s="31"/>
    </row>
    <row r="1008">
      <c r="A1008" s="155" t="s">
        <v>38</v>
      </c>
      <c r="B1008" s="142">
        <v>2211.0</v>
      </c>
      <c r="C1008" s="143">
        <v>2211.0</v>
      </c>
      <c r="D1008" s="144" t="str">
        <f>IF(   ISERROR(OFFSET(PADRON!B$2,MATCH(C:C,PADRON!A$2:A1405,0)-1,0,1,1) )  ,  ,    OFFSET(PADRON!B$2,MATCH(C:C,PADRON!A$2:A1405,0)-1,0,1,1))</f>
        <v>COLLENZ, JUSTINA</v>
      </c>
      <c r="E1008" s="145">
        <v>45839.0</v>
      </c>
      <c r="F1008" s="145">
        <v>45870.0</v>
      </c>
      <c r="G1008" s="146" t="s">
        <v>39</v>
      </c>
      <c r="H1008" s="147">
        <f>IF( ISERROR( OFFSET(   'Cuadro tarifario'!D$2  , MATCH(CONCATENATE(                 IF(F1008&gt;Mes,OFFSET(NroCT!B$17, MATCH($F1008,NroCT!$A$18:$A1405,0),0,1,1),Periodovigente)                                                                                                                     ,A1008) ,'Cuadro tarifario'!A$2:A1405,0) -1 , 0 , 1 , 1) )   , 0  ,   OFFSET(   'Cuadro tarifario'!D$2  , MATCH(CONCATENATE( IF(F1008&gt;Mes,OFFSET(NroCT!B$17, MATCH($F1008,NroCT!$A$18:$A1405,0),0,1,1),Periodovigente) ,A1008) ,'Cuadro tarifario'!A$2:A1405,0) -1 , 0 , 1 , 1))</f>
        <v>9000</v>
      </c>
      <c r="I1008" s="148">
        <f t="shared" si="252"/>
        <v>1</v>
      </c>
      <c r="J1008" s="147">
        <f t="shared" si="235"/>
        <v>9000</v>
      </c>
      <c r="K1008" s="149">
        <f>IF(  AND(N1008&gt;0,I1008=0)          ,N1008 ,                         IF(  IF( F1008 ,  DAYS360(DATE(YEAR(F1008),MONTH(F1008),1),Mes)/30  ,  DAYS360(DATE(YEAR(E1008),MONTH(E1008),1),Mes)/30  )  &gt;  0 , IF(F1008,   DAYS360(DATE(YEAR(F1008),MONTH(F1008),1),Mes)/30  ,  DAYS360(DATE(YEAR(E1008),MONTH(E1008),1),Mes)/30) , 0)       )</f>
        <v>0</v>
      </c>
      <c r="L1008" s="150">
        <f t="shared" si="253"/>
        <v>0</v>
      </c>
      <c r="M1008" s="156"/>
      <c r="N1008" s="152">
        <f>IF( ISERROR(OFFSET(SECUESTRADOS!D$1,MATCH(B1008,SECUESTRADOS!A$2:A1405,0),0)) ,0 ,  OFFSET(SECUESTRADOS!D$1,MATCH(B1008,SECUESTRADOS!A$2:A1405,0),0)  )</f>
        <v>0</v>
      </c>
      <c r="O1008" s="153"/>
      <c r="P1008" s="154" t="str">
        <f t="shared" si="238"/>
        <v>Bono canon</v>
      </c>
      <c r="Q1008" s="154" t="str">
        <f t="shared" ref="Q1008:Q1016" si="303">IF(AND(A1008=#REF!,B1008=#REF!,C1008=#REF!),"Repetido","")</f>
        <v>#REF!</v>
      </c>
      <c r="R1008" s="130"/>
      <c r="S1008" s="130"/>
      <c r="T1008" s="130"/>
    </row>
    <row r="1009">
      <c r="A1009" s="155" t="s">
        <v>82</v>
      </c>
      <c r="B1009" s="142" t="s">
        <v>422</v>
      </c>
      <c r="C1009" s="143">
        <v>2211.0</v>
      </c>
      <c r="D1009" s="144" t="str">
        <f>IF(   ISERROR(OFFSET(PADRON!B$2,MATCH(C:C,PADRON!A$2:A1405,0)-1,0,1,1) )  ,  ,    OFFSET(PADRON!B$2,MATCH(C:C,PADRON!A$2:A1405,0)-1,0,1,1))</f>
        <v>COLLENZ, JUSTINA</v>
      </c>
      <c r="E1009" s="145">
        <v>45839.0</v>
      </c>
      <c r="F1009" s="145">
        <v>45870.0</v>
      </c>
      <c r="G1009" s="146" t="s">
        <v>39</v>
      </c>
      <c r="H1009" s="147">
        <f>IF( ISERROR( OFFSET(   'Cuadro tarifario'!D$2  , MATCH(CONCATENATE(                 IF(F1009&gt;Mes,OFFSET(NroCT!B$17, MATCH($F1009,NroCT!$A$18:$A1405,0),0,1,1),Periodovigente)                                                                                                                     ,A1009) ,'Cuadro tarifario'!A$2:A1405,0) -1 , 0 , 1 , 1) )   , 0  ,   OFFSET(   'Cuadro tarifario'!D$2  , MATCH(CONCATENATE( IF(F1009&gt;Mes,OFFSET(NroCT!B$17, MATCH($F1009,NroCT!$A$18:$A1405,0),0,1,1),Periodovigente) ,A1009) ,'Cuadro tarifario'!A$2:A1405,0) -1 , 0 , 1 , 1))</f>
        <v>12000</v>
      </c>
      <c r="I1009" s="148">
        <f t="shared" si="252"/>
        <v>1</v>
      </c>
      <c r="J1009" s="147">
        <f t="shared" si="235"/>
        <v>12000</v>
      </c>
      <c r="K1009" s="149">
        <f>IF(  AND(N1009&gt;0,I1009=0)          ,N1009 ,                         IF(  IF( F1009 ,  DAYS360(DATE(YEAR(F1009),MONTH(F1009),1),Mes)/30  ,  DAYS360(DATE(YEAR(E1009),MONTH(E1009),1),Mes)/30  )  &gt;  0 , IF(F1009,   DAYS360(DATE(YEAR(F1009),MONTH(F1009),1),Mes)/30  ,  DAYS360(DATE(YEAR(E1009),MONTH(E1009),1),Mes)/30) , 0)       )</f>
        <v>0</v>
      </c>
      <c r="L1009" s="150">
        <f t="shared" si="253"/>
        <v>0</v>
      </c>
      <c r="M1009" s="156"/>
      <c r="N1009" s="152">
        <f>IF( ISERROR(OFFSET(SECUESTRADOS!D$1,MATCH(B1009,SECUESTRADOS!A$2:A1405,0),0)) ,0 ,  OFFSET(SECUESTRADOS!D$1,MATCH(B1009,SECUESTRADOS!A$2:A1405,0),0)  )</f>
        <v>0</v>
      </c>
      <c r="O1009" s="153"/>
      <c r="P1009" s="154" t="str">
        <f t="shared" si="238"/>
        <v>cuna kayak</v>
      </c>
      <c r="Q1009" s="154" t="str">
        <f t="shared" si="303"/>
        <v>#REF!</v>
      </c>
      <c r="R1009" s="130"/>
      <c r="S1009" s="130"/>
      <c r="T1009" s="130"/>
    </row>
    <row r="1010">
      <c r="A1010" s="155" t="s">
        <v>71</v>
      </c>
      <c r="B1010" s="142">
        <v>2212.0</v>
      </c>
      <c r="C1010" s="143">
        <v>2212.0</v>
      </c>
      <c r="D1010" s="144" t="str">
        <f>IF(   ISERROR(OFFSET(PADRON!B$2,MATCH(C:C,PADRON!A$2:A1405,0)-1,0,1,1) )  ,  ,    OFFSET(PADRON!B$2,MATCH(C:C,PADRON!A$2:A1405,0)-1,0,1,1))</f>
        <v>MOYANO, FABIAN</v>
      </c>
      <c r="E1010" s="145">
        <v>45839.0</v>
      </c>
      <c r="F1010" s="145">
        <v>45870.0</v>
      </c>
      <c r="G1010" s="146" t="s">
        <v>39</v>
      </c>
      <c r="H1010" s="147">
        <f>IF( ISERROR( OFFSET(   'Cuadro tarifario'!D$2  , MATCH(CONCATENATE(                 IF(F1010&gt;Mes,OFFSET(NroCT!B$17, MATCH($F1010,NroCT!$A$18:$A1405,0),0,1,1),Periodovigente)                                                                                                                     ,A1010) ,'Cuadro tarifario'!A$2:A1405,0) -1 , 0 , 1 , 1) )   , 0  ,   OFFSET(   'Cuadro tarifario'!D$2  , MATCH(CONCATENATE( IF(F1010&gt;Mes,OFFSET(NroCT!B$17, MATCH($F1010,NroCT!$A$18:$A1405,0),0,1,1),Periodovigente) ,A1010) ,'Cuadro tarifario'!A$2:A1405,0) -1 , 0 , 1 , 1))</f>
        <v>11000</v>
      </c>
      <c r="I1010" s="148">
        <f t="shared" si="252"/>
        <v>1</v>
      </c>
      <c r="J1010" s="147">
        <f t="shared" si="235"/>
        <v>11000</v>
      </c>
      <c r="K1010" s="149">
        <f>IF(  AND(N1010&gt;0,I1010=0)          ,N1010 ,                         IF(  IF( F1010 ,  DAYS360(DATE(YEAR(F1010),MONTH(F1010),1),Mes)/30  ,  DAYS360(DATE(YEAR(E1010),MONTH(E1010),1),Mes)/30  )  &gt;  0 , IF(F1010,   DAYS360(DATE(YEAR(F1010),MONTH(F1010),1),Mes)/30  ,  DAYS360(DATE(YEAR(E1010),MONTH(E1010),1),Mes)/30) , 0)       )</f>
        <v>0</v>
      </c>
      <c r="L1010" s="150">
        <f t="shared" si="253"/>
        <v>0</v>
      </c>
      <c r="M1010" s="156"/>
      <c r="N1010" s="152">
        <f>IF( ISERROR(OFFSET(SECUESTRADOS!D$1,MATCH(B1010,SECUESTRADOS!A$2:A1405,0),0)) ,0 ,  OFFSET(SECUESTRADOS!D$1,MATCH(B1010,SECUESTRADOS!A$2:A1405,0),0)  )</f>
        <v>0</v>
      </c>
      <c r="O1010" s="153"/>
      <c r="P1010" s="154" t="str">
        <f t="shared" si="238"/>
        <v>.socio</v>
      </c>
      <c r="Q1010" s="154" t="str">
        <f t="shared" si="303"/>
        <v>#REF!</v>
      </c>
      <c r="R1010" s="130"/>
      <c r="S1010" s="130"/>
      <c r="T1010" s="130"/>
    </row>
    <row r="1011">
      <c r="A1011" s="155" t="s">
        <v>38</v>
      </c>
      <c r="B1011" s="142">
        <v>2212.0</v>
      </c>
      <c r="C1011" s="143">
        <v>2212.0</v>
      </c>
      <c r="D1011" s="144" t="str">
        <f>IF(   ISERROR(OFFSET(PADRON!B$2,MATCH(C:C,PADRON!A$2:A1405,0)-1,0,1,1) )  ,  ,    OFFSET(PADRON!B$2,MATCH(C:C,PADRON!A$2:A1405,0)-1,0,1,1))</f>
        <v>MOYANO, FABIAN</v>
      </c>
      <c r="E1011" s="145">
        <v>45839.0</v>
      </c>
      <c r="F1011" s="145">
        <v>45870.0</v>
      </c>
      <c r="G1011" s="146" t="s">
        <v>39</v>
      </c>
      <c r="H1011" s="147">
        <f>IF( ISERROR( OFFSET(   'Cuadro tarifario'!D$2  , MATCH(CONCATENATE(                 IF(F1011&gt;Mes,OFFSET(NroCT!B$17, MATCH($F1011,NroCT!$A$18:$A1405,0),0,1,1),Periodovigente)                                                                                                                     ,A1011) ,'Cuadro tarifario'!A$2:A1405,0) -1 , 0 , 1 , 1) )   , 0  ,   OFFSET(   'Cuadro tarifario'!D$2  , MATCH(CONCATENATE( IF(F1011&gt;Mes,OFFSET(NroCT!B$17, MATCH($F1011,NroCT!$A$18:$A1405,0),0,1,1),Periodovigente) ,A1011) ,'Cuadro tarifario'!A$2:A1405,0) -1 , 0 , 1 , 1))</f>
        <v>9000</v>
      </c>
      <c r="I1011" s="148">
        <f t="shared" si="252"/>
        <v>1</v>
      </c>
      <c r="J1011" s="147">
        <f t="shared" si="235"/>
        <v>9000</v>
      </c>
      <c r="K1011" s="149">
        <f>IF(  AND(N1011&gt;0,I1011=0)          ,N1011 ,                         IF(  IF( F1011 ,  DAYS360(DATE(YEAR(F1011),MONTH(F1011),1),Mes)/30  ,  DAYS360(DATE(YEAR(E1011),MONTH(E1011),1),Mes)/30  )  &gt;  0 , IF(F1011,   DAYS360(DATE(YEAR(F1011),MONTH(F1011),1),Mes)/30  ,  DAYS360(DATE(YEAR(E1011),MONTH(E1011),1),Mes)/30) , 0)       )</f>
        <v>0</v>
      </c>
      <c r="L1011" s="150">
        <f t="shared" si="253"/>
        <v>0</v>
      </c>
      <c r="M1011" s="156"/>
      <c r="N1011" s="152">
        <f>IF( ISERROR(OFFSET(SECUESTRADOS!D$1,MATCH(B1011,SECUESTRADOS!A$2:A1405,0),0)) ,0 ,  OFFSET(SECUESTRADOS!D$1,MATCH(B1011,SECUESTRADOS!A$2:A1405,0),0)  )</f>
        <v>0</v>
      </c>
      <c r="O1011" s="153"/>
      <c r="P1011" s="154" t="str">
        <f t="shared" si="238"/>
        <v>Bono canon</v>
      </c>
      <c r="Q1011" s="154" t="str">
        <f t="shared" si="303"/>
        <v>#REF!</v>
      </c>
      <c r="R1011" s="130"/>
      <c r="S1011" s="130"/>
      <c r="T1011" s="130"/>
    </row>
    <row r="1012">
      <c r="A1012" s="155" t="s">
        <v>71</v>
      </c>
      <c r="B1012" s="142">
        <v>2214.0</v>
      </c>
      <c r="C1012" s="143">
        <v>2214.0</v>
      </c>
      <c r="D1012" s="144" t="str">
        <f>IF(   ISERROR(OFFSET(PADRON!B$2,MATCH(C:C,PADRON!A$2:A1405,0)-1,0,1,1) )  ,  ,    OFFSET(PADRON!B$2,MATCH(C:C,PADRON!A$2:A1405,0)-1,0,1,1))</f>
        <v>MASETTO, RAMONA</v>
      </c>
      <c r="E1012" s="145">
        <v>45839.0</v>
      </c>
      <c r="F1012" s="145">
        <v>45870.0</v>
      </c>
      <c r="G1012" s="146" t="s">
        <v>39</v>
      </c>
      <c r="H1012" s="147">
        <f>IF( ISERROR( OFFSET(   'Cuadro tarifario'!D$2  , MATCH(CONCATENATE(                 IF(F1012&gt;Mes,OFFSET(NroCT!B$17, MATCH($F1012,NroCT!$A$18:$A1405,0),0,1,1),Periodovigente)                                                                                                                     ,A1012) ,'Cuadro tarifario'!A$2:A1405,0) -1 , 0 , 1 , 1) )   , 0  ,   OFFSET(   'Cuadro tarifario'!D$2  , MATCH(CONCATENATE( IF(F1012&gt;Mes,OFFSET(NroCT!B$17, MATCH($F1012,NroCT!$A$18:$A1405,0),0,1,1),Periodovigente) ,A1012) ,'Cuadro tarifario'!A$2:A1405,0) -1 , 0 , 1 , 1))</f>
        <v>11000</v>
      </c>
      <c r="I1012" s="148">
        <f t="shared" si="252"/>
        <v>1</v>
      </c>
      <c r="J1012" s="147">
        <f t="shared" si="235"/>
        <v>11000</v>
      </c>
      <c r="K1012" s="149">
        <f>IF(  AND(N1012&gt;0,I1012=0)          ,N1012 ,                         IF(  IF( F1012 ,  DAYS360(DATE(YEAR(F1012),MONTH(F1012),1),Mes)/30  ,  DAYS360(DATE(YEAR(E1012),MONTH(E1012),1),Mes)/30  )  &gt;  0 , IF(F1012,   DAYS360(DATE(YEAR(F1012),MONTH(F1012),1),Mes)/30  ,  DAYS360(DATE(YEAR(E1012),MONTH(E1012),1),Mes)/30) , 0)       )</f>
        <v>0</v>
      </c>
      <c r="L1012" s="150">
        <f t="shared" si="253"/>
        <v>0</v>
      </c>
      <c r="M1012" s="156"/>
      <c r="N1012" s="152">
        <f>IF( ISERROR(OFFSET(SECUESTRADOS!D$1,MATCH(B1012,SECUESTRADOS!A$2:A1405,0),0)) ,0 ,  OFFSET(SECUESTRADOS!D$1,MATCH(B1012,SECUESTRADOS!A$2:A1405,0),0)  )</f>
        <v>0</v>
      </c>
      <c r="O1012" s="153"/>
      <c r="P1012" s="154" t="str">
        <f t="shared" si="238"/>
        <v>.socio</v>
      </c>
      <c r="Q1012" s="154" t="str">
        <f t="shared" si="303"/>
        <v>#REF!</v>
      </c>
      <c r="R1012" s="130"/>
      <c r="S1012" s="130"/>
      <c r="T1012" s="130"/>
    </row>
    <row r="1013">
      <c r="A1013" s="155" t="s">
        <v>38</v>
      </c>
      <c r="B1013" s="142">
        <v>2214.0</v>
      </c>
      <c r="C1013" s="143">
        <v>2214.0</v>
      </c>
      <c r="D1013" s="144" t="str">
        <f>IF(   ISERROR(OFFSET(PADRON!B$2,MATCH(C:C,PADRON!A$2:A1405,0)-1,0,1,1) )  ,  ,    OFFSET(PADRON!B$2,MATCH(C:C,PADRON!A$2:A1405,0)-1,0,1,1))</f>
        <v>MASETTO, RAMONA</v>
      </c>
      <c r="E1013" s="145">
        <v>45839.0</v>
      </c>
      <c r="F1013" s="145">
        <v>45870.0</v>
      </c>
      <c r="G1013" s="146" t="s">
        <v>39</v>
      </c>
      <c r="H1013" s="147">
        <f>IF( ISERROR( OFFSET(   'Cuadro tarifario'!D$2  , MATCH(CONCATENATE(                 IF(F1013&gt;Mes,OFFSET(NroCT!B$17, MATCH($F1013,NroCT!$A$18:$A1405,0),0,1,1),Periodovigente)                                                                                                                     ,A1013) ,'Cuadro tarifario'!A$2:A1405,0) -1 , 0 , 1 , 1) )   , 0  ,   OFFSET(   'Cuadro tarifario'!D$2  , MATCH(CONCATENATE( IF(F1013&gt;Mes,OFFSET(NroCT!B$17, MATCH($F1013,NroCT!$A$18:$A1405,0),0,1,1),Periodovigente) ,A1013) ,'Cuadro tarifario'!A$2:A1405,0) -1 , 0 , 1 , 1))</f>
        <v>9000</v>
      </c>
      <c r="I1013" s="148">
        <f t="shared" si="252"/>
        <v>1</v>
      </c>
      <c r="J1013" s="147">
        <f t="shared" si="235"/>
        <v>9000</v>
      </c>
      <c r="K1013" s="149">
        <f>IF(  AND(N1013&gt;0,I1013=0)          ,N1013 ,                         IF(  IF( F1013 ,  DAYS360(DATE(YEAR(F1013),MONTH(F1013),1),Mes)/30  ,  DAYS360(DATE(YEAR(E1013),MONTH(E1013),1),Mes)/30  )  &gt;  0 , IF(F1013,   DAYS360(DATE(YEAR(F1013),MONTH(F1013),1),Mes)/30  ,  DAYS360(DATE(YEAR(E1013),MONTH(E1013),1),Mes)/30) , 0)       )</f>
        <v>0</v>
      </c>
      <c r="L1013" s="150">
        <f t="shared" si="253"/>
        <v>0</v>
      </c>
      <c r="M1013" s="156"/>
      <c r="N1013" s="152">
        <f>IF( ISERROR(OFFSET(SECUESTRADOS!D$1,MATCH(B1013,SECUESTRADOS!A$2:A1405,0),0)) ,0 ,  OFFSET(SECUESTRADOS!D$1,MATCH(B1013,SECUESTRADOS!A$2:A1405,0),0)  )</f>
        <v>0</v>
      </c>
      <c r="O1013" s="153"/>
      <c r="P1013" s="154" t="str">
        <f t="shared" si="238"/>
        <v>Bono canon</v>
      </c>
      <c r="Q1013" s="154" t="str">
        <f t="shared" si="303"/>
        <v>#REF!</v>
      </c>
      <c r="R1013" s="130"/>
      <c r="S1013" s="130"/>
      <c r="T1013" s="130"/>
    </row>
    <row r="1014">
      <c r="A1014" s="155" t="s">
        <v>40</v>
      </c>
      <c r="B1014" s="142" t="s">
        <v>423</v>
      </c>
      <c r="C1014" s="143">
        <v>2214.0</v>
      </c>
      <c r="D1014" s="144" t="str">
        <f>IF(   ISERROR(OFFSET(PADRON!B$2,MATCH(C:C,PADRON!A$2:A1405,0)-1,0,1,1) )  ,  ,    OFFSET(PADRON!B$2,MATCH(C:C,PADRON!A$2:A1405,0)-1,0,1,1))</f>
        <v>MASETTO, RAMONA</v>
      </c>
      <c r="E1014" s="145">
        <v>45839.0</v>
      </c>
      <c r="F1014" s="145">
        <v>45870.0</v>
      </c>
      <c r="G1014" s="146" t="s">
        <v>39</v>
      </c>
      <c r="H1014" s="147">
        <f>IF( ISERROR( OFFSET(   'Cuadro tarifario'!D$2  , MATCH(CONCATENATE(                 IF(F1014&gt;Mes,OFFSET(NroCT!B$17, MATCH($F1014,NroCT!$A$18:$A1405,0),0,1,1),Periodovigente)                                                                                                                     ,A1014) ,'Cuadro tarifario'!A$2:A1405,0) -1 , 0 , 1 , 1) )   , 0  ,   OFFSET(   'Cuadro tarifario'!D$2  , MATCH(CONCATENATE( IF(F1014&gt;Mes,OFFSET(NroCT!B$17, MATCH($F1014,NroCT!$A$18:$A1405,0),0,1,1),Periodovigente) ,A1014) ,'Cuadro tarifario'!A$2:A1405,0) -1 , 0 , 1 , 1))</f>
        <v>12000</v>
      </c>
      <c r="I1014" s="148">
        <f t="shared" si="252"/>
        <v>1</v>
      </c>
      <c r="J1014" s="147">
        <f t="shared" si="235"/>
        <v>12000</v>
      </c>
      <c r="K1014" s="149">
        <f>IF(  AND(N1014&gt;0,I1014=0)          ,N1014 ,                         IF(  IF( F1014 ,  DAYS360(DATE(YEAR(F1014),MONTH(F1014),1),Mes)/30  ,  DAYS360(DATE(YEAR(E1014),MONTH(E1014),1),Mes)/30  )  &gt;  0 , IF(F1014,   DAYS360(DATE(YEAR(F1014),MONTH(F1014),1),Mes)/30  ,  DAYS360(DATE(YEAR(E1014),MONTH(E1014),1),Mes)/30) , 0)       )</f>
        <v>0</v>
      </c>
      <c r="L1014" s="150">
        <f t="shared" si="253"/>
        <v>0</v>
      </c>
      <c r="M1014" s="156"/>
      <c r="N1014" s="152">
        <f>IF( ISERROR(OFFSET(SECUESTRADOS!D$1,MATCH(B1014,SECUESTRADOS!A$2:A1405,0),0)) ,0 ,  OFFSET(SECUESTRADOS!D$1,MATCH(B1014,SECUESTRADOS!A$2:A1405,0),0)  )</f>
        <v>0</v>
      </c>
      <c r="O1014" s="153"/>
      <c r="P1014" s="154" t="str">
        <f t="shared" si="238"/>
        <v>cuna windsurf</v>
      </c>
      <c r="Q1014" s="154" t="str">
        <f t="shared" si="303"/>
        <v>#REF!</v>
      </c>
      <c r="R1014" s="130"/>
      <c r="S1014" s="130"/>
      <c r="T1014" s="130"/>
    </row>
    <row r="1015">
      <c r="A1015" s="17" t="s">
        <v>71</v>
      </c>
      <c r="B1015" s="116">
        <v>2215.0</v>
      </c>
      <c r="C1015" s="140">
        <v>2215.0</v>
      </c>
      <c r="D1015" s="57" t="str">
        <f>IF(   ISERROR(OFFSET(PADRON!B$2,MATCH(C:C,PADRON!A$2:A1405,0)-1,0,1,1) )  ,  ,    OFFSET(PADRON!B$2,MATCH(C:C,PADRON!A$2:A1405,0)-1,0,1,1))</f>
        <v>POCH, LUCIA</v>
      </c>
      <c r="E1015" s="58">
        <v>45689.0</v>
      </c>
      <c r="F1015" s="58">
        <v>45839.0</v>
      </c>
      <c r="G1015" s="60" t="s">
        <v>39</v>
      </c>
      <c r="H1015" s="60">
        <f>IF( ISERROR( OFFSET(   'Cuadro tarifario'!D$2  , MATCH(CONCATENATE(                 IF(F1015&gt;Mes,OFFSET(NroCT!B$17, MATCH($F1015,NroCT!$A$18:$A1405,0),0,1,1),Periodovigente)                                                                                                                     ,A1015) ,'Cuadro tarifario'!A$2:A1405,0) -1 , 0 , 1 , 1) )   , 0  ,   OFFSET(   'Cuadro tarifario'!D$2  , MATCH(CONCATENATE( IF(F1015&gt;Mes,OFFSET(NroCT!B$17, MATCH($F1015,NroCT!$A$18:$A1405,0),0,1,1),Periodovigente) ,A1015) ,'Cuadro tarifario'!A$2:A1405,0) -1 , 0 , 1 , 1))</f>
        <v>11000</v>
      </c>
      <c r="I1015" s="61">
        <f t="shared" si="252"/>
        <v>5</v>
      </c>
      <c r="J1015" s="60">
        <f t="shared" si="235"/>
        <v>55000</v>
      </c>
      <c r="K1015" s="62">
        <f>IF(  AND(N1015&gt;0,I1015=0)          ,N1015 ,                         IF(  IF( F1015 ,  DAYS360(DATE(YEAR(F1015),MONTH(F1015),1),Mes)/30  ,  DAYS360(DATE(YEAR(E1015),MONTH(E1015),1),Mes)/30  )  &gt;  0 , IF(F1015,   DAYS360(DATE(YEAR(F1015),MONTH(F1015),1),Mes)/30  ,  DAYS360(DATE(YEAR(E1015),MONTH(E1015),1),Mes)/30) , 0)       )</f>
        <v>1</v>
      </c>
      <c r="L1015" s="63">
        <f t="shared" si="253"/>
        <v>11000</v>
      </c>
      <c r="M1015" s="137"/>
      <c r="N1015" s="97">
        <f>IF( ISERROR(OFFSET(SECUESTRADOS!D$1,MATCH(B1015,SECUESTRADOS!A$2:A1405,0),0)) ,0 ,  OFFSET(SECUESTRADOS!D$1,MATCH(B1015,SECUESTRADOS!A$2:A1405,0),0)  )</f>
        <v>0</v>
      </c>
      <c r="O1015" s="98"/>
      <c r="P1015" s="99" t="str">
        <f t="shared" si="238"/>
        <v>.socio</v>
      </c>
      <c r="Q1015" s="99" t="str">
        <f t="shared" si="303"/>
        <v>#REF!</v>
      </c>
      <c r="R1015" s="130"/>
      <c r="S1015" s="130"/>
      <c r="T1015" s="130"/>
    </row>
    <row r="1016">
      <c r="A1016" s="141" t="s">
        <v>38</v>
      </c>
      <c r="B1016" s="142">
        <v>2215.0</v>
      </c>
      <c r="C1016" s="143">
        <v>2215.0</v>
      </c>
      <c r="D1016" s="144" t="str">
        <f>IF(   ISERROR(OFFSET(PADRON!B$2,MATCH(C:C,PADRON!A$2:A1405,0)-1,0,1,1) )  ,  ,    OFFSET(PADRON!B$2,MATCH(C:C,PADRON!A$2:A1405,0)-1,0,1,1))</f>
        <v>POCH, LUCIA</v>
      </c>
      <c r="E1016" s="145">
        <v>45689.0</v>
      </c>
      <c r="F1016" s="145">
        <v>45839.0</v>
      </c>
      <c r="G1016" s="147" t="s">
        <v>39</v>
      </c>
      <c r="H1016" s="147">
        <f>IF( ISERROR( OFFSET(   'Cuadro tarifario'!D$2  , MATCH(CONCATENATE(                 IF(F1016&gt;Mes,OFFSET(NroCT!B$17, MATCH($F1016,NroCT!$A$18:$A1405,0),0,1,1),Periodovigente)                                                                                                                     ,A1016) ,'Cuadro tarifario'!A$2:A1405,0) -1 , 0 , 1 , 1) )   , 0  ,   OFFSET(   'Cuadro tarifario'!D$2  , MATCH(CONCATENATE( IF(F1016&gt;Mes,OFFSET(NroCT!B$17, MATCH($F1016,NroCT!$A$18:$A1405,0),0,1,1),Periodovigente) ,A1016) ,'Cuadro tarifario'!A$2:A1405,0) -1 , 0 , 1 , 1))</f>
        <v>9000</v>
      </c>
      <c r="I1016" s="148">
        <f t="shared" si="252"/>
        <v>5</v>
      </c>
      <c r="J1016" s="147">
        <f t="shared" si="235"/>
        <v>45000</v>
      </c>
      <c r="K1016" s="149">
        <f>IF(  AND(N1016&gt;0,I1016=0)          ,N1016 ,                         IF(  IF( F1016 ,  DAYS360(DATE(YEAR(F1016),MONTH(F1016),1),Mes)/30  ,  DAYS360(DATE(YEAR(E1016),MONTH(E1016),1),Mes)/30  )  &gt;  0 , IF(F1016,   DAYS360(DATE(YEAR(F1016),MONTH(F1016),1),Mes)/30  ,  DAYS360(DATE(YEAR(E1016),MONTH(E1016),1),Mes)/30) , 0)       )</f>
        <v>1</v>
      </c>
      <c r="L1016" s="150">
        <f t="shared" si="253"/>
        <v>9000</v>
      </c>
      <c r="M1016" s="161"/>
      <c r="N1016" s="152">
        <f>IF( ISERROR(OFFSET(SECUESTRADOS!D$1,MATCH(B1016,SECUESTRADOS!A$2:A1405,0),0)) ,0 ,  OFFSET(SECUESTRADOS!D$1,MATCH(B1016,SECUESTRADOS!A$2:A1405,0),0)  )</f>
        <v>0</v>
      </c>
      <c r="O1016" s="153"/>
      <c r="P1016" s="154" t="str">
        <f t="shared" si="238"/>
        <v>Bono canon</v>
      </c>
      <c r="Q1016" s="154" t="str">
        <f t="shared" si="303"/>
        <v>#REF!</v>
      </c>
      <c r="R1016" s="130"/>
      <c r="S1016" s="130"/>
      <c r="T1016" s="130"/>
    </row>
    <row r="1017" ht="15.0" customHeight="1">
      <c r="A1017" s="113" t="s">
        <v>71</v>
      </c>
      <c r="B1017" s="113">
        <v>2216.0</v>
      </c>
      <c r="C1017" s="19">
        <v>2216.0</v>
      </c>
      <c r="D1017" s="20" t="str">
        <f>IF(   ISERROR(OFFSET(PADRON!B$2,MATCH(C:C,PADRON!A$2:A1405,0)-1,0,1,1) )  ,  ,    OFFSET(PADRON!B$2,MATCH(C:C,PADRON!A$2:A1405,0)-1,0,1,1))</f>
        <v>PEREZ, MARCELO FABIO</v>
      </c>
      <c r="E1017" s="21">
        <v>45839.0</v>
      </c>
      <c r="F1017" s="21">
        <v>45870.0</v>
      </c>
      <c r="G1017" s="23" t="s">
        <v>39</v>
      </c>
      <c r="H1017" s="24">
        <f>IF( ISERROR( OFFSET(   'Cuadro tarifario'!D$2  , MATCH(CONCATENATE(                 IF(F1017&gt;Mes,OFFSET(NroCT!B$17, MATCH($F1017,NroCT!$A$18:$A1405,0),0,1,1),Periodovigente)                                                                                                                     ,A1017) ,'Cuadro tarifario'!A$2:A1405,0) -1 , 0 , 1 , 1) )   , 0  ,   OFFSET(   'Cuadro tarifario'!D$2  , MATCH(CONCATENATE( IF(F1017&gt;Mes,OFFSET(NroCT!B$17, MATCH($F1017,NroCT!$A$18:$A1405,0),0,1,1),Periodovigente) ,A1017) ,'Cuadro tarifario'!A$2:A1405,0) -1 , 0 , 1 , 1))</f>
        <v>11000</v>
      </c>
      <c r="I1017" s="106">
        <f t="shared" si="252"/>
        <v>1</v>
      </c>
      <c r="J1017" s="107">
        <f t="shared" si="235"/>
        <v>11000</v>
      </c>
      <c r="K1017" s="108">
        <f>IF(  AND(N1017&gt;0,I1017=0)          ,N1017 ,                         IF(  IF( F1017 ,  DAYS360(DATE(YEAR(F1017),MONTH(F1017),1),Mes)/30  ,  DAYS360(DATE(YEAR(E1017),MONTH(E1017),1),Mes)/30  )  &gt;  0 , IF(F1017,   DAYS360(DATE(YEAR(F1017),MONTH(F1017),1),Mes)/30  ,  DAYS360(DATE(YEAR(E1017),MONTH(E1017),1),Mes)/30) , 0)       )</f>
        <v>0</v>
      </c>
      <c r="L1017" s="109">
        <f t="shared" si="253"/>
        <v>0</v>
      </c>
      <c r="M1017" s="110"/>
      <c r="N1017" s="29">
        <f>IF( ISERROR(OFFSET(SECUESTRADOS!D$1,MATCH(B1017,SECUESTRADOS!A$2:A1405,0),0)) ,0 ,  OFFSET(SECUESTRADOS!D$1,MATCH(B1017,SECUESTRADOS!A$2:A1405,0),0)  )</f>
        <v>0</v>
      </c>
      <c r="O1017" s="30"/>
      <c r="P1017" s="17" t="str">
        <f t="shared" si="238"/>
        <v>.socio</v>
      </c>
      <c r="Q1017" s="17" t="str">
        <f>IF(AND(A1017=A317,B1017=B317,C1017=C317),"Repetido","")</f>
        <v/>
      </c>
      <c r="R1017" s="31"/>
      <c r="S1017" s="31"/>
      <c r="T1017" s="31"/>
    </row>
    <row r="1018">
      <c r="A1018" s="18" t="s">
        <v>38</v>
      </c>
      <c r="B1018" s="116">
        <v>2216.0</v>
      </c>
      <c r="C1018" s="140">
        <v>2216.0</v>
      </c>
      <c r="D1018" s="57" t="str">
        <f>IF(   ISERROR(OFFSET(PADRON!B$2,MATCH(C:C,PADRON!A$2:A1405,0)-1,0,1,1) )  ,  ,    OFFSET(PADRON!B$2,MATCH(C:C,PADRON!A$2:A1405,0)-1,0,1,1))</f>
        <v>PEREZ, MARCELO FABIO</v>
      </c>
      <c r="E1018" s="58">
        <v>45839.0</v>
      </c>
      <c r="F1018" s="58">
        <v>45870.0</v>
      </c>
      <c r="G1018" s="60" t="s">
        <v>39</v>
      </c>
      <c r="H1018" s="60">
        <f>IF( ISERROR( OFFSET(   'Cuadro tarifario'!D$2  , MATCH(CONCATENATE(                 IF(F1018&gt;Mes,OFFSET(NroCT!B$17, MATCH($F1018,NroCT!$A$18:$A1405,0),0,1,1),Periodovigente)                                                                                                                     ,A1018) ,'Cuadro tarifario'!A$2:A1405,0) -1 , 0 , 1 , 1) )   , 0  ,   OFFSET(   'Cuadro tarifario'!D$2  , MATCH(CONCATENATE( IF(F1018&gt;Mes,OFFSET(NroCT!B$17, MATCH($F1018,NroCT!$A$18:$A1405,0),0,1,1),Periodovigente) ,A1018) ,'Cuadro tarifario'!A$2:A1405,0) -1 , 0 , 1 , 1))</f>
        <v>9000</v>
      </c>
      <c r="I1018" s="61">
        <f t="shared" si="252"/>
        <v>1</v>
      </c>
      <c r="J1018" s="60">
        <f t="shared" si="235"/>
        <v>9000</v>
      </c>
      <c r="K1018" s="62">
        <f>IF(  AND(N1018&gt;0,I1018=0)          ,N1018 ,                         IF(  IF( F1018 ,  DAYS360(DATE(YEAR(F1018),MONTH(F1018),1),Mes)/30  ,  DAYS360(DATE(YEAR(E1018),MONTH(E1018),1),Mes)/30  )  &gt;  0 , IF(F1018,   DAYS360(DATE(YEAR(F1018),MONTH(F1018),1),Mes)/30  ,  DAYS360(DATE(YEAR(E1018),MONTH(E1018),1),Mes)/30) , 0)       )</f>
        <v>0</v>
      </c>
      <c r="L1018" s="63">
        <f t="shared" si="253"/>
        <v>0</v>
      </c>
      <c r="M1018" s="137"/>
      <c r="N1018" s="97">
        <f>IF( ISERROR(OFFSET(SECUESTRADOS!D$1,MATCH(B1018,SECUESTRADOS!A$2:A1405,0),0)) ,0 ,  OFFSET(SECUESTRADOS!D$1,MATCH(B1018,SECUESTRADOS!A$2:A1405,0),0)  )</f>
        <v>0</v>
      </c>
      <c r="O1018" s="98"/>
      <c r="P1018" s="99" t="str">
        <f t="shared" si="238"/>
        <v>Bono canon</v>
      </c>
      <c r="Q1018" s="99" t="str">
        <f t="shared" ref="Q1018:Q1368" si="304">IF(AND(A1018=#REF!,B1018=#REF!,C1018=#REF!),"Repetido","")</f>
        <v>#REF!</v>
      </c>
      <c r="R1018" s="130"/>
      <c r="S1018" s="130"/>
      <c r="T1018" s="130"/>
    </row>
    <row r="1019">
      <c r="A1019" s="18" t="s">
        <v>82</v>
      </c>
      <c r="B1019" s="116" t="s">
        <v>424</v>
      </c>
      <c r="C1019" s="140">
        <v>2216.0</v>
      </c>
      <c r="D1019" s="57" t="str">
        <f>IF(   ISERROR(OFFSET(PADRON!B$2,MATCH(C:C,PADRON!A$2:A1405,0)-1,0,1,1) )  ,  ,    OFFSET(PADRON!B$2,MATCH(C:C,PADRON!A$2:A1405,0)-1,0,1,1))</f>
        <v>PEREZ, MARCELO FABIO</v>
      </c>
      <c r="E1019" s="58">
        <v>45839.0</v>
      </c>
      <c r="F1019" s="58">
        <v>45870.0</v>
      </c>
      <c r="G1019" s="60" t="s">
        <v>39</v>
      </c>
      <c r="H1019" s="60">
        <f>IF( ISERROR( OFFSET(   'Cuadro tarifario'!D$2  , MATCH(CONCATENATE(                 IF(F1019&gt;Mes,OFFSET(NroCT!B$17, MATCH($F1019,NroCT!$A$18:$A1405,0),0,1,1),Periodovigente)                                                                                                                     ,A1019) ,'Cuadro tarifario'!A$2:A1405,0) -1 , 0 , 1 , 1) )   , 0  ,   OFFSET(   'Cuadro tarifario'!D$2  , MATCH(CONCATENATE( IF(F1019&gt;Mes,OFFSET(NroCT!B$17, MATCH($F1019,NroCT!$A$18:$A1405,0),0,1,1),Periodovigente) ,A1019) ,'Cuadro tarifario'!A$2:A1405,0) -1 , 0 , 1 , 1))</f>
        <v>12000</v>
      </c>
      <c r="I1019" s="61">
        <f t="shared" si="252"/>
        <v>1</v>
      </c>
      <c r="J1019" s="60">
        <f t="shared" si="235"/>
        <v>12000</v>
      </c>
      <c r="K1019" s="62">
        <f>IF(  AND(N1019&gt;0,I1019=0)          ,N1019 ,                         IF(  IF( F1019 ,  DAYS360(DATE(YEAR(F1019),MONTH(F1019),1),Mes)/30  ,  DAYS360(DATE(YEAR(E1019),MONTH(E1019),1),Mes)/30  )  &gt;  0 , IF(F1019,   DAYS360(DATE(YEAR(F1019),MONTH(F1019),1),Mes)/30  ,  DAYS360(DATE(YEAR(E1019),MONTH(E1019),1),Mes)/30) , 0)       )</f>
        <v>0</v>
      </c>
      <c r="L1019" s="63">
        <f t="shared" si="253"/>
        <v>0</v>
      </c>
      <c r="M1019" s="137"/>
      <c r="N1019" s="97">
        <f>IF( ISERROR(OFFSET(SECUESTRADOS!D$1,MATCH(B1019,SECUESTRADOS!A$2:A1405,0),0)) ,0 ,  OFFSET(SECUESTRADOS!D$1,MATCH(B1019,SECUESTRADOS!A$2:A1405,0),0)  )</f>
        <v>0</v>
      </c>
      <c r="O1019" s="98"/>
      <c r="P1019" s="99" t="str">
        <f t="shared" si="238"/>
        <v>cuna kayak</v>
      </c>
      <c r="Q1019" s="99" t="str">
        <f t="shared" si="304"/>
        <v>#REF!</v>
      </c>
      <c r="R1019" s="130"/>
      <c r="S1019" s="130"/>
      <c r="T1019" s="130"/>
    </row>
    <row r="1020">
      <c r="A1020" s="18" t="s">
        <v>71</v>
      </c>
      <c r="B1020" s="116">
        <v>2218.0</v>
      </c>
      <c r="C1020" s="140">
        <v>2218.0</v>
      </c>
      <c r="D1020" s="57" t="str">
        <f>IF(   ISERROR(OFFSET(PADRON!B$2,MATCH(C:C,PADRON!A$2:A1405,0)-1,0,1,1) )  ,  ,    OFFSET(PADRON!B$2,MATCH(C:C,PADRON!A$2:A1405,0)-1,0,1,1))</f>
        <v>SZYCHOWSKI, MIGUEL</v>
      </c>
      <c r="E1020" s="58">
        <v>45809.0</v>
      </c>
      <c r="F1020" s="58"/>
      <c r="G1020" s="60" t="s">
        <v>39</v>
      </c>
      <c r="H1020" s="60">
        <f>IF( ISERROR( OFFSET(   'Cuadro tarifario'!D$2  , MATCH(CONCATENATE(                 IF(F1020&gt;Mes,OFFSET(NroCT!B$17, MATCH($F1020,NroCT!$A$18:$A1405,0),0,1,1),Periodovigente)                                                                                                                     ,A1020) ,'Cuadro tarifario'!A$2:A1405,0) -1 , 0 , 1 , 1) )   , 0  ,   OFFSET(   'Cuadro tarifario'!D$2  , MATCH(CONCATENATE( IF(F1020&gt;Mes,OFFSET(NroCT!B$17, MATCH($F1020,NroCT!$A$18:$A1405,0),0,1,1),Periodovigente) ,A1020) ,'Cuadro tarifario'!A$2:A1405,0) -1 , 0 , 1 , 1))</f>
        <v>11000</v>
      </c>
      <c r="I1020" s="61">
        <f t="shared" si="252"/>
        <v>0</v>
      </c>
      <c r="J1020" s="60">
        <f t="shared" si="235"/>
        <v>0</v>
      </c>
      <c r="K1020" s="62">
        <f>IF(  AND(N1020&gt;0,I1020=0)          ,N1020 ,                         IF(  IF( F1020 ,  DAYS360(DATE(YEAR(F1020),MONTH(F1020),1),Mes)/30  ,  DAYS360(DATE(YEAR(E1020),MONTH(E1020),1),Mes)/30  )  &gt;  0 , IF(F1020,   DAYS360(DATE(YEAR(F1020),MONTH(F1020),1),Mes)/30  ,  DAYS360(DATE(YEAR(E1020),MONTH(E1020),1),Mes)/30) , 0)       )</f>
        <v>2</v>
      </c>
      <c r="L1020" s="63">
        <f t="shared" si="253"/>
        <v>22000</v>
      </c>
      <c r="M1020" s="137"/>
      <c r="N1020" s="97">
        <f>IF( ISERROR(OFFSET(SECUESTRADOS!D$1,MATCH(B1020,SECUESTRADOS!A$2:A1405,0),0)) ,0 ,  OFFSET(SECUESTRADOS!D$1,MATCH(B1020,SECUESTRADOS!A$2:A1405,0),0)  )</f>
        <v>0</v>
      </c>
      <c r="O1020" s="98"/>
      <c r="P1020" s="99" t="b">
        <f t="shared" si="238"/>
        <v>0</v>
      </c>
      <c r="Q1020" s="99" t="str">
        <f t="shared" si="304"/>
        <v>#REF!</v>
      </c>
      <c r="R1020" s="130"/>
      <c r="S1020" s="130"/>
      <c r="T1020" s="130"/>
    </row>
    <row r="1021">
      <c r="A1021" s="155" t="s">
        <v>38</v>
      </c>
      <c r="B1021" s="142">
        <v>2218.0</v>
      </c>
      <c r="C1021" s="143">
        <v>2218.0</v>
      </c>
      <c r="D1021" s="144" t="str">
        <f>IF(   ISERROR(OFFSET(PADRON!B$2,MATCH(C:C,PADRON!A$2:A1405,0)-1,0,1,1) )  ,  ,    OFFSET(PADRON!B$2,MATCH(C:C,PADRON!A$2:A1405,0)-1,0,1,1))</f>
        <v>SZYCHOWSKI, MIGUEL</v>
      </c>
      <c r="E1021" s="145">
        <v>45809.0</v>
      </c>
      <c r="F1021" s="145"/>
      <c r="G1021" s="147" t="s">
        <v>39</v>
      </c>
      <c r="H1021" s="147">
        <f>IF( ISERROR( OFFSET(   'Cuadro tarifario'!D$2  , MATCH(CONCATENATE(                 IF(F1021&gt;Mes,OFFSET(NroCT!B$17, MATCH($F1021,NroCT!$A$18:$A1405,0),0,1,1),Periodovigente)                                                                                                                     ,A1021) ,'Cuadro tarifario'!A$2:A1405,0) -1 , 0 , 1 , 1) )   , 0  ,   OFFSET(   'Cuadro tarifario'!D$2  , MATCH(CONCATENATE( IF(F1021&gt;Mes,OFFSET(NroCT!B$17, MATCH($F1021,NroCT!$A$18:$A1405,0),0,1,1),Periodovigente) ,A1021) ,'Cuadro tarifario'!A$2:A1405,0) -1 , 0 , 1 , 1))</f>
        <v>9000</v>
      </c>
      <c r="I1021" s="148">
        <f t="shared" si="252"/>
        <v>0</v>
      </c>
      <c r="J1021" s="147">
        <f t="shared" si="235"/>
        <v>0</v>
      </c>
      <c r="K1021" s="149">
        <f>IF(  AND(N1021&gt;0,I1021=0)          ,N1021 ,                         IF(  IF( F1021 ,  DAYS360(DATE(YEAR(F1021),MONTH(F1021),1),Mes)/30  ,  DAYS360(DATE(YEAR(E1021),MONTH(E1021),1),Mes)/30  )  &gt;  0 , IF(F1021,   DAYS360(DATE(YEAR(F1021),MONTH(F1021),1),Mes)/30  ,  DAYS360(DATE(YEAR(E1021),MONTH(E1021),1),Mes)/30) , 0)       )</f>
        <v>2</v>
      </c>
      <c r="L1021" s="150">
        <f t="shared" si="253"/>
        <v>18000</v>
      </c>
      <c r="M1021" s="161"/>
      <c r="N1021" s="152">
        <f>IF( ISERROR(OFFSET(SECUESTRADOS!D$1,MATCH(B1021,SECUESTRADOS!A$2:A1405,0),0)) ,0 ,  OFFSET(SECUESTRADOS!D$1,MATCH(B1021,SECUESTRADOS!A$2:A1405,0),0)  )</f>
        <v>0</v>
      </c>
      <c r="O1021" s="153"/>
      <c r="P1021" s="154" t="b">
        <f t="shared" si="238"/>
        <v>0</v>
      </c>
      <c r="Q1021" s="154" t="str">
        <f t="shared" si="304"/>
        <v>#REF!</v>
      </c>
      <c r="R1021" s="130"/>
      <c r="S1021" s="130"/>
      <c r="T1021" s="130"/>
    </row>
    <row r="1022">
      <c r="A1022" s="155" t="s">
        <v>40</v>
      </c>
      <c r="B1022" s="142" t="s">
        <v>425</v>
      </c>
      <c r="C1022" s="143">
        <v>2218.0</v>
      </c>
      <c r="D1022" s="144" t="str">
        <f>IF(   ISERROR(OFFSET(PADRON!B$2,MATCH(C:C,PADRON!A$2:A1405,0)-1,0,1,1) )  ,  ,    OFFSET(PADRON!B$2,MATCH(C:C,PADRON!A$2:A1405,0)-1,0,1,1))</f>
        <v>SZYCHOWSKI, MIGUEL</v>
      </c>
      <c r="E1022" s="145">
        <v>45809.0</v>
      </c>
      <c r="F1022" s="145"/>
      <c r="G1022" s="147" t="s">
        <v>39</v>
      </c>
      <c r="H1022" s="147">
        <f>IF( ISERROR( OFFSET(   'Cuadro tarifario'!D$2  , MATCH(CONCATENATE(                 IF(F1022&gt;Mes,OFFSET(NroCT!B$17, MATCH($F1022,NroCT!$A$18:$A1405,0),0,1,1),Periodovigente)                                                                                                                     ,A1022) ,'Cuadro tarifario'!A$2:A1405,0) -1 , 0 , 1 , 1) )   , 0  ,   OFFSET(   'Cuadro tarifario'!D$2  , MATCH(CONCATENATE( IF(F1022&gt;Mes,OFFSET(NroCT!B$17, MATCH($F1022,NroCT!$A$18:$A1405,0),0,1,1),Periodovigente) ,A1022) ,'Cuadro tarifario'!A$2:A1405,0) -1 , 0 , 1 , 1))</f>
        <v>12000</v>
      </c>
      <c r="I1022" s="148">
        <f t="shared" si="252"/>
        <v>0</v>
      </c>
      <c r="J1022" s="147">
        <f t="shared" si="235"/>
        <v>0</v>
      </c>
      <c r="K1022" s="149">
        <f>IF(  AND(N1022&gt;0,I1022=0)          ,N1022 ,                         IF(  IF( F1022 ,  DAYS360(DATE(YEAR(F1022),MONTH(F1022),1),Mes)/30  ,  DAYS360(DATE(YEAR(E1022),MONTH(E1022),1),Mes)/30  )  &gt;  0 , IF(F1022,   DAYS360(DATE(YEAR(F1022),MONTH(F1022),1),Mes)/30  ,  DAYS360(DATE(YEAR(E1022),MONTH(E1022),1),Mes)/30) , 0)       )</f>
        <v>2</v>
      </c>
      <c r="L1022" s="150">
        <f t="shared" si="253"/>
        <v>24000</v>
      </c>
      <c r="M1022" s="161"/>
      <c r="N1022" s="152">
        <f>IF( ISERROR(OFFSET(SECUESTRADOS!D$1,MATCH(B1022,SECUESTRADOS!A$2:A1405,0),0)) ,0 ,  OFFSET(SECUESTRADOS!D$1,MATCH(B1022,SECUESTRADOS!A$2:A1405,0),0)  )</f>
        <v>0</v>
      </c>
      <c r="O1022" s="153"/>
      <c r="P1022" s="154" t="b">
        <f t="shared" si="238"/>
        <v>0</v>
      </c>
      <c r="Q1022" s="154" t="str">
        <f t="shared" si="304"/>
        <v>#REF!</v>
      </c>
      <c r="R1022" s="130"/>
      <c r="S1022" s="130"/>
      <c r="T1022" s="130"/>
    </row>
    <row r="1023">
      <c r="A1023" s="18" t="s">
        <v>71</v>
      </c>
      <c r="B1023" s="116">
        <v>2219.0</v>
      </c>
      <c r="C1023" s="140">
        <v>2219.0</v>
      </c>
      <c r="D1023" s="57" t="str">
        <f>IF(   ISERROR(OFFSET(PADRON!B$2,MATCH(C:C,PADRON!A$2:A1405,0)-1,0,1,1) )  ,  ,    OFFSET(PADRON!B$2,MATCH(C:C,PADRON!A$2:A1405,0)-1,0,1,1))</f>
        <v>CARDOZO GADDI, LIHUE AILIN</v>
      </c>
      <c r="E1023" s="58">
        <v>45839.0</v>
      </c>
      <c r="F1023" s="58">
        <v>45870.0</v>
      </c>
      <c r="G1023" s="60" t="s">
        <v>39</v>
      </c>
      <c r="H1023" s="60">
        <f>IF( ISERROR( OFFSET(   'Cuadro tarifario'!D$2  , MATCH(CONCATENATE(                 IF(F1023&gt;Mes,OFFSET(NroCT!B$17, MATCH($F1023,NroCT!$A$18:$A1405,0),0,1,1),Periodovigente)                                                                                                                     ,A1023) ,'Cuadro tarifario'!A$2:A1405,0) -1 , 0 , 1 , 1) )   , 0  ,   OFFSET(   'Cuadro tarifario'!D$2  , MATCH(CONCATENATE( IF(F1023&gt;Mes,OFFSET(NroCT!B$17, MATCH($F1023,NroCT!$A$18:$A1405,0),0,1,1),Periodovigente) ,A1023) ,'Cuadro tarifario'!A$2:A1405,0) -1 , 0 , 1 , 1))</f>
        <v>11000</v>
      </c>
      <c r="I1023" s="61">
        <f t="shared" si="252"/>
        <v>1</v>
      </c>
      <c r="J1023" s="60">
        <f t="shared" si="235"/>
        <v>11000</v>
      </c>
      <c r="K1023" s="62">
        <f>IF(  AND(N1023&gt;0,I1023=0)          ,N1023 ,                         IF(  IF( F1023 ,  DAYS360(DATE(YEAR(F1023),MONTH(F1023),1),Mes)/30  ,  DAYS360(DATE(YEAR(E1023),MONTH(E1023),1),Mes)/30  )  &gt;  0 , IF(F1023,   DAYS360(DATE(YEAR(F1023),MONTH(F1023),1),Mes)/30  ,  DAYS360(DATE(YEAR(E1023),MONTH(E1023),1),Mes)/30) , 0)       )</f>
        <v>0</v>
      </c>
      <c r="L1023" s="63">
        <f t="shared" si="253"/>
        <v>0</v>
      </c>
      <c r="M1023" s="137"/>
      <c r="N1023" s="97">
        <f>IF( ISERROR(OFFSET(SECUESTRADOS!D$1,MATCH(B1023,SECUESTRADOS!A$2:A1405,0),0)) ,0 ,  OFFSET(SECUESTRADOS!D$1,MATCH(B1023,SECUESTRADOS!A$2:A1405,0),0)  )</f>
        <v>0</v>
      </c>
      <c r="O1023" s="98"/>
      <c r="P1023" s="99" t="str">
        <f t="shared" si="238"/>
        <v>.socio</v>
      </c>
      <c r="Q1023" s="99" t="str">
        <f t="shared" si="304"/>
        <v>#REF!</v>
      </c>
      <c r="R1023" s="130"/>
      <c r="S1023" s="130"/>
      <c r="T1023" s="130"/>
    </row>
    <row r="1024">
      <c r="A1024" s="155" t="s">
        <v>38</v>
      </c>
      <c r="B1024" s="142">
        <v>2219.0</v>
      </c>
      <c r="C1024" s="143">
        <v>2219.0</v>
      </c>
      <c r="D1024" s="144" t="str">
        <f>IF(   ISERROR(OFFSET(PADRON!B$2,MATCH(C:C,PADRON!A$2:A1405,0)-1,0,1,1) )  ,  ,    OFFSET(PADRON!B$2,MATCH(C:C,PADRON!A$2:A1405,0)-1,0,1,1))</f>
        <v>CARDOZO GADDI, LIHUE AILIN</v>
      </c>
      <c r="E1024" s="145">
        <v>45839.0</v>
      </c>
      <c r="F1024" s="145">
        <v>45870.0</v>
      </c>
      <c r="G1024" s="147" t="s">
        <v>39</v>
      </c>
      <c r="H1024" s="147">
        <f>IF( ISERROR( OFFSET(   'Cuadro tarifario'!D$2  , MATCH(CONCATENATE(                 IF(F1024&gt;Mes,OFFSET(NroCT!B$17, MATCH($F1024,NroCT!$A$18:$A1405,0),0,1,1),Periodovigente)                                                                                                                     ,A1024) ,'Cuadro tarifario'!A$2:A1405,0) -1 , 0 , 1 , 1) )   , 0  ,   OFFSET(   'Cuadro tarifario'!D$2  , MATCH(CONCATENATE( IF(F1024&gt;Mes,OFFSET(NroCT!B$17, MATCH($F1024,NroCT!$A$18:$A1405,0),0,1,1),Periodovigente) ,A1024) ,'Cuadro tarifario'!A$2:A1405,0) -1 , 0 , 1 , 1))</f>
        <v>9000</v>
      </c>
      <c r="I1024" s="148">
        <f t="shared" si="252"/>
        <v>1</v>
      </c>
      <c r="J1024" s="147">
        <f t="shared" si="235"/>
        <v>9000</v>
      </c>
      <c r="K1024" s="149">
        <f>IF(  AND(N1024&gt;0,I1024=0)          ,N1024 ,                         IF(  IF( F1024 ,  DAYS360(DATE(YEAR(F1024),MONTH(F1024),1),Mes)/30  ,  DAYS360(DATE(YEAR(E1024),MONTH(E1024),1),Mes)/30  )  &gt;  0 , IF(F1024,   DAYS360(DATE(YEAR(F1024),MONTH(F1024),1),Mes)/30  ,  DAYS360(DATE(YEAR(E1024),MONTH(E1024),1),Mes)/30) , 0)       )</f>
        <v>0</v>
      </c>
      <c r="L1024" s="150">
        <f t="shared" si="253"/>
        <v>0</v>
      </c>
      <c r="M1024" s="161"/>
      <c r="N1024" s="152">
        <f>IF( ISERROR(OFFSET(SECUESTRADOS!D$1,MATCH(B1024,SECUESTRADOS!A$2:A1405,0),0)) ,0 ,  OFFSET(SECUESTRADOS!D$1,MATCH(B1024,SECUESTRADOS!A$2:A1405,0),0)  )</f>
        <v>0</v>
      </c>
      <c r="O1024" s="153"/>
      <c r="P1024" s="154" t="str">
        <f t="shared" si="238"/>
        <v>Bono canon</v>
      </c>
      <c r="Q1024" s="154" t="str">
        <f t="shared" si="304"/>
        <v>#REF!</v>
      </c>
      <c r="R1024" s="130"/>
      <c r="S1024" s="130"/>
      <c r="T1024" s="130"/>
    </row>
    <row r="1025">
      <c r="A1025" s="155" t="s">
        <v>40</v>
      </c>
      <c r="B1025" s="142" t="s">
        <v>426</v>
      </c>
      <c r="C1025" s="143">
        <v>2219.0</v>
      </c>
      <c r="D1025" s="144" t="str">
        <f>IF(   ISERROR(OFFSET(PADRON!B$2,MATCH(C:C,PADRON!A$2:A1405,0)-1,0,1,1) )  ,  ,    OFFSET(PADRON!B$2,MATCH(C:C,PADRON!A$2:A1405,0)-1,0,1,1))</f>
        <v>CARDOZO GADDI, LIHUE AILIN</v>
      </c>
      <c r="E1025" s="145">
        <v>45839.0</v>
      </c>
      <c r="F1025" s="145">
        <v>45870.0</v>
      </c>
      <c r="G1025" s="147" t="s">
        <v>39</v>
      </c>
      <c r="H1025" s="147">
        <f>IF( ISERROR( OFFSET(   'Cuadro tarifario'!D$2  , MATCH(CONCATENATE(                 IF(F1025&gt;Mes,OFFSET(NroCT!B$17, MATCH($F1025,NroCT!$A$18:$A1405,0),0,1,1),Periodovigente)                                                                                                                     ,A1025) ,'Cuadro tarifario'!A$2:A1405,0) -1 , 0 , 1 , 1) )   , 0  ,   OFFSET(   'Cuadro tarifario'!D$2  , MATCH(CONCATENATE( IF(F1025&gt;Mes,OFFSET(NroCT!B$17, MATCH($F1025,NroCT!$A$18:$A1405,0),0,1,1),Periodovigente) ,A1025) ,'Cuadro tarifario'!A$2:A1405,0) -1 , 0 , 1 , 1))</f>
        <v>12000</v>
      </c>
      <c r="I1025" s="148">
        <f t="shared" si="252"/>
        <v>1</v>
      </c>
      <c r="J1025" s="147">
        <f t="shared" si="235"/>
        <v>12000</v>
      </c>
      <c r="K1025" s="149">
        <f>IF(  AND(N1025&gt;0,I1025=0)          ,N1025 ,                         IF(  IF( F1025 ,  DAYS360(DATE(YEAR(F1025),MONTH(F1025),1),Mes)/30  ,  DAYS360(DATE(YEAR(E1025),MONTH(E1025),1),Mes)/30  )  &gt;  0 , IF(F1025,   DAYS360(DATE(YEAR(F1025),MONTH(F1025),1),Mes)/30  ,  DAYS360(DATE(YEAR(E1025),MONTH(E1025),1),Mes)/30) , 0)       )</f>
        <v>0</v>
      </c>
      <c r="L1025" s="150">
        <f t="shared" si="253"/>
        <v>0</v>
      </c>
      <c r="M1025" s="161"/>
      <c r="N1025" s="152">
        <f>IF( ISERROR(OFFSET(SECUESTRADOS!D$1,MATCH(B1025,SECUESTRADOS!A$2:A1405,0),0)) ,0 ,  OFFSET(SECUESTRADOS!D$1,MATCH(B1025,SECUESTRADOS!A$2:A1405,0),0)  )</f>
        <v>0</v>
      </c>
      <c r="O1025" s="153"/>
      <c r="P1025" s="154" t="str">
        <f t="shared" si="238"/>
        <v>cuna windsurf</v>
      </c>
      <c r="Q1025" s="154" t="str">
        <f t="shared" si="304"/>
        <v>#REF!</v>
      </c>
      <c r="R1025" s="130"/>
      <c r="S1025" s="130"/>
      <c r="T1025" s="130"/>
    </row>
    <row r="1026">
      <c r="A1026" s="155" t="s">
        <v>42</v>
      </c>
      <c r="B1026" s="142" t="s">
        <v>427</v>
      </c>
      <c r="C1026" s="143">
        <v>2219.0</v>
      </c>
      <c r="D1026" s="144" t="str">
        <f>IF(   ISERROR(OFFSET(PADRON!B$2,MATCH(C:C,PADRON!A$2:A1405,0)-1,0,1,1) )  ,  ,    OFFSET(PADRON!B$2,MATCH(C:C,PADRON!A$2:A1405,0)-1,0,1,1))</f>
        <v>CARDOZO GADDI, LIHUE AILIN</v>
      </c>
      <c r="E1026" s="145">
        <v>45992.0</v>
      </c>
      <c r="F1026" s="145"/>
      <c r="G1026" s="147" t="s">
        <v>39</v>
      </c>
      <c r="H1026" s="147">
        <f>IF( ISERROR( OFFSET(   'Cuadro tarifario'!D$2  , MATCH(CONCATENATE(                 IF(F1026&gt;Mes,OFFSET(NroCT!B$17, MATCH($F1026,NroCT!$A$18:$A1405,0),0,1,1),Periodovigente)                                                                                                                     ,A1026) ,'Cuadro tarifario'!A$2:A1405,0) -1 , 0 , 1 , 1) )   , 0  ,   OFFSET(   'Cuadro tarifario'!D$2  , MATCH(CONCATENATE( IF(F1026&gt;Mes,OFFSET(NroCT!B$17, MATCH($F1026,NroCT!$A$18:$A1405,0),0,1,1),Periodovigente) ,A1026) ,'Cuadro tarifario'!A$2:A1405,0) -1 , 0 , 1 , 1))</f>
        <v>4000</v>
      </c>
      <c r="I1026" s="148">
        <f t="shared" si="252"/>
        <v>0</v>
      </c>
      <c r="J1026" s="147">
        <f t="shared" si="235"/>
        <v>0</v>
      </c>
      <c r="K1026" s="149">
        <f>IF(  AND(N1026&gt;0,I1026=0)          ,N1026 ,                         IF(  IF( F1026 ,  DAYS360(DATE(YEAR(F1026),MONTH(F1026),1),Mes)/30  ,  DAYS360(DATE(YEAR(E1026),MONTH(E1026),1),Mes)/30  )  &gt;  0 , IF(F1026,   DAYS360(DATE(YEAR(F1026),MONTH(F1026),1),Mes)/30  ,  DAYS360(DATE(YEAR(E1026),MONTH(E1026),1),Mes)/30) , 0)       )</f>
        <v>0</v>
      </c>
      <c r="L1026" s="150">
        <f t="shared" si="253"/>
        <v>0</v>
      </c>
      <c r="M1026" s="161"/>
      <c r="N1026" s="152">
        <f>IF( ISERROR(OFFSET(SECUESTRADOS!D$1,MATCH(B1026,SECUESTRADOS!A$2:A1405,0),0)) ,0 ,  OFFSET(SECUESTRADOS!D$1,MATCH(B1026,SECUESTRADOS!A$2:A1405,0),0)  )</f>
        <v>0</v>
      </c>
      <c r="O1026" s="153"/>
      <c r="P1026" s="154" t="b">
        <f t="shared" si="238"/>
        <v>0</v>
      </c>
      <c r="Q1026" s="154" t="str">
        <f t="shared" si="304"/>
        <v>#REF!</v>
      </c>
      <c r="R1026" s="130"/>
      <c r="S1026" s="130"/>
      <c r="T1026" s="130"/>
    </row>
    <row r="1027">
      <c r="A1027" s="155" t="s">
        <v>42</v>
      </c>
      <c r="B1027" s="142" t="s">
        <v>428</v>
      </c>
      <c r="C1027" s="143">
        <v>2219.0</v>
      </c>
      <c r="D1027" s="144" t="str">
        <f>IF(   ISERROR(OFFSET(PADRON!B$2,MATCH(C:C,PADRON!A$2:A1405,0)-1,0,1,1) )  ,  ,    OFFSET(PADRON!B$2,MATCH(C:C,PADRON!A$2:A1405,0)-1,0,1,1))</f>
        <v>CARDOZO GADDI, LIHUE AILIN</v>
      </c>
      <c r="E1027" s="145">
        <v>45992.0</v>
      </c>
      <c r="F1027" s="145"/>
      <c r="G1027" s="147" t="s">
        <v>39</v>
      </c>
      <c r="H1027" s="147">
        <f>IF( ISERROR( OFFSET(   'Cuadro tarifario'!D$2  , MATCH(CONCATENATE(                 IF(F1027&gt;Mes,OFFSET(NroCT!B$17, MATCH($F1027,NroCT!$A$18:$A1405,0),0,1,1),Periodovigente)                                                                                                                     ,A1027) ,'Cuadro tarifario'!A$2:A1405,0) -1 , 0 , 1 , 1) )   , 0  ,   OFFSET(   'Cuadro tarifario'!D$2  , MATCH(CONCATENATE( IF(F1027&gt;Mes,OFFSET(NroCT!B$17, MATCH($F1027,NroCT!$A$18:$A1405,0),0,1,1),Periodovigente) ,A1027) ,'Cuadro tarifario'!A$2:A1405,0) -1 , 0 , 1 , 1))</f>
        <v>4000</v>
      </c>
      <c r="I1027" s="148">
        <f t="shared" si="252"/>
        <v>0</v>
      </c>
      <c r="J1027" s="147">
        <f t="shared" si="235"/>
        <v>0</v>
      </c>
      <c r="K1027" s="149">
        <f>IF(  AND(N1027&gt;0,I1027=0)          ,N1027 ,                         IF(  IF( F1027 ,  DAYS360(DATE(YEAR(F1027),MONTH(F1027),1),Mes)/30  ,  DAYS360(DATE(YEAR(E1027),MONTH(E1027),1),Mes)/30  )  &gt;  0 , IF(F1027,   DAYS360(DATE(YEAR(F1027),MONTH(F1027),1),Mes)/30  ,  DAYS360(DATE(YEAR(E1027),MONTH(E1027),1),Mes)/30) , 0)       )</f>
        <v>0</v>
      </c>
      <c r="L1027" s="150">
        <f t="shared" si="253"/>
        <v>0</v>
      </c>
      <c r="M1027" s="161"/>
      <c r="N1027" s="152">
        <f>IF( ISERROR(OFFSET(SECUESTRADOS!D$1,MATCH(B1027,SECUESTRADOS!A$2:A1405,0),0)) ,0 ,  OFFSET(SECUESTRADOS!D$1,MATCH(B1027,SECUESTRADOS!A$2:A1405,0),0)  )</f>
        <v>0</v>
      </c>
      <c r="O1027" s="153"/>
      <c r="P1027" s="154" t="b">
        <f t="shared" si="238"/>
        <v>0</v>
      </c>
      <c r="Q1027" s="154" t="str">
        <f t="shared" si="304"/>
        <v>#REF!</v>
      </c>
      <c r="R1027" s="130"/>
      <c r="S1027" s="130"/>
      <c r="T1027" s="130"/>
    </row>
    <row r="1028">
      <c r="A1028" s="18" t="s">
        <v>71</v>
      </c>
      <c r="B1028" s="116">
        <v>2220.0</v>
      </c>
      <c r="C1028" s="140">
        <v>2220.0</v>
      </c>
      <c r="D1028" s="57" t="str">
        <f>IF(   ISERROR(OFFSET(PADRON!B$2,MATCH(C:C,PADRON!A$2:A1405,0)-1,0,1,1) )  ,  ,    OFFSET(PADRON!B$2,MATCH(C:C,PADRON!A$2:A1405,0)-1,0,1,1))</f>
        <v>LOFEUNDO GALINDO ELIAS</v>
      </c>
      <c r="E1028" s="58">
        <v>45839.0</v>
      </c>
      <c r="F1028" s="145">
        <v>45870.0</v>
      </c>
      <c r="G1028" s="60" t="s">
        <v>39</v>
      </c>
      <c r="H1028" s="60">
        <f>IF( ISERROR( OFFSET(   'Cuadro tarifario'!D$2  , MATCH(CONCATENATE(                 IF(F1028&gt;Mes,OFFSET(NroCT!B$17, MATCH($F1028,NroCT!$A$18:$A1405,0),0,1,1),Periodovigente)                                                                                                                     ,A1028) ,'Cuadro tarifario'!A$2:A1405,0) -1 , 0 , 1 , 1) )   , 0  ,   OFFSET(   'Cuadro tarifario'!D$2  , MATCH(CONCATENATE( IF(F1028&gt;Mes,OFFSET(NroCT!B$17, MATCH($F1028,NroCT!$A$18:$A1405,0),0,1,1),Periodovigente) ,A1028) ,'Cuadro tarifario'!A$2:A1405,0) -1 , 0 , 1 , 1))</f>
        <v>11000</v>
      </c>
      <c r="I1028" s="61">
        <f t="shared" si="252"/>
        <v>1</v>
      </c>
      <c r="J1028" s="60">
        <f t="shared" si="235"/>
        <v>11000</v>
      </c>
      <c r="K1028" s="62">
        <f>IF(  AND(N1028&gt;0,I1028=0)          ,N1028 ,                         IF(  IF( F1028 ,  DAYS360(DATE(YEAR(F1028),MONTH(F1028),1),Mes)/30  ,  DAYS360(DATE(YEAR(E1028),MONTH(E1028),1),Mes)/30  )  &gt;  0 , IF(F1028,   DAYS360(DATE(YEAR(F1028),MONTH(F1028),1),Mes)/30  ,  DAYS360(DATE(YEAR(E1028),MONTH(E1028),1),Mes)/30) , 0)       )</f>
        <v>0</v>
      </c>
      <c r="L1028" s="63">
        <f t="shared" si="253"/>
        <v>0</v>
      </c>
      <c r="M1028" s="137"/>
      <c r="N1028" s="97">
        <f>IF( ISERROR(OFFSET(SECUESTRADOS!D$1,MATCH(B1028,SECUESTRADOS!A$2:A1405,0),0)) ,0 ,  OFFSET(SECUESTRADOS!D$1,MATCH(B1028,SECUESTRADOS!A$2:A1405,0),0)  )</f>
        <v>0</v>
      </c>
      <c r="O1028" s="98"/>
      <c r="P1028" s="99" t="str">
        <f t="shared" si="238"/>
        <v>.socio</v>
      </c>
      <c r="Q1028" s="99" t="str">
        <f t="shared" si="304"/>
        <v>#REF!</v>
      </c>
      <c r="R1028" s="130"/>
      <c r="S1028" s="130"/>
      <c r="T1028" s="130"/>
    </row>
    <row r="1029">
      <c r="A1029" s="155" t="s">
        <v>38</v>
      </c>
      <c r="B1029" s="142">
        <v>2220.0</v>
      </c>
      <c r="C1029" s="143">
        <v>2220.0</v>
      </c>
      <c r="D1029" s="144" t="str">
        <f>IF(   ISERROR(OFFSET(PADRON!B$2,MATCH(C:C,PADRON!A$2:A1405,0)-1,0,1,1) )  ,  ,    OFFSET(PADRON!B$2,MATCH(C:C,PADRON!A$2:A1405,0)-1,0,1,1))</f>
        <v>LOFEUNDO GALINDO ELIAS</v>
      </c>
      <c r="E1029" s="145">
        <v>45839.0</v>
      </c>
      <c r="F1029" s="145">
        <v>45870.0</v>
      </c>
      <c r="G1029" s="147" t="s">
        <v>39</v>
      </c>
      <c r="H1029" s="147">
        <f>IF( ISERROR( OFFSET(   'Cuadro tarifario'!D$2  , MATCH(CONCATENATE(                 IF(F1029&gt;Mes,OFFSET(NroCT!B$17, MATCH($F1029,NroCT!$A$18:$A1405,0),0,1,1),Periodovigente)                                                                                                                     ,A1029) ,'Cuadro tarifario'!A$2:A1405,0) -1 , 0 , 1 , 1) )   , 0  ,   OFFSET(   'Cuadro tarifario'!D$2  , MATCH(CONCATENATE( IF(F1029&gt;Mes,OFFSET(NroCT!B$17, MATCH($F1029,NroCT!$A$18:$A1405,0),0,1,1),Periodovigente) ,A1029) ,'Cuadro tarifario'!A$2:A1405,0) -1 , 0 , 1 , 1))</f>
        <v>9000</v>
      </c>
      <c r="I1029" s="148">
        <f t="shared" si="252"/>
        <v>1</v>
      </c>
      <c r="J1029" s="147">
        <f t="shared" si="235"/>
        <v>9000</v>
      </c>
      <c r="K1029" s="149">
        <f>IF(  AND(N1029&gt;0,I1029=0)          ,N1029 ,                         IF(  IF( F1029 ,  DAYS360(DATE(YEAR(F1029),MONTH(F1029),1),Mes)/30  ,  DAYS360(DATE(YEAR(E1029),MONTH(E1029),1),Mes)/30  )  &gt;  0 , IF(F1029,   DAYS360(DATE(YEAR(F1029),MONTH(F1029),1),Mes)/30  ,  DAYS360(DATE(YEAR(E1029),MONTH(E1029),1),Mes)/30) , 0)       )</f>
        <v>0</v>
      </c>
      <c r="L1029" s="150">
        <f t="shared" si="253"/>
        <v>0</v>
      </c>
      <c r="M1029" s="161"/>
      <c r="N1029" s="152">
        <f>IF( ISERROR(OFFSET(SECUESTRADOS!D$1,MATCH(B1029,SECUESTRADOS!A$2:A1405,0),0)) ,0 ,  OFFSET(SECUESTRADOS!D$1,MATCH(B1029,SECUESTRADOS!A$2:A1405,0),0)  )</f>
        <v>0</v>
      </c>
      <c r="O1029" s="153"/>
      <c r="P1029" s="154" t="str">
        <f t="shared" si="238"/>
        <v>Bono canon</v>
      </c>
      <c r="Q1029" s="154" t="str">
        <f t="shared" si="304"/>
        <v>#REF!</v>
      </c>
      <c r="R1029" s="130"/>
      <c r="S1029" s="130"/>
      <c r="T1029" s="130"/>
    </row>
    <row r="1030">
      <c r="A1030" s="155" t="s">
        <v>42</v>
      </c>
      <c r="B1030" s="142" t="s">
        <v>429</v>
      </c>
      <c r="C1030" s="143">
        <v>2220.0</v>
      </c>
      <c r="D1030" s="144" t="str">
        <f>IF(   ISERROR(OFFSET(PADRON!B$2,MATCH(C:C,PADRON!A$2:A1405,0)-1,0,1,1) )  ,  ,    OFFSET(PADRON!B$2,MATCH(C:C,PADRON!A$2:A1405,0)-1,0,1,1))</f>
        <v>LOFEUNDO GALINDO ELIAS</v>
      </c>
      <c r="E1030" s="145">
        <v>45992.0</v>
      </c>
      <c r="F1030" s="145"/>
      <c r="G1030" s="147" t="s">
        <v>39</v>
      </c>
      <c r="H1030" s="147">
        <f>IF( ISERROR( OFFSET(   'Cuadro tarifario'!D$2  , MATCH(CONCATENATE(                 IF(F1030&gt;Mes,OFFSET(NroCT!B$17, MATCH($F1030,NroCT!$A$18:$A1405,0),0,1,1),Periodovigente)                                                                                                                     ,A1030) ,'Cuadro tarifario'!A$2:A1405,0) -1 , 0 , 1 , 1) )   , 0  ,   OFFSET(   'Cuadro tarifario'!D$2  , MATCH(CONCATENATE( IF(F1030&gt;Mes,OFFSET(NroCT!B$17, MATCH($F1030,NroCT!$A$18:$A1405,0),0,1,1),Periodovigente) ,A1030) ,'Cuadro tarifario'!A$2:A1405,0) -1 , 0 , 1 , 1))</f>
        <v>4000</v>
      </c>
      <c r="I1030" s="148">
        <f t="shared" si="252"/>
        <v>0</v>
      </c>
      <c r="J1030" s="147">
        <f t="shared" si="235"/>
        <v>0</v>
      </c>
      <c r="K1030" s="149">
        <f>IF(  AND(N1030&gt;0,I1030=0)          ,N1030 ,                         IF(  IF( F1030 ,  DAYS360(DATE(YEAR(F1030),MONTH(F1030),1),Mes)/30  ,  DAYS360(DATE(YEAR(E1030),MONTH(E1030),1),Mes)/30  )  &gt;  0 , IF(F1030,   DAYS360(DATE(YEAR(F1030),MONTH(F1030),1),Mes)/30  ,  DAYS360(DATE(YEAR(E1030),MONTH(E1030),1),Mes)/30) , 0)       )</f>
        <v>0</v>
      </c>
      <c r="L1030" s="150">
        <f t="shared" si="253"/>
        <v>0</v>
      </c>
      <c r="M1030" s="161"/>
      <c r="N1030" s="152">
        <f>IF( ISERROR(OFFSET(SECUESTRADOS!D$1,MATCH(B1030,SECUESTRADOS!A$2:A1405,0),0)) ,0 ,  OFFSET(SECUESTRADOS!D$1,MATCH(B1030,SECUESTRADOS!A$2:A1405,0),0)  )</f>
        <v>0</v>
      </c>
      <c r="O1030" s="153"/>
      <c r="P1030" s="154" t="b">
        <f t="shared" si="238"/>
        <v>0</v>
      </c>
      <c r="Q1030" s="154" t="str">
        <f t="shared" si="304"/>
        <v>#REF!</v>
      </c>
      <c r="R1030" s="130"/>
      <c r="S1030" s="130"/>
      <c r="T1030" s="130"/>
    </row>
    <row r="1031">
      <c r="A1031" s="18" t="s">
        <v>71</v>
      </c>
      <c r="B1031" s="116">
        <v>2221.0</v>
      </c>
      <c r="C1031" s="140">
        <v>2221.0</v>
      </c>
      <c r="D1031" s="57" t="str">
        <f>IF(   ISERROR(OFFSET(PADRON!B$2,MATCH(C:C,PADRON!A$2:A1405,0)-1,0,1,1) )  ,  ,    OFFSET(PADRON!B$2,MATCH(C:C,PADRON!A$2:A1405,0)-1,0,1,1))</f>
        <v>SAADE, LEILA</v>
      </c>
      <c r="E1031" s="58">
        <v>45839.0</v>
      </c>
      <c r="F1031" s="145">
        <v>45870.0</v>
      </c>
      <c r="G1031" s="60" t="s">
        <v>39</v>
      </c>
      <c r="H1031" s="60">
        <f>IF( ISERROR( OFFSET(   'Cuadro tarifario'!D$2  , MATCH(CONCATENATE(                 IF(F1031&gt;Mes,OFFSET(NroCT!B$17, MATCH($F1031,NroCT!$A$18:$A1405,0),0,1,1),Periodovigente)                                                                                                                     ,A1031) ,'Cuadro tarifario'!A$2:A1405,0) -1 , 0 , 1 , 1) )   , 0  ,   OFFSET(   'Cuadro tarifario'!D$2  , MATCH(CONCATENATE( IF(F1031&gt;Mes,OFFSET(NroCT!B$17, MATCH($F1031,NroCT!$A$18:$A1405,0),0,1,1),Periodovigente) ,A1031) ,'Cuadro tarifario'!A$2:A1405,0) -1 , 0 , 1 , 1))</f>
        <v>11000</v>
      </c>
      <c r="I1031" s="61">
        <f t="shared" si="252"/>
        <v>1</v>
      </c>
      <c r="J1031" s="60">
        <f t="shared" si="235"/>
        <v>11000</v>
      </c>
      <c r="K1031" s="62">
        <f>IF(  AND(N1031&gt;0,I1031=0)          ,N1031 ,                         IF(  IF( F1031 ,  DAYS360(DATE(YEAR(F1031),MONTH(F1031),1),Mes)/30  ,  DAYS360(DATE(YEAR(E1031),MONTH(E1031),1),Mes)/30  )  &gt;  0 , IF(F1031,   DAYS360(DATE(YEAR(F1031),MONTH(F1031),1),Mes)/30  ,  DAYS360(DATE(YEAR(E1031),MONTH(E1031),1),Mes)/30) , 0)       )</f>
        <v>0</v>
      </c>
      <c r="L1031" s="63">
        <f t="shared" si="253"/>
        <v>0</v>
      </c>
      <c r="M1031" s="137"/>
      <c r="N1031" s="97">
        <f>IF( ISERROR(OFFSET(SECUESTRADOS!D$1,MATCH(B1031,SECUESTRADOS!A$2:A1405,0),0)) ,0 ,  OFFSET(SECUESTRADOS!D$1,MATCH(B1031,SECUESTRADOS!A$2:A1405,0),0)  )</f>
        <v>0</v>
      </c>
      <c r="O1031" s="98"/>
      <c r="P1031" s="99" t="str">
        <f t="shared" si="238"/>
        <v>.socio</v>
      </c>
      <c r="Q1031" s="99" t="str">
        <f t="shared" si="304"/>
        <v>#REF!</v>
      </c>
      <c r="R1031" s="130"/>
      <c r="S1031" s="130"/>
      <c r="T1031" s="130"/>
    </row>
    <row r="1032">
      <c r="A1032" s="155" t="s">
        <v>38</v>
      </c>
      <c r="B1032" s="142">
        <v>2221.0</v>
      </c>
      <c r="C1032" s="143">
        <v>2221.0</v>
      </c>
      <c r="D1032" s="144" t="str">
        <f>IF(   ISERROR(OFFSET(PADRON!B$2,MATCH(C:C,PADRON!A$2:A1405,0)-1,0,1,1) )  ,  ,    OFFSET(PADRON!B$2,MATCH(C:C,PADRON!A$2:A1405,0)-1,0,1,1))</f>
        <v>SAADE, LEILA</v>
      </c>
      <c r="E1032" s="145">
        <v>45839.0</v>
      </c>
      <c r="F1032" s="145">
        <v>45870.0</v>
      </c>
      <c r="G1032" s="147" t="s">
        <v>39</v>
      </c>
      <c r="H1032" s="147">
        <f>IF( ISERROR( OFFSET(   'Cuadro tarifario'!D$2  , MATCH(CONCATENATE(                 IF(F1032&gt;Mes,OFFSET(NroCT!B$17, MATCH($F1032,NroCT!$A$18:$A1405,0),0,1,1),Periodovigente)                                                                                                                     ,A1032) ,'Cuadro tarifario'!A$2:A1405,0) -1 , 0 , 1 , 1) )   , 0  ,   OFFSET(   'Cuadro tarifario'!D$2  , MATCH(CONCATENATE( IF(F1032&gt;Mes,OFFSET(NroCT!B$17, MATCH($F1032,NroCT!$A$18:$A1405,0),0,1,1),Periodovigente) ,A1032) ,'Cuadro tarifario'!A$2:A1405,0) -1 , 0 , 1 , 1))</f>
        <v>9000</v>
      </c>
      <c r="I1032" s="148">
        <f t="shared" si="252"/>
        <v>1</v>
      </c>
      <c r="J1032" s="147">
        <f t="shared" si="235"/>
        <v>9000</v>
      </c>
      <c r="K1032" s="149">
        <f>IF(  AND(N1032&gt;0,I1032=0)          ,N1032 ,                         IF(  IF( F1032 ,  DAYS360(DATE(YEAR(F1032),MONTH(F1032),1),Mes)/30  ,  DAYS360(DATE(YEAR(E1032),MONTH(E1032),1),Mes)/30  )  &gt;  0 , IF(F1032,   DAYS360(DATE(YEAR(F1032),MONTH(F1032),1),Mes)/30  ,  DAYS360(DATE(YEAR(E1032),MONTH(E1032),1),Mes)/30) , 0)       )</f>
        <v>0</v>
      </c>
      <c r="L1032" s="150">
        <f t="shared" si="253"/>
        <v>0</v>
      </c>
      <c r="M1032" s="161"/>
      <c r="N1032" s="152">
        <f>IF( ISERROR(OFFSET(SECUESTRADOS!D$1,MATCH(B1032,SECUESTRADOS!A$2:A1405,0),0)) ,0 ,  OFFSET(SECUESTRADOS!D$1,MATCH(B1032,SECUESTRADOS!A$2:A1405,0),0)  )</f>
        <v>0</v>
      </c>
      <c r="O1032" s="153"/>
      <c r="P1032" s="154" t="str">
        <f t="shared" si="238"/>
        <v>Bono canon</v>
      </c>
      <c r="Q1032" s="154" t="str">
        <f t="shared" si="304"/>
        <v>#REF!</v>
      </c>
      <c r="R1032" s="130"/>
      <c r="S1032" s="130"/>
      <c r="T1032" s="130"/>
    </row>
    <row r="1033">
      <c r="A1033" s="18" t="s">
        <v>71</v>
      </c>
      <c r="B1033" s="116">
        <v>2222.0</v>
      </c>
      <c r="C1033" s="140">
        <v>2222.0</v>
      </c>
      <c r="D1033" s="57" t="str">
        <f>IF(   ISERROR(OFFSET(PADRON!B$2,MATCH(C:C,PADRON!A$2:A1405,0)-1,0,1,1) )  ,  ,    OFFSET(PADRON!B$2,MATCH(C:C,PADRON!A$2:A1405,0)-1,0,1,1))</f>
        <v>SANTA MARIA, LEONEL</v>
      </c>
      <c r="E1033" s="58">
        <v>45870.0</v>
      </c>
      <c r="F1033" s="145"/>
      <c r="G1033" s="60" t="s">
        <v>39</v>
      </c>
      <c r="H1033" s="60">
        <f>IF( ISERROR( OFFSET(   'Cuadro tarifario'!D$2  , MATCH(CONCATENATE(                 IF(F1033&gt;Mes,OFFSET(NroCT!B$17, MATCH($F1033,NroCT!$A$18:$A1405,0),0,1,1),Periodovigente)                                                                                                                     ,A1033) ,'Cuadro tarifario'!A$2:A1405,0) -1 , 0 , 1 , 1) )   , 0  ,   OFFSET(   'Cuadro tarifario'!D$2  , MATCH(CONCATENATE( IF(F1033&gt;Mes,OFFSET(NroCT!B$17, MATCH($F1033,NroCT!$A$18:$A1405,0),0,1,1),Periodovigente) ,A1033) ,'Cuadro tarifario'!A$2:A1405,0) -1 , 0 , 1 , 1))</f>
        <v>11000</v>
      </c>
      <c r="I1033" s="61">
        <f t="shared" si="252"/>
        <v>0</v>
      </c>
      <c r="J1033" s="60">
        <f t="shared" si="235"/>
        <v>0</v>
      </c>
      <c r="K1033" s="62">
        <f>IF(  AND(N1033&gt;0,I1033=0)          ,N1033 ,                         IF(  IF( F1033 ,  DAYS360(DATE(YEAR(F1033),MONTH(F1033),1),Mes)/30  ,  DAYS360(DATE(YEAR(E1033),MONTH(E1033),1),Mes)/30  )  &gt;  0 , IF(F1033,   DAYS360(DATE(YEAR(F1033),MONTH(F1033),1),Mes)/30  ,  DAYS360(DATE(YEAR(E1033),MONTH(E1033),1),Mes)/30) , 0)       )</f>
        <v>0</v>
      </c>
      <c r="L1033" s="63">
        <f t="shared" si="253"/>
        <v>0</v>
      </c>
      <c r="M1033" s="137"/>
      <c r="N1033" s="97">
        <f>IF( ISERROR(OFFSET(SECUESTRADOS!D$1,MATCH(B1033,SECUESTRADOS!A$2:A1405,0),0)) ,0 ,  OFFSET(SECUESTRADOS!D$1,MATCH(B1033,SECUESTRADOS!A$2:A1405,0),0)  )</f>
        <v>0</v>
      </c>
      <c r="O1033" s="98"/>
      <c r="P1033" s="99" t="b">
        <f t="shared" si="238"/>
        <v>0</v>
      </c>
      <c r="Q1033" s="99" t="str">
        <f t="shared" si="304"/>
        <v>#REF!</v>
      </c>
      <c r="R1033" s="130"/>
      <c r="S1033" s="130"/>
      <c r="T1033" s="130"/>
    </row>
    <row r="1034">
      <c r="A1034" s="155" t="s">
        <v>38</v>
      </c>
      <c r="B1034" s="142">
        <v>2222.0</v>
      </c>
      <c r="C1034" s="143">
        <v>2222.0</v>
      </c>
      <c r="D1034" s="144" t="str">
        <f>IF(   ISERROR(OFFSET(PADRON!B$2,MATCH(C:C,PADRON!A$2:A1405,0)-1,0,1,1) )  ,  ,    OFFSET(PADRON!B$2,MATCH(C:C,PADRON!A$2:A1405,0)-1,0,1,1))</f>
        <v>SANTA MARIA, LEONEL</v>
      </c>
      <c r="E1034" s="145">
        <v>45870.0</v>
      </c>
      <c r="F1034" s="145"/>
      <c r="G1034" s="147" t="s">
        <v>39</v>
      </c>
      <c r="H1034" s="147">
        <f>IF( ISERROR( OFFSET(   'Cuadro tarifario'!D$2  , MATCH(CONCATENATE(                 IF(F1034&gt;Mes,OFFSET(NroCT!B$17, MATCH($F1034,NroCT!$A$18:$A1405,0),0,1,1),Periodovigente)                                                                                                                     ,A1034) ,'Cuadro tarifario'!A$2:A1405,0) -1 , 0 , 1 , 1) )   , 0  ,   OFFSET(   'Cuadro tarifario'!D$2  , MATCH(CONCATENATE( IF(F1034&gt;Mes,OFFSET(NroCT!B$17, MATCH($F1034,NroCT!$A$18:$A1405,0),0,1,1),Periodovigente) ,A1034) ,'Cuadro tarifario'!A$2:A1405,0) -1 , 0 , 1 , 1))</f>
        <v>9000</v>
      </c>
      <c r="I1034" s="148">
        <f t="shared" si="252"/>
        <v>0</v>
      </c>
      <c r="J1034" s="147">
        <f t="shared" si="235"/>
        <v>0</v>
      </c>
      <c r="K1034" s="149">
        <f>IF(  AND(N1034&gt;0,I1034=0)          ,N1034 ,                         IF(  IF( F1034 ,  DAYS360(DATE(YEAR(F1034),MONTH(F1034),1),Mes)/30  ,  DAYS360(DATE(YEAR(E1034),MONTH(E1034),1),Mes)/30  )  &gt;  0 , IF(F1034,   DAYS360(DATE(YEAR(F1034),MONTH(F1034),1),Mes)/30  ,  DAYS360(DATE(YEAR(E1034),MONTH(E1034),1),Mes)/30) , 0)       )</f>
        <v>0</v>
      </c>
      <c r="L1034" s="150">
        <f t="shared" si="253"/>
        <v>0</v>
      </c>
      <c r="M1034" s="161"/>
      <c r="N1034" s="152">
        <f>IF( ISERROR(OFFSET(SECUESTRADOS!D$1,MATCH(B1034,SECUESTRADOS!A$2:A1405,0),0)) ,0 ,  OFFSET(SECUESTRADOS!D$1,MATCH(B1034,SECUESTRADOS!A$2:A1405,0),0)  )</f>
        <v>0</v>
      </c>
      <c r="O1034" s="153"/>
      <c r="P1034" s="154" t="b">
        <f t="shared" si="238"/>
        <v>0</v>
      </c>
      <c r="Q1034" s="154" t="str">
        <f t="shared" si="304"/>
        <v>#REF!</v>
      </c>
      <c r="R1034" s="130"/>
      <c r="S1034" s="130"/>
      <c r="T1034" s="130"/>
    </row>
    <row r="1035">
      <c r="A1035" s="155" t="s">
        <v>40</v>
      </c>
      <c r="B1035" s="142" t="s">
        <v>430</v>
      </c>
      <c r="C1035" s="143">
        <v>2222.0</v>
      </c>
      <c r="D1035" s="144" t="str">
        <f>IF(   ISERROR(OFFSET(PADRON!B$2,MATCH(C:C,PADRON!A$2:A1405,0)-1,0,1,1) )  ,  ,    OFFSET(PADRON!B$2,MATCH(C:C,PADRON!A$2:A1405,0)-1,0,1,1))</f>
        <v>SANTA MARIA, LEONEL</v>
      </c>
      <c r="E1035" s="145">
        <v>45870.0</v>
      </c>
      <c r="F1035" s="145"/>
      <c r="G1035" s="147" t="s">
        <v>39</v>
      </c>
      <c r="H1035" s="147">
        <f>IF( ISERROR( OFFSET(   'Cuadro tarifario'!D$2  , MATCH(CONCATENATE(                 IF(F1035&gt;Mes,OFFSET(NroCT!B$17, MATCH($F1035,NroCT!$A$18:$A1405,0),0,1,1),Periodovigente)                                                                                                                     ,A1035) ,'Cuadro tarifario'!A$2:A1405,0) -1 , 0 , 1 , 1) )   , 0  ,   OFFSET(   'Cuadro tarifario'!D$2  , MATCH(CONCATENATE( IF(F1035&gt;Mes,OFFSET(NroCT!B$17, MATCH($F1035,NroCT!$A$18:$A1405,0),0,1,1),Periodovigente) ,A1035) ,'Cuadro tarifario'!A$2:A1405,0) -1 , 0 , 1 , 1))</f>
        <v>12000</v>
      </c>
      <c r="I1035" s="148">
        <f t="shared" si="252"/>
        <v>0</v>
      </c>
      <c r="J1035" s="147">
        <f t="shared" si="235"/>
        <v>0</v>
      </c>
      <c r="K1035" s="149">
        <f>IF(  AND(N1035&gt;0,I1035=0)          ,N1035 ,                         IF(  IF( F1035 ,  DAYS360(DATE(YEAR(F1035),MONTH(F1035),1),Mes)/30  ,  DAYS360(DATE(YEAR(E1035),MONTH(E1035),1),Mes)/30  )  &gt;  0 , IF(F1035,   DAYS360(DATE(YEAR(F1035),MONTH(F1035),1),Mes)/30  ,  DAYS360(DATE(YEAR(E1035),MONTH(E1035),1),Mes)/30) , 0)       )</f>
        <v>0</v>
      </c>
      <c r="L1035" s="150">
        <f t="shared" si="253"/>
        <v>0</v>
      </c>
      <c r="M1035" s="161"/>
      <c r="N1035" s="152">
        <f>IF( ISERROR(OFFSET(SECUESTRADOS!D$1,MATCH(B1035,SECUESTRADOS!A$2:A1405,0),0)) ,0 ,  OFFSET(SECUESTRADOS!D$1,MATCH(B1035,SECUESTRADOS!A$2:A1405,0),0)  )</f>
        <v>0</v>
      </c>
      <c r="O1035" s="153"/>
      <c r="P1035" s="154" t="b">
        <f t="shared" si="238"/>
        <v>0</v>
      </c>
      <c r="Q1035" s="154" t="str">
        <f t="shared" si="304"/>
        <v>#REF!</v>
      </c>
      <c r="R1035" s="130"/>
      <c r="S1035" s="130"/>
      <c r="T1035" s="130"/>
    </row>
    <row r="1036">
      <c r="A1036" s="155" t="s">
        <v>71</v>
      </c>
      <c r="B1036" s="142">
        <v>2224.0</v>
      </c>
      <c r="C1036" s="143">
        <v>2224.0</v>
      </c>
      <c r="D1036" s="144" t="str">
        <f>IF(   ISERROR(OFFSET(PADRON!B$2,MATCH(C:C,PADRON!A$2:A1405,0)-1,0,1,1) )  ,  ,    OFFSET(PADRON!B$2,MATCH(C:C,PADRON!A$2:A1405,0)-1,0,1,1))</f>
        <v>GRIFFIN, BRIGIDA</v>
      </c>
      <c r="E1036" s="145">
        <v>45809.0</v>
      </c>
      <c r="F1036" s="145"/>
      <c r="G1036" s="147" t="s">
        <v>39</v>
      </c>
      <c r="H1036" s="147">
        <f>IF( ISERROR( OFFSET(   'Cuadro tarifario'!D$2  , MATCH(CONCATENATE(                 IF(F1036&gt;Mes,OFFSET(NroCT!B$17, MATCH($F1036,NroCT!$A$18:$A1405,0),0,1,1),Periodovigente)                                                                                                                     ,A1036) ,'Cuadro tarifario'!A$2:A1405,0) -1 , 0 , 1 , 1) )   , 0  ,   OFFSET(   'Cuadro tarifario'!D$2  , MATCH(CONCATENATE( IF(F1036&gt;Mes,OFFSET(NroCT!B$17, MATCH($F1036,NroCT!$A$18:$A1405,0),0,1,1),Periodovigente) ,A1036) ,'Cuadro tarifario'!A$2:A1405,0) -1 , 0 , 1 , 1))</f>
        <v>11000</v>
      </c>
      <c r="I1036" s="148">
        <f t="shared" si="252"/>
        <v>0</v>
      </c>
      <c r="J1036" s="147">
        <f t="shared" si="235"/>
        <v>0</v>
      </c>
      <c r="K1036" s="149">
        <f>IF(  AND(N1036&gt;0,I1036=0)          ,N1036 ,                         IF(  IF( F1036 ,  DAYS360(DATE(YEAR(F1036),MONTH(F1036),1),Mes)/30  ,  DAYS360(DATE(YEAR(E1036),MONTH(E1036),1),Mes)/30  )  &gt;  0 , IF(F1036,   DAYS360(DATE(YEAR(F1036),MONTH(F1036),1),Mes)/30  ,  DAYS360(DATE(YEAR(E1036),MONTH(E1036),1),Mes)/30) , 0)       )</f>
        <v>2</v>
      </c>
      <c r="L1036" s="150">
        <f t="shared" si="253"/>
        <v>22000</v>
      </c>
      <c r="M1036" s="161"/>
      <c r="N1036" s="152">
        <f>IF( ISERROR(OFFSET(SECUESTRADOS!D$1,MATCH(B1036,SECUESTRADOS!A$2:A1405,0),0)) ,0 ,  OFFSET(SECUESTRADOS!D$1,MATCH(B1036,SECUESTRADOS!A$2:A1405,0),0)  )</f>
        <v>0</v>
      </c>
      <c r="O1036" s="153"/>
      <c r="P1036" s="154" t="b">
        <f t="shared" si="238"/>
        <v>0</v>
      </c>
      <c r="Q1036" s="154" t="str">
        <f t="shared" si="304"/>
        <v>#REF!</v>
      </c>
      <c r="R1036" s="130"/>
      <c r="S1036" s="130"/>
      <c r="T1036" s="130"/>
    </row>
    <row r="1037">
      <c r="A1037" s="18" t="s">
        <v>38</v>
      </c>
      <c r="B1037" s="116">
        <v>2224.0</v>
      </c>
      <c r="C1037" s="140">
        <v>2224.0</v>
      </c>
      <c r="D1037" s="57" t="str">
        <f>IF(   ISERROR(OFFSET(PADRON!B$2,MATCH(C:C,PADRON!A$2:A1405,0)-1,0,1,1) )  ,  ,    OFFSET(PADRON!B$2,MATCH(C:C,PADRON!A$2:A1405,0)-1,0,1,1))</f>
        <v>GRIFFIN, BRIGIDA</v>
      </c>
      <c r="E1037" s="58">
        <v>45809.0</v>
      </c>
      <c r="F1037" s="145"/>
      <c r="G1037" s="60" t="s">
        <v>39</v>
      </c>
      <c r="H1037" s="60">
        <f>IF( ISERROR( OFFSET(   'Cuadro tarifario'!D$2  , MATCH(CONCATENATE(                 IF(F1037&gt;Mes,OFFSET(NroCT!B$17, MATCH($F1037,NroCT!$A$18:$A1405,0),0,1,1),Periodovigente)                                                                                                                     ,A1037) ,'Cuadro tarifario'!A$2:A1405,0) -1 , 0 , 1 , 1) )   , 0  ,   OFFSET(   'Cuadro tarifario'!D$2  , MATCH(CONCATENATE( IF(F1037&gt;Mes,OFFSET(NroCT!B$17, MATCH($F1037,NroCT!$A$18:$A1405,0),0,1,1),Periodovigente) ,A1037) ,'Cuadro tarifario'!A$2:A1405,0) -1 , 0 , 1 , 1))</f>
        <v>9000</v>
      </c>
      <c r="I1037" s="61">
        <f t="shared" si="252"/>
        <v>0</v>
      </c>
      <c r="J1037" s="60">
        <f t="shared" si="235"/>
        <v>0</v>
      </c>
      <c r="K1037" s="62">
        <f>IF(  AND(N1037&gt;0,I1037=0)          ,N1037 ,                         IF(  IF( F1037 ,  DAYS360(DATE(YEAR(F1037),MONTH(F1037),1),Mes)/30  ,  DAYS360(DATE(YEAR(E1037),MONTH(E1037),1),Mes)/30  )  &gt;  0 , IF(F1037,   DAYS360(DATE(YEAR(F1037),MONTH(F1037),1),Mes)/30  ,  DAYS360(DATE(YEAR(E1037),MONTH(E1037),1),Mes)/30) , 0)       )</f>
        <v>2</v>
      </c>
      <c r="L1037" s="63">
        <f t="shared" si="253"/>
        <v>18000</v>
      </c>
      <c r="M1037" s="137"/>
      <c r="N1037" s="97">
        <f>IF( ISERROR(OFFSET(SECUESTRADOS!D$1,MATCH(B1037,SECUESTRADOS!A$2:A1405,0),0)) ,0 ,  OFFSET(SECUESTRADOS!D$1,MATCH(B1037,SECUESTRADOS!A$2:A1405,0),0)  )</f>
        <v>0</v>
      </c>
      <c r="O1037" s="98"/>
      <c r="P1037" s="99" t="b">
        <f t="shared" si="238"/>
        <v>0</v>
      </c>
      <c r="Q1037" s="99" t="str">
        <f t="shared" si="304"/>
        <v>#REF!</v>
      </c>
      <c r="R1037" s="130"/>
      <c r="S1037" s="130"/>
      <c r="T1037" s="130"/>
    </row>
    <row r="1038">
      <c r="A1038" s="155" t="s">
        <v>71</v>
      </c>
      <c r="B1038" s="142">
        <v>2225.0</v>
      </c>
      <c r="C1038" s="143">
        <v>2225.0</v>
      </c>
      <c r="D1038" s="144" t="str">
        <f>IF(   ISERROR(OFFSET(PADRON!B$2,MATCH(C:C,PADRON!A$2:A1405,0)-1,0,1,1) )  ,  ,    OFFSET(PADRON!B$2,MATCH(C:C,PADRON!A$2:A1405,0)-1,0,1,1))</f>
        <v>IOSKYN, JUSTINA</v>
      </c>
      <c r="E1038" s="145">
        <v>45809.0</v>
      </c>
      <c r="F1038" s="145"/>
      <c r="G1038" s="147" t="s">
        <v>39</v>
      </c>
      <c r="H1038" s="147">
        <f>IF( ISERROR( OFFSET(   'Cuadro tarifario'!D$2  , MATCH(CONCATENATE(                 IF(F1038&gt;Mes,OFFSET(NroCT!B$17, MATCH($F1038,NroCT!$A$18:$A1405,0),0,1,1),Periodovigente)                                                                                                                     ,A1038) ,'Cuadro tarifario'!A$2:A1405,0) -1 , 0 , 1 , 1) )   , 0  ,   OFFSET(   'Cuadro tarifario'!D$2  , MATCH(CONCATENATE( IF(F1038&gt;Mes,OFFSET(NroCT!B$17, MATCH($F1038,NroCT!$A$18:$A1405,0),0,1,1),Periodovigente) ,A1038) ,'Cuadro tarifario'!A$2:A1405,0) -1 , 0 , 1 , 1))</f>
        <v>11000</v>
      </c>
      <c r="I1038" s="148">
        <f t="shared" si="252"/>
        <v>0</v>
      </c>
      <c r="J1038" s="147">
        <f t="shared" si="235"/>
        <v>0</v>
      </c>
      <c r="K1038" s="149">
        <f>IF(  AND(N1038&gt;0,I1038=0)          ,N1038 ,                         IF(  IF( F1038 ,  DAYS360(DATE(YEAR(F1038),MONTH(F1038),1),Mes)/30  ,  DAYS360(DATE(YEAR(E1038),MONTH(E1038),1),Mes)/30  )  &gt;  0 , IF(F1038,   DAYS360(DATE(YEAR(F1038),MONTH(F1038),1),Mes)/30  ,  DAYS360(DATE(YEAR(E1038),MONTH(E1038),1),Mes)/30) , 0)       )</f>
        <v>2</v>
      </c>
      <c r="L1038" s="150">
        <f t="shared" si="253"/>
        <v>22000</v>
      </c>
      <c r="M1038" s="161"/>
      <c r="N1038" s="152">
        <f>IF( ISERROR(OFFSET(SECUESTRADOS!D$1,MATCH(B1038,SECUESTRADOS!A$2:A1405,0),0)) ,0 ,  OFFSET(SECUESTRADOS!D$1,MATCH(B1038,SECUESTRADOS!A$2:A1405,0),0)  )</f>
        <v>0</v>
      </c>
      <c r="O1038" s="153"/>
      <c r="P1038" s="154" t="b">
        <f t="shared" si="238"/>
        <v>0</v>
      </c>
      <c r="Q1038" s="154" t="str">
        <f t="shared" si="304"/>
        <v>#REF!</v>
      </c>
      <c r="R1038" s="130"/>
      <c r="S1038" s="130"/>
      <c r="T1038" s="130"/>
    </row>
    <row r="1039">
      <c r="A1039" s="18" t="s">
        <v>38</v>
      </c>
      <c r="B1039" s="116">
        <v>2223.0</v>
      </c>
      <c r="C1039" s="140">
        <v>2225.0</v>
      </c>
      <c r="D1039" s="57" t="str">
        <f>IF(   ISERROR(OFFSET(PADRON!B$2,MATCH(C:C,PADRON!A$2:A1405,0)-1,0,1,1) )  ,  ,    OFFSET(PADRON!B$2,MATCH(C:C,PADRON!A$2:A1405,0)-1,0,1,1))</f>
        <v>IOSKYN, JUSTINA</v>
      </c>
      <c r="E1039" s="58">
        <v>45809.0</v>
      </c>
      <c r="F1039" s="145"/>
      <c r="G1039" s="60" t="s">
        <v>39</v>
      </c>
      <c r="H1039" s="60">
        <f>IF( ISERROR( OFFSET(   'Cuadro tarifario'!D$2  , MATCH(CONCATENATE(                 IF(F1039&gt;Mes,OFFSET(NroCT!B$17, MATCH($F1039,NroCT!$A$18:$A1405,0),0,1,1),Periodovigente)                                                                                                                     ,A1039) ,'Cuadro tarifario'!A$2:A1405,0) -1 , 0 , 1 , 1) )   , 0  ,   OFFSET(   'Cuadro tarifario'!D$2  , MATCH(CONCATENATE( IF(F1039&gt;Mes,OFFSET(NroCT!B$17, MATCH($F1039,NroCT!$A$18:$A1405,0),0,1,1),Periodovigente) ,A1039) ,'Cuadro tarifario'!A$2:A1405,0) -1 , 0 , 1 , 1))</f>
        <v>9000</v>
      </c>
      <c r="I1039" s="61">
        <f t="shared" si="252"/>
        <v>0</v>
      </c>
      <c r="J1039" s="60">
        <f t="shared" si="235"/>
        <v>0</v>
      </c>
      <c r="K1039" s="62">
        <f>IF(  AND(N1039&gt;0,I1039=0)          ,N1039 ,                         IF(  IF( F1039 ,  DAYS360(DATE(YEAR(F1039),MONTH(F1039),1),Mes)/30  ,  DAYS360(DATE(YEAR(E1039),MONTH(E1039),1),Mes)/30  )  &gt;  0 , IF(F1039,   DAYS360(DATE(YEAR(F1039),MONTH(F1039),1),Mes)/30  ,  DAYS360(DATE(YEAR(E1039),MONTH(E1039),1),Mes)/30) , 0)       )</f>
        <v>2</v>
      </c>
      <c r="L1039" s="63">
        <f t="shared" si="253"/>
        <v>18000</v>
      </c>
      <c r="M1039" s="137"/>
      <c r="N1039" s="97">
        <f>IF( ISERROR(OFFSET(SECUESTRADOS!D$1,MATCH(B1039,SECUESTRADOS!A$2:A1405,0),0)) ,0 ,  OFFSET(SECUESTRADOS!D$1,MATCH(B1039,SECUESTRADOS!A$2:A1405,0),0)  )</f>
        <v>0</v>
      </c>
      <c r="O1039" s="98"/>
      <c r="P1039" s="99" t="b">
        <f t="shared" si="238"/>
        <v>0</v>
      </c>
      <c r="Q1039" s="99" t="str">
        <f t="shared" si="304"/>
        <v>#REF!</v>
      </c>
      <c r="R1039" s="130"/>
      <c r="S1039" s="130"/>
      <c r="T1039" s="130"/>
    </row>
    <row r="1040">
      <c r="A1040" s="18" t="s">
        <v>71</v>
      </c>
      <c r="B1040" s="116">
        <v>2227.0</v>
      </c>
      <c r="C1040" s="140">
        <v>2227.0</v>
      </c>
      <c r="D1040" s="57" t="str">
        <f>IF(   ISERROR(OFFSET(PADRON!B$2,MATCH(C:C,PADRON!A$2:A1405,0)-1,0,1,1) )  ,  ,    OFFSET(PADRON!B$2,MATCH(C:C,PADRON!A$2:A1405,0)-1,0,1,1))</f>
        <v>DEL RIO MARIANA</v>
      </c>
      <c r="E1040" s="58">
        <v>45839.0</v>
      </c>
      <c r="F1040" s="145">
        <v>45870.0</v>
      </c>
      <c r="G1040" s="60" t="s">
        <v>39</v>
      </c>
      <c r="H1040" s="60">
        <f>IF( ISERROR( OFFSET(   'Cuadro tarifario'!D$2  , MATCH(CONCATENATE(                 IF(F1040&gt;Mes,OFFSET(NroCT!B$17, MATCH($F1040,NroCT!$A$18:$A1405,0),0,1,1),Periodovigente)                                                                                                                     ,A1040) ,'Cuadro tarifario'!A$2:A1405,0) -1 , 0 , 1 , 1) )   , 0  ,   OFFSET(   'Cuadro tarifario'!D$2  , MATCH(CONCATENATE( IF(F1040&gt;Mes,OFFSET(NroCT!B$17, MATCH($F1040,NroCT!$A$18:$A1405,0),0,1,1),Periodovigente) ,A1040) ,'Cuadro tarifario'!A$2:A1405,0) -1 , 0 , 1 , 1))</f>
        <v>11000</v>
      </c>
      <c r="I1040" s="61">
        <f t="shared" si="252"/>
        <v>1</v>
      </c>
      <c r="J1040" s="60">
        <f t="shared" si="235"/>
        <v>11000</v>
      </c>
      <c r="K1040" s="62">
        <f>IF(  AND(N1040&gt;0,I1040=0)          ,N1040 ,                         IF(  IF( F1040 ,  DAYS360(DATE(YEAR(F1040),MONTH(F1040),1),Mes)/30  ,  DAYS360(DATE(YEAR(E1040),MONTH(E1040),1),Mes)/30  )  &gt;  0 , IF(F1040,   DAYS360(DATE(YEAR(F1040),MONTH(F1040),1),Mes)/30  ,  DAYS360(DATE(YEAR(E1040),MONTH(E1040),1),Mes)/30) , 0)       )</f>
        <v>0</v>
      </c>
      <c r="L1040" s="63">
        <f t="shared" si="253"/>
        <v>0</v>
      </c>
      <c r="M1040" s="137"/>
      <c r="N1040" s="97">
        <f>IF( ISERROR(OFFSET(SECUESTRADOS!D$1,MATCH(B1040,SECUESTRADOS!A$2:A1405,0),0)) ,0 ,  OFFSET(SECUESTRADOS!D$1,MATCH(B1040,SECUESTRADOS!A$2:A1405,0),0)  )</f>
        <v>0</v>
      </c>
      <c r="O1040" s="98"/>
      <c r="P1040" s="99" t="str">
        <f t="shared" si="238"/>
        <v>.socio</v>
      </c>
      <c r="Q1040" s="99" t="str">
        <f t="shared" si="304"/>
        <v>#REF!</v>
      </c>
      <c r="R1040" s="130"/>
      <c r="S1040" s="130"/>
      <c r="T1040" s="130"/>
    </row>
    <row r="1041">
      <c r="A1041" s="155" t="s">
        <v>38</v>
      </c>
      <c r="B1041" s="142">
        <v>2227.0</v>
      </c>
      <c r="C1041" s="143">
        <v>2227.0</v>
      </c>
      <c r="D1041" s="144" t="str">
        <f>IF(   ISERROR(OFFSET(PADRON!B$2,MATCH(C:C,PADRON!A$2:A1405,0)-1,0,1,1) )  ,  ,    OFFSET(PADRON!B$2,MATCH(C:C,PADRON!A$2:A1405,0)-1,0,1,1))</f>
        <v>DEL RIO MARIANA</v>
      </c>
      <c r="E1041" s="145">
        <v>45839.0</v>
      </c>
      <c r="F1041" s="145">
        <v>45870.0</v>
      </c>
      <c r="G1041" s="147" t="s">
        <v>39</v>
      </c>
      <c r="H1041" s="147">
        <f>IF( ISERROR( OFFSET(   'Cuadro tarifario'!D$2  , MATCH(CONCATENATE(                 IF(F1041&gt;Mes,OFFSET(NroCT!B$17, MATCH($F1041,NroCT!$A$18:$A1405,0),0,1,1),Periodovigente)                                                                                                                     ,A1041) ,'Cuadro tarifario'!A$2:A1405,0) -1 , 0 , 1 , 1) )   , 0  ,   OFFSET(   'Cuadro tarifario'!D$2  , MATCH(CONCATENATE( IF(F1041&gt;Mes,OFFSET(NroCT!B$17, MATCH($F1041,NroCT!$A$18:$A1405,0),0,1,1),Periodovigente) ,A1041) ,'Cuadro tarifario'!A$2:A1405,0) -1 , 0 , 1 , 1))</f>
        <v>9000</v>
      </c>
      <c r="I1041" s="148">
        <f t="shared" si="252"/>
        <v>1</v>
      </c>
      <c r="J1041" s="147">
        <f t="shared" si="235"/>
        <v>9000</v>
      </c>
      <c r="K1041" s="149">
        <f>IF(  AND(N1041&gt;0,I1041=0)          ,N1041 ,                         IF(  IF( F1041 ,  DAYS360(DATE(YEAR(F1041),MONTH(F1041),1),Mes)/30  ,  DAYS360(DATE(YEAR(E1041),MONTH(E1041),1),Mes)/30  )  &gt;  0 , IF(F1041,   DAYS360(DATE(YEAR(F1041),MONTH(F1041),1),Mes)/30  ,  DAYS360(DATE(YEAR(E1041),MONTH(E1041),1),Mes)/30) , 0)       )</f>
        <v>0</v>
      </c>
      <c r="L1041" s="150">
        <f t="shared" si="253"/>
        <v>0</v>
      </c>
      <c r="M1041" s="161"/>
      <c r="N1041" s="152">
        <f>IF( ISERROR(OFFSET(SECUESTRADOS!D$1,MATCH(B1041,SECUESTRADOS!A$2:A1405,0),0)) ,0 ,  OFFSET(SECUESTRADOS!D$1,MATCH(B1041,SECUESTRADOS!A$2:A1405,0),0)  )</f>
        <v>0</v>
      </c>
      <c r="O1041" s="153"/>
      <c r="P1041" s="154" t="str">
        <f t="shared" si="238"/>
        <v>Bono canon</v>
      </c>
      <c r="Q1041" s="154" t="str">
        <f t="shared" si="304"/>
        <v>#REF!</v>
      </c>
      <c r="R1041" s="130"/>
      <c r="S1041" s="130"/>
      <c r="T1041" s="130"/>
    </row>
    <row r="1042">
      <c r="A1042" s="155" t="s">
        <v>82</v>
      </c>
      <c r="B1042" s="142" t="s">
        <v>431</v>
      </c>
      <c r="C1042" s="143">
        <v>2227.0</v>
      </c>
      <c r="D1042" s="144" t="str">
        <f>IF(   ISERROR(OFFSET(PADRON!B$2,MATCH(C:C,PADRON!A$2:A1405,0)-1,0,1,1) )  ,  ,    OFFSET(PADRON!B$2,MATCH(C:C,PADRON!A$2:A1405,0)-1,0,1,1))</f>
        <v>DEL RIO MARIANA</v>
      </c>
      <c r="E1042" s="145">
        <v>45839.0</v>
      </c>
      <c r="F1042" s="145">
        <v>45870.0</v>
      </c>
      <c r="G1042" s="147" t="s">
        <v>39</v>
      </c>
      <c r="H1042" s="147">
        <f>IF( ISERROR( OFFSET(   'Cuadro tarifario'!D$2  , MATCH(CONCATENATE(                 IF(F1042&gt;Mes,OFFSET(NroCT!B$17, MATCH($F1042,NroCT!$A$18:$A1405,0),0,1,1),Periodovigente)                                                                                                                     ,A1042) ,'Cuadro tarifario'!A$2:A1405,0) -1 , 0 , 1 , 1) )   , 0  ,   OFFSET(   'Cuadro tarifario'!D$2  , MATCH(CONCATENATE( IF(F1042&gt;Mes,OFFSET(NroCT!B$17, MATCH($F1042,NroCT!$A$18:$A1405,0),0,1,1),Periodovigente) ,A1042) ,'Cuadro tarifario'!A$2:A1405,0) -1 , 0 , 1 , 1))</f>
        <v>12000</v>
      </c>
      <c r="I1042" s="148">
        <f t="shared" si="252"/>
        <v>1</v>
      </c>
      <c r="J1042" s="147">
        <f t="shared" si="235"/>
        <v>12000</v>
      </c>
      <c r="K1042" s="149">
        <f>IF(  AND(N1042&gt;0,I1042=0)          ,N1042 ,                         IF(  IF( F1042 ,  DAYS360(DATE(YEAR(F1042),MONTH(F1042),1),Mes)/30  ,  DAYS360(DATE(YEAR(E1042),MONTH(E1042),1),Mes)/30  )  &gt;  0 , IF(F1042,   DAYS360(DATE(YEAR(F1042),MONTH(F1042),1),Mes)/30  ,  DAYS360(DATE(YEAR(E1042),MONTH(E1042),1),Mes)/30) , 0)       )</f>
        <v>0</v>
      </c>
      <c r="L1042" s="150">
        <f t="shared" si="253"/>
        <v>0</v>
      </c>
      <c r="M1042" s="161"/>
      <c r="N1042" s="152">
        <f>IF( ISERROR(OFFSET(SECUESTRADOS!D$1,MATCH(B1042,SECUESTRADOS!A$2:A1405,0),0)) ,0 ,  OFFSET(SECUESTRADOS!D$1,MATCH(B1042,SECUESTRADOS!A$2:A1405,0),0)  )</f>
        <v>0</v>
      </c>
      <c r="O1042" s="153"/>
      <c r="P1042" s="154" t="str">
        <f t="shared" si="238"/>
        <v>cuna kayak</v>
      </c>
      <c r="Q1042" s="154" t="str">
        <f t="shared" si="304"/>
        <v>#REF!</v>
      </c>
      <c r="R1042" s="130"/>
      <c r="S1042" s="130"/>
      <c r="T1042" s="130"/>
    </row>
    <row r="1043">
      <c r="A1043" s="18" t="s">
        <v>71</v>
      </c>
      <c r="B1043" s="116">
        <v>2228.0</v>
      </c>
      <c r="C1043" s="140">
        <v>2228.0</v>
      </c>
      <c r="D1043" s="57" t="str">
        <f>IF(   ISERROR(OFFSET(PADRON!B$2,MATCH(C:C,PADRON!A$2:A1405,0)-1,0,1,1) )  ,  ,    OFFSET(PADRON!B$2,MATCH(C:C,PADRON!A$2:A1405,0)-1,0,1,1))</f>
        <v>PEREIRA PEDRO</v>
      </c>
      <c r="E1043" s="58">
        <v>45839.0</v>
      </c>
      <c r="F1043" s="145">
        <v>45870.0</v>
      </c>
      <c r="G1043" s="60" t="s">
        <v>39</v>
      </c>
      <c r="H1043" s="60">
        <f>IF( ISERROR( OFFSET(   'Cuadro tarifario'!D$2  , MATCH(CONCATENATE(                 IF(F1043&gt;Mes,OFFSET(NroCT!B$17, MATCH($F1043,NroCT!$A$18:$A1405,0),0,1,1),Periodovigente)                                                                                                                     ,A1043) ,'Cuadro tarifario'!A$2:A1405,0) -1 , 0 , 1 , 1) )   , 0  ,   OFFSET(   'Cuadro tarifario'!D$2  , MATCH(CONCATENATE( IF(F1043&gt;Mes,OFFSET(NroCT!B$17, MATCH($F1043,NroCT!$A$18:$A1405,0),0,1,1),Periodovigente) ,A1043) ,'Cuadro tarifario'!A$2:A1405,0) -1 , 0 , 1 , 1))</f>
        <v>11000</v>
      </c>
      <c r="I1043" s="61">
        <f t="shared" si="252"/>
        <v>1</v>
      </c>
      <c r="J1043" s="60">
        <f t="shared" si="235"/>
        <v>11000</v>
      </c>
      <c r="K1043" s="62">
        <f>IF(  AND(N1043&gt;0,I1043=0)          ,N1043 ,                         IF(  IF( F1043 ,  DAYS360(DATE(YEAR(F1043),MONTH(F1043),1),Mes)/30  ,  DAYS360(DATE(YEAR(E1043),MONTH(E1043),1),Mes)/30  )  &gt;  0 , IF(F1043,   DAYS360(DATE(YEAR(F1043),MONTH(F1043),1),Mes)/30  ,  DAYS360(DATE(YEAR(E1043),MONTH(E1043),1),Mes)/30) , 0)       )</f>
        <v>0</v>
      </c>
      <c r="L1043" s="63">
        <f t="shared" si="253"/>
        <v>0</v>
      </c>
      <c r="M1043" s="137"/>
      <c r="N1043" s="97">
        <f>IF( ISERROR(OFFSET(SECUESTRADOS!D$1,MATCH(B1043,SECUESTRADOS!A$2:A1405,0),0)) ,0 ,  OFFSET(SECUESTRADOS!D$1,MATCH(B1043,SECUESTRADOS!A$2:A1405,0),0)  )</f>
        <v>0</v>
      </c>
      <c r="O1043" s="98"/>
      <c r="P1043" s="99" t="str">
        <f t="shared" si="238"/>
        <v>.socio</v>
      </c>
      <c r="Q1043" s="99" t="str">
        <f t="shared" si="304"/>
        <v>#REF!</v>
      </c>
      <c r="R1043" s="130"/>
      <c r="S1043" s="130"/>
      <c r="T1043" s="130"/>
    </row>
    <row r="1044">
      <c r="A1044" s="155" t="s">
        <v>38</v>
      </c>
      <c r="B1044" s="142">
        <v>2228.0</v>
      </c>
      <c r="C1044" s="143">
        <v>2228.0</v>
      </c>
      <c r="D1044" s="144" t="str">
        <f>IF(   ISERROR(OFFSET(PADRON!B$2,MATCH(C:C,PADRON!A$2:A1405,0)-1,0,1,1) )  ,  ,    OFFSET(PADRON!B$2,MATCH(C:C,PADRON!A$2:A1405,0)-1,0,1,1))</f>
        <v>PEREIRA PEDRO</v>
      </c>
      <c r="E1044" s="145">
        <v>45839.0</v>
      </c>
      <c r="F1044" s="145">
        <v>45870.0</v>
      </c>
      <c r="G1044" s="147" t="s">
        <v>39</v>
      </c>
      <c r="H1044" s="147">
        <f>IF( ISERROR( OFFSET(   'Cuadro tarifario'!D$2  , MATCH(CONCATENATE(                 IF(F1044&gt;Mes,OFFSET(NroCT!B$17, MATCH($F1044,NroCT!$A$18:$A1405,0),0,1,1),Periodovigente)                                                                                                                     ,A1044) ,'Cuadro tarifario'!A$2:A1405,0) -1 , 0 , 1 , 1) )   , 0  ,   OFFSET(   'Cuadro tarifario'!D$2  , MATCH(CONCATENATE( IF(F1044&gt;Mes,OFFSET(NroCT!B$17, MATCH($F1044,NroCT!$A$18:$A1405,0),0,1,1),Periodovigente) ,A1044) ,'Cuadro tarifario'!A$2:A1405,0) -1 , 0 , 1 , 1))</f>
        <v>9000</v>
      </c>
      <c r="I1044" s="148">
        <f t="shared" si="252"/>
        <v>1</v>
      </c>
      <c r="J1044" s="147">
        <f t="shared" si="235"/>
        <v>9000</v>
      </c>
      <c r="K1044" s="149">
        <f>IF(  AND(N1044&gt;0,I1044=0)          ,N1044 ,                         IF(  IF( F1044 ,  DAYS360(DATE(YEAR(F1044),MONTH(F1044),1),Mes)/30  ,  DAYS360(DATE(YEAR(E1044),MONTH(E1044),1),Mes)/30  )  &gt;  0 , IF(F1044,   DAYS360(DATE(YEAR(F1044),MONTH(F1044),1),Mes)/30  ,  DAYS360(DATE(YEAR(E1044),MONTH(E1044),1),Mes)/30) , 0)       )</f>
        <v>0</v>
      </c>
      <c r="L1044" s="150">
        <f t="shared" si="253"/>
        <v>0</v>
      </c>
      <c r="M1044" s="161"/>
      <c r="N1044" s="152">
        <f>IF( ISERROR(OFFSET(SECUESTRADOS!D$1,MATCH(B1044,SECUESTRADOS!A$2:A1405,0),0)) ,0 ,  OFFSET(SECUESTRADOS!D$1,MATCH(B1044,SECUESTRADOS!A$2:A1405,0),0)  )</f>
        <v>0</v>
      </c>
      <c r="O1044" s="153"/>
      <c r="P1044" s="154" t="str">
        <f t="shared" si="238"/>
        <v>Bono canon</v>
      </c>
      <c r="Q1044" s="154" t="str">
        <f t="shared" si="304"/>
        <v>#REF!</v>
      </c>
      <c r="R1044" s="130"/>
      <c r="S1044" s="130"/>
      <c r="T1044" s="130"/>
    </row>
    <row r="1045">
      <c r="A1045" s="18" t="s">
        <v>71</v>
      </c>
      <c r="B1045" s="116">
        <v>2229.0</v>
      </c>
      <c r="C1045" s="140">
        <v>2229.0</v>
      </c>
      <c r="D1045" s="57" t="str">
        <f>IF(   ISERROR(OFFSET(PADRON!B$2,MATCH(C:C,PADRON!A$2:A1405,0)-1,0,1,1) )  ,  ,    OFFSET(PADRON!B$2,MATCH(C:C,PADRON!A$2:A1405,0)-1,0,1,1))</f>
        <v>GRIMALDI, ALEJANDRA</v>
      </c>
      <c r="E1045" s="58">
        <v>45839.0</v>
      </c>
      <c r="F1045" s="145"/>
      <c r="G1045" s="60" t="s">
        <v>39</v>
      </c>
      <c r="H1045" s="60">
        <f>IF( ISERROR( OFFSET(   'Cuadro tarifario'!D$2  , MATCH(CONCATENATE(                 IF(F1045&gt;Mes,OFFSET(NroCT!B$17, MATCH($F1045,NroCT!$A$18:$A1405,0),0,1,1),Periodovigente)                                                                                                                     ,A1045) ,'Cuadro tarifario'!A$2:A1405,0) -1 , 0 , 1 , 1) )   , 0  ,   OFFSET(   'Cuadro tarifario'!D$2  , MATCH(CONCATENATE( IF(F1045&gt;Mes,OFFSET(NroCT!B$17, MATCH($F1045,NroCT!$A$18:$A1405,0),0,1,1),Periodovigente) ,A1045) ,'Cuadro tarifario'!A$2:A1405,0) -1 , 0 , 1 , 1))</f>
        <v>11000</v>
      </c>
      <c r="I1045" s="61">
        <f t="shared" si="252"/>
        <v>0</v>
      </c>
      <c r="J1045" s="60">
        <f t="shared" si="235"/>
        <v>0</v>
      </c>
      <c r="K1045" s="62">
        <f>IF(  AND(N1045&gt;0,I1045=0)          ,N1045 ,                         IF(  IF( F1045 ,  DAYS360(DATE(YEAR(F1045),MONTH(F1045),1),Mes)/30  ,  DAYS360(DATE(YEAR(E1045),MONTH(E1045),1),Mes)/30  )  &gt;  0 , IF(F1045,   DAYS360(DATE(YEAR(F1045),MONTH(F1045),1),Mes)/30  ,  DAYS360(DATE(YEAR(E1045),MONTH(E1045),1),Mes)/30) , 0)       )</f>
        <v>1</v>
      </c>
      <c r="L1045" s="63">
        <f t="shared" si="253"/>
        <v>11000</v>
      </c>
      <c r="M1045" s="137"/>
      <c r="N1045" s="97">
        <f>IF( ISERROR(OFFSET(SECUESTRADOS!D$1,MATCH(B1045,SECUESTRADOS!A$2:A1405,0),0)) ,0 ,  OFFSET(SECUESTRADOS!D$1,MATCH(B1045,SECUESTRADOS!A$2:A1405,0),0)  )</f>
        <v>0</v>
      </c>
      <c r="O1045" s="98"/>
      <c r="P1045" s="99" t="b">
        <f t="shared" si="238"/>
        <v>0</v>
      </c>
      <c r="Q1045" s="99" t="str">
        <f t="shared" si="304"/>
        <v>#REF!</v>
      </c>
      <c r="R1045" s="130"/>
      <c r="S1045" s="130"/>
      <c r="T1045" s="130"/>
    </row>
    <row r="1046">
      <c r="A1046" s="18" t="s">
        <v>71</v>
      </c>
      <c r="B1046" s="116">
        <v>2230.0</v>
      </c>
      <c r="C1046" s="140">
        <v>2230.0</v>
      </c>
      <c r="D1046" s="57" t="str">
        <f>IF(   ISERROR(OFFSET(PADRON!B$2,MATCH(C:C,PADRON!A$2:A1405,0)-1,0,1,1) )  ,  ,    OFFSET(PADRON!B$2,MATCH(C:C,PADRON!A$2:A1405,0)-1,0,1,1))</f>
        <v>ESCOBAR, ALEJANDRA</v>
      </c>
      <c r="E1046" s="58">
        <v>45839.0</v>
      </c>
      <c r="F1046" s="145">
        <v>45870.0</v>
      </c>
      <c r="G1046" s="60" t="s">
        <v>39</v>
      </c>
      <c r="H1046" s="60">
        <f>IF( ISERROR( OFFSET(   'Cuadro tarifario'!D$2  , MATCH(CONCATENATE(                 IF(F1046&gt;Mes,OFFSET(NroCT!B$17, MATCH($F1046,NroCT!$A$18:$A1405,0),0,1,1),Periodovigente)                                                                                                                     ,A1046) ,'Cuadro tarifario'!A$2:A1405,0) -1 , 0 , 1 , 1) )   , 0  ,   OFFSET(   'Cuadro tarifario'!D$2  , MATCH(CONCATENATE( IF(F1046&gt;Mes,OFFSET(NroCT!B$17, MATCH($F1046,NroCT!$A$18:$A1405,0),0,1,1),Periodovigente) ,A1046) ,'Cuadro tarifario'!A$2:A1405,0) -1 , 0 , 1 , 1))</f>
        <v>11000</v>
      </c>
      <c r="I1046" s="61">
        <f t="shared" si="252"/>
        <v>1</v>
      </c>
      <c r="J1046" s="60">
        <f t="shared" si="235"/>
        <v>11000</v>
      </c>
      <c r="K1046" s="62">
        <f>IF(  AND(N1046&gt;0,I1046=0)          ,N1046 ,                         IF(  IF( F1046 ,  DAYS360(DATE(YEAR(F1046),MONTH(F1046),1),Mes)/30  ,  DAYS360(DATE(YEAR(E1046),MONTH(E1046),1),Mes)/30  )  &gt;  0 , IF(F1046,   DAYS360(DATE(YEAR(F1046),MONTH(F1046),1),Mes)/30  ,  DAYS360(DATE(YEAR(E1046),MONTH(E1046),1),Mes)/30) , 0)       )</f>
        <v>0</v>
      </c>
      <c r="L1046" s="63">
        <f t="shared" si="253"/>
        <v>0</v>
      </c>
      <c r="M1046" s="137"/>
      <c r="N1046" s="97">
        <f>IF( ISERROR(OFFSET(SECUESTRADOS!D$1,MATCH(B1046,SECUESTRADOS!A$2:A1405,0),0)) ,0 ,  OFFSET(SECUESTRADOS!D$1,MATCH(B1046,SECUESTRADOS!A$2:A1405,0),0)  )</f>
        <v>0</v>
      </c>
      <c r="O1046" s="98"/>
      <c r="P1046" s="99" t="str">
        <f t="shared" si="238"/>
        <v>.socio</v>
      </c>
      <c r="Q1046" s="99" t="str">
        <f t="shared" si="304"/>
        <v>#REF!</v>
      </c>
      <c r="R1046" s="130"/>
      <c r="S1046" s="130"/>
      <c r="T1046" s="130"/>
    </row>
    <row r="1047">
      <c r="A1047" s="155" t="s">
        <v>38</v>
      </c>
      <c r="B1047" s="142">
        <v>2230.0</v>
      </c>
      <c r="C1047" s="143">
        <v>2230.0</v>
      </c>
      <c r="D1047" s="144" t="str">
        <f>IF(   ISERROR(OFFSET(PADRON!B$2,MATCH(C:C,PADRON!A$2:A1405,0)-1,0,1,1) )  ,  ,    OFFSET(PADRON!B$2,MATCH(C:C,PADRON!A$2:A1405,0)-1,0,1,1))</f>
        <v>ESCOBAR, ALEJANDRA</v>
      </c>
      <c r="E1047" s="145">
        <v>45839.0</v>
      </c>
      <c r="F1047" s="145">
        <v>45870.0</v>
      </c>
      <c r="G1047" s="147" t="s">
        <v>39</v>
      </c>
      <c r="H1047" s="147">
        <f>IF( ISERROR( OFFSET(   'Cuadro tarifario'!D$2  , MATCH(CONCATENATE(                 IF(F1047&gt;Mes,OFFSET(NroCT!B$17, MATCH($F1047,NroCT!$A$18:$A1405,0),0,1,1),Periodovigente)                                                                                                                     ,A1047) ,'Cuadro tarifario'!A$2:A1405,0) -1 , 0 , 1 , 1) )   , 0  ,   OFFSET(   'Cuadro tarifario'!D$2  , MATCH(CONCATENATE( IF(F1047&gt;Mes,OFFSET(NroCT!B$17, MATCH($F1047,NroCT!$A$18:$A1405,0),0,1,1),Periodovigente) ,A1047) ,'Cuadro tarifario'!A$2:A1405,0) -1 , 0 , 1 , 1))</f>
        <v>9000</v>
      </c>
      <c r="I1047" s="148">
        <f t="shared" si="252"/>
        <v>1</v>
      </c>
      <c r="J1047" s="147">
        <f t="shared" si="235"/>
        <v>9000</v>
      </c>
      <c r="K1047" s="149">
        <f>IF(  AND(N1047&gt;0,I1047=0)          ,N1047 ,                         IF(  IF( F1047 ,  DAYS360(DATE(YEAR(F1047),MONTH(F1047),1),Mes)/30  ,  DAYS360(DATE(YEAR(E1047),MONTH(E1047),1),Mes)/30  )  &gt;  0 , IF(F1047,   DAYS360(DATE(YEAR(F1047),MONTH(F1047),1),Mes)/30  ,  DAYS360(DATE(YEAR(E1047),MONTH(E1047),1),Mes)/30) , 0)       )</f>
        <v>0</v>
      </c>
      <c r="L1047" s="150">
        <f t="shared" si="253"/>
        <v>0</v>
      </c>
      <c r="M1047" s="161"/>
      <c r="N1047" s="152">
        <f>IF( ISERROR(OFFSET(SECUESTRADOS!D$1,MATCH(B1047,SECUESTRADOS!A$2:A1405,0),0)) ,0 ,  OFFSET(SECUESTRADOS!D$1,MATCH(B1047,SECUESTRADOS!A$2:A1405,0),0)  )</f>
        <v>0</v>
      </c>
      <c r="O1047" s="153"/>
      <c r="P1047" s="154" t="str">
        <f t="shared" si="238"/>
        <v>Bono canon</v>
      </c>
      <c r="Q1047" s="154" t="str">
        <f t="shared" si="304"/>
        <v>#REF!</v>
      </c>
      <c r="R1047" s="130"/>
      <c r="S1047" s="130"/>
      <c r="T1047" s="130"/>
    </row>
    <row r="1048">
      <c r="A1048" s="18" t="s">
        <v>40</v>
      </c>
      <c r="B1048" s="116" t="s">
        <v>432</v>
      </c>
      <c r="C1048" s="140">
        <v>2230.0</v>
      </c>
      <c r="D1048" s="57" t="str">
        <f>IF(   ISERROR(OFFSET(PADRON!B$2,MATCH(C:C,PADRON!A$2:A1405,0)-1,0,1,1) )  ,  ,    OFFSET(PADRON!B$2,MATCH(C:C,PADRON!A$2:A1405,0)-1,0,1,1))</f>
        <v>ESCOBAR, ALEJANDRA</v>
      </c>
      <c r="E1048" s="58">
        <v>45839.0</v>
      </c>
      <c r="F1048" s="145">
        <v>45870.0</v>
      </c>
      <c r="G1048" s="60" t="s">
        <v>39</v>
      </c>
      <c r="H1048" s="60">
        <f>IF( ISERROR( OFFSET(   'Cuadro tarifario'!D$2  , MATCH(CONCATENATE(                 IF(F1048&gt;Mes,OFFSET(NroCT!B$17, MATCH($F1048,NroCT!$A$18:$A1405,0),0,1,1),Periodovigente)                                                                                                                     ,A1048) ,'Cuadro tarifario'!A$2:A1405,0) -1 , 0 , 1 , 1) )   , 0  ,   OFFSET(   'Cuadro tarifario'!D$2  , MATCH(CONCATENATE( IF(F1048&gt;Mes,OFFSET(NroCT!B$17, MATCH($F1048,NroCT!$A$18:$A1405,0),0,1,1),Periodovigente) ,A1048) ,'Cuadro tarifario'!A$2:A1405,0) -1 , 0 , 1 , 1))</f>
        <v>12000</v>
      </c>
      <c r="I1048" s="61">
        <f t="shared" si="252"/>
        <v>1</v>
      </c>
      <c r="J1048" s="60">
        <f t="shared" si="235"/>
        <v>12000</v>
      </c>
      <c r="K1048" s="62">
        <f>IF(  AND(N1048&gt;0,I1048=0)          ,N1048 ,                         IF(  IF( F1048 ,  DAYS360(DATE(YEAR(F1048),MONTH(F1048),1),Mes)/30  ,  DAYS360(DATE(YEAR(E1048),MONTH(E1048),1),Mes)/30  )  &gt;  0 , IF(F1048,   DAYS360(DATE(YEAR(F1048),MONTH(F1048),1),Mes)/30  ,  DAYS360(DATE(YEAR(E1048),MONTH(E1048),1),Mes)/30) , 0)       )</f>
        <v>0</v>
      </c>
      <c r="L1048" s="63">
        <f t="shared" si="253"/>
        <v>0</v>
      </c>
      <c r="M1048" s="137"/>
      <c r="N1048" s="97">
        <f>IF( ISERROR(OFFSET(SECUESTRADOS!D$1,MATCH(B1048,SECUESTRADOS!A$2:A1405,0),0)) ,0 ,  OFFSET(SECUESTRADOS!D$1,MATCH(B1048,SECUESTRADOS!A$2:A1405,0),0)  )</f>
        <v>0</v>
      </c>
      <c r="O1048" s="98"/>
      <c r="P1048" s="99" t="str">
        <f t="shared" si="238"/>
        <v>cuna windsurf</v>
      </c>
      <c r="Q1048" s="99" t="str">
        <f t="shared" si="304"/>
        <v>#REF!</v>
      </c>
      <c r="R1048" s="130"/>
      <c r="S1048" s="130"/>
      <c r="T1048" s="130"/>
    </row>
    <row r="1049">
      <c r="A1049" s="18" t="s">
        <v>50</v>
      </c>
      <c r="B1049" s="116" t="s">
        <v>433</v>
      </c>
      <c r="C1049" s="140">
        <v>2230.0</v>
      </c>
      <c r="D1049" s="57" t="str">
        <f>IF(   ISERROR(OFFSET(PADRON!B$2,MATCH(C:C,PADRON!A$2:A1405,0)-1,0,1,1) )  ,  ,    OFFSET(PADRON!B$2,MATCH(C:C,PADRON!A$2:A1405,0)-1,0,1,1))</f>
        <v>ESCOBAR, ALEJANDRA</v>
      </c>
      <c r="E1049" s="58">
        <v>45992.0</v>
      </c>
      <c r="F1049" s="145"/>
      <c r="G1049" s="60" t="s">
        <v>39</v>
      </c>
      <c r="H1049" s="60">
        <f>IF( ISERROR( OFFSET(   'Cuadro tarifario'!D$2  , MATCH(CONCATENATE(                 IF(F1049&gt;Mes,OFFSET(NroCT!B$17, MATCH($F1049,NroCT!$A$18:$A1405,0),0,1,1),Periodovigente)                                                                                                                     ,A1049) ,'Cuadro tarifario'!A$2:A1405,0) -1 , 0 , 1 , 1) )   , 0  ,   OFFSET(   'Cuadro tarifario'!D$2  , MATCH(CONCATENATE( IF(F1049&gt;Mes,OFFSET(NroCT!B$17, MATCH($F1049,NroCT!$A$18:$A1405,0),0,1,1),Periodovigente) ,A1049) ,'Cuadro tarifario'!A$2:A1405,0) -1 , 0 , 1 , 1))</f>
        <v>3600</v>
      </c>
      <c r="I1049" s="61">
        <f t="shared" si="252"/>
        <v>0</v>
      </c>
      <c r="J1049" s="60">
        <f t="shared" si="235"/>
        <v>0</v>
      </c>
      <c r="K1049" s="62">
        <f>IF(  AND(N1049&gt;0,I1049=0)          ,N1049 ,                         IF(  IF( F1049 ,  DAYS360(DATE(YEAR(F1049),MONTH(F1049),1),Mes)/30  ,  DAYS360(DATE(YEAR(E1049),MONTH(E1049),1),Mes)/30  )  &gt;  0 , IF(F1049,   DAYS360(DATE(YEAR(F1049),MONTH(F1049),1),Mes)/30  ,  DAYS360(DATE(YEAR(E1049),MONTH(E1049),1),Mes)/30) , 0)       )</f>
        <v>0</v>
      </c>
      <c r="L1049" s="63">
        <f t="shared" si="253"/>
        <v>0</v>
      </c>
      <c r="M1049" s="137"/>
      <c r="N1049" s="97">
        <f>IF( ISERROR(OFFSET(SECUESTRADOS!D$1,MATCH(B1049,SECUESTRADOS!A$2:A1405,0),0)) ,0 ,  OFFSET(SECUESTRADOS!D$1,MATCH(B1049,SECUESTRADOS!A$2:A1405,0),0)  )</f>
        <v>0</v>
      </c>
      <c r="O1049" s="98"/>
      <c r="P1049" s="99" t="b">
        <f t="shared" si="238"/>
        <v>0</v>
      </c>
      <c r="Q1049" s="99" t="str">
        <f t="shared" si="304"/>
        <v>#REF!</v>
      </c>
      <c r="R1049" s="130"/>
      <c r="S1049" s="130"/>
      <c r="T1049" s="130"/>
    </row>
    <row r="1050">
      <c r="A1050" s="18" t="s">
        <v>71</v>
      </c>
      <c r="B1050" s="116">
        <v>2233.0</v>
      </c>
      <c r="C1050" s="140">
        <v>2233.0</v>
      </c>
      <c r="D1050" s="57" t="str">
        <f>IF(   ISERROR(OFFSET(PADRON!B$2,MATCH(C:C,PADRON!A$2:A1405,0)-1,0,1,1) )  ,  ,    OFFSET(PADRON!B$2,MATCH(C:C,PADRON!A$2:A1405,0)-1,0,1,1))</f>
        <v>KALISZUK, ROMINA</v>
      </c>
      <c r="E1050" s="58">
        <v>45839.0</v>
      </c>
      <c r="F1050" s="145">
        <v>45870.0</v>
      </c>
      <c r="G1050" s="60" t="s">
        <v>39</v>
      </c>
      <c r="H1050" s="60">
        <f>IF( ISERROR( OFFSET(   'Cuadro tarifario'!D$2  , MATCH(CONCATENATE(                 IF(F1050&gt;Mes,OFFSET(NroCT!B$17, MATCH($F1050,NroCT!$A$18:$A1405,0),0,1,1),Periodovigente)                                                                                                                     ,A1050) ,'Cuadro tarifario'!A$2:A1405,0) -1 , 0 , 1 , 1) )   , 0  ,   OFFSET(   'Cuadro tarifario'!D$2  , MATCH(CONCATENATE( IF(F1050&gt;Mes,OFFSET(NroCT!B$17, MATCH($F1050,NroCT!$A$18:$A1405,0),0,1,1),Periodovigente) ,A1050) ,'Cuadro tarifario'!A$2:A1405,0) -1 , 0 , 1 , 1))</f>
        <v>11000</v>
      </c>
      <c r="I1050" s="61">
        <f t="shared" si="252"/>
        <v>1</v>
      </c>
      <c r="J1050" s="60">
        <f t="shared" si="235"/>
        <v>11000</v>
      </c>
      <c r="K1050" s="62">
        <f>IF(  AND(N1050&gt;0,I1050=0)          ,N1050 ,                         IF(  IF( F1050 ,  DAYS360(DATE(YEAR(F1050),MONTH(F1050),1),Mes)/30  ,  DAYS360(DATE(YEAR(E1050),MONTH(E1050),1),Mes)/30  )  &gt;  0 , IF(F1050,   DAYS360(DATE(YEAR(F1050),MONTH(F1050),1),Mes)/30  ,  DAYS360(DATE(YEAR(E1050),MONTH(E1050),1),Mes)/30) , 0)       )</f>
        <v>0</v>
      </c>
      <c r="L1050" s="63">
        <f t="shared" si="253"/>
        <v>0</v>
      </c>
      <c r="M1050" s="137"/>
      <c r="N1050" s="97">
        <f>IF( ISERROR(OFFSET(SECUESTRADOS!D$1,MATCH(B1050,SECUESTRADOS!A$2:A1405,0),0)) ,0 ,  OFFSET(SECUESTRADOS!D$1,MATCH(B1050,SECUESTRADOS!A$2:A1405,0),0)  )</f>
        <v>0</v>
      </c>
      <c r="O1050" s="98"/>
      <c r="P1050" s="99" t="str">
        <f t="shared" si="238"/>
        <v>.socio</v>
      </c>
      <c r="Q1050" s="99" t="str">
        <f t="shared" si="304"/>
        <v>#REF!</v>
      </c>
      <c r="R1050" s="130"/>
      <c r="S1050" s="130"/>
      <c r="T1050" s="130"/>
    </row>
    <row r="1051">
      <c r="A1051" s="18" t="s">
        <v>38</v>
      </c>
      <c r="B1051" s="116">
        <v>2233.0</v>
      </c>
      <c r="C1051" s="140">
        <v>2233.0</v>
      </c>
      <c r="D1051" s="57" t="str">
        <f>IF(   ISERROR(OFFSET(PADRON!B$2,MATCH(C:C,PADRON!A$2:A1405,0)-1,0,1,1) )  ,  ,    OFFSET(PADRON!B$2,MATCH(C:C,PADRON!A$2:A1405,0)-1,0,1,1))</f>
        <v>KALISZUK, ROMINA</v>
      </c>
      <c r="E1051" s="58">
        <v>45839.0</v>
      </c>
      <c r="F1051" s="145">
        <v>45870.0</v>
      </c>
      <c r="G1051" s="60" t="s">
        <v>39</v>
      </c>
      <c r="H1051" s="60">
        <f>IF( ISERROR( OFFSET(   'Cuadro tarifario'!D$2  , MATCH(CONCATENATE(                 IF(F1051&gt;Mes,OFFSET(NroCT!B$17, MATCH($F1051,NroCT!$A$18:$A1405,0),0,1,1),Periodovigente)                                                                                                                     ,A1051) ,'Cuadro tarifario'!A$2:A1405,0) -1 , 0 , 1 , 1) )   , 0  ,   OFFSET(   'Cuadro tarifario'!D$2  , MATCH(CONCATENATE( IF(F1051&gt;Mes,OFFSET(NroCT!B$17, MATCH($F1051,NroCT!$A$18:$A1405,0),0,1,1),Periodovigente) ,A1051) ,'Cuadro tarifario'!A$2:A1405,0) -1 , 0 , 1 , 1))</f>
        <v>9000</v>
      </c>
      <c r="I1051" s="61">
        <f t="shared" si="252"/>
        <v>1</v>
      </c>
      <c r="J1051" s="60">
        <f t="shared" si="235"/>
        <v>9000</v>
      </c>
      <c r="K1051" s="62">
        <f>IF(  AND(N1051&gt;0,I1051=0)          ,N1051 ,                         IF(  IF( F1051 ,  DAYS360(DATE(YEAR(F1051),MONTH(F1051),1),Mes)/30  ,  DAYS360(DATE(YEAR(E1051),MONTH(E1051),1),Mes)/30  )  &gt;  0 , IF(F1051,   DAYS360(DATE(YEAR(F1051),MONTH(F1051),1),Mes)/30  ,  DAYS360(DATE(YEAR(E1051),MONTH(E1051),1),Mes)/30) , 0)       )</f>
        <v>0</v>
      </c>
      <c r="L1051" s="63">
        <f t="shared" si="253"/>
        <v>0</v>
      </c>
      <c r="M1051" s="137"/>
      <c r="N1051" s="97">
        <f>IF( ISERROR(OFFSET(SECUESTRADOS!D$1,MATCH(B1051,SECUESTRADOS!A$2:A1405,0),0)) ,0 ,  OFFSET(SECUESTRADOS!D$1,MATCH(B1051,SECUESTRADOS!A$2:A1405,0),0)  )</f>
        <v>0</v>
      </c>
      <c r="O1051" s="98"/>
      <c r="P1051" s="99" t="str">
        <f t="shared" si="238"/>
        <v>Bono canon</v>
      </c>
      <c r="Q1051" s="99" t="str">
        <f t="shared" si="304"/>
        <v>#REF!</v>
      </c>
      <c r="R1051" s="130"/>
      <c r="S1051" s="130"/>
      <c r="T1051" s="130"/>
    </row>
    <row r="1052">
      <c r="A1052" s="18" t="s">
        <v>71</v>
      </c>
      <c r="B1052" s="116">
        <v>2239.0</v>
      </c>
      <c r="C1052" s="140">
        <v>2239.0</v>
      </c>
      <c r="D1052" s="57" t="str">
        <f>IF(   ISERROR(OFFSET(PADRON!B$2,MATCH(C:C,PADRON!A$2:A1405,0)-1,0,1,1) )  ,  ,    OFFSET(PADRON!B$2,MATCH(C:C,PADRON!A$2:A1405,0)-1,0,1,1))</f>
        <v>DI FRANCESCO, GABRIEL</v>
      </c>
      <c r="E1052" s="58">
        <v>45839.0</v>
      </c>
      <c r="F1052" s="145"/>
      <c r="G1052" s="60" t="s">
        <v>39</v>
      </c>
      <c r="H1052" s="60">
        <f>IF( ISERROR( OFFSET(   'Cuadro tarifario'!D$2  , MATCH(CONCATENATE(                 IF(F1052&gt;Mes,OFFSET(NroCT!B$17, MATCH($F1052,NroCT!$A$18:$A1405,0),0,1,1),Periodovigente)                                                                                                                     ,A1052) ,'Cuadro tarifario'!A$2:A1405,0) -1 , 0 , 1 , 1) )   , 0  ,   OFFSET(   'Cuadro tarifario'!D$2  , MATCH(CONCATENATE( IF(F1052&gt;Mes,OFFSET(NroCT!B$17, MATCH($F1052,NroCT!$A$18:$A1405,0),0,1,1),Periodovigente) ,A1052) ,'Cuadro tarifario'!A$2:A1405,0) -1 , 0 , 1 , 1))</f>
        <v>11000</v>
      </c>
      <c r="I1052" s="61">
        <f t="shared" si="252"/>
        <v>0</v>
      </c>
      <c r="J1052" s="60">
        <f t="shared" si="235"/>
        <v>0</v>
      </c>
      <c r="K1052" s="62">
        <f>IF(  AND(N1052&gt;0,I1052=0)          ,N1052 ,                         IF(  IF( F1052 ,  DAYS360(DATE(YEAR(F1052),MONTH(F1052),1),Mes)/30  ,  DAYS360(DATE(YEAR(E1052),MONTH(E1052),1),Mes)/30  )  &gt;  0 , IF(F1052,   DAYS360(DATE(YEAR(F1052),MONTH(F1052),1),Mes)/30  ,  DAYS360(DATE(YEAR(E1052),MONTH(E1052),1),Mes)/30) , 0)       )</f>
        <v>1</v>
      </c>
      <c r="L1052" s="63">
        <f t="shared" si="253"/>
        <v>11000</v>
      </c>
      <c r="M1052" s="137"/>
      <c r="N1052" s="97">
        <f>IF( ISERROR(OFFSET(SECUESTRADOS!D$1,MATCH(B1052,SECUESTRADOS!A$2:A1405,0),0)) ,0 ,  OFFSET(SECUESTRADOS!D$1,MATCH(B1052,SECUESTRADOS!A$2:A1405,0),0)  )</f>
        <v>0</v>
      </c>
      <c r="O1052" s="98"/>
      <c r="P1052" s="99" t="b">
        <f t="shared" si="238"/>
        <v>0</v>
      </c>
      <c r="Q1052" s="99" t="str">
        <f t="shared" si="304"/>
        <v>#REF!</v>
      </c>
      <c r="R1052" s="130"/>
      <c r="S1052" s="130"/>
      <c r="T1052" s="130"/>
    </row>
    <row r="1053">
      <c r="A1053" s="18" t="s">
        <v>38</v>
      </c>
      <c r="B1053" s="116">
        <v>2239.0</v>
      </c>
      <c r="C1053" s="140">
        <v>2239.0</v>
      </c>
      <c r="D1053" s="57" t="str">
        <f>IF(   ISERROR(OFFSET(PADRON!B$2,MATCH(C:C,PADRON!A$2:A1405,0)-1,0,1,1) )  ,  ,    OFFSET(PADRON!B$2,MATCH(C:C,PADRON!A$2:A1405,0)-1,0,1,1))</f>
        <v>DI FRANCESCO, GABRIEL</v>
      </c>
      <c r="E1053" s="58">
        <v>45839.0</v>
      </c>
      <c r="F1053" s="145"/>
      <c r="G1053" s="60" t="s">
        <v>39</v>
      </c>
      <c r="H1053" s="60">
        <f>IF( ISERROR( OFFSET(   'Cuadro tarifario'!D$2  , MATCH(CONCATENATE(                 IF(F1053&gt;Mes,OFFSET(NroCT!B$17, MATCH($F1053,NroCT!$A$18:$A1405,0),0,1,1),Periodovigente)                                                                                                                     ,A1053) ,'Cuadro tarifario'!A$2:A1405,0) -1 , 0 , 1 , 1) )   , 0  ,   OFFSET(   'Cuadro tarifario'!D$2  , MATCH(CONCATENATE( IF(F1053&gt;Mes,OFFSET(NroCT!B$17, MATCH($F1053,NroCT!$A$18:$A1405,0),0,1,1),Periodovigente) ,A1053) ,'Cuadro tarifario'!A$2:A1405,0) -1 , 0 , 1 , 1))</f>
        <v>9000</v>
      </c>
      <c r="I1053" s="61">
        <f t="shared" si="252"/>
        <v>0</v>
      </c>
      <c r="J1053" s="60">
        <f t="shared" si="235"/>
        <v>0</v>
      </c>
      <c r="K1053" s="62">
        <f>IF(  AND(N1053&gt;0,I1053=0)          ,N1053 ,                         IF(  IF( F1053 ,  DAYS360(DATE(YEAR(F1053),MONTH(F1053),1),Mes)/30  ,  DAYS360(DATE(YEAR(E1053),MONTH(E1053),1),Mes)/30  )  &gt;  0 , IF(F1053,   DAYS360(DATE(YEAR(F1053),MONTH(F1053),1),Mes)/30  ,  DAYS360(DATE(YEAR(E1053),MONTH(E1053),1),Mes)/30) , 0)       )</f>
        <v>1</v>
      </c>
      <c r="L1053" s="63">
        <f t="shared" si="253"/>
        <v>9000</v>
      </c>
      <c r="M1053" s="137"/>
      <c r="N1053" s="97">
        <f>IF( ISERROR(OFFSET(SECUESTRADOS!D$1,MATCH(B1053,SECUESTRADOS!A$2:A1405,0),0)) ,0 ,  OFFSET(SECUESTRADOS!D$1,MATCH(B1053,SECUESTRADOS!A$2:A1405,0),0)  )</f>
        <v>0</v>
      </c>
      <c r="O1053" s="98"/>
      <c r="P1053" s="99" t="b">
        <f t="shared" si="238"/>
        <v>0</v>
      </c>
      <c r="Q1053" s="99" t="str">
        <f t="shared" si="304"/>
        <v>#REF!</v>
      </c>
      <c r="R1053" s="130"/>
      <c r="S1053" s="130"/>
      <c r="T1053" s="130"/>
    </row>
    <row r="1054">
      <c r="A1054" s="18" t="s">
        <v>40</v>
      </c>
      <c r="B1054" s="116" t="s">
        <v>434</v>
      </c>
      <c r="C1054" s="140">
        <v>2239.0</v>
      </c>
      <c r="D1054" s="57" t="str">
        <f>IF(   ISERROR(OFFSET(PADRON!B$2,MATCH(C:C,PADRON!A$2:A1405,0)-1,0,1,1) )  ,  ,    OFFSET(PADRON!B$2,MATCH(C:C,PADRON!A$2:A1405,0)-1,0,1,1))</f>
        <v>DI FRANCESCO, GABRIEL</v>
      </c>
      <c r="E1054" s="58">
        <v>45839.0</v>
      </c>
      <c r="F1054" s="145"/>
      <c r="G1054" s="60" t="s">
        <v>39</v>
      </c>
      <c r="H1054" s="60">
        <f>IF( ISERROR( OFFSET(   'Cuadro tarifario'!D$2  , MATCH(CONCATENATE(                 IF(F1054&gt;Mes,OFFSET(NroCT!B$17, MATCH($F1054,NroCT!$A$18:$A1405,0),0,1,1),Periodovigente)                                                                                                                     ,A1054) ,'Cuadro tarifario'!A$2:A1405,0) -1 , 0 , 1 , 1) )   , 0  ,   OFFSET(   'Cuadro tarifario'!D$2  , MATCH(CONCATENATE( IF(F1054&gt;Mes,OFFSET(NroCT!B$17, MATCH($F1054,NroCT!$A$18:$A1405,0),0,1,1),Periodovigente) ,A1054) ,'Cuadro tarifario'!A$2:A1405,0) -1 , 0 , 1 , 1))</f>
        <v>12000</v>
      </c>
      <c r="I1054" s="61">
        <f t="shared" si="252"/>
        <v>0</v>
      </c>
      <c r="J1054" s="60">
        <f t="shared" si="235"/>
        <v>0</v>
      </c>
      <c r="K1054" s="62">
        <f>IF(  AND(N1054&gt;0,I1054=0)          ,N1054 ,                         IF(  IF( F1054 ,  DAYS360(DATE(YEAR(F1054),MONTH(F1054),1),Mes)/30  ,  DAYS360(DATE(YEAR(E1054),MONTH(E1054),1),Mes)/30  )  &gt;  0 , IF(F1054,   DAYS360(DATE(YEAR(F1054),MONTH(F1054),1),Mes)/30  ,  DAYS360(DATE(YEAR(E1054),MONTH(E1054),1),Mes)/30) , 0)       )</f>
        <v>1</v>
      </c>
      <c r="L1054" s="63">
        <f t="shared" si="253"/>
        <v>12000</v>
      </c>
      <c r="M1054" s="137"/>
      <c r="N1054" s="97">
        <f>IF( ISERROR(OFFSET(SECUESTRADOS!D$1,MATCH(B1054,SECUESTRADOS!A$2:A1405,0),0)) ,0 ,  OFFSET(SECUESTRADOS!D$1,MATCH(B1054,SECUESTRADOS!A$2:A1405,0),0)  )</f>
        <v>0</v>
      </c>
      <c r="O1054" s="98"/>
      <c r="P1054" s="99" t="b">
        <f t="shared" si="238"/>
        <v>0</v>
      </c>
      <c r="Q1054" s="99" t="str">
        <f t="shared" si="304"/>
        <v>#REF!</v>
      </c>
      <c r="R1054" s="130"/>
      <c r="S1054" s="130"/>
      <c r="T1054" s="130"/>
    </row>
    <row r="1055">
      <c r="A1055" s="18" t="s">
        <v>71</v>
      </c>
      <c r="B1055" s="116">
        <v>2240.0</v>
      </c>
      <c r="C1055" s="140">
        <v>2240.0</v>
      </c>
      <c r="D1055" s="57" t="str">
        <f>IF(   ISERROR(OFFSET(PADRON!B$2,MATCH(C:C,PADRON!A$2:A1405,0)-1,0,1,1) )  ,  ,    OFFSET(PADRON!B$2,MATCH(C:C,PADRON!A$2:A1405,0)-1,0,1,1))</f>
        <v>GARRITANO, MIGUEL ANGEL</v>
      </c>
      <c r="E1055" s="58">
        <v>45839.0</v>
      </c>
      <c r="F1055" s="145">
        <v>45870.0</v>
      </c>
      <c r="G1055" s="60" t="s">
        <v>39</v>
      </c>
      <c r="H1055" s="60">
        <f>IF( ISERROR( OFFSET(   'Cuadro tarifario'!D$2  , MATCH(CONCATENATE(                 IF(F1055&gt;Mes,OFFSET(NroCT!B$17, MATCH($F1055,NroCT!$A$18:$A1405,0),0,1,1),Periodovigente)                                                                                                                     ,A1055) ,'Cuadro tarifario'!A$2:A1405,0) -1 , 0 , 1 , 1) )   , 0  ,   OFFSET(   'Cuadro tarifario'!D$2  , MATCH(CONCATENATE( IF(F1055&gt;Mes,OFFSET(NroCT!B$17, MATCH($F1055,NroCT!$A$18:$A1405,0),0,1,1),Periodovigente) ,A1055) ,'Cuadro tarifario'!A$2:A1405,0) -1 , 0 , 1 , 1))</f>
        <v>11000</v>
      </c>
      <c r="I1055" s="61">
        <f t="shared" si="252"/>
        <v>1</v>
      </c>
      <c r="J1055" s="60">
        <f t="shared" si="235"/>
        <v>11000</v>
      </c>
      <c r="K1055" s="62">
        <f>IF(  AND(N1055&gt;0,I1055=0)          ,N1055 ,                         IF(  IF( F1055 ,  DAYS360(DATE(YEAR(F1055),MONTH(F1055),1),Mes)/30  ,  DAYS360(DATE(YEAR(E1055),MONTH(E1055),1),Mes)/30  )  &gt;  0 , IF(F1055,   DAYS360(DATE(YEAR(F1055),MONTH(F1055),1),Mes)/30  ,  DAYS360(DATE(YEAR(E1055),MONTH(E1055),1),Mes)/30) , 0)       )</f>
        <v>0</v>
      </c>
      <c r="L1055" s="63">
        <f t="shared" si="253"/>
        <v>0</v>
      </c>
      <c r="M1055" s="137"/>
      <c r="N1055" s="97">
        <f>IF( ISERROR(OFFSET(SECUESTRADOS!D$1,MATCH(B1055,SECUESTRADOS!A$2:A1405,0),0)) ,0 ,  OFFSET(SECUESTRADOS!D$1,MATCH(B1055,SECUESTRADOS!A$2:A1405,0),0)  )</f>
        <v>0</v>
      </c>
      <c r="O1055" s="98"/>
      <c r="P1055" s="99" t="str">
        <f t="shared" si="238"/>
        <v>.socio</v>
      </c>
      <c r="Q1055" s="99" t="str">
        <f t="shared" si="304"/>
        <v>#REF!</v>
      </c>
      <c r="R1055" s="130"/>
      <c r="S1055" s="130"/>
      <c r="T1055" s="130"/>
    </row>
    <row r="1056">
      <c r="A1056" s="18" t="s">
        <v>38</v>
      </c>
      <c r="B1056" s="116">
        <v>2240.0</v>
      </c>
      <c r="C1056" s="140">
        <v>2240.0</v>
      </c>
      <c r="D1056" s="57" t="str">
        <f>IF(   ISERROR(OFFSET(PADRON!B$2,MATCH(C:C,PADRON!A$2:A1405,0)-1,0,1,1) )  ,  ,    OFFSET(PADRON!B$2,MATCH(C:C,PADRON!A$2:A1405,0)-1,0,1,1))</f>
        <v>GARRITANO, MIGUEL ANGEL</v>
      </c>
      <c r="E1056" s="58">
        <v>45839.0</v>
      </c>
      <c r="F1056" s="145">
        <v>45870.0</v>
      </c>
      <c r="G1056" s="60" t="s">
        <v>39</v>
      </c>
      <c r="H1056" s="60">
        <f>IF( ISERROR( OFFSET(   'Cuadro tarifario'!D$2  , MATCH(CONCATENATE(                 IF(F1056&gt;Mes,OFFSET(NroCT!B$17, MATCH($F1056,NroCT!$A$18:$A1405,0),0,1,1),Periodovigente)                                                                                                                     ,A1056) ,'Cuadro tarifario'!A$2:A1405,0) -1 , 0 , 1 , 1) )   , 0  ,   OFFSET(   'Cuadro tarifario'!D$2  , MATCH(CONCATENATE( IF(F1056&gt;Mes,OFFSET(NroCT!B$17, MATCH($F1056,NroCT!$A$18:$A1405,0),0,1,1),Periodovigente) ,A1056) ,'Cuadro tarifario'!A$2:A1405,0) -1 , 0 , 1 , 1))</f>
        <v>9000</v>
      </c>
      <c r="I1056" s="61">
        <f t="shared" si="252"/>
        <v>1</v>
      </c>
      <c r="J1056" s="60">
        <f t="shared" si="235"/>
        <v>9000</v>
      </c>
      <c r="K1056" s="62">
        <f>IF(  AND(N1056&gt;0,I1056=0)          ,N1056 ,                         IF(  IF( F1056 ,  DAYS360(DATE(YEAR(F1056),MONTH(F1056),1),Mes)/30  ,  DAYS360(DATE(YEAR(E1056),MONTH(E1056),1),Mes)/30  )  &gt;  0 , IF(F1056,   DAYS360(DATE(YEAR(F1056),MONTH(F1056),1),Mes)/30  ,  DAYS360(DATE(YEAR(E1056),MONTH(E1056),1),Mes)/30) , 0)       )</f>
        <v>0</v>
      </c>
      <c r="L1056" s="63">
        <f t="shared" si="253"/>
        <v>0</v>
      </c>
      <c r="M1056" s="137"/>
      <c r="N1056" s="97">
        <f>IF( ISERROR(OFFSET(SECUESTRADOS!D$1,MATCH(B1056,SECUESTRADOS!A$2:A1405,0),0)) ,0 ,  OFFSET(SECUESTRADOS!D$1,MATCH(B1056,SECUESTRADOS!A$2:A1405,0),0)  )</f>
        <v>0</v>
      </c>
      <c r="O1056" s="98"/>
      <c r="P1056" s="99" t="str">
        <f t="shared" si="238"/>
        <v>Bono canon</v>
      </c>
      <c r="Q1056" s="99" t="str">
        <f t="shared" si="304"/>
        <v>#REF!</v>
      </c>
      <c r="R1056" s="130"/>
      <c r="S1056" s="130"/>
      <c r="T1056" s="130"/>
    </row>
    <row r="1057">
      <c r="A1057" s="18" t="s">
        <v>82</v>
      </c>
      <c r="B1057" s="116" t="s">
        <v>435</v>
      </c>
      <c r="C1057" s="140">
        <v>2240.0</v>
      </c>
      <c r="D1057" s="57" t="str">
        <f>IF(   ISERROR(OFFSET(PADRON!B$2,MATCH(C:C,PADRON!A$2:A1405,0)-1,0,1,1) )  ,  ,    OFFSET(PADRON!B$2,MATCH(C:C,PADRON!A$2:A1405,0)-1,0,1,1))</f>
        <v>GARRITANO, MIGUEL ANGEL</v>
      </c>
      <c r="E1057" s="58">
        <v>45839.0</v>
      </c>
      <c r="F1057" s="145">
        <v>45870.0</v>
      </c>
      <c r="G1057" s="60" t="s">
        <v>39</v>
      </c>
      <c r="H1057" s="60">
        <f>IF( ISERROR( OFFSET(   'Cuadro tarifario'!D$2  , MATCH(CONCATENATE(                 IF(F1057&gt;Mes,OFFSET(NroCT!B$17, MATCH($F1057,NroCT!$A$18:$A1405,0),0,1,1),Periodovigente)                                                                                                                     ,A1057) ,'Cuadro tarifario'!A$2:A1405,0) -1 , 0 , 1 , 1) )   , 0  ,   OFFSET(   'Cuadro tarifario'!D$2  , MATCH(CONCATENATE( IF(F1057&gt;Mes,OFFSET(NroCT!B$17, MATCH($F1057,NroCT!$A$18:$A1405,0),0,1,1),Periodovigente) ,A1057) ,'Cuadro tarifario'!A$2:A1405,0) -1 , 0 , 1 , 1))</f>
        <v>12000</v>
      </c>
      <c r="I1057" s="61">
        <f t="shared" si="252"/>
        <v>1</v>
      </c>
      <c r="J1057" s="59" t="s">
        <v>154</v>
      </c>
      <c r="K1057" s="62">
        <f>IF(  AND(N1057&gt;0,I1057=0)          ,N1057 ,                         IF(  IF( F1057 ,  DAYS360(DATE(YEAR(F1057),MONTH(F1057),1),Mes)/30  ,  DAYS360(DATE(YEAR(E1057),MONTH(E1057),1),Mes)/30  )  &gt;  0 , IF(F1057,   DAYS360(DATE(YEAR(F1057),MONTH(F1057),1),Mes)/30  ,  DAYS360(DATE(YEAR(E1057),MONTH(E1057),1),Mes)/30) , 0)       )</f>
        <v>0</v>
      </c>
      <c r="L1057" s="63">
        <f t="shared" si="253"/>
        <v>0</v>
      </c>
      <c r="M1057" s="137"/>
      <c r="N1057" s="97">
        <f>IF( ISERROR(OFFSET(SECUESTRADOS!D$1,MATCH(B1057,SECUESTRADOS!A$2:A1405,0),0)) ,0 ,  OFFSET(SECUESTRADOS!D$1,MATCH(B1057,SECUESTRADOS!A$2:A1405,0),0)  )</f>
        <v>0</v>
      </c>
      <c r="O1057" s="98"/>
      <c r="P1057" s="99" t="str">
        <f t="shared" si="238"/>
        <v>cuna kayak</v>
      </c>
      <c r="Q1057" s="99" t="str">
        <f t="shared" si="304"/>
        <v>#REF!</v>
      </c>
      <c r="R1057" s="130"/>
      <c r="S1057" s="130"/>
      <c r="T1057" s="130"/>
    </row>
    <row r="1058">
      <c r="A1058" s="18" t="s">
        <v>71</v>
      </c>
      <c r="B1058" s="116">
        <v>2242.0</v>
      </c>
      <c r="C1058" s="140">
        <v>2242.0</v>
      </c>
      <c r="D1058" s="57" t="str">
        <f>IF(   ISERROR(OFFSET(PADRON!B$2,MATCH(C:C,PADRON!A$2:A1405,0)-1,0,1,1) )  ,  ,    OFFSET(PADRON!B$2,MATCH(C:C,PADRON!A$2:A1405,0)-1,0,1,1))</f>
        <v>MERCERAT, FERNANDO</v>
      </c>
      <c r="E1058" s="58">
        <v>45839.0</v>
      </c>
      <c r="F1058" s="145">
        <v>45870.0</v>
      </c>
      <c r="G1058" s="59" t="s">
        <v>39</v>
      </c>
      <c r="H1058" s="60">
        <f>IF( ISERROR( OFFSET(   'Cuadro tarifario'!D$2  , MATCH(CONCATENATE(                 IF(F1058&gt;Mes,OFFSET(NroCT!B$17, MATCH($F1058,NroCT!$A$18:$A1405,0),0,1,1),Periodovigente)                                                                                                                     ,A1058) ,'Cuadro tarifario'!A$2:A1405,0) -1 , 0 , 1 , 1) )   , 0  ,   OFFSET(   'Cuadro tarifario'!D$2  , MATCH(CONCATENATE( IF(F1058&gt;Mes,OFFSET(NroCT!B$17, MATCH($F1058,NroCT!$A$18:$A1405,0),0,1,1),Periodovigente) ,A1058) ,'Cuadro tarifario'!A$2:A1405,0) -1 , 0 , 1 , 1))</f>
        <v>11000</v>
      </c>
      <c r="I1058" s="61">
        <f t="shared" si="252"/>
        <v>1</v>
      </c>
      <c r="J1058" s="60">
        <f t="shared" ref="J1058:J1194" si="305">I1058*H1058</f>
        <v>11000</v>
      </c>
      <c r="K1058" s="62">
        <f>IF(  AND(N1058&gt;0,I1058=0)          ,N1058 ,                         IF(  IF( F1058 ,  DAYS360(DATE(YEAR(F1058),MONTH(F1058),1),Mes)/30  ,  DAYS360(DATE(YEAR(E1058),MONTH(E1058),1),Mes)/30  )  &gt;  0 , IF(F1058,   DAYS360(DATE(YEAR(F1058),MONTH(F1058),1),Mes)/30  ,  DAYS360(DATE(YEAR(E1058),MONTH(E1058),1),Mes)/30) , 0)       )</f>
        <v>0</v>
      </c>
      <c r="L1058" s="63">
        <f t="shared" si="253"/>
        <v>0</v>
      </c>
      <c r="M1058" s="137"/>
      <c r="N1058" s="97">
        <f>IF( ISERROR(OFFSET(SECUESTRADOS!D$1,MATCH(B1058,SECUESTRADOS!A$2:A1405,0),0)) ,0 ,  OFFSET(SECUESTRADOS!D$1,MATCH(B1058,SECUESTRADOS!A$2:A1405,0),0)  )</f>
        <v>0</v>
      </c>
      <c r="O1058" s="98"/>
      <c r="P1058" s="99" t="str">
        <f t="shared" si="238"/>
        <v>.socio</v>
      </c>
      <c r="Q1058" s="99" t="str">
        <f t="shared" si="304"/>
        <v>#REF!</v>
      </c>
      <c r="R1058" s="130"/>
      <c r="S1058" s="130"/>
      <c r="T1058" s="130"/>
    </row>
    <row r="1059">
      <c r="A1059" s="18" t="s">
        <v>38</v>
      </c>
      <c r="B1059" s="116">
        <v>2242.0</v>
      </c>
      <c r="C1059" s="140">
        <v>2242.0</v>
      </c>
      <c r="D1059" s="57" t="str">
        <f>IF(   ISERROR(OFFSET(PADRON!B$2,MATCH(C:C,PADRON!A$2:A1405,0)-1,0,1,1) )  ,  ,    OFFSET(PADRON!B$2,MATCH(C:C,PADRON!A$2:A1405,0)-1,0,1,1))</f>
        <v>MERCERAT, FERNANDO</v>
      </c>
      <c r="E1059" s="58">
        <v>45839.0</v>
      </c>
      <c r="F1059" s="145">
        <v>45870.0</v>
      </c>
      <c r="G1059" s="59" t="s">
        <v>39</v>
      </c>
      <c r="H1059" s="60">
        <f>IF( ISERROR( OFFSET(   'Cuadro tarifario'!D$2  , MATCH(CONCATENATE(                 IF(F1059&gt;Mes,OFFSET(NroCT!B$17, MATCH($F1059,NroCT!$A$18:$A1405,0),0,1,1),Periodovigente)                                                                                                                     ,A1059) ,'Cuadro tarifario'!A$2:A1405,0) -1 , 0 , 1 , 1) )   , 0  ,   OFFSET(   'Cuadro tarifario'!D$2  , MATCH(CONCATENATE( IF(F1059&gt;Mes,OFFSET(NroCT!B$17, MATCH($F1059,NroCT!$A$18:$A1405,0),0,1,1),Periodovigente) ,A1059) ,'Cuadro tarifario'!A$2:A1405,0) -1 , 0 , 1 , 1))</f>
        <v>9000</v>
      </c>
      <c r="I1059" s="61">
        <f t="shared" si="252"/>
        <v>1</v>
      </c>
      <c r="J1059" s="60">
        <f t="shared" si="305"/>
        <v>9000</v>
      </c>
      <c r="K1059" s="62">
        <f>IF(  AND(N1059&gt;0,I1059=0)          ,N1059 ,                         IF(  IF( F1059 ,  DAYS360(DATE(YEAR(F1059),MONTH(F1059),1),Mes)/30  ,  DAYS360(DATE(YEAR(E1059),MONTH(E1059),1),Mes)/30  )  &gt;  0 , IF(F1059,   DAYS360(DATE(YEAR(F1059),MONTH(F1059),1),Mes)/30  ,  DAYS360(DATE(YEAR(E1059),MONTH(E1059),1),Mes)/30) , 0)       )</f>
        <v>0</v>
      </c>
      <c r="L1059" s="63">
        <f t="shared" si="253"/>
        <v>0</v>
      </c>
      <c r="M1059" s="137"/>
      <c r="N1059" s="97">
        <f>IF( ISERROR(OFFSET(SECUESTRADOS!D$1,MATCH(B1059,SECUESTRADOS!A$2:A1405,0),0)) ,0 ,  OFFSET(SECUESTRADOS!D$1,MATCH(B1059,SECUESTRADOS!A$2:A1405,0),0)  )</f>
        <v>0</v>
      </c>
      <c r="O1059" s="98"/>
      <c r="P1059" s="99" t="str">
        <f t="shared" si="238"/>
        <v>Bono canon</v>
      </c>
      <c r="Q1059" s="99" t="str">
        <f t="shared" si="304"/>
        <v>#REF!</v>
      </c>
      <c r="R1059" s="130"/>
      <c r="S1059" s="130"/>
      <c r="T1059" s="130"/>
    </row>
    <row r="1060">
      <c r="A1060" s="18" t="s">
        <v>40</v>
      </c>
      <c r="B1060" s="116" t="s">
        <v>436</v>
      </c>
      <c r="C1060" s="140">
        <v>2242.0</v>
      </c>
      <c r="D1060" s="57" t="str">
        <f>IF(   ISERROR(OFFSET(PADRON!B$2,MATCH(C:C,PADRON!A$2:A1405,0)-1,0,1,1) )  ,  ,    OFFSET(PADRON!B$2,MATCH(C:C,PADRON!A$2:A1405,0)-1,0,1,1))</f>
        <v>MERCERAT, FERNANDO</v>
      </c>
      <c r="E1060" s="58">
        <v>45839.0</v>
      </c>
      <c r="F1060" s="145">
        <v>45870.0</v>
      </c>
      <c r="G1060" s="59" t="s">
        <v>39</v>
      </c>
      <c r="H1060" s="60">
        <f>IF( ISERROR( OFFSET(   'Cuadro tarifario'!D$2  , MATCH(CONCATENATE(                 IF(F1060&gt;Mes,OFFSET(NroCT!B$17, MATCH($F1060,NroCT!$A$18:$A1405,0),0,1,1),Periodovigente)                                                                                                                     ,A1060) ,'Cuadro tarifario'!A$2:A1405,0) -1 , 0 , 1 , 1) )   , 0  ,   OFFSET(   'Cuadro tarifario'!D$2  , MATCH(CONCATENATE( IF(F1060&gt;Mes,OFFSET(NroCT!B$17, MATCH($F1060,NroCT!$A$18:$A1405,0),0,1,1),Periodovigente) ,A1060) ,'Cuadro tarifario'!A$2:A1405,0) -1 , 0 , 1 , 1))</f>
        <v>12000</v>
      </c>
      <c r="I1060" s="61">
        <f t="shared" si="252"/>
        <v>1</v>
      </c>
      <c r="J1060" s="60">
        <f t="shared" si="305"/>
        <v>12000</v>
      </c>
      <c r="K1060" s="62">
        <f>IF(  AND(N1060&gt;0,I1060=0)          ,N1060 ,                         IF(  IF( F1060 ,  DAYS360(DATE(YEAR(F1060),MONTH(F1060),1),Mes)/30  ,  DAYS360(DATE(YEAR(E1060),MONTH(E1060),1),Mes)/30  )  &gt;  0 , IF(F1060,   DAYS360(DATE(YEAR(F1060),MONTH(F1060),1),Mes)/30  ,  DAYS360(DATE(YEAR(E1060),MONTH(E1060),1),Mes)/30) , 0)       )</f>
        <v>0</v>
      </c>
      <c r="L1060" s="63">
        <f t="shared" si="253"/>
        <v>0</v>
      </c>
      <c r="M1060" s="137"/>
      <c r="N1060" s="97">
        <f>IF( ISERROR(OFFSET(SECUESTRADOS!D$1,MATCH(B1060,SECUESTRADOS!A$2:A1405,0),0)) ,0 ,  OFFSET(SECUESTRADOS!D$1,MATCH(B1060,SECUESTRADOS!A$2:A1405,0),0)  )</f>
        <v>0</v>
      </c>
      <c r="O1060" s="98"/>
      <c r="P1060" s="99" t="str">
        <f t="shared" si="238"/>
        <v>cuna windsurf</v>
      </c>
      <c r="Q1060" s="99" t="str">
        <f t="shared" si="304"/>
        <v>#REF!</v>
      </c>
      <c r="R1060" s="130"/>
      <c r="S1060" s="130"/>
      <c r="T1060" s="130"/>
    </row>
    <row r="1061">
      <c r="A1061" s="18" t="s">
        <v>52</v>
      </c>
      <c r="B1061" s="116" t="s">
        <v>437</v>
      </c>
      <c r="C1061" s="140">
        <v>2242.0</v>
      </c>
      <c r="D1061" s="57" t="str">
        <f>IF(   ISERROR(OFFSET(PADRON!B$2,MATCH(C:C,PADRON!A$2:A1405,0)-1,0,1,1) )  ,  ,    OFFSET(PADRON!B$2,MATCH(C:C,PADRON!A$2:A1405,0)-1,0,1,1))</f>
        <v>MERCERAT, FERNANDO</v>
      </c>
      <c r="E1061" s="58">
        <v>45992.0</v>
      </c>
      <c r="F1061" s="145"/>
      <c r="G1061" s="59" t="s">
        <v>39</v>
      </c>
      <c r="H1061" s="60">
        <f>IF( ISERROR( OFFSET(   'Cuadro tarifario'!D$2  , MATCH(CONCATENATE(                 IF(F1061&gt;Mes,OFFSET(NroCT!B$17, MATCH($F1061,NroCT!$A$18:$A1405,0),0,1,1),Periodovigente)                                                                                                                     ,A1061) ,'Cuadro tarifario'!A$2:A1405,0) -1 , 0 , 1 , 1) )   , 0  ,   OFFSET(   'Cuadro tarifario'!D$2  , MATCH(CONCATENATE( IF(F1061&gt;Mes,OFFSET(NroCT!B$17, MATCH($F1061,NroCT!$A$18:$A1405,0),0,1,1),Periodovigente) ,A1061) ,'Cuadro tarifario'!A$2:A1405,0) -1 , 0 , 1 , 1))</f>
        <v>4000</v>
      </c>
      <c r="I1061" s="61">
        <f t="shared" si="252"/>
        <v>0</v>
      </c>
      <c r="J1061" s="60">
        <f t="shared" si="305"/>
        <v>0</v>
      </c>
      <c r="K1061" s="62">
        <f>IF(  AND(N1061&gt;0,I1061=0)          ,N1061 ,                         IF(  IF( F1061 ,  DAYS360(DATE(YEAR(F1061),MONTH(F1061),1),Mes)/30  ,  DAYS360(DATE(YEAR(E1061),MONTH(E1061),1),Mes)/30  )  &gt;  0 , IF(F1061,   DAYS360(DATE(YEAR(F1061),MONTH(F1061),1),Mes)/30  ,  DAYS360(DATE(YEAR(E1061),MONTH(E1061),1),Mes)/30) , 0)       )</f>
        <v>0</v>
      </c>
      <c r="L1061" s="63">
        <f t="shared" si="253"/>
        <v>0</v>
      </c>
      <c r="M1061" s="137"/>
      <c r="N1061" s="97">
        <f>IF( ISERROR(OFFSET(SECUESTRADOS!D$1,MATCH(B1061,SECUESTRADOS!A$2:A1405,0),0)) ,0 ,  OFFSET(SECUESTRADOS!D$1,MATCH(B1061,SECUESTRADOS!A$2:A1405,0),0)  )</f>
        <v>0</v>
      </c>
      <c r="O1061" s="98"/>
      <c r="P1061" s="99" t="b">
        <f t="shared" si="238"/>
        <v>0</v>
      </c>
      <c r="Q1061" s="99" t="str">
        <f t="shared" si="304"/>
        <v>#REF!</v>
      </c>
      <c r="R1061" s="130"/>
      <c r="S1061" s="130"/>
      <c r="T1061" s="130"/>
    </row>
    <row r="1062">
      <c r="A1062" s="18" t="s">
        <v>71</v>
      </c>
      <c r="B1062" s="116">
        <v>2243.0</v>
      </c>
      <c r="C1062" s="140">
        <v>2243.0</v>
      </c>
      <c r="D1062" s="57" t="str">
        <f>IF(   ISERROR(OFFSET(PADRON!B$2,MATCH(C:C,PADRON!A$2:A1405,0)-1,0,1,1) )  ,  ,    OFFSET(PADRON!B$2,MATCH(C:C,PADRON!A$2:A1405,0)-1,0,1,1))</f>
        <v>GRIGERA, JOSE RAUL</v>
      </c>
      <c r="E1062" s="58">
        <v>45839.0</v>
      </c>
      <c r="F1062" s="145">
        <v>45870.0</v>
      </c>
      <c r="G1062" s="59" t="s">
        <v>39</v>
      </c>
      <c r="H1062" s="60">
        <f>IF( ISERROR( OFFSET(   'Cuadro tarifario'!D$2  , MATCH(CONCATENATE(                 IF(F1062&gt;Mes,OFFSET(NroCT!B$17, MATCH($F1062,NroCT!$A$18:$A1405,0),0,1,1),Periodovigente)                                                                                                                     ,A1062) ,'Cuadro tarifario'!A$2:A1405,0) -1 , 0 , 1 , 1) )   , 0  ,   OFFSET(   'Cuadro tarifario'!D$2  , MATCH(CONCATENATE( IF(F1062&gt;Mes,OFFSET(NroCT!B$17, MATCH($F1062,NroCT!$A$18:$A1405,0),0,1,1),Periodovigente) ,A1062) ,'Cuadro tarifario'!A$2:A1405,0) -1 , 0 , 1 , 1))</f>
        <v>11000</v>
      </c>
      <c r="I1062" s="61">
        <f t="shared" si="252"/>
        <v>1</v>
      </c>
      <c r="J1062" s="60">
        <f t="shared" si="305"/>
        <v>11000</v>
      </c>
      <c r="K1062" s="62">
        <f>IF(  AND(N1062&gt;0,I1062=0)          ,N1062 ,                         IF(  IF( F1062 ,  DAYS360(DATE(YEAR(F1062),MONTH(F1062),1),Mes)/30  ,  DAYS360(DATE(YEAR(E1062),MONTH(E1062),1),Mes)/30  )  &gt;  0 , IF(F1062,   DAYS360(DATE(YEAR(F1062),MONTH(F1062),1),Mes)/30  ,  DAYS360(DATE(YEAR(E1062),MONTH(E1062),1),Mes)/30) , 0)       )</f>
        <v>0</v>
      </c>
      <c r="L1062" s="63">
        <f t="shared" si="253"/>
        <v>0</v>
      </c>
      <c r="M1062" s="137"/>
      <c r="N1062" s="97">
        <f>IF( ISERROR(OFFSET(SECUESTRADOS!D$1,MATCH(B1062,SECUESTRADOS!A$2:A1405,0),0)) ,0 ,  OFFSET(SECUESTRADOS!D$1,MATCH(B1062,SECUESTRADOS!A$2:A1405,0),0)  )</f>
        <v>0</v>
      </c>
      <c r="O1062" s="98"/>
      <c r="P1062" s="99" t="str">
        <f t="shared" si="238"/>
        <v>.socio</v>
      </c>
      <c r="Q1062" s="99" t="str">
        <f t="shared" si="304"/>
        <v>#REF!</v>
      </c>
      <c r="R1062" s="130"/>
      <c r="S1062" s="130"/>
      <c r="T1062" s="130"/>
    </row>
    <row r="1063">
      <c r="A1063" s="18" t="s">
        <v>38</v>
      </c>
      <c r="B1063" s="116">
        <v>2243.0</v>
      </c>
      <c r="C1063" s="140">
        <v>2243.0</v>
      </c>
      <c r="D1063" s="57" t="str">
        <f>IF(   ISERROR(OFFSET(PADRON!B$2,MATCH(C:C,PADRON!A$2:A1405,0)-1,0,1,1) )  ,  ,    OFFSET(PADRON!B$2,MATCH(C:C,PADRON!A$2:A1405,0)-1,0,1,1))</f>
        <v>GRIGERA, JOSE RAUL</v>
      </c>
      <c r="E1063" s="58">
        <v>45839.0</v>
      </c>
      <c r="F1063" s="145">
        <v>45870.0</v>
      </c>
      <c r="G1063" s="59" t="s">
        <v>39</v>
      </c>
      <c r="H1063" s="60">
        <f>IF( ISERROR( OFFSET(   'Cuadro tarifario'!D$2  , MATCH(CONCATENATE(                 IF(F1063&gt;Mes,OFFSET(NroCT!B$17, MATCH($F1063,NroCT!$A$18:$A1405,0),0,1,1),Periodovigente)                                                                                                                     ,A1063) ,'Cuadro tarifario'!A$2:A1405,0) -1 , 0 , 1 , 1) )   , 0  ,   OFFSET(   'Cuadro tarifario'!D$2  , MATCH(CONCATENATE( IF(F1063&gt;Mes,OFFSET(NroCT!B$17, MATCH($F1063,NroCT!$A$18:$A1405,0),0,1,1),Periodovigente) ,A1063) ,'Cuadro tarifario'!A$2:A1405,0) -1 , 0 , 1 , 1))</f>
        <v>9000</v>
      </c>
      <c r="I1063" s="61">
        <f t="shared" si="252"/>
        <v>1</v>
      </c>
      <c r="J1063" s="60">
        <f t="shared" si="305"/>
        <v>9000</v>
      </c>
      <c r="K1063" s="62">
        <f>IF(  AND(N1063&gt;0,I1063=0)          ,N1063 ,                         IF(  IF( F1063 ,  DAYS360(DATE(YEAR(F1063),MONTH(F1063),1),Mes)/30  ,  DAYS360(DATE(YEAR(E1063),MONTH(E1063),1),Mes)/30  )  &gt;  0 , IF(F1063,   DAYS360(DATE(YEAR(F1063),MONTH(F1063),1),Mes)/30  ,  DAYS360(DATE(YEAR(E1063),MONTH(E1063),1),Mes)/30) , 0)       )</f>
        <v>0</v>
      </c>
      <c r="L1063" s="63">
        <f t="shared" si="253"/>
        <v>0</v>
      </c>
      <c r="M1063" s="137"/>
      <c r="N1063" s="97">
        <f>IF( ISERROR(OFFSET(SECUESTRADOS!D$1,MATCH(B1063,SECUESTRADOS!A$2:A1405,0),0)) ,0 ,  OFFSET(SECUESTRADOS!D$1,MATCH(B1063,SECUESTRADOS!A$2:A1405,0),0)  )</f>
        <v>0</v>
      </c>
      <c r="O1063" s="98"/>
      <c r="P1063" s="99" t="str">
        <f t="shared" si="238"/>
        <v>Bono canon</v>
      </c>
      <c r="Q1063" s="99" t="str">
        <f t="shared" si="304"/>
        <v>#REF!</v>
      </c>
      <c r="R1063" s="130"/>
      <c r="S1063" s="130"/>
      <c r="T1063" s="130"/>
    </row>
    <row r="1064">
      <c r="A1064" s="18" t="s">
        <v>71</v>
      </c>
      <c r="B1064" s="116">
        <v>2244.0</v>
      </c>
      <c r="C1064" s="140">
        <v>2244.0</v>
      </c>
      <c r="D1064" s="57" t="str">
        <f>IF(   ISERROR(OFFSET(PADRON!B$2,MATCH(C:C,PADRON!A$2:A1405,0)-1,0,1,1) )  ,  ,    OFFSET(PADRON!B$2,MATCH(C:C,PADRON!A$2:A1405,0)-1,0,1,1))</f>
        <v>PASCUAL LOPEZ, VALENTIN</v>
      </c>
      <c r="E1064" s="58">
        <v>45809.0</v>
      </c>
      <c r="F1064" s="145">
        <v>45870.0</v>
      </c>
      <c r="G1064" s="59" t="s">
        <v>39</v>
      </c>
      <c r="H1064" s="60">
        <f>IF( ISERROR( OFFSET(   'Cuadro tarifario'!D$2  , MATCH(CONCATENATE(                 IF(F1064&gt;Mes,OFFSET(NroCT!B$17, MATCH($F1064,NroCT!$A$18:$A1405,0),0,1,1),Periodovigente)                                                                                                                     ,A1064) ,'Cuadro tarifario'!A$2:A1405,0) -1 , 0 , 1 , 1) )   , 0  ,   OFFSET(   'Cuadro tarifario'!D$2  , MATCH(CONCATENATE( IF(F1064&gt;Mes,OFFSET(NroCT!B$17, MATCH($F1064,NroCT!$A$18:$A1405,0),0,1,1),Periodovigente) ,A1064) ,'Cuadro tarifario'!A$2:A1405,0) -1 , 0 , 1 , 1))</f>
        <v>11000</v>
      </c>
      <c r="I1064" s="61">
        <f t="shared" si="252"/>
        <v>2</v>
      </c>
      <c r="J1064" s="60">
        <f t="shared" si="305"/>
        <v>22000</v>
      </c>
      <c r="K1064" s="62">
        <f>IF(  AND(N1064&gt;0,I1064=0)          ,N1064 ,                         IF(  IF( F1064 ,  DAYS360(DATE(YEAR(F1064),MONTH(F1064),1),Mes)/30  ,  DAYS360(DATE(YEAR(E1064),MONTH(E1064),1),Mes)/30  )  &gt;  0 , IF(F1064,   DAYS360(DATE(YEAR(F1064),MONTH(F1064),1),Mes)/30  ,  DAYS360(DATE(YEAR(E1064),MONTH(E1064),1),Mes)/30) , 0)       )</f>
        <v>0</v>
      </c>
      <c r="L1064" s="63">
        <f t="shared" si="253"/>
        <v>0</v>
      </c>
      <c r="M1064" s="137"/>
      <c r="N1064" s="97">
        <f>IF( ISERROR(OFFSET(SECUESTRADOS!D$1,MATCH(B1064,SECUESTRADOS!A$2:A1405,0),0)) ,0 ,  OFFSET(SECUESTRADOS!D$1,MATCH(B1064,SECUESTRADOS!A$2:A1405,0),0)  )</f>
        <v>0</v>
      </c>
      <c r="O1064" s="98"/>
      <c r="P1064" s="99" t="str">
        <f t="shared" si="238"/>
        <v>.socio</v>
      </c>
      <c r="Q1064" s="99" t="str">
        <f t="shared" si="304"/>
        <v>#REF!</v>
      </c>
      <c r="R1064" s="130"/>
      <c r="S1064" s="130"/>
      <c r="T1064" s="130"/>
    </row>
    <row r="1065">
      <c r="A1065" s="18" t="s">
        <v>38</v>
      </c>
      <c r="B1065" s="116">
        <v>2244.0</v>
      </c>
      <c r="C1065" s="140">
        <v>2244.0</v>
      </c>
      <c r="D1065" s="57" t="str">
        <f>IF(   ISERROR(OFFSET(PADRON!B$2,MATCH(C:C,PADRON!A$2:A1405,0)-1,0,1,1) )  ,  ,    OFFSET(PADRON!B$2,MATCH(C:C,PADRON!A$2:A1405,0)-1,0,1,1))</f>
        <v>PASCUAL LOPEZ, VALENTIN</v>
      </c>
      <c r="E1065" s="58">
        <v>45809.0</v>
      </c>
      <c r="F1065" s="145">
        <v>45870.0</v>
      </c>
      <c r="G1065" s="59" t="s">
        <v>39</v>
      </c>
      <c r="H1065" s="60">
        <f>IF( ISERROR( OFFSET(   'Cuadro tarifario'!D$2  , MATCH(CONCATENATE(                 IF(F1065&gt;Mes,OFFSET(NroCT!B$17, MATCH($F1065,NroCT!$A$18:$A1405,0),0,1,1),Periodovigente)                                                                                                                     ,A1065) ,'Cuadro tarifario'!A$2:A1405,0) -1 , 0 , 1 , 1) )   , 0  ,   OFFSET(   'Cuadro tarifario'!D$2  , MATCH(CONCATENATE( IF(F1065&gt;Mes,OFFSET(NroCT!B$17, MATCH($F1065,NroCT!$A$18:$A1405,0),0,1,1),Periodovigente) ,A1065) ,'Cuadro tarifario'!A$2:A1405,0) -1 , 0 , 1 , 1))</f>
        <v>9000</v>
      </c>
      <c r="I1065" s="61">
        <f t="shared" si="252"/>
        <v>2</v>
      </c>
      <c r="J1065" s="60">
        <f t="shared" si="305"/>
        <v>18000</v>
      </c>
      <c r="K1065" s="62">
        <f>IF(  AND(N1065&gt;0,I1065=0)          ,N1065 ,                         IF(  IF( F1065 ,  DAYS360(DATE(YEAR(F1065),MONTH(F1065),1),Mes)/30  ,  DAYS360(DATE(YEAR(E1065),MONTH(E1065),1),Mes)/30  )  &gt;  0 , IF(F1065,   DAYS360(DATE(YEAR(F1065),MONTH(F1065),1),Mes)/30  ,  DAYS360(DATE(YEAR(E1065),MONTH(E1065),1),Mes)/30) , 0)       )</f>
        <v>0</v>
      </c>
      <c r="L1065" s="63">
        <f t="shared" si="253"/>
        <v>0</v>
      </c>
      <c r="M1065" s="137"/>
      <c r="N1065" s="97">
        <f>IF( ISERROR(OFFSET(SECUESTRADOS!D$1,MATCH(B1065,SECUESTRADOS!A$2:A1405,0),0)) ,0 ,  OFFSET(SECUESTRADOS!D$1,MATCH(B1065,SECUESTRADOS!A$2:A1405,0),0)  )</f>
        <v>0</v>
      </c>
      <c r="O1065" s="98"/>
      <c r="P1065" s="99" t="str">
        <f t="shared" si="238"/>
        <v>Bono canon</v>
      </c>
      <c r="Q1065" s="99" t="str">
        <f t="shared" si="304"/>
        <v>#REF!</v>
      </c>
      <c r="R1065" s="130"/>
      <c r="S1065" s="130"/>
      <c r="T1065" s="130"/>
    </row>
    <row r="1066">
      <c r="A1066" s="18" t="s">
        <v>40</v>
      </c>
      <c r="B1066" s="116" t="s">
        <v>438</v>
      </c>
      <c r="C1066" s="140">
        <v>2244.0</v>
      </c>
      <c r="D1066" s="57" t="str">
        <f>IF(   ISERROR(OFFSET(PADRON!B$2,MATCH(C:C,PADRON!A$2:A1405,0)-1,0,1,1) )  ,  ,    OFFSET(PADRON!B$2,MATCH(C:C,PADRON!A$2:A1405,0)-1,0,1,1))</f>
        <v>PASCUAL LOPEZ, VALENTIN</v>
      </c>
      <c r="E1066" s="58">
        <v>45809.0</v>
      </c>
      <c r="F1066" s="145">
        <v>45870.0</v>
      </c>
      <c r="G1066" s="59" t="s">
        <v>39</v>
      </c>
      <c r="H1066" s="60">
        <f>IF( ISERROR( OFFSET(   'Cuadro tarifario'!D$2  , MATCH(CONCATENATE(                 IF(F1066&gt;Mes,OFFSET(NroCT!B$17, MATCH($F1066,NroCT!$A$18:$A1405,0),0,1,1),Periodovigente)                                                                                                                     ,A1066) ,'Cuadro tarifario'!A$2:A1405,0) -1 , 0 , 1 , 1) )   , 0  ,   OFFSET(   'Cuadro tarifario'!D$2  , MATCH(CONCATENATE( IF(F1066&gt;Mes,OFFSET(NroCT!B$17, MATCH($F1066,NroCT!$A$18:$A1405,0),0,1,1),Periodovigente) ,A1066) ,'Cuadro tarifario'!A$2:A1405,0) -1 , 0 , 1 , 1))</f>
        <v>12000</v>
      </c>
      <c r="I1066" s="61">
        <f t="shared" si="252"/>
        <v>2</v>
      </c>
      <c r="J1066" s="60">
        <f t="shared" si="305"/>
        <v>24000</v>
      </c>
      <c r="K1066" s="62">
        <f>IF(  AND(N1066&gt;0,I1066=0)          ,N1066 ,                         IF(  IF( F1066 ,  DAYS360(DATE(YEAR(F1066),MONTH(F1066),1),Mes)/30  ,  DAYS360(DATE(YEAR(E1066),MONTH(E1066),1),Mes)/30  )  &gt;  0 , IF(F1066,   DAYS360(DATE(YEAR(F1066),MONTH(F1066),1),Mes)/30  ,  DAYS360(DATE(YEAR(E1066),MONTH(E1066),1),Mes)/30) , 0)       )</f>
        <v>0</v>
      </c>
      <c r="L1066" s="63">
        <f t="shared" si="253"/>
        <v>0</v>
      </c>
      <c r="M1066" s="137"/>
      <c r="N1066" s="97">
        <f>IF( ISERROR(OFFSET(SECUESTRADOS!D$1,MATCH(B1066,SECUESTRADOS!A$2:A1405,0),0)) ,0 ,  OFFSET(SECUESTRADOS!D$1,MATCH(B1066,SECUESTRADOS!A$2:A1405,0),0)  )</f>
        <v>0</v>
      </c>
      <c r="O1066" s="98"/>
      <c r="P1066" s="99" t="str">
        <f t="shared" si="238"/>
        <v>cuna windsurf</v>
      </c>
      <c r="Q1066" s="99" t="str">
        <f t="shared" si="304"/>
        <v>#REF!</v>
      </c>
      <c r="R1066" s="130"/>
      <c r="S1066" s="130"/>
      <c r="T1066" s="130"/>
    </row>
    <row r="1067">
      <c r="A1067" s="18" t="s">
        <v>71</v>
      </c>
      <c r="B1067" s="116">
        <v>2245.0</v>
      </c>
      <c r="C1067" s="140">
        <v>2245.0</v>
      </c>
      <c r="D1067" s="57" t="str">
        <f>IF(   ISERROR(OFFSET(PADRON!B$2,MATCH(C:C,PADRON!A$2:A1405,0)-1,0,1,1) )  ,  ,    OFFSET(PADRON!B$2,MATCH(C:C,PADRON!A$2:A1405,0)-1,0,1,1))</f>
        <v>RODRIGUEZ, YAMILA</v>
      </c>
      <c r="E1067" s="58">
        <v>45809.0</v>
      </c>
      <c r="F1067" s="145">
        <v>45870.0</v>
      </c>
      <c r="G1067" s="59" t="s">
        <v>39</v>
      </c>
      <c r="H1067" s="60">
        <f>IF( ISERROR( OFFSET(   'Cuadro tarifario'!D$2  , MATCH(CONCATENATE(                 IF(F1067&gt;Mes,OFFSET(NroCT!B$17, MATCH($F1067,NroCT!$A$18:$A1405,0),0,1,1),Periodovigente)                                                                                                                     ,A1067) ,'Cuadro tarifario'!A$2:A1405,0) -1 , 0 , 1 , 1) )   , 0  ,   OFFSET(   'Cuadro tarifario'!D$2  , MATCH(CONCATENATE( IF(F1067&gt;Mes,OFFSET(NroCT!B$17, MATCH($F1067,NroCT!$A$18:$A1405,0),0,1,1),Periodovigente) ,A1067) ,'Cuadro tarifario'!A$2:A1405,0) -1 , 0 , 1 , 1))</f>
        <v>11000</v>
      </c>
      <c r="I1067" s="61">
        <f t="shared" si="252"/>
        <v>2</v>
      </c>
      <c r="J1067" s="60">
        <f t="shared" si="305"/>
        <v>22000</v>
      </c>
      <c r="K1067" s="62">
        <f>IF(  AND(N1067&gt;0,I1067=0)          ,N1067 ,                         IF(  IF( F1067 ,  DAYS360(DATE(YEAR(F1067),MONTH(F1067),1),Mes)/30  ,  DAYS360(DATE(YEAR(E1067),MONTH(E1067),1),Mes)/30  )  &gt;  0 , IF(F1067,   DAYS360(DATE(YEAR(F1067),MONTH(F1067),1),Mes)/30  ,  DAYS360(DATE(YEAR(E1067),MONTH(E1067),1),Mes)/30) , 0)       )</f>
        <v>0</v>
      </c>
      <c r="L1067" s="63">
        <f t="shared" si="253"/>
        <v>0</v>
      </c>
      <c r="M1067" s="137"/>
      <c r="N1067" s="97">
        <f>IF( ISERROR(OFFSET(SECUESTRADOS!D$1,MATCH(B1067,SECUESTRADOS!A$2:A1405,0),0)) ,0 ,  OFFSET(SECUESTRADOS!D$1,MATCH(B1067,SECUESTRADOS!A$2:A1405,0),0)  )</f>
        <v>0</v>
      </c>
      <c r="O1067" s="98"/>
      <c r="P1067" s="99" t="str">
        <f t="shared" si="238"/>
        <v>.socio</v>
      </c>
      <c r="Q1067" s="99" t="str">
        <f t="shared" si="304"/>
        <v>#REF!</v>
      </c>
      <c r="R1067" s="130"/>
      <c r="S1067" s="130"/>
      <c r="T1067" s="130"/>
    </row>
    <row r="1068">
      <c r="A1068" s="18" t="s">
        <v>38</v>
      </c>
      <c r="B1068" s="116">
        <v>2245.0</v>
      </c>
      <c r="C1068" s="140">
        <v>2245.0</v>
      </c>
      <c r="D1068" s="57" t="str">
        <f>IF(   ISERROR(OFFSET(PADRON!B$2,MATCH(C:C,PADRON!A$2:A1405,0)-1,0,1,1) )  ,  ,    OFFSET(PADRON!B$2,MATCH(C:C,PADRON!A$2:A1405,0)-1,0,1,1))</f>
        <v>RODRIGUEZ, YAMILA</v>
      </c>
      <c r="E1068" s="58">
        <v>45809.0</v>
      </c>
      <c r="F1068" s="145">
        <v>45870.0</v>
      </c>
      <c r="G1068" s="59" t="s">
        <v>39</v>
      </c>
      <c r="H1068" s="60">
        <f>IF( ISERROR( OFFSET(   'Cuadro tarifario'!D$2  , MATCH(CONCATENATE(                 IF(F1068&gt;Mes,OFFSET(NroCT!B$17, MATCH($F1068,NroCT!$A$18:$A1405,0),0,1,1),Periodovigente)                                                                                                                     ,A1068) ,'Cuadro tarifario'!A$2:A1405,0) -1 , 0 , 1 , 1) )   , 0  ,   OFFSET(   'Cuadro tarifario'!D$2  , MATCH(CONCATENATE( IF(F1068&gt;Mes,OFFSET(NroCT!B$17, MATCH($F1068,NroCT!$A$18:$A1405,0),0,1,1),Periodovigente) ,A1068) ,'Cuadro tarifario'!A$2:A1405,0) -1 , 0 , 1 , 1))</f>
        <v>9000</v>
      </c>
      <c r="I1068" s="61">
        <f t="shared" si="252"/>
        <v>2</v>
      </c>
      <c r="J1068" s="60">
        <f t="shared" si="305"/>
        <v>18000</v>
      </c>
      <c r="K1068" s="62">
        <f>IF(  AND(N1068&gt;0,I1068=0)          ,N1068 ,                         IF(  IF( F1068 ,  DAYS360(DATE(YEAR(F1068),MONTH(F1068),1),Mes)/30  ,  DAYS360(DATE(YEAR(E1068),MONTH(E1068),1),Mes)/30  )  &gt;  0 , IF(F1068,   DAYS360(DATE(YEAR(F1068),MONTH(F1068),1),Mes)/30  ,  DAYS360(DATE(YEAR(E1068),MONTH(E1068),1),Mes)/30) , 0)       )</f>
        <v>0</v>
      </c>
      <c r="L1068" s="63">
        <f t="shared" si="253"/>
        <v>0</v>
      </c>
      <c r="M1068" s="137"/>
      <c r="N1068" s="97">
        <f>IF( ISERROR(OFFSET(SECUESTRADOS!D$1,MATCH(B1068,SECUESTRADOS!A$2:A1405,0),0)) ,0 ,  OFFSET(SECUESTRADOS!D$1,MATCH(B1068,SECUESTRADOS!A$2:A1405,0),0)  )</f>
        <v>0</v>
      </c>
      <c r="O1068" s="98"/>
      <c r="P1068" s="99" t="str">
        <f t="shared" si="238"/>
        <v>Bono canon</v>
      </c>
      <c r="Q1068" s="99" t="str">
        <f t="shared" si="304"/>
        <v>#REF!</v>
      </c>
      <c r="R1068" s="130"/>
      <c r="S1068" s="130"/>
      <c r="T1068" s="130"/>
    </row>
    <row r="1069">
      <c r="A1069" s="18" t="s">
        <v>71</v>
      </c>
      <c r="B1069" s="116">
        <v>2246.0</v>
      </c>
      <c r="C1069" s="140">
        <v>2246.0</v>
      </c>
      <c r="D1069" s="57" t="str">
        <f>IF(   ISERROR(OFFSET(PADRON!B$2,MATCH(C:C,PADRON!A$2:A1405,0)-1,0,1,1) )  ,  ,    OFFSET(PADRON!B$2,MATCH(C:C,PADRON!A$2:A1405,0)-1,0,1,1))</f>
        <v>HIRSCH, MARCELO GUSTAVO</v>
      </c>
      <c r="E1069" s="58">
        <v>45839.0</v>
      </c>
      <c r="F1069" s="145">
        <v>45870.0</v>
      </c>
      <c r="G1069" s="59" t="s">
        <v>39</v>
      </c>
      <c r="H1069" s="60">
        <f>IF( ISERROR( OFFSET(   'Cuadro tarifario'!D$2  , MATCH(CONCATENATE(                 IF(F1069&gt;Mes,OFFSET(NroCT!B$17, MATCH($F1069,NroCT!$A$18:$A1405,0),0,1,1),Periodovigente)                                                                                                                     ,A1069) ,'Cuadro tarifario'!A$2:A1405,0) -1 , 0 , 1 , 1) )   , 0  ,   OFFSET(   'Cuadro tarifario'!D$2  , MATCH(CONCATENATE( IF(F1069&gt;Mes,OFFSET(NroCT!B$17, MATCH($F1069,NroCT!$A$18:$A1405,0),0,1,1),Periodovigente) ,A1069) ,'Cuadro tarifario'!A$2:A1405,0) -1 , 0 , 1 , 1))</f>
        <v>11000</v>
      </c>
      <c r="I1069" s="61">
        <f t="shared" si="252"/>
        <v>1</v>
      </c>
      <c r="J1069" s="60">
        <f t="shared" si="305"/>
        <v>11000</v>
      </c>
      <c r="K1069" s="62">
        <f>IF(  AND(N1069&gt;0,I1069=0)          ,N1069 ,                         IF(  IF( F1069 ,  DAYS360(DATE(YEAR(F1069),MONTH(F1069),1),Mes)/30  ,  DAYS360(DATE(YEAR(E1069),MONTH(E1069),1),Mes)/30  )  &gt;  0 , IF(F1069,   DAYS360(DATE(YEAR(F1069),MONTH(F1069),1),Mes)/30  ,  DAYS360(DATE(YEAR(E1069),MONTH(E1069),1),Mes)/30) , 0)       )</f>
        <v>0</v>
      </c>
      <c r="L1069" s="63">
        <f t="shared" si="253"/>
        <v>0</v>
      </c>
      <c r="M1069" s="137"/>
      <c r="N1069" s="97">
        <f>IF( ISERROR(OFFSET(SECUESTRADOS!D$1,MATCH(B1069,SECUESTRADOS!A$2:A1405,0),0)) ,0 ,  OFFSET(SECUESTRADOS!D$1,MATCH(B1069,SECUESTRADOS!A$2:A1405,0),0)  )</f>
        <v>0</v>
      </c>
      <c r="O1069" s="98"/>
      <c r="P1069" s="99" t="str">
        <f t="shared" si="238"/>
        <v>.socio</v>
      </c>
      <c r="Q1069" s="99" t="str">
        <f t="shared" si="304"/>
        <v>#REF!</v>
      </c>
      <c r="R1069" s="130"/>
      <c r="S1069" s="130"/>
      <c r="T1069" s="130"/>
    </row>
    <row r="1070">
      <c r="A1070" s="18" t="s">
        <v>38</v>
      </c>
      <c r="B1070" s="116">
        <v>2246.0</v>
      </c>
      <c r="C1070" s="140">
        <v>2246.0</v>
      </c>
      <c r="D1070" s="57" t="str">
        <f>IF(   ISERROR(OFFSET(PADRON!B$2,MATCH(C:C,PADRON!A$2:A1405,0)-1,0,1,1) )  ,  ,    OFFSET(PADRON!B$2,MATCH(C:C,PADRON!A$2:A1405,0)-1,0,1,1))</f>
        <v>HIRSCH, MARCELO GUSTAVO</v>
      </c>
      <c r="E1070" s="58">
        <v>45839.0</v>
      </c>
      <c r="F1070" s="145">
        <v>45870.0</v>
      </c>
      <c r="G1070" s="59" t="s">
        <v>39</v>
      </c>
      <c r="H1070" s="60">
        <f>IF( ISERROR( OFFSET(   'Cuadro tarifario'!D$2  , MATCH(CONCATENATE(                 IF(F1070&gt;Mes,OFFSET(NroCT!B$17, MATCH($F1070,NroCT!$A$18:$A1405,0),0,1,1),Periodovigente)                                                                                                                     ,A1070) ,'Cuadro tarifario'!A$2:A1405,0) -1 , 0 , 1 , 1) )   , 0  ,   OFFSET(   'Cuadro tarifario'!D$2  , MATCH(CONCATENATE( IF(F1070&gt;Mes,OFFSET(NroCT!B$17, MATCH($F1070,NroCT!$A$18:$A1405,0),0,1,1),Periodovigente) ,A1070) ,'Cuadro tarifario'!A$2:A1405,0) -1 , 0 , 1 , 1))</f>
        <v>9000</v>
      </c>
      <c r="I1070" s="61">
        <f t="shared" si="252"/>
        <v>1</v>
      </c>
      <c r="J1070" s="60">
        <f t="shared" si="305"/>
        <v>9000</v>
      </c>
      <c r="K1070" s="62">
        <f>IF(  AND(N1070&gt;0,I1070=0)          ,N1070 ,                         IF(  IF( F1070 ,  DAYS360(DATE(YEAR(F1070),MONTH(F1070),1),Mes)/30  ,  DAYS360(DATE(YEAR(E1070),MONTH(E1070),1),Mes)/30  )  &gt;  0 , IF(F1070,   DAYS360(DATE(YEAR(F1070),MONTH(F1070),1),Mes)/30  ,  DAYS360(DATE(YEAR(E1070),MONTH(E1070),1),Mes)/30) , 0)       )</f>
        <v>0</v>
      </c>
      <c r="L1070" s="63">
        <f t="shared" si="253"/>
        <v>0</v>
      </c>
      <c r="M1070" s="137"/>
      <c r="N1070" s="97">
        <f>IF( ISERROR(OFFSET(SECUESTRADOS!D$1,MATCH(B1070,SECUESTRADOS!A$2:A1405,0),0)) ,0 ,  OFFSET(SECUESTRADOS!D$1,MATCH(B1070,SECUESTRADOS!A$2:A1405,0),0)  )</f>
        <v>0</v>
      </c>
      <c r="O1070" s="98"/>
      <c r="P1070" s="99" t="str">
        <f t="shared" si="238"/>
        <v>Bono canon</v>
      </c>
      <c r="Q1070" s="99" t="str">
        <f t="shared" si="304"/>
        <v>#REF!</v>
      </c>
      <c r="R1070" s="130"/>
      <c r="S1070" s="130"/>
      <c r="T1070" s="130"/>
    </row>
    <row r="1071">
      <c r="A1071" s="18" t="s">
        <v>71</v>
      </c>
      <c r="B1071" s="116">
        <v>2247.0</v>
      </c>
      <c r="C1071" s="140">
        <v>2247.0</v>
      </c>
      <c r="D1071" s="57" t="str">
        <f>IF(   ISERROR(OFFSET(PADRON!B$2,MATCH(C:C,PADRON!A$2:A1405,0)-1,0,1,1) )  ,  ,    OFFSET(PADRON!B$2,MATCH(C:C,PADRON!A$2:A1405,0)-1,0,1,1))</f>
        <v>SCHALLIBAUM, GRACIELA EMILCE</v>
      </c>
      <c r="E1071" s="58">
        <v>45839.0</v>
      </c>
      <c r="F1071" s="145">
        <v>45870.0</v>
      </c>
      <c r="G1071" s="59" t="s">
        <v>39</v>
      </c>
      <c r="H1071" s="60">
        <f>IF( ISERROR( OFFSET(   'Cuadro tarifario'!D$2  , MATCH(CONCATENATE(                 IF(F1071&gt;Mes,OFFSET(NroCT!B$17, MATCH($F1071,NroCT!$A$18:$A1405,0),0,1,1),Periodovigente)                                                                                                                     ,A1071) ,'Cuadro tarifario'!A$2:A1405,0) -1 , 0 , 1 , 1) )   , 0  ,   OFFSET(   'Cuadro tarifario'!D$2  , MATCH(CONCATENATE( IF(F1071&gt;Mes,OFFSET(NroCT!B$17, MATCH($F1071,NroCT!$A$18:$A1405,0),0,1,1),Periodovigente) ,A1071) ,'Cuadro tarifario'!A$2:A1405,0) -1 , 0 , 1 , 1))</f>
        <v>11000</v>
      </c>
      <c r="I1071" s="61">
        <f t="shared" si="252"/>
        <v>1</v>
      </c>
      <c r="J1071" s="60">
        <f t="shared" si="305"/>
        <v>11000</v>
      </c>
      <c r="K1071" s="62">
        <f>IF(  AND(N1071&gt;0,I1071=0)          ,N1071 ,                         IF(  IF( F1071 ,  DAYS360(DATE(YEAR(F1071),MONTH(F1071),1),Mes)/30  ,  DAYS360(DATE(YEAR(E1071),MONTH(E1071),1),Mes)/30  )  &gt;  0 , IF(F1071,   DAYS360(DATE(YEAR(F1071),MONTH(F1071),1),Mes)/30  ,  DAYS360(DATE(YEAR(E1071),MONTH(E1071),1),Mes)/30) , 0)       )</f>
        <v>0</v>
      </c>
      <c r="L1071" s="63">
        <f t="shared" si="253"/>
        <v>0</v>
      </c>
      <c r="M1071" s="137"/>
      <c r="N1071" s="97">
        <f>IF( ISERROR(OFFSET(SECUESTRADOS!D$1,MATCH(B1071,SECUESTRADOS!A$2:A1405,0),0)) ,0 ,  OFFSET(SECUESTRADOS!D$1,MATCH(B1071,SECUESTRADOS!A$2:A1405,0),0)  )</f>
        <v>0</v>
      </c>
      <c r="O1071" s="98"/>
      <c r="P1071" s="99" t="str">
        <f t="shared" si="238"/>
        <v>.socio</v>
      </c>
      <c r="Q1071" s="99" t="str">
        <f t="shared" si="304"/>
        <v>#REF!</v>
      </c>
      <c r="R1071" s="130"/>
      <c r="S1071" s="130"/>
      <c r="T1071" s="130"/>
    </row>
    <row r="1072">
      <c r="A1072" s="18" t="s">
        <v>38</v>
      </c>
      <c r="B1072" s="116">
        <v>2247.0</v>
      </c>
      <c r="C1072" s="140">
        <v>2247.0</v>
      </c>
      <c r="D1072" s="57" t="str">
        <f>IF(   ISERROR(OFFSET(PADRON!B$2,MATCH(C:C,PADRON!A$2:A1405,0)-1,0,1,1) )  ,  ,    OFFSET(PADRON!B$2,MATCH(C:C,PADRON!A$2:A1405,0)-1,0,1,1))</f>
        <v>SCHALLIBAUM, GRACIELA EMILCE</v>
      </c>
      <c r="E1072" s="58">
        <v>45839.0</v>
      </c>
      <c r="F1072" s="145">
        <v>45870.0</v>
      </c>
      <c r="G1072" s="59" t="s">
        <v>39</v>
      </c>
      <c r="H1072" s="60">
        <f>IF( ISERROR( OFFSET(   'Cuadro tarifario'!D$2  , MATCH(CONCATENATE(                 IF(F1072&gt;Mes,OFFSET(NroCT!B$17, MATCH($F1072,NroCT!$A$18:$A1405,0),0,1,1),Periodovigente)                                                                                                                     ,A1072) ,'Cuadro tarifario'!A$2:A1405,0) -1 , 0 , 1 , 1) )   , 0  ,   OFFSET(   'Cuadro tarifario'!D$2  , MATCH(CONCATENATE( IF(F1072&gt;Mes,OFFSET(NroCT!B$17, MATCH($F1072,NroCT!$A$18:$A1405,0),0,1,1),Periodovigente) ,A1072) ,'Cuadro tarifario'!A$2:A1405,0) -1 , 0 , 1 , 1))</f>
        <v>9000</v>
      </c>
      <c r="I1072" s="61">
        <f t="shared" si="252"/>
        <v>1</v>
      </c>
      <c r="J1072" s="60">
        <f t="shared" si="305"/>
        <v>9000</v>
      </c>
      <c r="K1072" s="62">
        <f>IF(  AND(N1072&gt;0,I1072=0)          ,N1072 ,                         IF(  IF( F1072 ,  DAYS360(DATE(YEAR(F1072),MONTH(F1072),1),Mes)/30  ,  DAYS360(DATE(YEAR(E1072),MONTH(E1072),1),Mes)/30  )  &gt;  0 , IF(F1072,   DAYS360(DATE(YEAR(F1072),MONTH(F1072),1),Mes)/30  ,  DAYS360(DATE(YEAR(E1072),MONTH(E1072),1),Mes)/30) , 0)       )</f>
        <v>0</v>
      </c>
      <c r="L1072" s="63">
        <f t="shared" si="253"/>
        <v>0</v>
      </c>
      <c r="M1072" s="137"/>
      <c r="N1072" s="97">
        <f>IF( ISERROR(OFFSET(SECUESTRADOS!D$1,MATCH(B1072,SECUESTRADOS!A$2:A1405,0),0)) ,0 ,  OFFSET(SECUESTRADOS!D$1,MATCH(B1072,SECUESTRADOS!A$2:A1405,0),0)  )</f>
        <v>0</v>
      </c>
      <c r="O1072" s="98"/>
      <c r="P1072" s="99" t="str">
        <f t="shared" si="238"/>
        <v>Bono canon</v>
      </c>
      <c r="Q1072" s="99" t="str">
        <f t="shared" si="304"/>
        <v>#REF!</v>
      </c>
      <c r="R1072" s="130"/>
      <c r="S1072" s="130"/>
      <c r="T1072" s="130"/>
    </row>
    <row r="1073">
      <c r="A1073" s="18" t="s">
        <v>40</v>
      </c>
      <c r="B1073" s="116" t="s">
        <v>439</v>
      </c>
      <c r="C1073" s="140">
        <v>2247.0</v>
      </c>
      <c r="D1073" s="57" t="str">
        <f>IF(   ISERROR(OFFSET(PADRON!B$2,MATCH(C:C,PADRON!A$2:A1405,0)-1,0,1,1) )  ,  ,    OFFSET(PADRON!B$2,MATCH(C:C,PADRON!A$2:A1405,0)-1,0,1,1))</f>
        <v>SCHALLIBAUM, GRACIELA EMILCE</v>
      </c>
      <c r="E1073" s="58">
        <v>45839.0</v>
      </c>
      <c r="F1073" s="145">
        <v>45870.0</v>
      </c>
      <c r="G1073" s="59" t="s">
        <v>39</v>
      </c>
      <c r="H1073" s="60">
        <f>IF( ISERROR( OFFSET(   'Cuadro tarifario'!D$2  , MATCH(CONCATENATE(                 IF(F1073&gt;Mes,OFFSET(NroCT!B$17, MATCH($F1073,NroCT!$A$18:$A1405,0),0,1,1),Periodovigente)                                                                                                                     ,A1073) ,'Cuadro tarifario'!A$2:A1405,0) -1 , 0 , 1 , 1) )   , 0  ,   OFFSET(   'Cuadro tarifario'!D$2  , MATCH(CONCATENATE( IF(F1073&gt;Mes,OFFSET(NroCT!B$17, MATCH($F1073,NroCT!$A$18:$A1405,0),0,1,1),Periodovigente) ,A1073) ,'Cuadro tarifario'!A$2:A1405,0) -1 , 0 , 1 , 1))</f>
        <v>12000</v>
      </c>
      <c r="I1073" s="61">
        <f t="shared" si="252"/>
        <v>1</v>
      </c>
      <c r="J1073" s="60">
        <f t="shared" si="305"/>
        <v>12000</v>
      </c>
      <c r="K1073" s="62">
        <f>IF(  AND(N1073&gt;0,I1073=0)          ,N1073 ,                         IF(  IF( F1073 ,  DAYS360(DATE(YEAR(F1073),MONTH(F1073),1),Mes)/30  ,  DAYS360(DATE(YEAR(E1073),MONTH(E1073),1),Mes)/30  )  &gt;  0 , IF(F1073,   DAYS360(DATE(YEAR(F1073),MONTH(F1073),1),Mes)/30  ,  DAYS360(DATE(YEAR(E1073),MONTH(E1073),1),Mes)/30) , 0)       )</f>
        <v>0</v>
      </c>
      <c r="L1073" s="63">
        <f t="shared" si="253"/>
        <v>0</v>
      </c>
      <c r="M1073" s="137"/>
      <c r="N1073" s="97">
        <f>IF( ISERROR(OFFSET(SECUESTRADOS!D$1,MATCH(B1073,SECUESTRADOS!A$2:A1405,0),0)) ,0 ,  OFFSET(SECUESTRADOS!D$1,MATCH(B1073,SECUESTRADOS!A$2:A1405,0),0)  )</f>
        <v>0</v>
      </c>
      <c r="O1073" s="98"/>
      <c r="P1073" s="99" t="str">
        <f t="shared" si="238"/>
        <v>cuna windsurf</v>
      </c>
      <c r="Q1073" s="99" t="str">
        <f t="shared" si="304"/>
        <v>#REF!</v>
      </c>
      <c r="R1073" s="130"/>
      <c r="S1073" s="130"/>
      <c r="T1073" s="130"/>
    </row>
    <row r="1074">
      <c r="A1074" s="18" t="s">
        <v>71</v>
      </c>
      <c r="B1074" s="116">
        <v>2248.0</v>
      </c>
      <c r="C1074" s="140">
        <v>2248.0</v>
      </c>
      <c r="D1074" s="57" t="str">
        <f>IF(   ISERROR(OFFSET(PADRON!B$2,MATCH(C:C,PADRON!A$2:A1405,0)-1,0,1,1) )  ,  ,    OFFSET(PADRON!B$2,MATCH(C:C,PADRON!A$2:A1405,0)-1,0,1,1))</f>
        <v>ROTHER, CRISTIAN</v>
      </c>
      <c r="E1074" s="58">
        <v>45839.0</v>
      </c>
      <c r="F1074" s="145">
        <v>45870.0</v>
      </c>
      <c r="G1074" s="59" t="s">
        <v>39</v>
      </c>
      <c r="H1074" s="60">
        <f>IF( ISERROR( OFFSET(   'Cuadro tarifario'!D$2  , MATCH(CONCATENATE(                 IF(F1074&gt;Mes,OFFSET(NroCT!B$17, MATCH($F1074,NroCT!$A$18:$A1405,0),0,1,1),Periodovigente)                                                                                                                     ,A1074) ,'Cuadro tarifario'!A$2:A1405,0) -1 , 0 , 1 , 1) )   , 0  ,   OFFSET(   'Cuadro tarifario'!D$2  , MATCH(CONCATENATE( IF(F1074&gt;Mes,OFFSET(NroCT!B$17, MATCH($F1074,NroCT!$A$18:$A1405,0),0,1,1),Periodovigente) ,A1074) ,'Cuadro tarifario'!A$2:A1405,0) -1 , 0 , 1 , 1))</f>
        <v>11000</v>
      </c>
      <c r="I1074" s="61">
        <f t="shared" si="252"/>
        <v>1</v>
      </c>
      <c r="J1074" s="60">
        <f t="shared" si="305"/>
        <v>11000</v>
      </c>
      <c r="K1074" s="62">
        <f>IF(  AND(N1074&gt;0,I1074=0)          ,N1074 ,                         IF(  IF( F1074 ,  DAYS360(DATE(YEAR(F1074),MONTH(F1074),1),Mes)/30  ,  DAYS360(DATE(YEAR(E1074),MONTH(E1074),1),Mes)/30  )  &gt;  0 , IF(F1074,   DAYS360(DATE(YEAR(F1074),MONTH(F1074),1),Mes)/30  ,  DAYS360(DATE(YEAR(E1074),MONTH(E1074),1),Mes)/30) , 0)       )</f>
        <v>0</v>
      </c>
      <c r="L1074" s="63">
        <f t="shared" si="253"/>
        <v>0</v>
      </c>
      <c r="M1074" s="137"/>
      <c r="N1074" s="97">
        <f>IF( ISERROR(OFFSET(SECUESTRADOS!D$1,MATCH(B1074,SECUESTRADOS!A$2:A1405,0),0)) ,0 ,  OFFSET(SECUESTRADOS!D$1,MATCH(B1074,SECUESTRADOS!A$2:A1405,0),0)  )</f>
        <v>0</v>
      </c>
      <c r="O1074" s="98"/>
      <c r="P1074" s="99" t="str">
        <f t="shared" si="238"/>
        <v>.socio</v>
      </c>
      <c r="Q1074" s="99" t="str">
        <f t="shared" si="304"/>
        <v>#REF!</v>
      </c>
      <c r="R1074" s="130"/>
      <c r="S1074" s="130"/>
      <c r="T1074" s="130"/>
    </row>
    <row r="1075">
      <c r="A1075" s="18" t="s">
        <v>38</v>
      </c>
      <c r="B1075" s="116">
        <v>2248.0</v>
      </c>
      <c r="C1075" s="140">
        <v>2248.0</v>
      </c>
      <c r="D1075" s="57" t="str">
        <f>IF(   ISERROR(OFFSET(PADRON!B$2,MATCH(C:C,PADRON!A$2:A1405,0)-1,0,1,1) )  ,  ,    OFFSET(PADRON!B$2,MATCH(C:C,PADRON!A$2:A1405,0)-1,0,1,1))</f>
        <v>ROTHER, CRISTIAN</v>
      </c>
      <c r="E1075" s="58">
        <v>45839.0</v>
      </c>
      <c r="F1075" s="145">
        <v>45870.0</v>
      </c>
      <c r="G1075" s="59" t="s">
        <v>39</v>
      </c>
      <c r="H1075" s="60">
        <f>IF( ISERROR( OFFSET(   'Cuadro tarifario'!D$2  , MATCH(CONCATENATE(                 IF(F1075&gt;Mes,OFFSET(NroCT!B$17, MATCH($F1075,NroCT!$A$18:$A1405,0),0,1,1),Periodovigente)                                                                                                                     ,A1075) ,'Cuadro tarifario'!A$2:A1405,0) -1 , 0 , 1 , 1) )   , 0  ,   OFFSET(   'Cuadro tarifario'!D$2  , MATCH(CONCATENATE( IF(F1075&gt;Mes,OFFSET(NroCT!B$17, MATCH($F1075,NroCT!$A$18:$A1405,0),0,1,1),Periodovigente) ,A1075) ,'Cuadro tarifario'!A$2:A1405,0) -1 , 0 , 1 , 1))</f>
        <v>9000</v>
      </c>
      <c r="I1075" s="61">
        <f t="shared" si="252"/>
        <v>1</v>
      </c>
      <c r="J1075" s="60">
        <f t="shared" si="305"/>
        <v>9000</v>
      </c>
      <c r="K1075" s="62">
        <f>IF(  AND(N1075&gt;0,I1075=0)          ,N1075 ,                         IF(  IF( F1075 ,  DAYS360(DATE(YEAR(F1075),MONTH(F1075),1),Mes)/30  ,  DAYS360(DATE(YEAR(E1075),MONTH(E1075),1),Mes)/30  )  &gt;  0 , IF(F1075,   DAYS360(DATE(YEAR(F1075),MONTH(F1075),1),Mes)/30  ,  DAYS360(DATE(YEAR(E1075),MONTH(E1075),1),Mes)/30) , 0)       )</f>
        <v>0</v>
      </c>
      <c r="L1075" s="63">
        <f t="shared" si="253"/>
        <v>0</v>
      </c>
      <c r="M1075" s="137"/>
      <c r="N1075" s="97">
        <f>IF( ISERROR(OFFSET(SECUESTRADOS!D$1,MATCH(B1075,SECUESTRADOS!A$2:A1405,0),0)) ,0 ,  OFFSET(SECUESTRADOS!D$1,MATCH(B1075,SECUESTRADOS!A$2:A1405,0),0)  )</f>
        <v>0</v>
      </c>
      <c r="O1075" s="98"/>
      <c r="P1075" s="99" t="str">
        <f t="shared" si="238"/>
        <v>Bono canon</v>
      </c>
      <c r="Q1075" s="99" t="str">
        <f t="shared" si="304"/>
        <v>#REF!</v>
      </c>
      <c r="R1075" s="130"/>
      <c r="S1075" s="130"/>
      <c r="T1075" s="130"/>
    </row>
    <row r="1076">
      <c r="A1076" s="18" t="s">
        <v>40</v>
      </c>
      <c r="B1076" s="116" t="s">
        <v>440</v>
      </c>
      <c r="C1076" s="140">
        <v>2248.0</v>
      </c>
      <c r="D1076" s="57" t="str">
        <f>IF(   ISERROR(OFFSET(PADRON!B$2,MATCH(C:C,PADRON!A$2:A1405,0)-1,0,1,1) )  ,  ,    OFFSET(PADRON!B$2,MATCH(C:C,PADRON!A$2:A1405,0)-1,0,1,1))</f>
        <v>ROTHER, CRISTIAN</v>
      </c>
      <c r="E1076" s="58">
        <v>45839.0</v>
      </c>
      <c r="F1076" s="145">
        <v>45870.0</v>
      </c>
      <c r="G1076" s="59" t="s">
        <v>39</v>
      </c>
      <c r="H1076" s="60">
        <f>IF( ISERROR( OFFSET(   'Cuadro tarifario'!D$2  , MATCH(CONCATENATE(                 IF(F1076&gt;Mes,OFFSET(NroCT!B$17, MATCH($F1076,NroCT!$A$18:$A1405,0),0,1,1),Periodovigente)                                                                                                                     ,A1076) ,'Cuadro tarifario'!A$2:A1405,0) -1 , 0 , 1 , 1) )   , 0  ,   OFFSET(   'Cuadro tarifario'!D$2  , MATCH(CONCATENATE( IF(F1076&gt;Mes,OFFSET(NroCT!B$17, MATCH($F1076,NroCT!$A$18:$A1405,0),0,1,1),Periodovigente) ,A1076) ,'Cuadro tarifario'!A$2:A1405,0) -1 , 0 , 1 , 1))</f>
        <v>12000</v>
      </c>
      <c r="I1076" s="61">
        <f t="shared" si="252"/>
        <v>1</v>
      </c>
      <c r="J1076" s="60">
        <f t="shared" si="305"/>
        <v>12000</v>
      </c>
      <c r="K1076" s="62">
        <f>IF(  AND(N1076&gt;0,I1076=0)          ,N1076 ,                         IF(  IF( F1076 ,  DAYS360(DATE(YEAR(F1076),MONTH(F1076),1),Mes)/30  ,  DAYS360(DATE(YEAR(E1076),MONTH(E1076),1),Mes)/30  )  &gt;  0 , IF(F1076,   DAYS360(DATE(YEAR(F1076),MONTH(F1076),1),Mes)/30  ,  DAYS360(DATE(YEAR(E1076),MONTH(E1076),1),Mes)/30) , 0)       )</f>
        <v>0</v>
      </c>
      <c r="L1076" s="63">
        <f t="shared" si="253"/>
        <v>0</v>
      </c>
      <c r="M1076" s="137"/>
      <c r="N1076" s="97">
        <f>IF( ISERROR(OFFSET(SECUESTRADOS!D$1,MATCH(B1076,SECUESTRADOS!A$2:A1405,0),0)) ,0 ,  OFFSET(SECUESTRADOS!D$1,MATCH(B1076,SECUESTRADOS!A$2:A1405,0),0)  )</f>
        <v>0</v>
      </c>
      <c r="O1076" s="98"/>
      <c r="P1076" s="99" t="str">
        <f t="shared" si="238"/>
        <v>cuna windsurf</v>
      </c>
      <c r="Q1076" s="99" t="str">
        <f t="shared" si="304"/>
        <v>#REF!</v>
      </c>
      <c r="R1076" s="130"/>
      <c r="S1076" s="130"/>
      <c r="T1076" s="130"/>
    </row>
    <row r="1077">
      <c r="A1077" s="18" t="s">
        <v>71</v>
      </c>
      <c r="B1077" s="116">
        <v>2249.0</v>
      </c>
      <c r="C1077" s="140">
        <v>2249.0</v>
      </c>
      <c r="D1077" s="57" t="str">
        <f>IF(   ISERROR(OFFSET(PADRON!B$2,MATCH(C:C,PADRON!A$2:A1405,0)-1,0,1,1) )  ,  ,    OFFSET(PADRON!B$2,MATCH(C:C,PADRON!A$2:A1405,0)-1,0,1,1))</f>
        <v>MOSQUERA, FEDERICO</v>
      </c>
      <c r="E1077" s="58">
        <v>45809.0</v>
      </c>
      <c r="F1077" s="145">
        <v>45870.0</v>
      </c>
      <c r="G1077" s="59" t="s">
        <v>39</v>
      </c>
      <c r="H1077" s="60">
        <f>IF( ISERROR( OFFSET(   'Cuadro tarifario'!D$2  , MATCH(CONCATENATE(                 IF(F1077&gt;Mes,OFFSET(NroCT!B$17, MATCH($F1077,NroCT!$A$18:$A1405,0),0,1,1),Periodovigente)                                                                                                                     ,A1077) ,'Cuadro tarifario'!A$2:A1405,0) -1 , 0 , 1 , 1) )   , 0  ,   OFFSET(   'Cuadro tarifario'!D$2  , MATCH(CONCATENATE( IF(F1077&gt;Mes,OFFSET(NroCT!B$17, MATCH($F1077,NroCT!$A$18:$A1405,0),0,1,1),Periodovigente) ,A1077) ,'Cuadro tarifario'!A$2:A1405,0) -1 , 0 , 1 , 1))</f>
        <v>11000</v>
      </c>
      <c r="I1077" s="61">
        <f t="shared" si="252"/>
        <v>2</v>
      </c>
      <c r="J1077" s="60">
        <f t="shared" si="305"/>
        <v>22000</v>
      </c>
      <c r="K1077" s="62">
        <f>IF(  AND(N1077&gt;0,I1077=0)          ,N1077 ,                         IF(  IF( F1077 ,  DAYS360(DATE(YEAR(F1077),MONTH(F1077),1),Mes)/30  ,  DAYS360(DATE(YEAR(E1077),MONTH(E1077),1),Mes)/30  )  &gt;  0 , IF(F1077,   DAYS360(DATE(YEAR(F1077),MONTH(F1077),1),Mes)/30  ,  DAYS360(DATE(YEAR(E1077),MONTH(E1077),1),Mes)/30) , 0)       )</f>
        <v>0</v>
      </c>
      <c r="L1077" s="63">
        <f t="shared" si="253"/>
        <v>0</v>
      </c>
      <c r="M1077" s="137"/>
      <c r="N1077" s="97">
        <f>IF( ISERROR(OFFSET(SECUESTRADOS!D$1,MATCH(B1077,SECUESTRADOS!A$2:A1405,0),0)) ,0 ,  OFFSET(SECUESTRADOS!D$1,MATCH(B1077,SECUESTRADOS!A$2:A1405,0),0)  )</f>
        <v>0</v>
      </c>
      <c r="O1077" s="98"/>
      <c r="P1077" s="99" t="str">
        <f t="shared" si="238"/>
        <v>.socio</v>
      </c>
      <c r="Q1077" s="99" t="str">
        <f t="shared" si="304"/>
        <v>#REF!</v>
      </c>
      <c r="R1077" s="130"/>
      <c r="S1077" s="130"/>
      <c r="T1077" s="130"/>
    </row>
    <row r="1078">
      <c r="A1078" s="18" t="s">
        <v>38</v>
      </c>
      <c r="B1078" s="116">
        <v>2249.0</v>
      </c>
      <c r="C1078" s="140">
        <v>2249.0</v>
      </c>
      <c r="D1078" s="57" t="str">
        <f>IF(   ISERROR(OFFSET(PADRON!B$2,MATCH(C:C,PADRON!A$2:A1405,0)-1,0,1,1) )  ,  ,    OFFSET(PADRON!B$2,MATCH(C:C,PADRON!A$2:A1405,0)-1,0,1,1))</f>
        <v>MOSQUERA, FEDERICO</v>
      </c>
      <c r="E1078" s="58">
        <v>45809.0</v>
      </c>
      <c r="F1078" s="145">
        <v>45870.0</v>
      </c>
      <c r="G1078" s="59" t="s">
        <v>39</v>
      </c>
      <c r="H1078" s="60">
        <f>IF( ISERROR( OFFSET(   'Cuadro tarifario'!D$2  , MATCH(CONCATENATE(                 IF(F1078&gt;Mes,OFFSET(NroCT!B$17, MATCH($F1078,NroCT!$A$18:$A1405,0),0,1,1),Periodovigente)                                                                                                                     ,A1078) ,'Cuadro tarifario'!A$2:A1405,0) -1 , 0 , 1 , 1) )   , 0  ,   OFFSET(   'Cuadro tarifario'!D$2  , MATCH(CONCATENATE( IF(F1078&gt;Mes,OFFSET(NroCT!B$17, MATCH($F1078,NroCT!$A$18:$A1405,0),0,1,1),Periodovigente) ,A1078) ,'Cuadro tarifario'!A$2:A1405,0) -1 , 0 , 1 , 1))</f>
        <v>9000</v>
      </c>
      <c r="I1078" s="61">
        <f t="shared" si="252"/>
        <v>2</v>
      </c>
      <c r="J1078" s="60">
        <f t="shared" si="305"/>
        <v>18000</v>
      </c>
      <c r="K1078" s="62">
        <f>IF(  AND(N1078&gt;0,I1078=0)          ,N1078 ,                         IF(  IF( F1078 ,  DAYS360(DATE(YEAR(F1078),MONTH(F1078),1),Mes)/30  ,  DAYS360(DATE(YEAR(E1078),MONTH(E1078),1),Mes)/30  )  &gt;  0 , IF(F1078,   DAYS360(DATE(YEAR(F1078),MONTH(F1078),1),Mes)/30  ,  DAYS360(DATE(YEAR(E1078),MONTH(E1078),1),Mes)/30) , 0)       )</f>
        <v>0</v>
      </c>
      <c r="L1078" s="63">
        <f t="shared" si="253"/>
        <v>0</v>
      </c>
      <c r="M1078" s="137"/>
      <c r="N1078" s="97">
        <f>IF( ISERROR(OFFSET(SECUESTRADOS!D$1,MATCH(B1078,SECUESTRADOS!A$2:A1405,0),0)) ,0 ,  OFFSET(SECUESTRADOS!D$1,MATCH(B1078,SECUESTRADOS!A$2:A1405,0),0)  )</f>
        <v>0</v>
      </c>
      <c r="O1078" s="98"/>
      <c r="P1078" s="99" t="str">
        <f t="shared" si="238"/>
        <v>Bono canon</v>
      </c>
      <c r="Q1078" s="99" t="str">
        <f t="shared" si="304"/>
        <v>#REF!</v>
      </c>
      <c r="R1078" s="130"/>
      <c r="S1078" s="130"/>
      <c r="T1078" s="130"/>
    </row>
    <row r="1079">
      <c r="A1079" s="18" t="s">
        <v>82</v>
      </c>
      <c r="B1079" s="116" t="s">
        <v>441</v>
      </c>
      <c r="C1079" s="140">
        <v>2249.0</v>
      </c>
      <c r="D1079" s="57" t="str">
        <f>IF(   ISERROR(OFFSET(PADRON!B$2,MATCH(C:C,PADRON!A$2:A1405,0)-1,0,1,1) )  ,  ,    OFFSET(PADRON!B$2,MATCH(C:C,PADRON!A$2:A1405,0)-1,0,1,1))</f>
        <v>MOSQUERA, FEDERICO</v>
      </c>
      <c r="E1079" s="58">
        <v>45809.0</v>
      </c>
      <c r="F1079" s="145">
        <v>45870.0</v>
      </c>
      <c r="G1079" s="59" t="s">
        <v>39</v>
      </c>
      <c r="H1079" s="60">
        <f>IF( ISERROR( OFFSET(   'Cuadro tarifario'!D$2  , MATCH(CONCATENATE(                 IF(F1079&gt;Mes,OFFSET(NroCT!B$17, MATCH($F1079,NroCT!$A$18:$A1405,0),0,1,1),Periodovigente)                                                                                                                     ,A1079) ,'Cuadro tarifario'!A$2:A1405,0) -1 , 0 , 1 , 1) )   , 0  ,   OFFSET(   'Cuadro tarifario'!D$2  , MATCH(CONCATENATE( IF(F1079&gt;Mes,OFFSET(NroCT!B$17, MATCH($F1079,NroCT!$A$18:$A1405,0),0,1,1),Periodovigente) ,A1079) ,'Cuadro tarifario'!A$2:A1405,0) -1 , 0 , 1 , 1))</f>
        <v>12000</v>
      </c>
      <c r="I1079" s="61">
        <f t="shared" si="252"/>
        <v>2</v>
      </c>
      <c r="J1079" s="60">
        <f t="shared" si="305"/>
        <v>24000</v>
      </c>
      <c r="K1079" s="62">
        <f>IF(  AND(N1079&gt;0,I1079=0)          ,N1079 ,                         IF(  IF( F1079 ,  DAYS360(DATE(YEAR(F1079),MONTH(F1079),1),Mes)/30  ,  DAYS360(DATE(YEAR(E1079),MONTH(E1079),1),Mes)/30  )  &gt;  0 , IF(F1079,   DAYS360(DATE(YEAR(F1079),MONTH(F1079),1),Mes)/30  ,  DAYS360(DATE(YEAR(E1079),MONTH(E1079),1),Mes)/30) , 0)       )</f>
        <v>0</v>
      </c>
      <c r="L1079" s="63">
        <f t="shared" si="253"/>
        <v>0</v>
      </c>
      <c r="M1079" s="137"/>
      <c r="N1079" s="97">
        <f>IF( ISERROR(OFFSET(SECUESTRADOS!D$1,MATCH(B1079,SECUESTRADOS!A$2:A1405,0),0)) ,0 ,  OFFSET(SECUESTRADOS!D$1,MATCH(B1079,SECUESTRADOS!A$2:A1405,0),0)  )</f>
        <v>0</v>
      </c>
      <c r="O1079" s="98"/>
      <c r="P1079" s="99" t="str">
        <f t="shared" si="238"/>
        <v>cuna kayak</v>
      </c>
      <c r="Q1079" s="99" t="str">
        <f t="shared" si="304"/>
        <v>#REF!</v>
      </c>
      <c r="R1079" s="130"/>
      <c r="S1079" s="130"/>
      <c r="T1079" s="130"/>
    </row>
    <row r="1080">
      <c r="A1080" s="18" t="s">
        <v>82</v>
      </c>
      <c r="B1080" s="116" t="s">
        <v>442</v>
      </c>
      <c r="C1080" s="140">
        <v>2249.0</v>
      </c>
      <c r="D1080" s="57" t="str">
        <f>IF(   ISERROR(OFFSET(PADRON!B$2,MATCH(C:C,PADRON!A$2:A1405,0)-1,0,1,1) )  ,  ,    OFFSET(PADRON!B$2,MATCH(C:C,PADRON!A$2:A1405,0)-1,0,1,1))</f>
        <v>MOSQUERA, FEDERICO</v>
      </c>
      <c r="E1080" s="58">
        <v>45809.0</v>
      </c>
      <c r="F1080" s="145">
        <v>45870.0</v>
      </c>
      <c r="G1080" s="59" t="s">
        <v>39</v>
      </c>
      <c r="H1080" s="60">
        <f>IF( ISERROR( OFFSET(   'Cuadro tarifario'!D$2  , MATCH(CONCATENATE(                 IF(F1080&gt;Mes,OFFSET(NroCT!B$17, MATCH($F1080,NroCT!$A$18:$A1405,0),0,1,1),Periodovigente)                                                                                                                     ,A1080) ,'Cuadro tarifario'!A$2:A1405,0) -1 , 0 , 1 , 1) )   , 0  ,   OFFSET(   'Cuadro tarifario'!D$2  , MATCH(CONCATENATE( IF(F1080&gt;Mes,OFFSET(NroCT!B$17, MATCH($F1080,NroCT!$A$18:$A1405,0),0,1,1),Periodovigente) ,A1080) ,'Cuadro tarifario'!A$2:A1405,0) -1 , 0 , 1 , 1))</f>
        <v>12000</v>
      </c>
      <c r="I1080" s="61">
        <f t="shared" si="252"/>
        <v>2</v>
      </c>
      <c r="J1080" s="60">
        <f t="shared" si="305"/>
        <v>24000</v>
      </c>
      <c r="K1080" s="62">
        <f>IF(  AND(N1080&gt;0,I1080=0)          ,N1080 ,                         IF(  IF( F1080 ,  DAYS360(DATE(YEAR(F1080),MONTH(F1080),1),Mes)/30  ,  DAYS360(DATE(YEAR(E1080),MONTH(E1080),1),Mes)/30  )  &gt;  0 , IF(F1080,   DAYS360(DATE(YEAR(F1080),MONTH(F1080),1),Mes)/30  ,  DAYS360(DATE(YEAR(E1080),MONTH(E1080),1),Mes)/30) , 0)       )</f>
        <v>0</v>
      </c>
      <c r="L1080" s="63">
        <f t="shared" si="253"/>
        <v>0</v>
      </c>
      <c r="M1080" s="137"/>
      <c r="N1080" s="97">
        <f>IF( ISERROR(OFFSET(SECUESTRADOS!D$1,MATCH(B1080,SECUESTRADOS!A$2:A1405,0),0)) ,0 ,  OFFSET(SECUESTRADOS!D$1,MATCH(B1080,SECUESTRADOS!A$2:A1405,0),0)  )</f>
        <v>0</v>
      </c>
      <c r="O1080" s="98"/>
      <c r="P1080" s="99" t="str">
        <f t="shared" si="238"/>
        <v>cuna kayak</v>
      </c>
      <c r="Q1080" s="99" t="str">
        <f t="shared" si="304"/>
        <v>#REF!</v>
      </c>
      <c r="R1080" s="130"/>
      <c r="S1080" s="130"/>
      <c r="T1080" s="130"/>
    </row>
    <row r="1081">
      <c r="A1081" s="18" t="s">
        <v>71</v>
      </c>
      <c r="B1081" s="116">
        <v>2250.0</v>
      </c>
      <c r="C1081" s="140">
        <v>2250.0</v>
      </c>
      <c r="D1081" s="57" t="str">
        <f>IF(   ISERROR(OFFSET(PADRON!B$2,MATCH(C:C,PADRON!A$2:A1405,0)-1,0,1,1) )  ,  ,    OFFSET(PADRON!B$2,MATCH(C:C,PADRON!A$2:A1405,0)-1,0,1,1))</f>
        <v>ROSSET, FEDERICO</v>
      </c>
      <c r="E1081" s="58">
        <v>45839.0</v>
      </c>
      <c r="F1081" s="145"/>
      <c r="G1081" s="59" t="s">
        <v>39</v>
      </c>
      <c r="H1081" s="60">
        <f>IF( ISERROR( OFFSET(   'Cuadro tarifario'!D$2  , MATCH(CONCATENATE(                 IF(F1081&gt;Mes,OFFSET(NroCT!B$17, MATCH($F1081,NroCT!$A$18:$A1405,0),0,1,1),Periodovigente)                                                                                                                     ,A1081) ,'Cuadro tarifario'!A$2:A1405,0) -1 , 0 , 1 , 1) )   , 0  ,   OFFSET(   'Cuadro tarifario'!D$2  , MATCH(CONCATENATE( IF(F1081&gt;Mes,OFFSET(NroCT!B$17, MATCH($F1081,NroCT!$A$18:$A1405,0),0,1,1),Periodovigente) ,A1081) ,'Cuadro tarifario'!A$2:A1405,0) -1 , 0 , 1 , 1))</f>
        <v>11000</v>
      </c>
      <c r="I1081" s="61">
        <f t="shared" si="252"/>
        <v>0</v>
      </c>
      <c r="J1081" s="60">
        <f t="shared" si="305"/>
        <v>0</v>
      </c>
      <c r="K1081" s="62">
        <f>IF(  AND(N1081&gt;0,I1081=0)          ,N1081 ,                         IF(  IF( F1081 ,  DAYS360(DATE(YEAR(F1081),MONTH(F1081),1),Mes)/30  ,  DAYS360(DATE(YEAR(E1081),MONTH(E1081),1),Mes)/30  )  &gt;  0 , IF(F1081,   DAYS360(DATE(YEAR(F1081),MONTH(F1081),1),Mes)/30  ,  DAYS360(DATE(YEAR(E1081),MONTH(E1081),1),Mes)/30) , 0)       )</f>
        <v>1</v>
      </c>
      <c r="L1081" s="63">
        <f t="shared" si="253"/>
        <v>11000</v>
      </c>
      <c r="M1081" s="137"/>
      <c r="N1081" s="97">
        <f>IF( ISERROR(OFFSET(SECUESTRADOS!D$1,MATCH(B1081,SECUESTRADOS!A$2:A1405,0),0)) ,0 ,  OFFSET(SECUESTRADOS!D$1,MATCH(B1081,SECUESTRADOS!A$2:A1405,0),0)  )</f>
        <v>0</v>
      </c>
      <c r="O1081" s="98"/>
      <c r="P1081" s="99" t="b">
        <f t="shared" si="238"/>
        <v>0</v>
      </c>
      <c r="Q1081" s="99" t="str">
        <f t="shared" si="304"/>
        <v>#REF!</v>
      </c>
      <c r="R1081" s="130"/>
      <c r="S1081" s="130"/>
      <c r="T1081" s="130"/>
    </row>
    <row r="1082">
      <c r="A1082" s="18" t="s">
        <v>38</v>
      </c>
      <c r="B1082" s="116">
        <v>2250.0</v>
      </c>
      <c r="C1082" s="140">
        <v>2250.0</v>
      </c>
      <c r="D1082" s="57" t="str">
        <f>IF(   ISERROR(OFFSET(PADRON!B$2,MATCH(C:C,PADRON!A$2:A1405,0)-1,0,1,1) )  ,  ,    OFFSET(PADRON!B$2,MATCH(C:C,PADRON!A$2:A1405,0)-1,0,1,1))</f>
        <v>ROSSET, FEDERICO</v>
      </c>
      <c r="E1082" s="58">
        <v>45839.0</v>
      </c>
      <c r="F1082" s="145"/>
      <c r="G1082" s="59" t="s">
        <v>39</v>
      </c>
      <c r="H1082" s="60">
        <f>IF( ISERROR( OFFSET(   'Cuadro tarifario'!D$2  , MATCH(CONCATENATE(                 IF(F1082&gt;Mes,OFFSET(NroCT!B$17, MATCH($F1082,NroCT!$A$18:$A1405,0),0,1,1),Periodovigente)                                                                                                                     ,A1082) ,'Cuadro tarifario'!A$2:A1405,0) -1 , 0 , 1 , 1) )   , 0  ,   OFFSET(   'Cuadro tarifario'!D$2  , MATCH(CONCATENATE( IF(F1082&gt;Mes,OFFSET(NroCT!B$17, MATCH($F1082,NroCT!$A$18:$A1405,0),0,1,1),Periodovigente) ,A1082) ,'Cuadro tarifario'!A$2:A1405,0) -1 , 0 , 1 , 1))</f>
        <v>9000</v>
      </c>
      <c r="I1082" s="61">
        <f t="shared" si="252"/>
        <v>0</v>
      </c>
      <c r="J1082" s="60">
        <f t="shared" si="305"/>
        <v>0</v>
      </c>
      <c r="K1082" s="62">
        <f>IF(  AND(N1082&gt;0,I1082=0)          ,N1082 ,                         IF(  IF( F1082 ,  DAYS360(DATE(YEAR(F1082),MONTH(F1082),1),Mes)/30  ,  DAYS360(DATE(YEAR(E1082),MONTH(E1082),1),Mes)/30  )  &gt;  0 , IF(F1082,   DAYS360(DATE(YEAR(F1082),MONTH(F1082),1),Mes)/30  ,  DAYS360(DATE(YEAR(E1082),MONTH(E1082),1),Mes)/30) , 0)       )</f>
        <v>1</v>
      </c>
      <c r="L1082" s="63">
        <f t="shared" si="253"/>
        <v>9000</v>
      </c>
      <c r="M1082" s="137"/>
      <c r="N1082" s="97">
        <f>IF( ISERROR(OFFSET(SECUESTRADOS!D$1,MATCH(B1082,SECUESTRADOS!A$2:A1405,0),0)) ,0 ,  OFFSET(SECUESTRADOS!D$1,MATCH(B1082,SECUESTRADOS!A$2:A1405,0),0)  )</f>
        <v>0</v>
      </c>
      <c r="O1082" s="98"/>
      <c r="P1082" s="99" t="b">
        <f t="shared" si="238"/>
        <v>0</v>
      </c>
      <c r="Q1082" s="99" t="str">
        <f t="shared" si="304"/>
        <v>#REF!</v>
      </c>
      <c r="R1082" s="130"/>
      <c r="S1082" s="130"/>
      <c r="T1082" s="130"/>
    </row>
    <row r="1083">
      <c r="A1083" s="18" t="s">
        <v>71</v>
      </c>
      <c r="B1083" s="116">
        <v>2251.0</v>
      </c>
      <c r="C1083" s="140">
        <v>2251.0</v>
      </c>
      <c r="D1083" s="57" t="str">
        <f>IF(   ISERROR(OFFSET(PADRON!B$2,MATCH(C:C,PADRON!A$2:A1405,0)-1,0,1,1) )  ,  ,    OFFSET(PADRON!B$2,MATCH(C:C,PADRON!A$2:A1405,0)-1,0,1,1))</f>
        <v>MARMISOLLE, FABIANA</v>
      </c>
      <c r="E1083" s="58">
        <v>45992.0</v>
      </c>
      <c r="F1083" s="145"/>
      <c r="G1083" s="59" t="s">
        <v>39</v>
      </c>
      <c r="H1083" s="60">
        <f>IF( ISERROR( OFFSET(   'Cuadro tarifario'!D$2  , MATCH(CONCATENATE(                 IF(F1083&gt;Mes,OFFSET(NroCT!B$17, MATCH($F1083,NroCT!$A$18:$A1405,0),0,1,1),Periodovigente)                                                                                                                     ,A1083) ,'Cuadro tarifario'!A$2:A1405,0) -1 , 0 , 1 , 1) )   , 0  ,   OFFSET(   'Cuadro tarifario'!D$2  , MATCH(CONCATENATE( IF(F1083&gt;Mes,OFFSET(NroCT!B$17, MATCH($F1083,NroCT!$A$18:$A1405,0),0,1,1),Periodovigente) ,A1083) ,'Cuadro tarifario'!A$2:A1405,0) -1 , 0 , 1 , 1))</f>
        <v>11000</v>
      </c>
      <c r="I1083" s="61">
        <f t="shared" si="252"/>
        <v>0</v>
      </c>
      <c r="J1083" s="60">
        <f t="shared" si="305"/>
        <v>0</v>
      </c>
      <c r="K1083" s="62">
        <f>IF(  AND(N1083&gt;0,I1083=0)          ,N1083 ,                         IF(  IF( F1083 ,  DAYS360(DATE(YEAR(F1083),MONTH(F1083),1),Mes)/30  ,  DAYS360(DATE(YEAR(E1083),MONTH(E1083),1),Mes)/30  )  &gt;  0 , IF(F1083,   DAYS360(DATE(YEAR(F1083),MONTH(F1083),1),Mes)/30  ,  DAYS360(DATE(YEAR(E1083),MONTH(E1083),1),Mes)/30) , 0)       )</f>
        <v>0</v>
      </c>
      <c r="L1083" s="63">
        <f t="shared" si="253"/>
        <v>0</v>
      </c>
      <c r="M1083" s="137"/>
      <c r="N1083" s="97">
        <f>IF( ISERROR(OFFSET(SECUESTRADOS!D$1,MATCH(B1083,SECUESTRADOS!A$2:A1405,0),0)) ,0 ,  OFFSET(SECUESTRADOS!D$1,MATCH(B1083,SECUESTRADOS!A$2:A1405,0),0)  )</f>
        <v>0</v>
      </c>
      <c r="O1083" s="98"/>
      <c r="P1083" s="99" t="b">
        <f t="shared" si="238"/>
        <v>0</v>
      </c>
      <c r="Q1083" s="99" t="str">
        <f t="shared" si="304"/>
        <v>#REF!</v>
      </c>
      <c r="R1083" s="130"/>
      <c r="S1083" s="130"/>
      <c r="T1083" s="130"/>
    </row>
    <row r="1084">
      <c r="A1084" s="18" t="s">
        <v>38</v>
      </c>
      <c r="B1084" s="116">
        <v>2251.0</v>
      </c>
      <c r="C1084" s="140">
        <v>2251.0</v>
      </c>
      <c r="D1084" s="57" t="str">
        <f>IF(   ISERROR(OFFSET(PADRON!B$2,MATCH(C:C,PADRON!A$2:A1405,0)-1,0,1,1) )  ,  ,    OFFSET(PADRON!B$2,MATCH(C:C,PADRON!A$2:A1405,0)-1,0,1,1))</f>
        <v>MARMISOLLE, FABIANA</v>
      </c>
      <c r="E1084" s="58">
        <v>45992.0</v>
      </c>
      <c r="F1084" s="145"/>
      <c r="G1084" s="59" t="s">
        <v>39</v>
      </c>
      <c r="H1084" s="60">
        <f>IF( ISERROR( OFFSET(   'Cuadro tarifario'!D$2  , MATCH(CONCATENATE(                 IF(F1084&gt;Mes,OFFSET(NroCT!B$17, MATCH($F1084,NroCT!$A$18:$A1405,0),0,1,1),Periodovigente)                                                                                                                     ,A1084) ,'Cuadro tarifario'!A$2:A1405,0) -1 , 0 , 1 , 1) )   , 0  ,   OFFSET(   'Cuadro tarifario'!D$2  , MATCH(CONCATENATE( IF(F1084&gt;Mes,OFFSET(NroCT!B$17, MATCH($F1084,NroCT!$A$18:$A1405,0),0,1,1),Periodovigente) ,A1084) ,'Cuadro tarifario'!A$2:A1405,0) -1 , 0 , 1 , 1))</f>
        <v>9000</v>
      </c>
      <c r="I1084" s="61">
        <f t="shared" si="252"/>
        <v>0</v>
      </c>
      <c r="J1084" s="60">
        <f t="shared" si="305"/>
        <v>0</v>
      </c>
      <c r="K1084" s="62">
        <f>IF(  AND(N1084&gt;0,I1084=0)          ,N1084 ,                         IF(  IF( F1084 ,  DAYS360(DATE(YEAR(F1084),MONTH(F1084),1),Mes)/30  ,  DAYS360(DATE(YEAR(E1084),MONTH(E1084),1),Mes)/30  )  &gt;  0 , IF(F1084,   DAYS360(DATE(YEAR(F1084),MONTH(F1084),1),Mes)/30  ,  DAYS360(DATE(YEAR(E1084),MONTH(E1084),1),Mes)/30) , 0)       )</f>
        <v>0</v>
      </c>
      <c r="L1084" s="63">
        <f t="shared" si="253"/>
        <v>0</v>
      </c>
      <c r="M1084" s="137"/>
      <c r="N1084" s="97">
        <f>IF( ISERROR(OFFSET(SECUESTRADOS!D$1,MATCH(B1084,SECUESTRADOS!A$2:A1405,0),0)) ,0 ,  OFFSET(SECUESTRADOS!D$1,MATCH(B1084,SECUESTRADOS!A$2:A1405,0),0)  )</f>
        <v>0</v>
      </c>
      <c r="O1084" s="98"/>
      <c r="P1084" s="99" t="b">
        <f t="shared" si="238"/>
        <v>0</v>
      </c>
      <c r="Q1084" s="99" t="str">
        <f t="shared" si="304"/>
        <v>#REF!</v>
      </c>
      <c r="R1084" s="130"/>
      <c r="S1084" s="130"/>
      <c r="T1084" s="130"/>
    </row>
    <row r="1085">
      <c r="A1085" s="18" t="s">
        <v>71</v>
      </c>
      <c r="B1085" s="116">
        <v>2252.0</v>
      </c>
      <c r="C1085" s="140">
        <v>2252.0</v>
      </c>
      <c r="D1085" s="57" t="str">
        <f>IF(   ISERROR(OFFSET(PADRON!B$2,MATCH(C:C,PADRON!A$2:A1405,0)-1,0,1,1) )  ,  ,    OFFSET(PADRON!B$2,MATCH(C:C,PADRON!A$2:A1405,0)-1,0,1,1))</f>
        <v>DELUCCHI, FLORENCIA</v>
      </c>
      <c r="E1085" s="58">
        <v>45992.0</v>
      </c>
      <c r="F1085" s="145"/>
      <c r="G1085" s="59" t="s">
        <v>39</v>
      </c>
      <c r="H1085" s="60">
        <f>IF( ISERROR( OFFSET(   'Cuadro tarifario'!D$2  , MATCH(CONCATENATE(                 IF(F1085&gt;Mes,OFFSET(NroCT!B$17, MATCH($F1085,NroCT!$A$18:$A1405,0),0,1,1),Periodovigente)                                                                                                                     ,A1085) ,'Cuadro tarifario'!A$2:A1405,0) -1 , 0 , 1 , 1) )   , 0  ,   OFFSET(   'Cuadro tarifario'!D$2  , MATCH(CONCATENATE( IF(F1085&gt;Mes,OFFSET(NroCT!B$17, MATCH($F1085,NroCT!$A$18:$A1405,0),0,1,1),Periodovigente) ,A1085) ,'Cuadro tarifario'!A$2:A1405,0) -1 , 0 , 1 , 1))</f>
        <v>11000</v>
      </c>
      <c r="I1085" s="61">
        <f t="shared" si="252"/>
        <v>0</v>
      </c>
      <c r="J1085" s="60">
        <f t="shared" si="305"/>
        <v>0</v>
      </c>
      <c r="K1085" s="62">
        <f>IF(  AND(N1085&gt;0,I1085=0)          ,N1085 ,                         IF(  IF( F1085 ,  DAYS360(DATE(YEAR(F1085),MONTH(F1085),1),Mes)/30  ,  DAYS360(DATE(YEAR(E1085),MONTH(E1085),1),Mes)/30  )  &gt;  0 , IF(F1085,   DAYS360(DATE(YEAR(F1085),MONTH(F1085),1),Mes)/30  ,  DAYS360(DATE(YEAR(E1085),MONTH(E1085),1),Mes)/30) , 0)       )</f>
        <v>0</v>
      </c>
      <c r="L1085" s="63">
        <f t="shared" si="253"/>
        <v>0</v>
      </c>
      <c r="M1085" s="137"/>
      <c r="N1085" s="97">
        <f>IF( ISERROR(OFFSET(SECUESTRADOS!D$1,MATCH(B1085,SECUESTRADOS!A$2:A1405,0),0)) ,0 ,  OFFSET(SECUESTRADOS!D$1,MATCH(B1085,SECUESTRADOS!A$2:A1405,0),0)  )</f>
        <v>0</v>
      </c>
      <c r="O1085" s="98"/>
      <c r="P1085" s="99" t="b">
        <f t="shared" si="238"/>
        <v>0</v>
      </c>
      <c r="Q1085" s="99" t="str">
        <f t="shared" si="304"/>
        <v>#REF!</v>
      </c>
      <c r="R1085" s="130"/>
      <c r="S1085" s="130"/>
      <c r="T1085" s="130"/>
    </row>
    <row r="1086">
      <c r="A1086" s="18" t="s">
        <v>38</v>
      </c>
      <c r="B1086" s="116">
        <v>2252.0</v>
      </c>
      <c r="C1086" s="140">
        <v>2252.0</v>
      </c>
      <c r="D1086" s="57" t="str">
        <f>IF(   ISERROR(OFFSET(PADRON!B$2,MATCH(C:C,PADRON!A$2:A1405,0)-1,0,1,1) )  ,  ,    OFFSET(PADRON!B$2,MATCH(C:C,PADRON!A$2:A1405,0)-1,0,1,1))</f>
        <v>DELUCCHI, FLORENCIA</v>
      </c>
      <c r="E1086" s="58">
        <v>45992.0</v>
      </c>
      <c r="F1086" s="145"/>
      <c r="G1086" s="59" t="s">
        <v>39</v>
      </c>
      <c r="H1086" s="60">
        <f>IF( ISERROR( OFFSET(   'Cuadro tarifario'!D$2  , MATCH(CONCATENATE(                 IF(F1086&gt;Mes,OFFSET(NroCT!B$17, MATCH($F1086,NroCT!$A$18:$A1405,0),0,1,1),Periodovigente)                                                                                                                     ,A1086) ,'Cuadro tarifario'!A$2:A1405,0) -1 , 0 , 1 , 1) )   , 0  ,   OFFSET(   'Cuadro tarifario'!D$2  , MATCH(CONCATENATE( IF(F1086&gt;Mes,OFFSET(NroCT!B$17, MATCH($F1086,NroCT!$A$18:$A1405,0),0,1,1),Periodovigente) ,A1086) ,'Cuadro tarifario'!A$2:A1405,0) -1 , 0 , 1 , 1))</f>
        <v>9000</v>
      </c>
      <c r="I1086" s="61">
        <f t="shared" si="252"/>
        <v>0</v>
      </c>
      <c r="J1086" s="60">
        <f t="shared" si="305"/>
        <v>0</v>
      </c>
      <c r="K1086" s="62">
        <f>IF(  AND(N1086&gt;0,I1086=0)          ,N1086 ,                         IF(  IF( F1086 ,  DAYS360(DATE(YEAR(F1086),MONTH(F1086),1),Mes)/30  ,  DAYS360(DATE(YEAR(E1086),MONTH(E1086),1),Mes)/30  )  &gt;  0 , IF(F1086,   DAYS360(DATE(YEAR(F1086),MONTH(F1086),1),Mes)/30  ,  DAYS360(DATE(YEAR(E1086),MONTH(E1086),1),Mes)/30) , 0)       )</f>
        <v>0</v>
      </c>
      <c r="L1086" s="63">
        <f t="shared" si="253"/>
        <v>0</v>
      </c>
      <c r="M1086" s="137"/>
      <c r="N1086" s="97">
        <f>IF( ISERROR(OFFSET(SECUESTRADOS!D$1,MATCH(B1086,SECUESTRADOS!A$2:A1405,0),0)) ,0 ,  OFFSET(SECUESTRADOS!D$1,MATCH(B1086,SECUESTRADOS!A$2:A1405,0),0)  )</f>
        <v>0</v>
      </c>
      <c r="O1086" s="98"/>
      <c r="P1086" s="99" t="b">
        <f t="shared" si="238"/>
        <v>0</v>
      </c>
      <c r="Q1086" s="99" t="str">
        <f t="shared" si="304"/>
        <v>#REF!</v>
      </c>
      <c r="R1086" s="130"/>
      <c r="S1086" s="130"/>
      <c r="T1086" s="130"/>
    </row>
    <row r="1087">
      <c r="A1087" s="18" t="s">
        <v>40</v>
      </c>
      <c r="B1087" s="116" t="s">
        <v>443</v>
      </c>
      <c r="C1087" s="140">
        <v>2252.0</v>
      </c>
      <c r="D1087" s="57" t="str">
        <f>IF(   ISERROR(OFFSET(PADRON!B$2,MATCH(C:C,PADRON!A$2:A1405,0)-1,0,1,1) )  ,  ,    OFFSET(PADRON!B$2,MATCH(C:C,PADRON!A$2:A1405,0)-1,0,1,1))</f>
        <v>DELUCCHI, FLORENCIA</v>
      </c>
      <c r="E1087" s="58">
        <v>45992.0</v>
      </c>
      <c r="F1087" s="145"/>
      <c r="G1087" s="59" t="s">
        <v>39</v>
      </c>
      <c r="H1087" s="60">
        <f>IF( ISERROR( OFFSET(   'Cuadro tarifario'!D$2  , MATCH(CONCATENATE(                 IF(F1087&gt;Mes,OFFSET(NroCT!B$17, MATCH($F1087,NroCT!$A$18:$A1405,0),0,1,1),Periodovigente)                                                                                                                     ,A1087) ,'Cuadro tarifario'!A$2:A1405,0) -1 , 0 , 1 , 1) )   , 0  ,   OFFSET(   'Cuadro tarifario'!D$2  , MATCH(CONCATENATE( IF(F1087&gt;Mes,OFFSET(NroCT!B$17, MATCH($F1087,NroCT!$A$18:$A1405,0),0,1,1),Periodovigente) ,A1087) ,'Cuadro tarifario'!A$2:A1405,0) -1 , 0 , 1 , 1))</f>
        <v>12000</v>
      </c>
      <c r="I1087" s="61">
        <f t="shared" si="252"/>
        <v>0</v>
      </c>
      <c r="J1087" s="60">
        <f t="shared" si="305"/>
        <v>0</v>
      </c>
      <c r="K1087" s="62">
        <f>IF(  AND(N1087&gt;0,I1087=0)          ,N1087 ,                         IF(  IF( F1087 ,  DAYS360(DATE(YEAR(F1087),MONTH(F1087),1),Mes)/30  ,  DAYS360(DATE(YEAR(E1087),MONTH(E1087),1),Mes)/30  )  &gt;  0 , IF(F1087,   DAYS360(DATE(YEAR(F1087),MONTH(F1087),1),Mes)/30  ,  DAYS360(DATE(YEAR(E1087),MONTH(E1087),1),Mes)/30) , 0)       )</f>
        <v>0</v>
      </c>
      <c r="L1087" s="63">
        <f t="shared" si="253"/>
        <v>0</v>
      </c>
      <c r="M1087" s="137"/>
      <c r="N1087" s="97">
        <f>IF( ISERROR(OFFSET(SECUESTRADOS!D$1,MATCH(B1087,SECUESTRADOS!A$2:A1405,0),0)) ,0 ,  OFFSET(SECUESTRADOS!D$1,MATCH(B1087,SECUESTRADOS!A$2:A1405,0),0)  )</f>
        <v>0</v>
      </c>
      <c r="O1087" s="98"/>
      <c r="P1087" s="99" t="b">
        <f t="shared" si="238"/>
        <v>0</v>
      </c>
      <c r="Q1087" s="99" t="str">
        <f t="shared" si="304"/>
        <v>#REF!</v>
      </c>
      <c r="R1087" s="130"/>
      <c r="S1087" s="130"/>
      <c r="T1087" s="130"/>
    </row>
    <row r="1088">
      <c r="A1088" s="18" t="s">
        <v>40</v>
      </c>
      <c r="B1088" s="116" t="s">
        <v>444</v>
      </c>
      <c r="C1088" s="140">
        <v>2252.0</v>
      </c>
      <c r="D1088" s="57" t="str">
        <f>IF(   ISERROR(OFFSET(PADRON!B$2,MATCH(C:C,PADRON!A$2:A1405,0)-1,0,1,1) )  ,  ,    OFFSET(PADRON!B$2,MATCH(C:C,PADRON!A$2:A1405,0)-1,0,1,1))</f>
        <v>DELUCCHI, FLORENCIA</v>
      </c>
      <c r="E1088" s="58">
        <v>45839.0</v>
      </c>
      <c r="F1088" s="145">
        <v>45992.0</v>
      </c>
      <c r="G1088" s="59" t="s">
        <v>39</v>
      </c>
      <c r="H1088" s="60">
        <f>IF( ISERROR( OFFSET(   'Cuadro tarifario'!D$2  , MATCH(CONCATENATE(                 IF(F1088&gt;Mes,OFFSET(NroCT!B$17, MATCH($F1088,NroCT!$A$18:$A1405,0),0,1,1),Periodovigente)                                                                                                                     ,A1088) ,'Cuadro tarifario'!A$2:A1405,0) -1 , 0 , 1 , 1) )   , 0  ,   OFFSET(   'Cuadro tarifario'!D$2  , MATCH(CONCATENATE( IF(F1088&gt;Mes,OFFSET(NroCT!B$17, MATCH($F1088,NroCT!$A$18:$A1405,0),0,1,1),Periodovigente) ,A1088) ,'Cuadro tarifario'!A$2:A1405,0) -1 , 0 , 1 , 1))</f>
        <v>12000</v>
      </c>
      <c r="I1088" s="61">
        <f t="shared" si="252"/>
        <v>5</v>
      </c>
      <c r="J1088" s="60">
        <f t="shared" si="305"/>
        <v>60000</v>
      </c>
      <c r="K1088" s="62">
        <f>IF(  AND(N1088&gt;0,I1088=0)          ,N1088 ,                         IF(  IF( F1088 ,  DAYS360(DATE(YEAR(F1088),MONTH(F1088),1),Mes)/30  ,  DAYS360(DATE(YEAR(E1088),MONTH(E1088),1),Mes)/30  )  &gt;  0 , IF(F1088,   DAYS360(DATE(YEAR(F1088),MONTH(F1088),1),Mes)/30  ,  DAYS360(DATE(YEAR(E1088),MONTH(E1088),1),Mes)/30) , 0)       )</f>
        <v>0</v>
      </c>
      <c r="L1088" s="63">
        <f t="shared" si="253"/>
        <v>0</v>
      </c>
      <c r="M1088" s="137"/>
      <c r="N1088" s="97">
        <f>IF( ISERROR(OFFSET(SECUESTRADOS!D$1,MATCH(B1088,SECUESTRADOS!A$2:A1405,0),0)) ,0 ,  OFFSET(SECUESTRADOS!D$1,MATCH(B1088,SECUESTRADOS!A$2:A1405,0),0)  )</f>
        <v>0</v>
      </c>
      <c r="O1088" s="98"/>
      <c r="P1088" s="99" t="str">
        <f t="shared" si="238"/>
        <v>cuna windsurf</v>
      </c>
      <c r="Q1088" s="99" t="str">
        <f t="shared" si="304"/>
        <v>#REF!</v>
      </c>
      <c r="R1088" s="130"/>
      <c r="S1088" s="130"/>
      <c r="T1088" s="130"/>
    </row>
    <row r="1089">
      <c r="A1089" s="18" t="s">
        <v>71</v>
      </c>
      <c r="B1089" s="116">
        <v>2253.0</v>
      </c>
      <c r="C1089" s="140">
        <v>2253.0</v>
      </c>
      <c r="D1089" s="57" t="str">
        <f>IF(   ISERROR(OFFSET(PADRON!B$2,MATCH(C:C,PADRON!A$2:A1405,0)-1,0,1,1) )  ,  ,    OFFSET(PADRON!B$2,MATCH(C:C,PADRON!A$2:A1405,0)-1,0,1,1))</f>
        <v>FONSECA , IGNACIO</v>
      </c>
      <c r="E1089" s="58">
        <v>45778.0</v>
      </c>
      <c r="F1089" s="145"/>
      <c r="G1089" s="59" t="s">
        <v>39</v>
      </c>
      <c r="H1089" s="60">
        <f>IF( ISERROR( OFFSET(   'Cuadro tarifario'!D$2  , MATCH(CONCATENATE(                 IF(F1089&gt;Mes,OFFSET(NroCT!B$17, MATCH($F1089,NroCT!$A$18:$A1405,0),0,1,1),Periodovigente)                                                                                                                     ,A1089) ,'Cuadro tarifario'!A$2:A1405,0) -1 , 0 , 1 , 1) )   , 0  ,   OFFSET(   'Cuadro tarifario'!D$2  , MATCH(CONCATENATE( IF(F1089&gt;Mes,OFFSET(NroCT!B$17, MATCH($F1089,NroCT!$A$18:$A1405,0),0,1,1),Periodovigente) ,A1089) ,'Cuadro tarifario'!A$2:A1405,0) -1 , 0 , 1 , 1))</f>
        <v>11000</v>
      </c>
      <c r="I1089" s="61">
        <f t="shared" si="252"/>
        <v>0</v>
      </c>
      <c r="J1089" s="60">
        <f t="shared" si="305"/>
        <v>0</v>
      </c>
      <c r="K1089" s="62">
        <f>IF(  AND(N1089&gt;0,I1089=0)          ,N1089 ,                         IF(  IF( F1089 ,  DAYS360(DATE(YEAR(F1089),MONTH(F1089),1),Mes)/30  ,  DAYS360(DATE(YEAR(E1089),MONTH(E1089),1),Mes)/30  )  &gt;  0 , IF(F1089,   DAYS360(DATE(YEAR(F1089),MONTH(F1089),1),Mes)/30  ,  DAYS360(DATE(YEAR(E1089),MONTH(E1089),1),Mes)/30) , 0)       )</f>
        <v>3</v>
      </c>
      <c r="L1089" s="63">
        <f t="shared" si="253"/>
        <v>33000</v>
      </c>
      <c r="M1089" s="137"/>
      <c r="N1089" s="97">
        <f>IF( ISERROR(OFFSET(SECUESTRADOS!D$1,MATCH(B1089,SECUESTRADOS!A$2:A1405,0),0)) ,0 ,  OFFSET(SECUESTRADOS!D$1,MATCH(B1089,SECUESTRADOS!A$2:A1405,0),0)  )</f>
        <v>0</v>
      </c>
      <c r="O1089" s="98"/>
      <c r="P1089" s="99" t="b">
        <f t="shared" si="238"/>
        <v>0</v>
      </c>
      <c r="Q1089" s="99" t="str">
        <f t="shared" si="304"/>
        <v>#REF!</v>
      </c>
      <c r="R1089" s="130"/>
      <c r="S1089" s="130"/>
      <c r="T1089" s="130"/>
    </row>
    <row r="1090">
      <c r="A1090" s="18" t="s">
        <v>38</v>
      </c>
      <c r="B1090" s="116">
        <v>2253.0</v>
      </c>
      <c r="C1090" s="140">
        <v>2253.0</v>
      </c>
      <c r="D1090" s="57" t="str">
        <f>IF(   ISERROR(OFFSET(PADRON!B$2,MATCH(C:C,PADRON!A$2:A1405,0)-1,0,1,1) )  ,  ,    OFFSET(PADRON!B$2,MATCH(C:C,PADRON!A$2:A1405,0)-1,0,1,1))</f>
        <v>FONSECA , IGNACIO</v>
      </c>
      <c r="E1090" s="58">
        <v>45778.0</v>
      </c>
      <c r="F1090" s="145"/>
      <c r="G1090" s="59" t="s">
        <v>39</v>
      </c>
      <c r="H1090" s="60">
        <f>IF( ISERROR( OFFSET(   'Cuadro tarifario'!D$2  , MATCH(CONCATENATE(                 IF(F1090&gt;Mes,OFFSET(NroCT!B$17, MATCH($F1090,NroCT!$A$18:$A1405,0),0,1,1),Periodovigente)                                                                                                                     ,A1090) ,'Cuadro tarifario'!A$2:A1405,0) -1 , 0 , 1 , 1) )   , 0  ,   OFFSET(   'Cuadro tarifario'!D$2  , MATCH(CONCATENATE( IF(F1090&gt;Mes,OFFSET(NroCT!B$17, MATCH($F1090,NroCT!$A$18:$A1405,0),0,1,1),Periodovigente) ,A1090) ,'Cuadro tarifario'!A$2:A1405,0) -1 , 0 , 1 , 1))</f>
        <v>9000</v>
      </c>
      <c r="I1090" s="61">
        <f t="shared" si="252"/>
        <v>0</v>
      </c>
      <c r="J1090" s="60">
        <f t="shared" si="305"/>
        <v>0</v>
      </c>
      <c r="K1090" s="62">
        <f>IF(  AND(N1090&gt;0,I1090=0)          ,N1090 ,                         IF(  IF( F1090 ,  DAYS360(DATE(YEAR(F1090),MONTH(F1090),1),Mes)/30  ,  DAYS360(DATE(YEAR(E1090),MONTH(E1090),1),Mes)/30  )  &gt;  0 , IF(F1090,   DAYS360(DATE(YEAR(F1090),MONTH(F1090),1),Mes)/30  ,  DAYS360(DATE(YEAR(E1090),MONTH(E1090),1),Mes)/30) , 0)       )</f>
        <v>3</v>
      </c>
      <c r="L1090" s="63">
        <f t="shared" si="253"/>
        <v>27000</v>
      </c>
      <c r="M1090" s="137"/>
      <c r="N1090" s="97">
        <f>IF( ISERROR(OFFSET(SECUESTRADOS!D$1,MATCH(B1090,SECUESTRADOS!A$2:A1405,0),0)) ,0 ,  OFFSET(SECUESTRADOS!D$1,MATCH(B1090,SECUESTRADOS!A$2:A1405,0),0)  )</f>
        <v>0</v>
      </c>
      <c r="O1090" s="98"/>
      <c r="P1090" s="99" t="b">
        <f t="shared" si="238"/>
        <v>0</v>
      </c>
      <c r="Q1090" s="99" t="str">
        <f t="shared" si="304"/>
        <v>#REF!</v>
      </c>
      <c r="R1090" s="130"/>
      <c r="S1090" s="130"/>
      <c r="T1090" s="130"/>
    </row>
    <row r="1091">
      <c r="A1091" s="18" t="s">
        <v>71</v>
      </c>
      <c r="B1091" s="116">
        <v>2254.0</v>
      </c>
      <c r="C1091" s="140">
        <v>2254.0</v>
      </c>
      <c r="D1091" s="57" t="str">
        <f>IF(   ISERROR(OFFSET(PADRON!B$2,MATCH(C:C,PADRON!A$2:A1405,0)-1,0,1,1) )  ,  ,    OFFSET(PADRON!B$2,MATCH(C:C,PADRON!A$2:A1405,0)-1,0,1,1))</f>
        <v>ROMERO, ALEJANDRO</v>
      </c>
      <c r="E1091" s="58">
        <v>45839.0</v>
      </c>
      <c r="F1091" s="145">
        <v>45870.0</v>
      </c>
      <c r="G1091" s="59" t="s">
        <v>39</v>
      </c>
      <c r="H1091" s="60">
        <f>IF( ISERROR( OFFSET(   'Cuadro tarifario'!D$2  , MATCH(CONCATENATE(                 IF(F1091&gt;Mes,OFFSET(NroCT!B$17, MATCH($F1091,NroCT!$A$18:$A1405,0),0,1,1),Periodovigente)                                                                                                                     ,A1091) ,'Cuadro tarifario'!A$2:A1405,0) -1 , 0 , 1 , 1) )   , 0  ,   OFFSET(   'Cuadro tarifario'!D$2  , MATCH(CONCATENATE( IF(F1091&gt;Mes,OFFSET(NroCT!B$17, MATCH($F1091,NroCT!$A$18:$A1405,0),0,1,1),Periodovigente) ,A1091) ,'Cuadro tarifario'!A$2:A1405,0) -1 , 0 , 1 , 1))</f>
        <v>11000</v>
      </c>
      <c r="I1091" s="61">
        <f t="shared" si="252"/>
        <v>1</v>
      </c>
      <c r="J1091" s="60">
        <f t="shared" si="305"/>
        <v>11000</v>
      </c>
      <c r="K1091" s="62">
        <f>IF(  AND(N1091&gt;0,I1091=0)          ,N1091 ,                         IF(  IF( F1091 ,  DAYS360(DATE(YEAR(F1091),MONTH(F1091),1),Mes)/30  ,  DAYS360(DATE(YEAR(E1091),MONTH(E1091),1),Mes)/30  )  &gt;  0 , IF(F1091,   DAYS360(DATE(YEAR(F1091),MONTH(F1091),1),Mes)/30  ,  DAYS360(DATE(YEAR(E1091),MONTH(E1091),1),Mes)/30) , 0)       )</f>
        <v>0</v>
      </c>
      <c r="L1091" s="63">
        <f t="shared" si="253"/>
        <v>0</v>
      </c>
      <c r="M1091" s="137"/>
      <c r="N1091" s="97">
        <f>IF( ISERROR(OFFSET(SECUESTRADOS!D$1,MATCH(B1091,SECUESTRADOS!A$2:A1405,0),0)) ,0 ,  OFFSET(SECUESTRADOS!D$1,MATCH(B1091,SECUESTRADOS!A$2:A1405,0),0)  )</f>
        <v>0</v>
      </c>
      <c r="O1091" s="98"/>
      <c r="P1091" s="99" t="str">
        <f t="shared" si="238"/>
        <v>.socio</v>
      </c>
      <c r="Q1091" s="99" t="str">
        <f t="shared" si="304"/>
        <v>#REF!</v>
      </c>
      <c r="R1091" s="130"/>
      <c r="S1091" s="130"/>
      <c r="T1091" s="130"/>
    </row>
    <row r="1092">
      <c r="A1092" s="18" t="s">
        <v>38</v>
      </c>
      <c r="B1092" s="116">
        <v>2254.0</v>
      </c>
      <c r="C1092" s="140">
        <v>2254.0</v>
      </c>
      <c r="D1092" s="57" t="str">
        <f>IF(   ISERROR(OFFSET(PADRON!B$2,MATCH(C:C,PADRON!A$2:A1405,0)-1,0,1,1) )  ,  ,    OFFSET(PADRON!B$2,MATCH(C:C,PADRON!A$2:A1405,0)-1,0,1,1))</f>
        <v>ROMERO, ALEJANDRO</v>
      </c>
      <c r="E1092" s="58">
        <v>45839.0</v>
      </c>
      <c r="F1092" s="145">
        <v>45870.0</v>
      </c>
      <c r="G1092" s="59" t="s">
        <v>39</v>
      </c>
      <c r="H1092" s="60">
        <f>IF( ISERROR( OFFSET(   'Cuadro tarifario'!D$2  , MATCH(CONCATENATE(                 IF(F1092&gt;Mes,OFFSET(NroCT!B$17, MATCH($F1092,NroCT!$A$18:$A1405,0),0,1,1),Periodovigente)                                                                                                                     ,A1092) ,'Cuadro tarifario'!A$2:A1405,0) -1 , 0 , 1 , 1) )   , 0  ,   OFFSET(   'Cuadro tarifario'!D$2  , MATCH(CONCATENATE( IF(F1092&gt;Mes,OFFSET(NroCT!B$17, MATCH($F1092,NroCT!$A$18:$A1405,0),0,1,1),Periodovigente) ,A1092) ,'Cuadro tarifario'!A$2:A1405,0) -1 , 0 , 1 , 1))</f>
        <v>9000</v>
      </c>
      <c r="I1092" s="61">
        <f t="shared" si="252"/>
        <v>1</v>
      </c>
      <c r="J1092" s="60">
        <f t="shared" si="305"/>
        <v>9000</v>
      </c>
      <c r="K1092" s="62">
        <f>IF(  AND(N1092&gt;0,I1092=0)          ,N1092 ,                         IF(  IF( F1092 ,  DAYS360(DATE(YEAR(F1092),MONTH(F1092),1),Mes)/30  ,  DAYS360(DATE(YEAR(E1092),MONTH(E1092),1),Mes)/30  )  &gt;  0 , IF(F1092,   DAYS360(DATE(YEAR(F1092),MONTH(F1092),1),Mes)/30  ,  DAYS360(DATE(YEAR(E1092),MONTH(E1092),1),Mes)/30) , 0)       )</f>
        <v>0</v>
      </c>
      <c r="L1092" s="63">
        <f t="shared" si="253"/>
        <v>0</v>
      </c>
      <c r="M1092" s="137"/>
      <c r="N1092" s="97">
        <f>IF( ISERROR(OFFSET(SECUESTRADOS!D$1,MATCH(B1092,SECUESTRADOS!A$2:A1405,0),0)) ,0 ,  OFFSET(SECUESTRADOS!D$1,MATCH(B1092,SECUESTRADOS!A$2:A1405,0),0)  )</f>
        <v>0</v>
      </c>
      <c r="O1092" s="98"/>
      <c r="P1092" s="99" t="str">
        <f t="shared" si="238"/>
        <v>Bono canon</v>
      </c>
      <c r="Q1092" s="99" t="str">
        <f t="shared" si="304"/>
        <v>#REF!</v>
      </c>
      <c r="R1092" s="130"/>
      <c r="S1092" s="130"/>
      <c r="T1092" s="130"/>
    </row>
    <row r="1093">
      <c r="A1093" s="18" t="s">
        <v>82</v>
      </c>
      <c r="B1093" s="116" t="s">
        <v>445</v>
      </c>
      <c r="C1093" s="140">
        <v>2254.0</v>
      </c>
      <c r="D1093" s="57" t="str">
        <f>IF(   ISERROR(OFFSET(PADRON!B$2,MATCH(C:C,PADRON!A$2:A1405,0)-1,0,1,1) )  ,  ,    OFFSET(PADRON!B$2,MATCH(C:C,PADRON!A$2:A1405,0)-1,0,1,1))</f>
        <v>ROMERO, ALEJANDRO</v>
      </c>
      <c r="E1093" s="58">
        <v>45839.0</v>
      </c>
      <c r="F1093" s="145">
        <v>45870.0</v>
      </c>
      <c r="G1093" s="59" t="s">
        <v>39</v>
      </c>
      <c r="H1093" s="60">
        <f>IF( ISERROR( OFFSET(   'Cuadro tarifario'!D$2  , MATCH(CONCATENATE(                 IF(F1093&gt;Mes,OFFSET(NroCT!B$17, MATCH($F1093,NroCT!$A$18:$A1405,0),0,1,1),Periodovigente)                                                                                                                     ,A1093) ,'Cuadro tarifario'!A$2:A1405,0) -1 , 0 , 1 , 1) )   , 0  ,   OFFSET(   'Cuadro tarifario'!D$2  , MATCH(CONCATENATE( IF(F1093&gt;Mes,OFFSET(NroCT!B$17, MATCH($F1093,NroCT!$A$18:$A1405,0),0,1,1),Periodovigente) ,A1093) ,'Cuadro tarifario'!A$2:A1405,0) -1 , 0 , 1 , 1))</f>
        <v>12000</v>
      </c>
      <c r="I1093" s="61">
        <f t="shared" si="252"/>
        <v>1</v>
      </c>
      <c r="J1093" s="60">
        <f t="shared" si="305"/>
        <v>12000</v>
      </c>
      <c r="K1093" s="62">
        <f>IF(  AND(N1093&gt;0,I1093=0)          ,N1093 ,                         IF(  IF( F1093 ,  DAYS360(DATE(YEAR(F1093),MONTH(F1093),1),Mes)/30  ,  DAYS360(DATE(YEAR(E1093),MONTH(E1093),1),Mes)/30  )  &gt;  0 , IF(F1093,   DAYS360(DATE(YEAR(F1093),MONTH(F1093),1),Mes)/30  ,  DAYS360(DATE(YEAR(E1093),MONTH(E1093),1),Mes)/30) , 0)       )</f>
        <v>0</v>
      </c>
      <c r="L1093" s="63">
        <f t="shared" si="253"/>
        <v>0</v>
      </c>
      <c r="M1093" s="137"/>
      <c r="N1093" s="97">
        <f>IF( ISERROR(OFFSET(SECUESTRADOS!D$1,MATCH(B1093,SECUESTRADOS!A$2:A1405,0),0)) ,0 ,  OFFSET(SECUESTRADOS!D$1,MATCH(B1093,SECUESTRADOS!A$2:A1405,0),0)  )</f>
        <v>0</v>
      </c>
      <c r="O1093" s="98"/>
      <c r="P1093" s="99" t="str">
        <f t="shared" si="238"/>
        <v>cuna kayak</v>
      </c>
      <c r="Q1093" s="99" t="str">
        <f t="shared" si="304"/>
        <v>#REF!</v>
      </c>
      <c r="R1093" s="130"/>
      <c r="S1093" s="130"/>
      <c r="T1093" s="130"/>
    </row>
    <row r="1094">
      <c r="A1094" s="18" t="s">
        <v>71</v>
      </c>
      <c r="B1094" s="116">
        <v>2255.0</v>
      </c>
      <c r="C1094" s="140">
        <v>2255.0</v>
      </c>
      <c r="D1094" s="57" t="str">
        <f>IF(   ISERROR(OFFSET(PADRON!B$2,MATCH(C:C,PADRON!A$2:A1405,0)-1,0,1,1) )  ,  ,    OFFSET(PADRON!B$2,MATCH(C:C,PADRON!A$2:A1405,0)-1,0,1,1))</f>
        <v>BALDONI, JUAN PABLO</v>
      </c>
      <c r="E1094" s="58">
        <v>45809.0</v>
      </c>
      <c r="F1094" s="145">
        <v>45901.0</v>
      </c>
      <c r="G1094" s="59" t="s">
        <v>39</v>
      </c>
      <c r="H1094" s="60">
        <f>IF( ISERROR( OFFSET(   'Cuadro tarifario'!D$2  , MATCH(CONCATENATE(                 IF(F1094&gt;Mes,OFFSET(NroCT!B$17, MATCH($F1094,NroCT!$A$18:$A1405,0),0,1,1),Periodovigente)                                                                                                                     ,A1094) ,'Cuadro tarifario'!A$2:A1405,0) -1 , 0 , 1 , 1) )   , 0  ,   OFFSET(   'Cuadro tarifario'!D$2  , MATCH(CONCATENATE( IF(F1094&gt;Mes,OFFSET(NroCT!B$17, MATCH($F1094,NroCT!$A$18:$A1405,0),0,1,1),Periodovigente) ,A1094) ,'Cuadro tarifario'!A$2:A1405,0) -1 , 0 , 1 , 1))</f>
        <v>11000</v>
      </c>
      <c r="I1094" s="61">
        <f t="shared" si="252"/>
        <v>3</v>
      </c>
      <c r="J1094" s="60">
        <f t="shared" si="305"/>
        <v>33000</v>
      </c>
      <c r="K1094" s="62">
        <f>IF(  AND(N1094&gt;0,I1094=0)          ,N1094 ,                         IF(  IF( F1094 ,  DAYS360(DATE(YEAR(F1094),MONTH(F1094),1),Mes)/30  ,  DAYS360(DATE(YEAR(E1094),MONTH(E1094),1),Mes)/30  )  &gt;  0 , IF(F1094,   DAYS360(DATE(YEAR(F1094),MONTH(F1094),1),Mes)/30  ,  DAYS360(DATE(YEAR(E1094),MONTH(E1094),1),Mes)/30) , 0)       )</f>
        <v>0</v>
      </c>
      <c r="L1094" s="63">
        <f t="shared" si="253"/>
        <v>0</v>
      </c>
      <c r="M1094" s="137"/>
      <c r="N1094" s="97">
        <f>IF( ISERROR(OFFSET(SECUESTRADOS!D$1,MATCH(B1094,SECUESTRADOS!A$2:A1405,0),0)) ,0 ,  OFFSET(SECUESTRADOS!D$1,MATCH(B1094,SECUESTRADOS!A$2:A1405,0),0)  )</f>
        <v>0</v>
      </c>
      <c r="O1094" s="98"/>
      <c r="P1094" s="99" t="str">
        <f t="shared" si="238"/>
        <v>.socio</v>
      </c>
      <c r="Q1094" s="99" t="str">
        <f t="shared" si="304"/>
        <v>#REF!</v>
      </c>
      <c r="R1094" s="130"/>
      <c r="S1094" s="130"/>
      <c r="T1094" s="130"/>
    </row>
    <row r="1095">
      <c r="A1095" s="18" t="s">
        <v>38</v>
      </c>
      <c r="B1095" s="116">
        <v>2255.0</v>
      </c>
      <c r="C1095" s="140">
        <v>2255.0</v>
      </c>
      <c r="D1095" s="57" t="str">
        <f>IF(   ISERROR(OFFSET(PADRON!B$2,MATCH(C:C,PADRON!A$2:A1405,0)-1,0,1,1) )  ,  ,    OFFSET(PADRON!B$2,MATCH(C:C,PADRON!A$2:A1405,0)-1,0,1,1))</f>
        <v>BALDONI, JUAN PABLO</v>
      </c>
      <c r="E1095" s="58">
        <v>45809.0</v>
      </c>
      <c r="F1095" s="145">
        <v>45901.0</v>
      </c>
      <c r="G1095" s="59" t="s">
        <v>39</v>
      </c>
      <c r="H1095" s="60">
        <f>IF( ISERROR( OFFSET(   'Cuadro tarifario'!D$2  , MATCH(CONCATENATE(                 IF(F1095&gt;Mes,OFFSET(NroCT!B$17, MATCH($F1095,NroCT!$A$18:$A1405,0),0,1,1),Periodovigente)                                                                                                                     ,A1095) ,'Cuadro tarifario'!A$2:A1405,0) -1 , 0 , 1 , 1) )   , 0  ,   OFFSET(   'Cuadro tarifario'!D$2  , MATCH(CONCATENATE( IF(F1095&gt;Mes,OFFSET(NroCT!B$17, MATCH($F1095,NroCT!$A$18:$A1405,0),0,1,1),Periodovigente) ,A1095) ,'Cuadro tarifario'!A$2:A1405,0) -1 , 0 , 1 , 1))</f>
        <v>9000</v>
      </c>
      <c r="I1095" s="61">
        <f t="shared" si="252"/>
        <v>3</v>
      </c>
      <c r="J1095" s="60">
        <f t="shared" si="305"/>
        <v>27000</v>
      </c>
      <c r="K1095" s="62">
        <f>IF(  AND(N1095&gt;0,I1095=0)          ,N1095 ,                         IF(  IF( F1095 ,  DAYS360(DATE(YEAR(F1095),MONTH(F1095),1),Mes)/30  ,  DAYS360(DATE(YEAR(E1095),MONTH(E1095),1),Mes)/30  )  &gt;  0 , IF(F1095,   DAYS360(DATE(YEAR(F1095),MONTH(F1095),1),Mes)/30  ,  DAYS360(DATE(YEAR(E1095),MONTH(E1095),1),Mes)/30) , 0)       )</f>
        <v>0</v>
      </c>
      <c r="L1095" s="63">
        <f t="shared" si="253"/>
        <v>0</v>
      </c>
      <c r="M1095" s="137"/>
      <c r="N1095" s="97">
        <f>IF( ISERROR(OFFSET(SECUESTRADOS!D$1,MATCH(B1095,SECUESTRADOS!A$2:A1405,0),0)) ,0 ,  OFFSET(SECUESTRADOS!D$1,MATCH(B1095,SECUESTRADOS!A$2:A1405,0),0)  )</f>
        <v>0</v>
      </c>
      <c r="O1095" s="98"/>
      <c r="P1095" s="99" t="str">
        <f t="shared" si="238"/>
        <v>Bono canon</v>
      </c>
      <c r="Q1095" s="99" t="str">
        <f t="shared" si="304"/>
        <v>#REF!</v>
      </c>
      <c r="R1095" s="130"/>
      <c r="S1095" s="130"/>
      <c r="T1095" s="130"/>
    </row>
    <row r="1096">
      <c r="A1096" s="18" t="s">
        <v>40</v>
      </c>
      <c r="B1096" s="116" t="s">
        <v>446</v>
      </c>
      <c r="C1096" s="140">
        <v>2255.0</v>
      </c>
      <c r="D1096" s="57" t="str">
        <f>IF(   ISERROR(OFFSET(PADRON!B$2,MATCH(C:C,PADRON!A$2:A1405,0)-1,0,1,1) )  ,  ,    OFFSET(PADRON!B$2,MATCH(C:C,PADRON!A$2:A1405,0)-1,0,1,1))</f>
        <v>BALDONI, JUAN PABLO</v>
      </c>
      <c r="E1096" s="58">
        <v>45809.0</v>
      </c>
      <c r="F1096" s="145">
        <v>45901.0</v>
      </c>
      <c r="G1096" s="59" t="s">
        <v>39</v>
      </c>
      <c r="H1096" s="60">
        <f>IF( ISERROR( OFFSET(   'Cuadro tarifario'!D$2  , MATCH(CONCATENATE(                 IF(F1096&gt;Mes,OFFSET(NroCT!B$17, MATCH($F1096,NroCT!$A$18:$A1405,0),0,1,1),Periodovigente)                                                                                                                     ,A1096) ,'Cuadro tarifario'!A$2:A1405,0) -1 , 0 , 1 , 1) )   , 0  ,   OFFSET(   'Cuadro tarifario'!D$2  , MATCH(CONCATENATE( IF(F1096&gt;Mes,OFFSET(NroCT!B$17, MATCH($F1096,NroCT!$A$18:$A1405,0),0,1,1),Periodovigente) ,A1096) ,'Cuadro tarifario'!A$2:A1405,0) -1 , 0 , 1 , 1))</f>
        <v>12000</v>
      </c>
      <c r="I1096" s="61">
        <f t="shared" si="252"/>
        <v>3</v>
      </c>
      <c r="J1096" s="60">
        <f t="shared" si="305"/>
        <v>36000</v>
      </c>
      <c r="K1096" s="62">
        <f>IF(  AND(N1096&gt;0,I1096=0)          ,N1096 ,                         IF(  IF( F1096 ,  DAYS360(DATE(YEAR(F1096),MONTH(F1096),1),Mes)/30  ,  DAYS360(DATE(YEAR(E1096),MONTH(E1096),1),Mes)/30  )  &gt;  0 , IF(F1096,   DAYS360(DATE(YEAR(F1096),MONTH(F1096),1),Mes)/30  ,  DAYS360(DATE(YEAR(E1096),MONTH(E1096),1),Mes)/30) , 0)       )</f>
        <v>0</v>
      </c>
      <c r="L1096" s="63">
        <f t="shared" si="253"/>
        <v>0</v>
      </c>
      <c r="M1096" s="137"/>
      <c r="N1096" s="97">
        <f>IF( ISERROR(OFFSET(SECUESTRADOS!D$1,MATCH(B1096,SECUESTRADOS!A$2:A1405,0),0)) ,0 ,  OFFSET(SECUESTRADOS!D$1,MATCH(B1096,SECUESTRADOS!A$2:A1405,0),0)  )</f>
        <v>0</v>
      </c>
      <c r="O1096" s="98"/>
      <c r="P1096" s="99" t="str">
        <f t="shared" si="238"/>
        <v>cuna windsurf</v>
      </c>
      <c r="Q1096" s="99" t="str">
        <f t="shared" si="304"/>
        <v>#REF!</v>
      </c>
      <c r="R1096" s="130"/>
      <c r="S1096" s="130"/>
      <c r="T1096" s="130"/>
    </row>
    <row r="1097">
      <c r="A1097" s="18" t="s">
        <v>447</v>
      </c>
      <c r="B1097" s="116">
        <v>2256.0</v>
      </c>
      <c r="C1097" s="140">
        <v>2256.0</v>
      </c>
      <c r="D1097" s="57" t="str">
        <f>IF(   ISERROR(OFFSET(PADRON!B$2,MATCH(C:C,PADRON!A$2:A1405,0)-1,0,1,1) )  ,  ,    OFFSET(PADRON!B$2,MATCH(C:C,PADRON!A$2:A1405,0)-1,0,1,1))</f>
        <v>ETCHEVERS, BAUTISTA</v>
      </c>
      <c r="E1097" s="58">
        <v>45839.0</v>
      </c>
      <c r="F1097" s="145">
        <v>45870.0</v>
      </c>
      <c r="G1097" s="59" t="s">
        <v>39</v>
      </c>
      <c r="H1097" s="60">
        <f>IF( ISERROR( OFFSET(   'Cuadro tarifario'!D$2  , MATCH(CONCATENATE(                 IF(F1097&gt;Mes,OFFSET(NroCT!B$17, MATCH($F1097,NroCT!$A$18:$A1405,0),0,1,1),Periodovigente)                                                                                                                     ,A1097) ,'Cuadro tarifario'!A$2:A1405,0) -1 , 0 , 1 , 1) )   , 0  ,   OFFSET(   'Cuadro tarifario'!D$2  , MATCH(CONCATENATE( IF(F1097&gt;Mes,OFFSET(NroCT!B$17, MATCH($F1097,NroCT!$A$18:$A1405,0),0,1,1),Periodovigente) ,A1097) ,'Cuadro tarifario'!A$2:A1405,0) -1 , 0 , 1 , 1))</f>
        <v>10000</v>
      </c>
      <c r="I1097" s="61">
        <f t="shared" si="252"/>
        <v>1</v>
      </c>
      <c r="J1097" s="60">
        <f t="shared" si="305"/>
        <v>10000</v>
      </c>
      <c r="K1097" s="62">
        <f>IF(  AND(N1097&gt;0,I1097=0)          ,N1097 ,                         IF(  IF( F1097 ,  DAYS360(DATE(YEAR(F1097),MONTH(F1097),1),Mes)/30  ,  DAYS360(DATE(YEAR(E1097),MONTH(E1097),1),Mes)/30  )  &gt;  0 , IF(F1097,   DAYS360(DATE(YEAR(F1097),MONTH(F1097),1),Mes)/30  ,  DAYS360(DATE(YEAR(E1097),MONTH(E1097),1),Mes)/30) , 0)       )</f>
        <v>0</v>
      </c>
      <c r="L1097" s="63">
        <f t="shared" si="253"/>
        <v>0</v>
      </c>
      <c r="M1097" s="137"/>
      <c r="N1097" s="97">
        <f>IF( ISERROR(OFFSET(SECUESTRADOS!D$1,MATCH(B1097,SECUESTRADOS!A$2:A1405,0),0)) ,0 ,  OFFSET(SECUESTRADOS!D$1,MATCH(B1097,SECUESTRADOS!A$2:A1405,0),0)  )</f>
        <v>0</v>
      </c>
      <c r="O1097" s="98"/>
      <c r="P1097" s="99" t="str">
        <f t="shared" si="238"/>
        <v>Cadete</v>
      </c>
      <c r="Q1097" s="99" t="str">
        <f t="shared" si="304"/>
        <v>#REF!</v>
      </c>
      <c r="R1097" s="130"/>
      <c r="S1097" s="130"/>
      <c r="T1097" s="130"/>
    </row>
    <row r="1098">
      <c r="A1098" s="18" t="s">
        <v>71</v>
      </c>
      <c r="B1098" s="116">
        <v>2265.0</v>
      </c>
      <c r="C1098" s="140">
        <v>2265.0</v>
      </c>
      <c r="D1098" s="57" t="str">
        <f>IF(   ISERROR(OFFSET(PADRON!B$2,MATCH(C:C,PADRON!A$2:A1405,0)-1,0,1,1) )  ,  ,    OFFSET(PADRON!B$2,MATCH(C:C,PADRON!A$2:A1405,0)-1,0,1,1))</f>
        <v>MASTANDREA, VICTOR</v>
      </c>
      <c r="E1098" s="58">
        <v>45839.0</v>
      </c>
      <c r="F1098" s="145">
        <v>45870.0</v>
      </c>
      <c r="G1098" s="59" t="s">
        <v>39</v>
      </c>
      <c r="H1098" s="60">
        <f>IF( ISERROR( OFFSET(   'Cuadro tarifario'!D$2  , MATCH(CONCATENATE(                 IF(F1098&gt;Mes,OFFSET(NroCT!B$17, MATCH($F1098,NroCT!$A$18:$A1405,0),0,1,1),Periodovigente)                                                                                                                     ,A1098) ,'Cuadro tarifario'!A$2:A1405,0) -1 , 0 , 1 , 1) )   , 0  ,   OFFSET(   'Cuadro tarifario'!D$2  , MATCH(CONCATENATE( IF(F1098&gt;Mes,OFFSET(NroCT!B$17, MATCH($F1098,NroCT!$A$18:$A1405,0),0,1,1),Periodovigente) ,A1098) ,'Cuadro tarifario'!A$2:A1405,0) -1 , 0 , 1 , 1))</f>
        <v>11000</v>
      </c>
      <c r="I1098" s="61">
        <f t="shared" si="252"/>
        <v>1</v>
      </c>
      <c r="J1098" s="60">
        <f t="shared" si="305"/>
        <v>11000</v>
      </c>
      <c r="K1098" s="62">
        <f>IF(  AND(N1098&gt;0,I1098=0)          ,N1098 ,                         IF(  IF( F1098 ,  DAYS360(DATE(YEAR(F1098),MONTH(F1098),1),Mes)/30  ,  DAYS360(DATE(YEAR(E1098),MONTH(E1098),1),Mes)/30  )  &gt;  0 , IF(F1098,   DAYS360(DATE(YEAR(F1098),MONTH(F1098),1),Mes)/30  ,  DAYS360(DATE(YEAR(E1098),MONTH(E1098),1),Mes)/30) , 0)       )</f>
        <v>0</v>
      </c>
      <c r="L1098" s="63">
        <f t="shared" si="253"/>
        <v>0</v>
      </c>
      <c r="M1098" s="162"/>
      <c r="N1098" s="97">
        <f>IF( ISERROR(OFFSET(SECUESTRADOS!D$1,MATCH(B1098,SECUESTRADOS!A$2:A1405,0),0)) ,0 ,  OFFSET(SECUESTRADOS!D$1,MATCH(B1098,SECUESTRADOS!A$2:A1405,0),0)  )</f>
        <v>0</v>
      </c>
      <c r="O1098" s="98"/>
      <c r="P1098" s="99" t="str">
        <f t="shared" si="238"/>
        <v>.socio</v>
      </c>
      <c r="Q1098" s="99" t="str">
        <f t="shared" si="304"/>
        <v>#REF!</v>
      </c>
      <c r="R1098" s="130"/>
      <c r="S1098" s="130"/>
      <c r="T1098" s="130"/>
    </row>
    <row r="1099">
      <c r="A1099" s="18" t="s">
        <v>38</v>
      </c>
      <c r="B1099" s="116">
        <v>2265.0</v>
      </c>
      <c r="C1099" s="140">
        <v>2265.0</v>
      </c>
      <c r="D1099" s="57" t="str">
        <f>IF(   ISERROR(OFFSET(PADRON!B$2,MATCH(C:C,PADRON!A$2:A1405,0)-1,0,1,1) )  ,  ,    OFFSET(PADRON!B$2,MATCH(C:C,PADRON!A$2:A1405,0)-1,0,1,1))</f>
        <v>MASTANDREA, VICTOR</v>
      </c>
      <c r="E1099" s="58">
        <v>45839.0</v>
      </c>
      <c r="F1099" s="145">
        <v>45870.0</v>
      </c>
      <c r="G1099" s="59" t="s">
        <v>39</v>
      </c>
      <c r="H1099" s="60">
        <f>IF( ISERROR( OFFSET(   'Cuadro tarifario'!D$2  , MATCH(CONCATENATE(                 IF(F1099&gt;Mes,OFFSET(NroCT!B$17, MATCH($F1099,NroCT!$A$18:$A1405,0),0,1,1),Periodovigente)                                                                                                                     ,A1099) ,'Cuadro tarifario'!A$2:A1405,0) -1 , 0 , 1 , 1) )   , 0  ,   OFFSET(   'Cuadro tarifario'!D$2  , MATCH(CONCATENATE( IF(F1099&gt;Mes,OFFSET(NroCT!B$17, MATCH($F1099,NroCT!$A$18:$A1405,0),0,1,1),Periodovigente) ,A1099) ,'Cuadro tarifario'!A$2:A1405,0) -1 , 0 , 1 , 1))</f>
        <v>9000</v>
      </c>
      <c r="I1099" s="61">
        <f t="shared" si="252"/>
        <v>1</v>
      </c>
      <c r="J1099" s="60">
        <f t="shared" si="305"/>
        <v>9000</v>
      </c>
      <c r="K1099" s="62">
        <f>IF(  AND(N1099&gt;0,I1099=0)          ,N1099 ,                         IF(  IF( F1099 ,  DAYS360(DATE(YEAR(F1099),MONTH(F1099),1),Mes)/30  ,  DAYS360(DATE(YEAR(E1099),MONTH(E1099),1),Mes)/30  )  &gt;  0 , IF(F1099,   DAYS360(DATE(YEAR(F1099),MONTH(F1099),1),Mes)/30  ,  DAYS360(DATE(YEAR(E1099),MONTH(E1099),1),Mes)/30) , 0)       )</f>
        <v>0</v>
      </c>
      <c r="L1099" s="63">
        <f t="shared" si="253"/>
        <v>0</v>
      </c>
      <c r="M1099" s="162"/>
      <c r="N1099" s="97">
        <f>IF( ISERROR(OFFSET(SECUESTRADOS!D$1,MATCH(B1099,SECUESTRADOS!A$2:A1405,0),0)) ,0 ,  OFFSET(SECUESTRADOS!D$1,MATCH(B1099,SECUESTRADOS!A$2:A1405,0),0)  )</f>
        <v>0</v>
      </c>
      <c r="O1099" s="98"/>
      <c r="P1099" s="99" t="str">
        <f t="shared" si="238"/>
        <v>Bono canon</v>
      </c>
      <c r="Q1099" s="99" t="str">
        <f t="shared" si="304"/>
        <v>#REF!</v>
      </c>
      <c r="R1099" s="130"/>
      <c r="S1099" s="130"/>
      <c r="T1099" s="130"/>
    </row>
    <row r="1100">
      <c r="A1100" s="18" t="s">
        <v>71</v>
      </c>
      <c r="B1100" s="116">
        <v>2268.0</v>
      </c>
      <c r="C1100" s="140">
        <v>2268.0</v>
      </c>
      <c r="D1100" s="57" t="str">
        <f>IF(   ISERROR(OFFSET(PADRON!B$2,MATCH(C:C,PADRON!A$2:A1405,0)-1,0,1,1) )  ,  ,    OFFSET(PADRON!B$2,MATCH(C:C,PADRON!A$2:A1405,0)-1,0,1,1))</f>
        <v>LOPEZ VASEK, FERNANDO</v>
      </c>
      <c r="E1100" s="58">
        <v>45658.0</v>
      </c>
      <c r="F1100" s="145"/>
      <c r="G1100" s="128" t="s">
        <v>39</v>
      </c>
      <c r="H1100" s="60">
        <f>IF( ISERROR( OFFSET(   'Cuadro tarifario'!D$2  , MATCH(CONCATENATE(                 IF(F1100&gt;Mes,OFFSET(NroCT!B$17, MATCH($F1100,NroCT!$A$18:$A1405,0),0,1,1),Periodovigente)                                                                                                                     ,A1100) ,'Cuadro tarifario'!A$2:A1405,0) -1 , 0 , 1 , 1) )   , 0  ,   OFFSET(   'Cuadro tarifario'!D$2  , MATCH(CONCATENATE( IF(F1100&gt;Mes,OFFSET(NroCT!B$17, MATCH($F1100,NroCT!$A$18:$A1405,0),0,1,1),Periodovigente) ,A1100) ,'Cuadro tarifario'!A$2:A1405,0) -1 , 0 , 1 , 1))</f>
        <v>11000</v>
      </c>
      <c r="I1100" s="61">
        <f t="shared" si="252"/>
        <v>0</v>
      </c>
      <c r="J1100" s="60">
        <f t="shared" si="305"/>
        <v>0</v>
      </c>
      <c r="K1100" s="62">
        <f>IF(  AND(N1100&gt;0,I1100=0)          ,N1100 ,                         IF(  IF( F1100 ,  DAYS360(DATE(YEAR(F1100),MONTH(F1100),1),Mes)/30  ,  DAYS360(DATE(YEAR(E1100),MONTH(E1100),1),Mes)/30  )  &gt;  0 , IF(F1100,   DAYS360(DATE(YEAR(F1100),MONTH(F1100),1),Mes)/30  ,  DAYS360(DATE(YEAR(E1100),MONTH(E1100),1),Mes)/30) , 0)       )</f>
        <v>7</v>
      </c>
      <c r="L1100" s="63">
        <f t="shared" si="253"/>
        <v>77000</v>
      </c>
      <c r="M1100" s="162"/>
      <c r="N1100" s="97">
        <f>IF( ISERROR(OFFSET(SECUESTRADOS!D$1,MATCH(B1100,SECUESTRADOS!A$2:A1405,0),0)) ,0 ,  OFFSET(SECUESTRADOS!D$1,MATCH(B1100,SECUESTRADOS!A$2:A1405,0),0)  )</f>
        <v>0</v>
      </c>
      <c r="O1100" s="98"/>
      <c r="P1100" s="99" t="b">
        <f t="shared" si="238"/>
        <v>0</v>
      </c>
      <c r="Q1100" s="99" t="str">
        <f t="shared" si="304"/>
        <v>#REF!</v>
      </c>
      <c r="R1100" s="130"/>
      <c r="S1100" s="130"/>
      <c r="T1100" s="130"/>
    </row>
    <row r="1101">
      <c r="A1101" s="18" t="s">
        <v>38</v>
      </c>
      <c r="B1101" s="116">
        <v>2268.0</v>
      </c>
      <c r="C1101" s="140">
        <v>2268.0</v>
      </c>
      <c r="D1101" s="57" t="str">
        <f>IF(   ISERROR(OFFSET(PADRON!B$2,MATCH(C:C,PADRON!A$2:A1405,0)-1,0,1,1) )  ,  ,    OFFSET(PADRON!B$2,MATCH(C:C,PADRON!A$2:A1405,0)-1,0,1,1))</f>
        <v>LOPEZ VASEK, FERNANDO</v>
      </c>
      <c r="E1101" s="58">
        <v>45658.0</v>
      </c>
      <c r="F1101" s="145"/>
      <c r="G1101" s="59" t="s">
        <v>39</v>
      </c>
      <c r="H1101" s="60">
        <f>IF( ISERROR( OFFSET(   'Cuadro tarifario'!D$2  , MATCH(CONCATENATE(                 IF(F1101&gt;Mes,OFFSET(NroCT!B$17, MATCH($F1101,NroCT!$A$18:$A1405,0),0,1,1),Periodovigente)                                                                                                                     ,A1101) ,'Cuadro tarifario'!A$2:A1405,0) -1 , 0 , 1 , 1) )   , 0  ,   OFFSET(   'Cuadro tarifario'!D$2  , MATCH(CONCATENATE( IF(F1101&gt;Mes,OFFSET(NroCT!B$17, MATCH($F1101,NroCT!$A$18:$A1405,0),0,1,1),Periodovigente) ,A1101) ,'Cuadro tarifario'!A$2:A1405,0) -1 , 0 , 1 , 1))</f>
        <v>9000</v>
      </c>
      <c r="I1101" s="61">
        <f t="shared" si="252"/>
        <v>0</v>
      </c>
      <c r="J1101" s="60">
        <f t="shared" si="305"/>
        <v>0</v>
      </c>
      <c r="K1101" s="62">
        <f>IF(  AND(N1101&gt;0,I1101=0)          ,N1101 ,                         IF(  IF( F1101 ,  DAYS360(DATE(YEAR(F1101),MONTH(F1101),1),Mes)/30  ,  DAYS360(DATE(YEAR(E1101),MONTH(E1101),1),Mes)/30  )  &gt;  0 , IF(F1101,   DAYS360(DATE(YEAR(F1101),MONTH(F1101),1),Mes)/30  ,  DAYS360(DATE(YEAR(E1101),MONTH(E1101),1),Mes)/30) , 0)       )</f>
        <v>7</v>
      </c>
      <c r="L1101" s="63">
        <f t="shared" si="253"/>
        <v>63000</v>
      </c>
      <c r="M1101" s="162"/>
      <c r="N1101" s="97">
        <f>IF( ISERROR(OFFSET(SECUESTRADOS!D$1,MATCH(B1101,SECUESTRADOS!A$2:A1405,0),0)) ,0 ,  OFFSET(SECUESTRADOS!D$1,MATCH(B1101,SECUESTRADOS!A$2:A1405,0),0)  )</f>
        <v>0</v>
      </c>
      <c r="O1101" s="98"/>
      <c r="P1101" s="99" t="b">
        <f t="shared" si="238"/>
        <v>0</v>
      </c>
      <c r="Q1101" s="99" t="str">
        <f t="shared" si="304"/>
        <v>#REF!</v>
      </c>
      <c r="R1101" s="130"/>
      <c r="S1101" s="130"/>
      <c r="T1101" s="130"/>
    </row>
    <row r="1102">
      <c r="A1102" s="18" t="s">
        <v>71</v>
      </c>
      <c r="B1102" s="116">
        <v>2270.0</v>
      </c>
      <c r="C1102" s="140">
        <v>2270.0</v>
      </c>
      <c r="D1102" s="57" t="str">
        <f>IF(   ISERROR(OFFSET(PADRON!B$2,MATCH(C:C,PADRON!A$2:A1405,0)-1,0,1,1) )  ,  ,    OFFSET(PADRON!B$2,MATCH(C:C,PADRON!A$2:A1405,0)-1,0,1,1))</f>
        <v>OTHAZ, LORENA</v>
      </c>
      <c r="E1102" s="58">
        <v>45839.0</v>
      </c>
      <c r="F1102" s="145">
        <v>45870.0</v>
      </c>
      <c r="G1102" s="59" t="s">
        <v>39</v>
      </c>
      <c r="H1102" s="60">
        <f>IF( ISERROR( OFFSET(   'Cuadro tarifario'!D$2  , MATCH(CONCATENATE(                 IF(F1102&gt;Mes,OFFSET(NroCT!B$17, MATCH($F1102,NroCT!$A$18:$A1405,0),0,1,1),Periodovigente)                                                                                                                     ,A1102) ,'Cuadro tarifario'!A$2:A1405,0) -1 , 0 , 1 , 1) )   , 0  ,   OFFSET(   'Cuadro tarifario'!D$2  , MATCH(CONCATENATE( IF(F1102&gt;Mes,OFFSET(NroCT!B$17, MATCH($F1102,NroCT!$A$18:$A1405,0),0,1,1),Periodovigente) ,A1102) ,'Cuadro tarifario'!A$2:A1405,0) -1 , 0 , 1 , 1))</f>
        <v>11000</v>
      </c>
      <c r="I1102" s="61">
        <f t="shared" si="252"/>
        <v>1</v>
      </c>
      <c r="J1102" s="60">
        <f t="shared" si="305"/>
        <v>11000</v>
      </c>
      <c r="K1102" s="62">
        <f>IF(  AND(N1102&gt;0,I1102=0)          ,N1102 ,                         IF(  IF( F1102 ,  DAYS360(DATE(YEAR(F1102),MONTH(F1102),1),Mes)/30  ,  DAYS360(DATE(YEAR(E1102),MONTH(E1102),1),Mes)/30  )  &gt;  0 , IF(F1102,   DAYS360(DATE(YEAR(F1102),MONTH(F1102),1),Mes)/30  ,  DAYS360(DATE(YEAR(E1102),MONTH(E1102),1),Mes)/30) , 0)       )</f>
        <v>0</v>
      </c>
      <c r="L1102" s="63">
        <f t="shared" si="253"/>
        <v>0</v>
      </c>
      <c r="M1102" s="162"/>
      <c r="N1102" s="97">
        <f>IF( ISERROR(OFFSET(SECUESTRADOS!D$1,MATCH(B1102,SECUESTRADOS!A$2:A1405,0),0)) ,0 ,  OFFSET(SECUESTRADOS!D$1,MATCH(B1102,SECUESTRADOS!A$2:A1405,0),0)  )</f>
        <v>0</v>
      </c>
      <c r="O1102" s="98"/>
      <c r="P1102" s="99" t="str">
        <f t="shared" si="238"/>
        <v>.socio</v>
      </c>
      <c r="Q1102" s="99" t="str">
        <f t="shared" si="304"/>
        <v>#REF!</v>
      </c>
      <c r="R1102" s="130"/>
      <c r="S1102" s="130"/>
      <c r="T1102" s="130"/>
    </row>
    <row r="1103">
      <c r="A1103" s="18" t="s">
        <v>38</v>
      </c>
      <c r="B1103" s="116">
        <v>2270.0</v>
      </c>
      <c r="C1103" s="140">
        <v>2270.0</v>
      </c>
      <c r="D1103" s="57" t="str">
        <f>IF(   ISERROR(OFFSET(PADRON!B$2,MATCH(C:C,PADRON!A$2:A1405,0)-1,0,1,1) )  ,  ,    OFFSET(PADRON!B$2,MATCH(C:C,PADRON!A$2:A1405,0)-1,0,1,1))</f>
        <v>OTHAZ, LORENA</v>
      </c>
      <c r="E1103" s="58">
        <v>45839.0</v>
      </c>
      <c r="F1103" s="145">
        <v>45870.0</v>
      </c>
      <c r="G1103" s="59" t="s">
        <v>39</v>
      </c>
      <c r="H1103" s="60">
        <f>IF( ISERROR( OFFSET(   'Cuadro tarifario'!D$2  , MATCH(CONCATENATE(                 IF(F1103&gt;Mes,OFFSET(NroCT!B$17, MATCH($F1103,NroCT!$A$18:$A1405,0),0,1,1),Periodovigente)                                                                                                                     ,A1103) ,'Cuadro tarifario'!A$2:A1405,0) -1 , 0 , 1 , 1) )   , 0  ,   OFFSET(   'Cuadro tarifario'!D$2  , MATCH(CONCATENATE( IF(F1103&gt;Mes,OFFSET(NroCT!B$17, MATCH($F1103,NroCT!$A$18:$A1405,0),0,1,1),Periodovigente) ,A1103) ,'Cuadro tarifario'!A$2:A1405,0) -1 , 0 , 1 , 1))</f>
        <v>9000</v>
      </c>
      <c r="I1103" s="61">
        <f t="shared" si="252"/>
        <v>1</v>
      </c>
      <c r="J1103" s="60">
        <f t="shared" si="305"/>
        <v>9000</v>
      </c>
      <c r="K1103" s="62">
        <f>IF(  AND(N1103&gt;0,I1103=0)          ,N1103 ,                         IF(  IF( F1103 ,  DAYS360(DATE(YEAR(F1103),MONTH(F1103),1),Mes)/30  ,  DAYS360(DATE(YEAR(E1103),MONTH(E1103),1),Mes)/30  )  &gt;  0 , IF(F1103,   DAYS360(DATE(YEAR(F1103),MONTH(F1103),1),Mes)/30  ,  DAYS360(DATE(YEAR(E1103),MONTH(E1103),1),Mes)/30) , 0)       )</f>
        <v>0</v>
      </c>
      <c r="L1103" s="63">
        <f t="shared" si="253"/>
        <v>0</v>
      </c>
      <c r="M1103" s="162" t="s">
        <v>312</v>
      </c>
      <c r="N1103" s="97">
        <f>IF( ISERROR(OFFSET(SECUESTRADOS!D$1,MATCH(B1103,SECUESTRADOS!A$2:A1405,0),0)) ,0 ,  OFFSET(SECUESTRADOS!D$1,MATCH(B1103,SECUESTRADOS!A$2:A1405,0),0)  )</f>
        <v>0</v>
      </c>
      <c r="O1103" s="98"/>
      <c r="P1103" s="99" t="str">
        <f t="shared" si="238"/>
        <v>Bono canon</v>
      </c>
      <c r="Q1103" s="99" t="str">
        <f t="shared" si="304"/>
        <v>#REF!</v>
      </c>
      <c r="R1103" s="130"/>
      <c r="S1103" s="130"/>
      <c r="T1103" s="130"/>
    </row>
    <row r="1104">
      <c r="A1104" s="18" t="s">
        <v>48</v>
      </c>
      <c r="B1104" s="116" t="s">
        <v>448</v>
      </c>
      <c r="C1104" s="140">
        <v>2270.0</v>
      </c>
      <c r="D1104" s="57" t="str">
        <f>IF(   ISERROR(OFFSET(PADRON!B$2,MATCH(C:C,PADRON!A$2:A1405,0)-1,0,1,1) )  ,  ,    OFFSET(PADRON!B$2,MATCH(C:C,PADRON!A$2:A1405,0)-1,0,1,1))</f>
        <v>OTHAZ, LORENA</v>
      </c>
      <c r="E1104" s="58">
        <v>45839.0</v>
      </c>
      <c r="F1104" s="145">
        <v>45870.0</v>
      </c>
      <c r="G1104" s="59" t="s">
        <v>39</v>
      </c>
      <c r="H1104" s="60">
        <f>IF( ISERROR( OFFSET(   'Cuadro tarifario'!D$2  , MATCH(CONCATENATE(                 IF(F1104&gt;Mes,OFFSET(NroCT!B$17, MATCH($F1104,NroCT!$A$18:$A1405,0),0,1,1),Periodovigente)                                                                                                                     ,A1104) ,'Cuadro tarifario'!A$2:A1405,0) -1 , 0 , 1 , 1) )   , 0  ,   OFFSET(   'Cuadro tarifario'!D$2  , MATCH(CONCATENATE( IF(F1104&gt;Mes,OFFSET(NroCT!B$17, MATCH($F1104,NroCT!$A$18:$A1405,0),0,1,1),Periodovigente) ,A1104) ,'Cuadro tarifario'!A$2:A1405,0) -1 , 0 , 1 , 1))</f>
        <v>12000</v>
      </c>
      <c r="I1104" s="61">
        <f t="shared" si="252"/>
        <v>1</v>
      </c>
      <c r="J1104" s="60">
        <f t="shared" si="305"/>
        <v>12000</v>
      </c>
      <c r="K1104" s="62">
        <f>IF(  AND(N1104&gt;0,I1104=0)          ,N1104 ,                         IF(  IF( F1104 ,  DAYS360(DATE(YEAR(F1104),MONTH(F1104),1),Mes)/30  ,  DAYS360(DATE(YEAR(E1104),MONTH(E1104),1),Mes)/30  )  &gt;  0 , IF(F1104,   DAYS360(DATE(YEAR(F1104),MONTH(F1104),1),Mes)/30  ,  DAYS360(DATE(YEAR(E1104),MONTH(E1104),1),Mes)/30) , 0)       )</f>
        <v>0</v>
      </c>
      <c r="L1104" s="63">
        <f t="shared" si="253"/>
        <v>0</v>
      </c>
      <c r="M1104" s="162" t="s">
        <v>312</v>
      </c>
      <c r="N1104" s="97">
        <f>IF( ISERROR(OFFSET(SECUESTRADOS!D$1,MATCH(B1104,SECUESTRADOS!A$2:A1405,0),0)) ,0 ,  OFFSET(SECUESTRADOS!D$1,MATCH(B1104,SECUESTRADOS!A$2:A1405,0),0)  )</f>
        <v>0</v>
      </c>
      <c r="O1104" s="98"/>
      <c r="P1104" s="99" t="str">
        <f t="shared" si="238"/>
        <v>velero</v>
      </c>
      <c r="Q1104" s="99" t="str">
        <f t="shared" si="304"/>
        <v>#REF!</v>
      </c>
      <c r="R1104" s="130"/>
      <c r="S1104" s="130"/>
      <c r="T1104" s="130"/>
    </row>
    <row r="1105">
      <c r="A1105" s="18" t="s">
        <v>71</v>
      </c>
      <c r="B1105" s="116">
        <v>2274.0</v>
      </c>
      <c r="C1105" s="140">
        <v>2274.0</v>
      </c>
      <c r="D1105" s="57" t="str">
        <f>IF(   ISERROR(OFFSET(PADRON!B$2,MATCH(C:C,PADRON!A$2:A1405,0)-1,0,1,1) )  ,  ,    OFFSET(PADRON!B$2,MATCH(C:C,PADRON!A$2:A1405,0)-1,0,1,1))</f>
        <v>BLANCOREGOJO, MARIANO</v>
      </c>
      <c r="E1105" s="58">
        <v>45839.0</v>
      </c>
      <c r="F1105" s="145">
        <v>45870.0</v>
      </c>
      <c r="G1105" s="59" t="s">
        <v>39</v>
      </c>
      <c r="H1105" s="60">
        <f>IF( ISERROR( OFFSET(   'Cuadro tarifario'!D$2  , MATCH(CONCATENATE(                 IF(F1105&gt;Mes,OFFSET(NroCT!B$17, MATCH($F1105,NroCT!$A$18:$A1405,0),0,1,1),Periodovigente)                                                                                                                     ,A1105) ,'Cuadro tarifario'!A$2:A1405,0) -1 , 0 , 1 , 1) )   , 0  ,   OFFSET(   'Cuadro tarifario'!D$2  , MATCH(CONCATENATE( IF(F1105&gt;Mes,OFFSET(NroCT!B$17, MATCH($F1105,NroCT!$A$18:$A1405,0),0,1,1),Periodovigente) ,A1105) ,'Cuadro tarifario'!A$2:A1405,0) -1 , 0 , 1 , 1))</f>
        <v>11000</v>
      </c>
      <c r="I1105" s="61">
        <f t="shared" si="252"/>
        <v>1</v>
      </c>
      <c r="J1105" s="60">
        <f t="shared" si="305"/>
        <v>11000</v>
      </c>
      <c r="K1105" s="62">
        <f>IF(  AND(N1105&gt;0,I1105=0)          ,N1105 ,                         IF(  IF( F1105 ,  DAYS360(DATE(YEAR(F1105),MONTH(F1105),1),Mes)/30  ,  DAYS360(DATE(YEAR(E1105),MONTH(E1105),1),Mes)/30  )  &gt;  0 , IF(F1105,   DAYS360(DATE(YEAR(F1105),MONTH(F1105),1),Mes)/30  ,  DAYS360(DATE(YEAR(E1105),MONTH(E1105),1),Mes)/30) , 0)       )</f>
        <v>0</v>
      </c>
      <c r="L1105" s="63">
        <f t="shared" si="253"/>
        <v>0</v>
      </c>
      <c r="M1105" s="162"/>
      <c r="N1105" s="97">
        <f>IF( ISERROR(OFFSET(SECUESTRADOS!D$1,MATCH(B1105,SECUESTRADOS!A$2:A1405,0),0)) ,0 ,  OFFSET(SECUESTRADOS!D$1,MATCH(B1105,SECUESTRADOS!A$2:A1405,0),0)  )</f>
        <v>0</v>
      </c>
      <c r="O1105" s="98"/>
      <c r="P1105" s="99" t="str">
        <f t="shared" si="238"/>
        <v>.socio</v>
      </c>
      <c r="Q1105" s="99" t="str">
        <f t="shared" si="304"/>
        <v>#REF!</v>
      </c>
      <c r="R1105" s="130"/>
      <c r="S1105" s="130"/>
      <c r="T1105" s="130"/>
    </row>
    <row r="1106">
      <c r="A1106" s="18" t="s">
        <v>38</v>
      </c>
      <c r="B1106" s="116">
        <v>2274.0</v>
      </c>
      <c r="C1106" s="140">
        <v>2274.0</v>
      </c>
      <c r="D1106" s="57" t="str">
        <f>IF(   ISERROR(OFFSET(PADRON!B$2,MATCH(C:C,PADRON!A$2:A1405,0)-1,0,1,1) )  ,  ,    OFFSET(PADRON!B$2,MATCH(C:C,PADRON!A$2:A1405,0)-1,0,1,1))</f>
        <v>BLANCOREGOJO, MARIANO</v>
      </c>
      <c r="E1106" s="58">
        <v>45839.0</v>
      </c>
      <c r="F1106" s="145">
        <v>45870.0</v>
      </c>
      <c r="G1106" s="59" t="s">
        <v>39</v>
      </c>
      <c r="H1106" s="60">
        <f>IF( ISERROR( OFFSET(   'Cuadro tarifario'!D$2  , MATCH(CONCATENATE(                 IF(F1106&gt;Mes,OFFSET(NroCT!B$17, MATCH($F1106,NroCT!$A$18:$A1405,0),0,1,1),Periodovigente)                                                                                                                     ,A1106) ,'Cuadro tarifario'!A$2:A1405,0) -1 , 0 , 1 , 1) )   , 0  ,   OFFSET(   'Cuadro tarifario'!D$2  , MATCH(CONCATENATE( IF(F1106&gt;Mes,OFFSET(NroCT!B$17, MATCH($F1106,NroCT!$A$18:$A1405,0),0,1,1),Periodovigente) ,A1106) ,'Cuadro tarifario'!A$2:A1405,0) -1 , 0 , 1 , 1))</f>
        <v>9000</v>
      </c>
      <c r="I1106" s="61">
        <f t="shared" si="252"/>
        <v>1</v>
      </c>
      <c r="J1106" s="60">
        <f t="shared" si="305"/>
        <v>9000</v>
      </c>
      <c r="K1106" s="62">
        <f>IF(  AND(N1106&gt;0,I1106=0)          ,N1106 ,                         IF(  IF( F1106 ,  DAYS360(DATE(YEAR(F1106),MONTH(F1106),1),Mes)/30  ,  DAYS360(DATE(YEAR(E1106),MONTH(E1106),1),Mes)/30  )  &gt;  0 , IF(F1106,   DAYS360(DATE(YEAR(F1106),MONTH(F1106),1),Mes)/30  ,  DAYS360(DATE(YEAR(E1106),MONTH(E1106),1),Mes)/30) , 0)       )</f>
        <v>0</v>
      </c>
      <c r="L1106" s="63">
        <f t="shared" si="253"/>
        <v>0</v>
      </c>
      <c r="M1106" s="162"/>
      <c r="N1106" s="97">
        <f>IF( ISERROR(OFFSET(SECUESTRADOS!D$1,MATCH(B1106,SECUESTRADOS!A$2:A1405,0),0)) ,0 ,  OFFSET(SECUESTRADOS!D$1,MATCH(B1106,SECUESTRADOS!A$2:A1405,0),0)  )</f>
        <v>0</v>
      </c>
      <c r="O1106" s="98"/>
      <c r="P1106" s="99" t="str">
        <f t="shared" si="238"/>
        <v>Bono canon</v>
      </c>
      <c r="Q1106" s="99" t="str">
        <f t="shared" si="304"/>
        <v>#REF!</v>
      </c>
      <c r="R1106" s="130"/>
      <c r="S1106" s="130"/>
      <c r="T1106" s="130"/>
    </row>
    <row r="1107">
      <c r="A1107" s="18" t="s">
        <v>71</v>
      </c>
      <c r="B1107" s="116">
        <v>2275.0</v>
      </c>
      <c r="C1107" s="140">
        <v>2275.0</v>
      </c>
      <c r="D1107" s="57" t="str">
        <f>IF(   ISERROR(OFFSET(PADRON!B$2,MATCH(C:C,PADRON!A$2:A1405,0)-1,0,1,1) )  ,  ,    OFFSET(PADRON!B$2,MATCH(C:C,PADRON!A$2:A1405,0)-1,0,1,1))</f>
        <v>TORRES, JULIA</v>
      </c>
      <c r="E1107" s="58">
        <v>45839.0</v>
      </c>
      <c r="F1107" s="145">
        <v>45870.0</v>
      </c>
      <c r="G1107" s="59" t="s">
        <v>39</v>
      </c>
      <c r="H1107" s="60">
        <f>IF( ISERROR( OFFSET(   'Cuadro tarifario'!D$2  , MATCH(CONCATENATE(                 IF(F1107&gt;Mes,OFFSET(NroCT!B$17, MATCH($F1107,NroCT!$A$18:$A1405,0),0,1,1),Periodovigente)                                                                                                                     ,A1107) ,'Cuadro tarifario'!A$2:A1405,0) -1 , 0 , 1 , 1) )   , 0  ,   OFFSET(   'Cuadro tarifario'!D$2  , MATCH(CONCATENATE( IF(F1107&gt;Mes,OFFSET(NroCT!B$17, MATCH($F1107,NroCT!$A$18:$A1405,0),0,1,1),Periodovigente) ,A1107) ,'Cuadro tarifario'!A$2:A1405,0) -1 , 0 , 1 , 1))</f>
        <v>11000</v>
      </c>
      <c r="I1107" s="61">
        <f t="shared" si="252"/>
        <v>1</v>
      </c>
      <c r="J1107" s="60">
        <f t="shared" si="305"/>
        <v>11000</v>
      </c>
      <c r="K1107" s="62">
        <f>IF(  AND(N1107&gt;0,I1107=0)          ,N1107 ,                         IF(  IF( F1107 ,  DAYS360(DATE(YEAR(F1107),MONTH(F1107),1),Mes)/30  ,  DAYS360(DATE(YEAR(E1107),MONTH(E1107),1),Mes)/30  )  &gt;  0 , IF(F1107,   DAYS360(DATE(YEAR(F1107),MONTH(F1107),1),Mes)/30  ,  DAYS360(DATE(YEAR(E1107),MONTH(E1107),1),Mes)/30) , 0)       )</f>
        <v>0</v>
      </c>
      <c r="L1107" s="63">
        <f t="shared" si="253"/>
        <v>0</v>
      </c>
      <c r="M1107" s="162"/>
      <c r="N1107" s="97">
        <f>IF( ISERROR(OFFSET(SECUESTRADOS!D$1,MATCH(B1107,SECUESTRADOS!A$2:A1405,0),0)) ,0 ,  OFFSET(SECUESTRADOS!D$1,MATCH(B1107,SECUESTRADOS!A$2:A1405,0),0)  )</f>
        <v>0</v>
      </c>
      <c r="O1107" s="98"/>
      <c r="P1107" s="99" t="str">
        <f t="shared" si="238"/>
        <v>.socio</v>
      </c>
      <c r="Q1107" s="99" t="str">
        <f t="shared" si="304"/>
        <v>#REF!</v>
      </c>
      <c r="R1107" s="130"/>
      <c r="S1107" s="130"/>
      <c r="T1107" s="130"/>
    </row>
    <row r="1108">
      <c r="A1108" s="18" t="s">
        <v>38</v>
      </c>
      <c r="B1108" s="116">
        <v>2275.0</v>
      </c>
      <c r="C1108" s="140">
        <v>2275.0</v>
      </c>
      <c r="D1108" s="57" t="str">
        <f>IF(   ISERROR(OFFSET(PADRON!B$2,MATCH(C:C,PADRON!A$2:A1405,0)-1,0,1,1) )  ,  ,    OFFSET(PADRON!B$2,MATCH(C:C,PADRON!A$2:A1405,0)-1,0,1,1))</f>
        <v>TORRES, JULIA</v>
      </c>
      <c r="E1108" s="58">
        <v>45839.0</v>
      </c>
      <c r="F1108" s="145">
        <v>45870.0</v>
      </c>
      <c r="G1108" s="59" t="s">
        <v>39</v>
      </c>
      <c r="H1108" s="60">
        <f>IF( ISERROR( OFFSET(   'Cuadro tarifario'!D$2  , MATCH(CONCATENATE(                 IF(F1108&gt;Mes,OFFSET(NroCT!B$17, MATCH($F1108,NroCT!$A$18:$A1405,0),0,1,1),Periodovigente)                                                                                                                     ,A1108) ,'Cuadro tarifario'!A$2:A1405,0) -1 , 0 , 1 , 1) )   , 0  ,   OFFSET(   'Cuadro tarifario'!D$2  , MATCH(CONCATENATE( IF(F1108&gt;Mes,OFFSET(NroCT!B$17, MATCH($F1108,NroCT!$A$18:$A1405,0),0,1,1),Periodovigente) ,A1108) ,'Cuadro tarifario'!A$2:A1405,0) -1 , 0 , 1 , 1))</f>
        <v>9000</v>
      </c>
      <c r="I1108" s="61">
        <f t="shared" si="252"/>
        <v>1</v>
      </c>
      <c r="J1108" s="60">
        <f t="shared" si="305"/>
        <v>9000</v>
      </c>
      <c r="K1108" s="62">
        <f>IF(  AND(N1108&gt;0,I1108=0)          ,N1108 ,                         IF(  IF( F1108 ,  DAYS360(DATE(YEAR(F1108),MONTH(F1108),1),Mes)/30  ,  DAYS360(DATE(YEAR(E1108),MONTH(E1108),1),Mes)/30  )  &gt;  0 , IF(F1108,   DAYS360(DATE(YEAR(F1108),MONTH(F1108),1),Mes)/30  ,  DAYS360(DATE(YEAR(E1108),MONTH(E1108),1),Mes)/30) , 0)       )</f>
        <v>0</v>
      </c>
      <c r="L1108" s="63">
        <f t="shared" si="253"/>
        <v>0</v>
      </c>
      <c r="M1108" s="162"/>
      <c r="N1108" s="97">
        <f>IF( ISERROR(OFFSET(SECUESTRADOS!D$1,MATCH(B1108,SECUESTRADOS!A$2:A1405,0),0)) ,0 ,  OFFSET(SECUESTRADOS!D$1,MATCH(B1108,SECUESTRADOS!A$2:A1405,0),0)  )</f>
        <v>0</v>
      </c>
      <c r="O1108" s="98"/>
      <c r="P1108" s="99" t="str">
        <f t="shared" si="238"/>
        <v>Bono canon</v>
      </c>
      <c r="Q1108" s="99" t="str">
        <f t="shared" si="304"/>
        <v>#REF!</v>
      </c>
      <c r="R1108" s="130"/>
      <c r="S1108" s="130"/>
      <c r="T1108" s="130"/>
    </row>
    <row r="1109">
      <c r="A1109" s="18" t="s">
        <v>40</v>
      </c>
      <c r="B1109" s="116" t="s">
        <v>449</v>
      </c>
      <c r="C1109" s="140">
        <v>2275.0</v>
      </c>
      <c r="D1109" s="57" t="str">
        <f>IF(   ISERROR(OFFSET(PADRON!B$2,MATCH(C:C,PADRON!A$2:A1405,0)-1,0,1,1) )  ,  ,    OFFSET(PADRON!B$2,MATCH(C:C,PADRON!A$2:A1405,0)-1,0,1,1))</f>
        <v>TORRES, JULIA</v>
      </c>
      <c r="E1109" s="58">
        <v>45839.0</v>
      </c>
      <c r="F1109" s="145">
        <v>45870.0</v>
      </c>
      <c r="G1109" s="59" t="s">
        <v>39</v>
      </c>
      <c r="H1109" s="60">
        <f>IF( ISERROR( OFFSET(   'Cuadro tarifario'!D$2  , MATCH(CONCATENATE(                 IF(F1109&gt;Mes,OFFSET(NroCT!B$17, MATCH($F1109,NroCT!$A$18:$A1405,0),0,1,1),Periodovigente)                                                                                                                     ,A1109) ,'Cuadro tarifario'!A$2:A1405,0) -1 , 0 , 1 , 1) )   , 0  ,   OFFSET(   'Cuadro tarifario'!D$2  , MATCH(CONCATENATE( IF(F1109&gt;Mes,OFFSET(NroCT!B$17, MATCH($F1109,NroCT!$A$18:$A1405,0),0,1,1),Periodovigente) ,A1109) ,'Cuadro tarifario'!A$2:A1405,0) -1 , 0 , 1 , 1))</f>
        <v>12000</v>
      </c>
      <c r="I1109" s="61">
        <f t="shared" si="252"/>
        <v>1</v>
      </c>
      <c r="J1109" s="60">
        <f t="shared" si="305"/>
        <v>12000</v>
      </c>
      <c r="K1109" s="62">
        <f>IF(  AND(N1109&gt;0,I1109=0)          ,N1109 ,                         IF(  IF( F1109 ,  DAYS360(DATE(YEAR(F1109),MONTH(F1109),1),Mes)/30  ,  DAYS360(DATE(YEAR(E1109),MONTH(E1109),1),Mes)/30  )  &gt;  0 , IF(F1109,   DAYS360(DATE(YEAR(F1109),MONTH(F1109),1),Mes)/30  ,  DAYS360(DATE(YEAR(E1109),MONTH(E1109),1),Mes)/30) , 0)       )</f>
        <v>0</v>
      </c>
      <c r="L1109" s="63">
        <f t="shared" si="253"/>
        <v>0</v>
      </c>
      <c r="M1109" s="162"/>
      <c r="N1109" s="97">
        <f>IF( ISERROR(OFFSET(SECUESTRADOS!D$1,MATCH(B1109,SECUESTRADOS!A$2:A1405,0),0)) ,0 ,  OFFSET(SECUESTRADOS!D$1,MATCH(B1109,SECUESTRADOS!A$2:A1405,0),0)  )</f>
        <v>0</v>
      </c>
      <c r="O1109" s="98"/>
      <c r="P1109" s="99" t="str">
        <f t="shared" si="238"/>
        <v>cuna windsurf</v>
      </c>
      <c r="Q1109" s="99" t="str">
        <f t="shared" si="304"/>
        <v>#REF!</v>
      </c>
      <c r="R1109" s="130"/>
      <c r="S1109" s="130"/>
      <c r="T1109" s="130"/>
    </row>
    <row r="1110">
      <c r="A1110" s="18" t="s">
        <v>71</v>
      </c>
      <c r="B1110" s="116">
        <v>2276.0</v>
      </c>
      <c r="C1110" s="140">
        <v>2276.0</v>
      </c>
      <c r="D1110" s="57" t="str">
        <f>IF(   ISERROR(OFFSET(PADRON!B$2,MATCH(C:C,PADRON!A$2:A1405,0)-1,0,1,1) )  ,  ,    OFFSET(PADRON!B$2,MATCH(C:C,PADRON!A$2:A1405,0)-1,0,1,1))</f>
        <v>PACOTTI, CAROLINA</v>
      </c>
      <c r="E1110" s="58">
        <v>45839.0</v>
      </c>
      <c r="F1110" s="145">
        <v>45870.0</v>
      </c>
      <c r="G1110" s="59" t="s">
        <v>39</v>
      </c>
      <c r="H1110" s="60">
        <f>IF( ISERROR( OFFSET(   'Cuadro tarifario'!D$2  , MATCH(CONCATENATE(                 IF(F1110&gt;Mes,OFFSET(NroCT!B$17, MATCH($F1110,NroCT!$A$18:$A1405,0),0,1,1),Periodovigente)                                                                                                                     ,A1110) ,'Cuadro tarifario'!A$2:A1405,0) -1 , 0 , 1 , 1) )   , 0  ,   OFFSET(   'Cuadro tarifario'!D$2  , MATCH(CONCATENATE( IF(F1110&gt;Mes,OFFSET(NroCT!B$17, MATCH($F1110,NroCT!$A$18:$A1405,0),0,1,1),Periodovigente) ,A1110) ,'Cuadro tarifario'!A$2:A1405,0) -1 , 0 , 1 , 1))</f>
        <v>11000</v>
      </c>
      <c r="I1110" s="61">
        <f t="shared" si="252"/>
        <v>1</v>
      </c>
      <c r="J1110" s="60">
        <f t="shared" si="305"/>
        <v>11000</v>
      </c>
      <c r="K1110" s="62">
        <f>IF(  AND(N1110&gt;0,I1110=0)          ,N1110 ,                         IF(  IF( F1110 ,  DAYS360(DATE(YEAR(F1110),MONTH(F1110),1),Mes)/30  ,  DAYS360(DATE(YEAR(E1110),MONTH(E1110),1),Mes)/30  )  &gt;  0 , IF(F1110,   DAYS360(DATE(YEAR(F1110),MONTH(F1110),1),Mes)/30  ,  DAYS360(DATE(YEAR(E1110),MONTH(E1110),1),Mes)/30) , 0)       )</f>
        <v>0</v>
      </c>
      <c r="L1110" s="63">
        <f t="shared" si="253"/>
        <v>0</v>
      </c>
      <c r="M1110" s="162"/>
      <c r="N1110" s="97">
        <f>IF( ISERROR(OFFSET(SECUESTRADOS!D$1,MATCH(B1110,SECUESTRADOS!A$2:A1405,0),0)) ,0 ,  OFFSET(SECUESTRADOS!D$1,MATCH(B1110,SECUESTRADOS!A$2:A1405,0),0)  )</f>
        <v>0</v>
      </c>
      <c r="O1110" s="98"/>
      <c r="P1110" s="99" t="str">
        <f t="shared" si="238"/>
        <v>.socio</v>
      </c>
      <c r="Q1110" s="99" t="str">
        <f t="shared" si="304"/>
        <v>#REF!</v>
      </c>
      <c r="R1110" s="130"/>
      <c r="S1110" s="130"/>
      <c r="T1110" s="130"/>
    </row>
    <row r="1111">
      <c r="A1111" s="18" t="s">
        <v>38</v>
      </c>
      <c r="B1111" s="116">
        <v>2276.0</v>
      </c>
      <c r="C1111" s="140">
        <v>2276.0</v>
      </c>
      <c r="D1111" s="57" t="str">
        <f>IF(   ISERROR(OFFSET(PADRON!B$2,MATCH(C:C,PADRON!A$2:A1405,0)-1,0,1,1) )  ,  ,    OFFSET(PADRON!B$2,MATCH(C:C,PADRON!A$2:A1405,0)-1,0,1,1))</f>
        <v>PACOTTI, CAROLINA</v>
      </c>
      <c r="E1111" s="58">
        <v>45839.0</v>
      </c>
      <c r="F1111" s="145">
        <v>45870.0</v>
      </c>
      <c r="G1111" s="59" t="s">
        <v>39</v>
      </c>
      <c r="H1111" s="60">
        <f>IF( ISERROR( OFFSET(   'Cuadro tarifario'!D$2  , MATCH(CONCATENATE(                 IF(F1111&gt;Mes,OFFSET(NroCT!B$17, MATCH($F1111,NroCT!$A$18:$A1405,0),0,1,1),Periodovigente)                                                                                                                     ,A1111) ,'Cuadro tarifario'!A$2:A1405,0) -1 , 0 , 1 , 1) )   , 0  ,   OFFSET(   'Cuadro tarifario'!D$2  , MATCH(CONCATENATE( IF(F1111&gt;Mes,OFFSET(NroCT!B$17, MATCH($F1111,NroCT!$A$18:$A1405,0),0,1,1),Periodovigente) ,A1111) ,'Cuadro tarifario'!A$2:A1405,0) -1 , 0 , 1 , 1))</f>
        <v>9000</v>
      </c>
      <c r="I1111" s="61">
        <f t="shared" si="252"/>
        <v>1</v>
      </c>
      <c r="J1111" s="60">
        <f t="shared" si="305"/>
        <v>9000</v>
      </c>
      <c r="K1111" s="62">
        <f>IF(  AND(N1111&gt;0,I1111=0)          ,N1111 ,                         IF(  IF( F1111 ,  DAYS360(DATE(YEAR(F1111),MONTH(F1111),1),Mes)/30  ,  DAYS360(DATE(YEAR(E1111),MONTH(E1111),1),Mes)/30  )  &gt;  0 , IF(F1111,   DAYS360(DATE(YEAR(F1111),MONTH(F1111),1),Mes)/30  ,  DAYS360(DATE(YEAR(E1111),MONTH(E1111),1),Mes)/30) , 0)       )</f>
        <v>0</v>
      </c>
      <c r="L1111" s="63">
        <f t="shared" si="253"/>
        <v>0</v>
      </c>
      <c r="M1111" s="162"/>
      <c r="N1111" s="97">
        <f>IF( ISERROR(OFFSET(SECUESTRADOS!D$1,MATCH(B1111,SECUESTRADOS!A$2:A1405,0),0)) ,0 ,  OFFSET(SECUESTRADOS!D$1,MATCH(B1111,SECUESTRADOS!A$2:A1405,0),0)  )</f>
        <v>0</v>
      </c>
      <c r="O1111" s="98"/>
      <c r="P1111" s="99" t="str">
        <f t="shared" si="238"/>
        <v>Bono canon</v>
      </c>
      <c r="Q1111" s="99" t="str">
        <f t="shared" si="304"/>
        <v>#REF!</v>
      </c>
      <c r="R1111" s="130"/>
      <c r="S1111" s="130"/>
      <c r="T1111" s="130"/>
    </row>
    <row r="1112">
      <c r="A1112" s="18" t="s">
        <v>82</v>
      </c>
      <c r="B1112" s="116" t="s">
        <v>450</v>
      </c>
      <c r="C1112" s="140">
        <v>2276.0</v>
      </c>
      <c r="D1112" s="57" t="str">
        <f>IF(   ISERROR(OFFSET(PADRON!B$2,MATCH(C:C,PADRON!A$2:A1405,0)-1,0,1,1) )  ,  ,    OFFSET(PADRON!B$2,MATCH(C:C,PADRON!A$2:A1405,0)-1,0,1,1))</f>
        <v>PACOTTI, CAROLINA</v>
      </c>
      <c r="E1112" s="58">
        <v>45839.0</v>
      </c>
      <c r="F1112" s="145">
        <v>45870.0</v>
      </c>
      <c r="G1112" s="59" t="s">
        <v>39</v>
      </c>
      <c r="H1112" s="60">
        <f>IF( ISERROR( OFFSET(   'Cuadro tarifario'!D$2  , MATCH(CONCATENATE(                 IF(F1112&gt;Mes,OFFSET(NroCT!B$17, MATCH($F1112,NroCT!$A$18:$A1405,0),0,1,1),Periodovigente)                                                                                                                     ,A1112) ,'Cuadro tarifario'!A$2:A1405,0) -1 , 0 , 1 , 1) )   , 0  ,   OFFSET(   'Cuadro tarifario'!D$2  , MATCH(CONCATENATE( IF(F1112&gt;Mes,OFFSET(NroCT!B$17, MATCH($F1112,NroCT!$A$18:$A1405,0),0,1,1),Periodovigente) ,A1112) ,'Cuadro tarifario'!A$2:A1405,0) -1 , 0 , 1 , 1))</f>
        <v>12000</v>
      </c>
      <c r="I1112" s="61">
        <f t="shared" si="252"/>
        <v>1</v>
      </c>
      <c r="J1112" s="60">
        <f t="shared" si="305"/>
        <v>12000</v>
      </c>
      <c r="K1112" s="62">
        <f>IF(  AND(N1112&gt;0,I1112=0)          ,N1112 ,                         IF(  IF( F1112 ,  DAYS360(DATE(YEAR(F1112),MONTH(F1112),1),Mes)/30  ,  DAYS360(DATE(YEAR(E1112),MONTH(E1112),1),Mes)/30  )  &gt;  0 , IF(F1112,   DAYS360(DATE(YEAR(F1112),MONTH(F1112),1),Mes)/30  ,  DAYS360(DATE(YEAR(E1112),MONTH(E1112),1),Mes)/30) , 0)       )</f>
        <v>0</v>
      </c>
      <c r="L1112" s="63">
        <f t="shared" si="253"/>
        <v>0</v>
      </c>
      <c r="M1112" s="162"/>
      <c r="N1112" s="97">
        <f>IF( ISERROR(OFFSET(SECUESTRADOS!D$1,MATCH(B1112,SECUESTRADOS!A$2:A1405,0),0)) ,0 ,  OFFSET(SECUESTRADOS!D$1,MATCH(B1112,SECUESTRADOS!A$2:A1405,0),0)  )</f>
        <v>0</v>
      </c>
      <c r="O1112" s="98"/>
      <c r="P1112" s="99" t="str">
        <f t="shared" si="238"/>
        <v>cuna kayak</v>
      </c>
      <c r="Q1112" s="99" t="str">
        <f t="shared" si="304"/>
        <v>#REF!</v>
      </c>
      <c r="R1112" s="130"/>
      <c r="S1112" s="130"/>
      <c r="T1112" s="130"/>
    </row>
    <row r="1113">
      <c r="A1113" s="18" t="s">
        <v>71</v>
      </c>
      <c r="B1113" s="116">
        <v>2277.0</v>
      </c>
      <c r="C1113" s="140">
        <v>2277.0</v>
      </c>
      <c r="D1113" s="57" t="str">
        <f>IF(   ISERROR(OFFSET(PADRON!B$2,MATCH(C:C,PADRON!A$2:A1405,0)-1,0,1,1) )  ,  ,    OFFSET(PADRON!B$2,MATCH(C:C,PADRON!A$2:A1405,0)-1,0,1,1))</f>
        <v>CISNEROS, MARIA ESTER</v>
      </c>
      <c r="E1113" s="58">
        <v>45839.0</v>
      </c>
      <c r="F1113" s="145">
        <v>45870.0</v>
      </c>
      <c r="G1113" s="59" t="s">
        <v>39</v>
      </c>
      <c r="H1113" s="60">
        <f>IF( ISERROR( OFFSET(   'Cuadro tarifario'!D$2  , MATCH(CONCATENATE(                 IF(F1113&gt;Mes,OFFSET(NroCT!B$17, MATCH($F1113,NroCT!$A$18:$A1405,0),0,1,1),Periodovigente)                                                                                                                     ,A1113) ,'Cuadro tarifario'!A$2:A1405,0) -1 , 0 , 1 , 1) )   , 0  ,   OFFSET(   'Cuadro tarifario'!D$2  , MATCH(CONCATENATE( IF(F1113&gt;Mes,OFFSET(NroCT!B$17, MATCH($F1113,NroCT!$A$18:$A1405,0),0,1,1),Periodovigente) ,A1113) ,'Cuadro tarifario'!A$2:A1405,0) -1 , 0 , 1 , 1))</f>
        <v>11000</v>
      </c>
      <c r="I1113" s="61">
        <f t="shared" si="252"/>
        <v>1</v>
      </c>
      <c r="J1113" s="60">
        <f t="shared" si="305"/>
        <v>11000</v>
      </c>
      <c r="K1113" s="62">
        <f>IF(  AND(N1113&gt;0,I1113=0)          ,N1113 ,                         IF(  IF( F1113 ,  DAYS360(DATE(YEAR(F1113),MONTH(F1113),1),Mes)/30  ,  DAYS360(DATE(YEAR(E1113),MONTH(E1113),1),Mes)/30  )  &gt;  0 , IF(F1113,   DAYS360(DATE(YEAR(F1113),MONTH(F1113),1),Mes)/30  ,  DAYS360(DATE(YEAR(E1113),MONTH(E1113),1),Mes)/30) , 0)       )</f>
        <v>0</v>
      </c>
      <c r="L1113" s="63">
        <f t="shared" si="253"/>
        <v>0</v>
      </c>
      <c r="M1113" s="162"/>
      <c r="N1113" s="97">
        <f>IF( ISERROR(OFFSET(SECUESTRADOS!D$1,MATCH(B1113,SECUESTRADOS!A$2:A1405,0),0)) ,0 ,  OFFSET(SECUESTRADOS!D$1,MATCH(B1113,SECUESTRADOS!A$2:A1405,0),0)  )</f>
        <v>0</v>
      </c>
      <c r="O1113" s="98"/>
      <c r="P1113" s="99" t="str">
        <f t="shared" si="238"/>
        <v>.socio</v>
      </c>
      <c r="Q1113" s="99" t="str">
        <f t="shared" si="304"/>
        <v>#REF!</v>
      </c>
      <c r="R1113" s="130"/>
      <c r="S1113" s="130"/>
      <c r="T1113" s="130"/>
    </row>
    <row r="1114">
      <c r="A1114" s="18" t="s">
        <v>38</v>
      </c>
      <c r="B1114" s="116">
        <v>2277.0</v>
      </c>
      <c r="C1114" s="140">
        <v>2277.0</v>
      </c>
      <c r="D1114" s="57" t="str">
        <f>IF(   ISERROR(OFFSET(PADRON!B$2,MATCH(C:C,PADRON!A$2:A1405,0)-1,0,1,1) )  ,  ,    OFFSET(PADRON!B$2,MATCH(C:C,PADRON!A$2:A1405,0)-1,0,1,1))</f>
        <v>CISNEROS, MARIA ESTER</v>
      </c>
      <c r="E1114" s="58">
        <v>45839.0</v>
      </c>
      <c r="F1114" s="145">
        <v>45870.0</v>
      </c>
      <c r="G1114" s="59" t="s">
        <v>39</v>
      </c>
      <c r="H1114" s="60">
        <f>IF( ISERROR( OFFSET(   'Cuadro tarifario'!D$2  , MATCH(CONCATENATE(                 IF(F1114&gt;Mes,OFFSET(NroCT!B$17, MATCH($F1114,NroCT!$A$18:$A1405,0),0,1,1),Periodovigente)                                                                                                                     ,A1114) ,'Cuadro tarifario'!A$2:A1405,0) -1 , 0 , 1 , 1) )   , 0  ,   OFFSET(   'Cuadro tarifario'!D$2  , MATCH(CONCATENATE( IF(F1114&gt;Mes,OFFSET(NroCT!B$17, MATCH($F1114,NroCT!$A$18:$A1405,0),0,1,1),Periodovigente) ,A1114) ,'Cuadro tarifario'!A$2:A1405,0) -1 , 0 , 1 , 1))</f>
        <v>9000</v>
      </c>
      <c r="I1114" s="61">
        <f t="shared" si="252"/>
        <v>1</v>
      </c>
      <c r="J1114" s="60">
        <f t="shared" si="305"/>
        <v>9000</v>
      </c>
      <c r="K1114" s="62">
        <f>IF(  AND(N1114&gt;0,I1114=0)          ,N1114 ,                         IF(  IF( F1114 ,  DAYS360(DATE(YEAR(F1114),MONTH(F1114),1),Mes)/30  ,  DAYS360(DATE(YEAR(E1114),MONTH(E1114),1),Mes)/30  )  &gt;  0 , IF(F1114,   DAYS360(DATE(YEAR(F1114),MONTH(F1114),1),Mes)/30  ,  DAYS360(DATE(YEAR(E1114),MONTH(E1114),1),Mes)/30) , 0)       )</f>
        <v>0</v>
      </c>
      <c r="L1114" s="63">
        <f t="shared" si="253"/>
        <v>0</v>
      </c>
      <c r="M1114" s="162"/>
      <c r="N1114" s="97">
        <f>IF( ISERROR(OFFSET(SECUESTRADOS!D$1,MATCH(B1114,SECUESTRADOS!A$2:A1405,0),0)) ,0 ,  OFFSET(SECUESTRADOS!D$1,MATCH(B1114,SECUESTRADOS!A$2:A1405,0),0)  )</f>
        <v>0</v>
      </c>
      <c r="O1114" s="98"/>
      <c r="P1114" s="99" t="str">
        <f t="shared" si="238"/>
        <v>Bono canon</v>
      </c>
      <c r="Q1114" s="99" t="str">
        <f t="shared" si="304"/>
        <v>#REF!</v>
      </c>
      <c r="R1114" s="130"/>
      <c r="S1114" s="130"/>
      <c r="T1114" s="130"/>
    </row>
    <row r="1115">
      <c r="A1115" s="18" t="s">
        <v>40</v>
      </c>
      <c r="B1115" s="116" t="s">
        <v>451</v>
      </c>
      <c r="C1115" s="140">
        <v>2277.0</v>
      </c>
      <c r="D1115" s="57" t="str">
        <f>IF(   ISERROR(OFFSET(PADRON!B$2,MATCH(C:C,PADRON!A$2:A1405,0)-1,0,1,1) )  ,  ,    OFFSET(PADRON!B$2,MATCH(C:C,PADRON!A$2:A1405,0)-1,0,1,1))</f>
        <v>CISNEROS, MARIA ESTER</v>
      </c>
      <c r="E1115" s="58">
        <v>45839.0</v>
      </c>
      <c r="F1115" s="145">
        <v>45870.0</v>
      </c>
      <c r="G1115" s="59" t="s">
        <v>39</v>
      </c>
      <c r="H1115" s="60">
        <f>IF( ISERROR( OFFSET(   'Cuadro tarifario'!D$2  , MATCH(CONCATENATE(                 IF(F1115&gt;Mes,OFFSET(NroCT!B$17, MATCH($F1115,NroCT!$A$18:$A1405,0),0,1,1),Periodovigente)                                                                                                                     ,A1115) ,'Cuadro tarifario'!A$2:A1405,0) -1 , 0 , 1 , 1) )   , 0  ,   OFFSET(   'Cuadro tarifario'!D$2  , MATCH(CONCATENATE( IF(F1115&gt;Mes,OFFSET(NroCT!B$17, MATCH($F1115,NroCT!$A$18:$A1405,0),0,1,1),Periodovigente) ,A1115) ,'Cuadro tarifario'!A$2:A1405,0) -1 , 0 , 1 , 1))</f>
        <v>12000</v>
      </c>
      <c r="I1115" s="61">
        <f t="shared" si="252"/>
        <v>1</v>
      </c>
      <c r="J1115" s="60">
        <f t="shared" si="305"/>
        <v>12000</v>
      </c>
      <c r="K1115" s="62">
        <f>IF(  AND(N1115&gt;0,I1115=0)          ,N1115 ,                         IF(  IF( F1115 ,  DAYS360(DATE(YEAR(F1115),MONTH(F1115),1),Mes)/30  ,  DAYS360(DATE(YEAR(E1115),MONTH(E1115),1),Mes)/30  )  &gt;  0 , IF(F1115,   DAYS360(DATE(YEAR(F1115),MONTH(F1115),1),Mes)/30  ,  DAYS360(DATE(YEAR(E1115),MONTH(E1115),1),Mes)/30) , 0)       )</f>
        <v>0</v>
      </c>
      <c r="L1115" s="63">
        <f t="shared" si="253"/>
        <v>0</v>
      </c>
      <c r="M1115" s="162"/>
      <c r="N1115" s="97">
        <f>IF( ISERROR(OFFSET(SECUESTRADOS!D$1,MATCH(B1115,SECUESTRADOS!A$2:A1405,0),0)) ,0 ,  OFFSET(SECUESTRADOS!D$1,MATCH(B1115,SECUESTRADOS!A$2:A1405,0),0)  )</f>
        <v>0</v>
      </c>
      <c r="O1115" s="98"/>
      <c r="P1115" s="99" t="str">
        <f t="shared" si="238"/>
        <v>cuna windsurf</v>
      </c>
      <c r="Q1115" s="99" t="str">
        <f t="shared" si="304"/>
        <v>#REF!</v>
      </c>
      <c r="R1115" s="130"/>
      <c r="S1115" s="130"/>
      <c r="T1115" s="130"/>
    </row>
    <row r="1116">
      <c r="A1116" s="18" t="s">
        <v>71</v>
      </c>
      <c r="B1116" s="116">
        <v>2279.0</v>
      </c>
      <c r="C1116" s="140">
        <v>2279.0</v>
      </c>
      <c r="D1116" s="57" t="str">
        <f>IF(   ISERROR(OFFSET(PADRON!B$2,MATCH(C:C,PADRON!A$2:A1405,0)-1,0,1,1) )  ,  ,    OFFSET(PADRON!B$2,MATCH(C:C,PADRON!A$2:A1405,0)-1,0,1,1))</f>
        <v>RIERA GIULIANA</v>
      </c>
      <c r="E1116" s="58">
        <v>45809.0</v>
      </c>
      <c r="F1116" s="145">
        <v>45870.0</v>
      </c>
      <c r="G1116" s="59" t="s">
        <v>39</v>
      </c>
      <c r="H1116" s="60">
        <f>IF( ISERROR( OFFSET(   'Cuadro tarifario'!D$2  , MATCH(CONCATENATE(                 IF(F1116&gt;Mes,OFFSET(NroCT!B$17, MATCH($F1116,NroCT!$A$18:$A1405,0),0,1,1),Periodovigente)                                                                                                                     ,A1116) ,'Cuadro tarifario'!A$2:A1405,0) -1 , 0 , 1 , 1) )   , 0  ,   OFFSET(   'Cuadro tarifario'!D$2  , MATCH(CONCATENATE( IF(F1116&gt;Mes,OFFSET(NroCT!B$17, MATCH($F1116,NroCT!$A$18:$A1405,0),0,1,1),Periodovigente) ,A1116) ,'Cuadro tarifario'!A$2:A1405,0) -1 , 0 , 1 , 1))</f>
        <v>11000</v>
      </c>
      <c r="I1116" s="61">
        <f t="shared" si="252"/>
        <v>2</v>
      </c>
      <c r="J1116" s="60">
        <f t="shared" si="305"/>
        <v>22000</v>
      </c>
      <c r="K1116" s="62">
        <f>IF(  AND(N1116&gt;0,I1116=0)          ,N1116 ,                         IF(  IF( F1116 ,  DAYS360(DATE(YEAR(F1116),MONTH(F1116),1),Mes)/30  ,  DAYS360(DATE(YEAR(E1116),MONTH(E1116),1),Mes)/30  )  &gt;  0 , IF(F1116,   DAYS360(DATE(YEAR(F1116),MONTH(F1116),1),Mes)/30  ,  DAYS360(DATE(YEAR(E1116),MONTH(E1116),1),Mes)/30) , 0)       )</f>
        <v>0</v>
      </c>
      <c r="L1116" s="63">
        <f t="shared" si="253"/>
        <v>0</v>
      </c>
      <c r="M1116" s="162"/>
      <c r="N1116" s="97">
        <f>IF( ISERROR(OFFSET(SECUESTRADOS!D$1,MATCH(B1116,SECUESTRADOS!A$2:A1405,0),0)) ,0 ,  OFFSET(SECUESTRADOS!D$1,MATCH(B1116,SECUESTRADOS!A$2:A1405,0),0)  )</f>
        <v>0</v>
      </c>
      <c r="O1116" s="98"/>
      <c r="P1116" s="99" t="str">
        <f t="shared" si="238"/>
        <v>.socio</v>
      </c>
      <c r="Q1116" s="99" t="str">
        <f t="shared" si="304"/>
        <v>#REF!</v>
      </c>
      <c r="R1116" s="130"/>
      <c r="S1116" s="130"/>
      <c r="T1116" s="130"/>
    </row>
    <row r="1117">
      <c r="A1117" s="18" t="s">
        <v>38</v>
      </c>
      <c r="B1117" s="116">
        <v>2279.0</v>
      </c>
      <c r="C1117" s="140">
        <v>2279.0</v>
      </c>
      <c r="D1117" s="57" t="str">
        <f>IF(   ISERROR(OFFSET(PADRON!B$2,MATCH(C:C,PADRON!A$2:A1405,0)-1,0,1,1) )  ,  ,    OFFSET(PADRON!B$2,MATCH(C:C,PADRON!A$2:A1405,0)-1,0,1,1))</f>
        <v>RIERA GIULIANA</v>
      </c>
      <c r="E1117" s="58">
        <v>45809.0</v>
      </c>
      <c r="F1117" s="145">
        <v>45870.0</v>
      </c>
      <c r="G1117" s="59" t="s">
        <v>39</v>
      </c>
      <c r="H1117" s="60">
        <f>IF( ISERROR( OFFSET(   'Cuadro tarifario'!D$2  , MATCH(CONCATENATE(                 IF(F1117&gt;Mes,OFFSET(NroCT!B$17, MATCH($F1117,NroCT!$A$18:$A1405,0),0,1,1),Periodovigente)                                                                                                                     ,A1117) ,'Cuadro tarifario'!A$2:A1405,0) -1 , 0 , 1 , 1) )   , 0  ,   OFFSET(   'Cuadro tarifario'!D$2  , MATCH(CONCATENATE( IF(F1117&gt;Mes,OFFSET(NroCT!B$17, MATCH($F1117,NroCT!$A$18:$A1405,0),0,1,1),Periodovigente) ,A1117) ,'Cuadro tarifario'!A$2:A1405,0) -1 , 0 , 1 , 1))</f>
        <v>9000</v>
      </c>
      <c r="I1117" s="61">
        <f t="shared" si="252"/>
        <v>2</v>
      </c>
      <c r="J1117" s="60">
        <f t="shared" si="305"/>
        <v>18000</v>
      </c>
      <c r="K1117" s="62">
        <f>IF(  AND(N1117&gt;0,I1117=0)          ,N1117 ,                         IF(  IF( F1117 ,  DAYS360(DATE(YEAR(F1117),MONTH(F1117),1),Mes)/30  ,  DAYS360(DATE(YEAR(E1117),MONTH(E1117),1),Mes)/30  )  &gt;  0 , IF(F1117,   DAYS360(DATE(YEAR(F1117),MONTH(F1117),1),Mes)/30  ,  DAYS360(DATE(YEAR(E1117),MONTH(E1117),1),Mes)/30) , 0)       )</f>
        <v>0</v>
      </c>
      <c r="L1117" s="63">
        <f t="shared" si="253"/>
        <v>0</v>
      </c>
      <c r="M1117" s="162"/>
      <c r="N1117" s="97">
        <f>IF( ISERROR(OFFSET(SECUESTRADOS!D$1,MATCH(B1117,SECUESTRADOS!A$2:A1405,0),0)) ,0 ,  OFFSET(SECUESTRADOS!D$1,MATCH(B1117,SECUESTRADOS!A$2:A1405,0),0)  )</f>
        <v>0</v>
      </c>
      <c r="O1117" s="98"/>
      <c r="P1117" s="99" t="str">
        <f t="shared" si="238"/>
        <v>Bono canon</v>
      </c>
      <c r="Q1117" s="99" t="str">
        <f t="shared" si="304"/>
        <v>#REF!</v>
      </c>
      <c r="R1117" s="130"/>
      <c r="S1117" s="130"/>
      <c r="T1117" s="130"/>
    </row>
    <row r="1118">
      <c r="A1118" s="18" t="s">
        <v>71</v>
      </c>
      <c r="B1118" s="116">
        <v>2280.0</v>
      </c>
      <c r="C1118" s="140">
        <v>2280.0</v>
      </c>
      <c r="D1118" s="57" t="str">
        <f>IF(   ISERROR(OFFSET(PADRON!B$2,MATCH(C:C,PADRON!A$2:A1405,0)-1,0,1,1) )  ,  ,    OFFSET(PADRON!B$2,MATCH(C:C,PADRON!A$2:A1405,0)-1,0,1,1))</f>
        <v>IRIGOYEN , FERNANDO</v>
      </c>
      <c r="E1118" s="58">
        <v>45839.0</v>
      </c>
      <c r="F1118" s="145">
        <v>45870.0</v>
      </c>
      <c r="G1118" s="59" t="s">
        <v>39</v>
      </c>
      <c r="H1118" s="60">
        <f>IF( ISERROR( OFFSET(   'Cuadro tarifario'!D$2  , MATCH(CONCATENATE(                 IF(F1118&gt;Mes,OFFSET(NroCT!B$17, MATCH($F1118,NroCT!$A$18:$A1405,0),0,1,1),Periodovigente)                                                                                                                     ,A1118) ,'Cuadro tarifario'!A$2:A1405,0) -1 , 0 , 1 , 1) )   , 0  ,   OFFSET(   'Cuadro tarifario'!D$2  , MATCH(CONCATENATE( IF(F1118&gt;Mes,OFFSET(NroCT!B$17, MATCH($F1118,NroCT!$A$18:$A1405,0),0,1,1),Periodovigente) ,A1118) ,'Cuadro tarifario'!A$2:A1405,0) -1 , 0 , 1 , 1))</f>
        <v>11000</v>
      </c>
      <c r="I1118" s="61">
        <f t="shared" si="252"/>
        <v>1</v>
      </c>
      <c r="J1118" s="60">
        <f t="shared" si="305"/>
        <v>11000</v>
      </c>
      <c r="K1118" s="62">
        <f>IF(  AND(N1118&gt;0,I1118=0)          ,N1118 ,                         IF(  IF( F1118 ,  DAYS360(DATE(YEAR(F1118),MONTH(F1118),1),Mes)/30  ,  DAYS360(DATE(YEAR(E1118),MONTH(E1118),1),Mes)/30  )  &gt;  0 , IF(F1118,   DAYS360(DATE(YEAR(F1118),MONTH(F1118),1),Mes)/30  ,  DAYS360(DATE(YEAR(E1118),MONTH(E1118),1),Mes)/30) , 0)       )</f>
        <v>0</v>
      </c>
      <c r="L1118" s="63">
        <f t="shared" si="253"/>
        <v>0</v>
      </c>
      <c r="M1118" s="162"/>
      <c r="N1118" s="97">
        <f>IF( ISERROR(OFFSET(SECUESTRADOS!D$1,MATCH(B1118,SECUESTRADOS!A$2:A1405,0),0)) ,0 ,  OFFSET(SECUESTRADOS!D$1,MATCH(B1118,SECUESTRADOS!A$2:A1405,0),0)  )</f>
        <v>0</v>
      </c>
      <c r="O1118" s="98"/>
      <c r="P1118" s="99" t="str">
        <f t="shared" si="238"/>
        <v>.socio</v>
      </c>
      <c r="Q1118" s="99" t="str">
        <f t="shared" si="304"/>
        <v>#REF!</v>
      </c>
      <c r="R1118" s="130"/>
      <c r="S1118" s="130"/>
      <c r="T1118" s="130"/>
    </row>
    <row r="1119">
      <c r="A1119" s="18" t="s">
        <v>38</v>
      </c>
      <c r="B1119" s="116">
        <v>2280.0</v>
      </c>
      <c r="C1119" s="140">
        <v>2280.0</v>
      </c>
      <c r="D1119" s="57" t="str">
        <f>IF(   ISERROR(OFFSET(PADRON!B$2,MATCH(C:C,PADRON!A$2:A1405,0)-1,0,1,1) )  ,  ,    OFFSET(PADRON!B$2,MATCH(C:C,PADRON!A$2:A1405,0)-1,0,1,1))</f>
        <v>IRIGOYEN , FERNANDO</v>
      </c>
      <c r="E1119" s="58">
        <v>45839.0</v>
      </c>
      <c r="F1119" s="145">
        <v>45870.0</v>
      </c>
      <c r="G1119" s="59" t="s">
        <v>39</v>
      </c>
      <c r="H1119" s="60">
        <f>IF( ISERROR( OFFSET(   'Cuadro tarifario'!D$2  , MATCH(CONCATENATE(                 IF(F1119&gt;Mes,OFFSET(NroCT!B$17, MATCH($F1119,NroCT!$A$18:$A1405,0),0,1,1),Periodovigente)                                                                                                                     ,A1119) ,'Cuadro tarifario'!A$2:A1405,0) -1 , 0 , 1 , 1) )   , 0  ,   OFFSET(   'Cuadro tarifario'!D$2  , MATCH(CONCATENATE( IF(F1119&gt;Mes,OFFSET(NroCT!B$17, MATCH($F1119,NroCT!$A$18:$A1405,0),0,1,1),Periodovigente) ,A1119) ,'Cuadro tarifario'!A$2:A1405,0) -1 , 0 , 1 , 1))</f>
        <v>9000</v>
      </c>
      <c r="I1119" s="61">
        <f t="shared" si="252"/>
        <v>1</v>
      </c>
      <c r="J1119" s="60">
        <f t="shared" si="305"/>
        <v>9000</v>
      </c>
      <c r="K1119" s="62">
        <f>IF(  AND(N1119&gt;0,I1119=0)          ,N1119 ,                         IF(  IF( F1119 ,  DAYS360(DATE(YEAR(F1119),MONTH(F1119),1),Mes)/30  ,  DAYS360(DATE(YEAR(E1119),MONTH(E1119),1),Mes)/30  )  &gt;  0 , IF(F1119,   DAYS360(DATE(YEAR(F1119),MONTH(F1119),1),Mes)/30  ,  DAYS360(DATE(YEAR(E1119),MONTH(E1119),1),Mes)/30) , 0)       )</f>
        <v>0</v>
      </c>
      <c r="L1119" s="63">
        <f t="shared" si="253"/>
        <v>0</v>
      </c>
      <c r="M1119" s="162"/>
      <c r="N1119" s="97">
        <f>IF( ISERROR(OFFSET(SECUESTRADOS!D$1,MATCH(B1119,SECUESTRADOS!A$2:A1405,0),0)) ,0 ,  OFFSET(SECUESTRADOS!D$1,MATCH(B1119,SECUESTRADOS!A$2:A1405,0),0)  )</f>
        <v>0</v>
      </c>
      <c r="O1119" s="98"/>
      <c r="P1119" s="99" t="str">
        <f t="shared" si="238"/>
        <v>Bono canon</v>
      </c>
      <c r="Q1119" s="99" t="str">
        <f t="shared" si="304"/>
        <v>#REF!</v>
      </c>
      <c r="R1119" s="130"/>
      <c r="S1119" s="130"/>
      <c r="T1119" s="130"/>
    </row>
    <row r="1120">
      <c r="A1120" s="18" t="s">
        <v>48</v>
      </c>
      <c r="B1120" s="116" t="s">
        <v>452</v>
      </c>
      <c r="C1120" s="140">
        <v>2280.0</v>
      </c>
      <c r="D1120" s="57" t="str">
        <f>IF(   ISERROR(OFFSET(PADRON!B$2,MATCH(C:C,PADRON!A$2:A1405,0)-1,0,1,1) )  ,  ,    OFFSET(PADRON!B$2,MATCH(C:C,PADRON!A$2:A1405,0)-1,0,1,1))</f>
        <v>IRIGOYEN , FERNANDO</v>
      </c>
      <c r="E1120" s="58">
        <v>45839.0</v>
      </c>
      <c r="F1120" s="145">
        <v>45870.0</v>
      </c>
      <c r="G1120" s="59" t="s">
        <v>39</v>
      </c>
      <c r="H1120" s="60">
        <f>IF( ISERROR( OFFSET(   'Cuadro tarifario'!D$2  , MATCH(CONCATENATE(                 IF(F1120&gt;Mes,OFFSET(NroCT!B$17, MATCH($F1120,NroCT!$A$18:$A1405,0),0,1,1),Periodovigente)                                                                                                                     ,A1120) ,'Cuadro tarifario'!A$2:A1405,0) -1 , 0 , 1 , 1) )   , 0  ,   OFFSET(   'Cuadro tarifario'!D$2  , MATCH(CONCATENATE( IF(F1120&gt;Mes,OFFSET(NroCT!B$17, MATCH($F1120,NroCT!$A$18:$A1405,0),0,1,1),Periodovigente) ,A1120) ,'Cuadro tarifario'!A$2:A1405,0) -1 , 0 , 1 , 1))</f>
        <v>12000</v>
      </c>
      <c r="I1120" s="61">
        <f t="shared" si="252"/>
        <v>1</v>
      </c>
      <c r="J1120" s="60">
        <f t="shared" si="305"/>
        <v>12000</v>
      </c>
      <c r="K1120" s="62">
        <f>IF(  AND(N1120&gt;0,I1120=0)          ,N1120 ,                         IF(  IF( F1120 ,  DAYS360(DATE(YEAR(F1120),MONTH(F1120),1),Mes)/30  ,  DAYS360(DATE(YEAR(E1120),MONTH(E1120),1),Mes)/30  )  &gt;  0 , IF(F1120,   DAYS360(DATE(YEAR(F1120),MONTH(F1120),1),Mes)/30  ,  DAYS360(DATE(YEAR(E1120),MONTH(E1120),1),Mes)/30) , 0)       )</f>
        <v>0</v>
      </c>
      <c r="L1120" s="63">
        <f t="shared" si="253"/>
        <v>0</v>
      </c>
      <c r="M1120" s="162"/>
      <c r="N1120" s="97">
        <f>IF( ISERROR(OFFSET(SECUESTRADOS!D$1,MATCH(B1120,SECUESTRADOS!A$2:A1405,0),0)) ,0 ,  OFFSET(SECUESTRADOS!D$1,MATCH(B1120,SECUESTRADOS!A$2:A1405,0),0)  )</f>
        <v>0</v>
      </c>
      <c r="O1120" s="98"/>
      <c r="P1120" s="99" t="str">
        <f t="shared" si="238"/>
        <v>velero</v>
      </c>
      <c r="Q1120" s="99" t="str">
        <f t="shared" si="304"/>
        <v>#REF!</v>
      </c>
      <c r="R1120" s="130"/>
      <c r="S1120" s="130"/>
      <c r="T1120" s="130"/>
    </row>
    <row r="1121">
      <c r="A1121" s="18" t="s">
        <v>71</v>
      </c>
      <c r="B1121" s="116">
        <v>2281.0</v>
      </c>
      <c r="C1121" s="140">
        <v>2281.0</v>
      </c>
      <c r="D1121" s="57" t="str">
        <f>IF(   ISERROR(OFFSET(PADRON!B$2,MATCH(C:C,PADRON!A$2:A1405,0)-1,0,1,1) )  ,  ,    OFFSET(PADRON!B$2,MATCH(C:C,PADRON!A$2:A1405,0)-1,0,1,1))</f>
        <v>ALTUBE, RICARDO</v>
      </c>
      <c r="E1121" s="58">
        <v>45748.0</v>
      </c>
      <c r="F1121" s="145">
        <v>45901.0</v>
      </c>
      <c r="G1121" s="59" t="s">
        <v>39</v>
      </c>
      <c r="H1121" s="60">
        <f>IF( ISERROR( OFFSET(   'Cuadro tarifario'!D$2  , MATCH(CONCATENATE(                 IF(F1121&gt;Mes,OFFSET(NroCT!B$17, MATCH($F1121,NroCT!$A$18:$A1405,0),0,1,1),Periodovigente)                                                                                                                     ,A1121) ,'Cuadro tarifario'!A$2:A1405,0) -1 , 0 , 1 , 1) )   , 0  ,   OFFSET(   'Cuadro tarifario'!D$2  , MATCH(CONCATENATE( IF(F1121&gt;Mes,OFFSET(NroCT!B$17, MATCH($F1121,NroCT!$A$18:$A1405,0),0,1,1),Periodovigente) ,A1121) ,'Cuadro tarifario'!A$2:A1405,0) -1 , 0 , 1 , 1))</f>
        <v>11000</v>
      </c>
      <c r="I1121" s="61">
        <f t="shared" si="252"/>
        <v>5</v>
      </c>
      <c r="J1121" s="60">
        <f t="shared" si="305"/>
        <v>55000</v>
      </c>
      <c r="K1121" s="62">
        <f>IF(  AND(N1121&gt;0,I1121=0)          ,N1121 ,                         IF(  IF( F1121 ,  DAYS360(DATE(YEAR(F1121),MONTH(F1121),1),Mes)/30  ,  DAYS360(DATE(YEAR(E1121),MONTH(E1121),1),Mes)/30  )  &gt;  0 , IF(F1121,   DAYS360(DATE(YEAR(F1121),MONTH(F1121),1),Mes)/30  ,  DAYS360(DATE(YEAR(E1121),MONTH(E1121),1),Mes)/30) , 0)       )</f>
        <v>0</v>
      </c>
      <c r="L1121" s="63">
        <f t="shared" si="253"/>
        <v>0</v>
      </c>
      <c r="M1121" s="162"/>
      <c r="N1121" s="97">
        <f>IF( ISERROR(OFFSET(SECUESTRADOS!D$1,MATCH(B1121,SECUESTRADOS!A$2:A1405,0),0)) ,0 ,  OFFSET(SECUESTRADOS!D$1,MATCH(B1121,SECUESTRADOS!A$2:A1405,0),0)  )</f>
        <v>0</v>
      </c>
      <c r="O1121" s="98"/>
      <c r="P1121" s="99" t="str">
        <f t="shared" si="238"/>
        <v>.socio</v>
      </c>
      <c r="Q1121" s="99" t="str">
        <f t="shared" si="304"/>
        <v>#REF!</v>
      </c>
      <c r="R1121" s="130"/>
      <c r="S1121" s="130"/>
      <c r="T1121" s="130"/>
    </row>
    <row r="1122">
      <c r="A1122" s="18" t="s">
        <v>38</v>
      </c>
      <c r="B1122" s="116">
        <v>2281.0</v>
      </c>
      <c r="C1122" s="140">
        <v>2281.0</v>
      </c>
      <c r="D1122" s="57" t="str">
        <f>IF(   ISERROR(OFFSET(PADRON!B$2,MATCH(C:C,PADRON!A$2:A1405,0)-1,0,1,1) )  ,  ,    OFFSET(PADRON!B$2,MATCH(C:C,PADRON!A$2:A1405,0)-1,0,1,1))</f>
        <v>ALTUBE, RICARDO</v>
      </c>
      <c r="E1122" s="58">
        <v>45748.0</v>
      </c>
      <c r="F1122" s="145">
        <v>45901.0</v>
      </c>
      <c r="G1122" s="59" t="s">
        <v>39</v>
      </c>
      <c r="H1122" s="60">
        <f>IF( ISERROR( OFFSET(   'Cuadro tarifario'!D$2  , MATCH(CONCATENATE(                 IF(F1122&gt;Mes,OFFSET(NroCT!B$17, MATCH($F1122,NroCT!$A$18:$A1405,0),0,1,1),Periodovigente)                                                                                                                     ,A1122) ,'Cuadro tarifario'!A$2:A1405,0) -1 , 0 , 1 , 1) )   , 0  ,   OFFSET(   'Cuadro tarifario'!D$2  , MATCH(CONCATENATE( IF(F1122&gt;Mes,OFFSET(NroCT!B$17, MATCH($F1122,NroCT!$A$18:$A1405,0),0,1,1),Periodovigente) ,A1122) ,'Cuadro tarifario'!A$2:A1405,0) -1 , 0 , 1 , 1))</f>
        <v>9000</v>
      </c>
      <c r="I1122" s="61">
        <f t="shared" si="252"/>
        <v>5</v>
      </c>
      <c r="J1122" s="60">
        <f t="shared" si="305"/>
        <v>45000</v>
      </c>
      <c r="K1122" s="62">
        <f>IF(  AND(N1122&gt;0,I1122=0)          ,N1122 ,                         IF(  IF( F1122 ,  DAYS360(DATE(YEAR(F1122),MONTH(F1122),1),Mes)/30  ,  DAYS360(DATE(YEAR(E1122),MONTH(E1122),1),Mes)/30  )  &gt;  0 , IF(F1122,   DAYS360(DATE(YEAR(F1122),MONTH(F1122),1),Mes)/30  ,  DAYS360(DATE(YEAR(E1122),MONTH(E1122),1),Mes)/30) , 0)       )</f>
        <v>0</v>
      </c>
      <c r="L1122" s="63">
        <f t="shared" si="253"/>
        <v>0</v>
      </c>
      <c r="M1122" s="162"/>
      <c r="N1122" s="97">
        <f>IF( ISERROR(OFFSET(SECUESTRADOS!D$1,MATCH(B1122,SECUESTRADOS!A$2:A1405,0),0)) ,0 ,  OFFSET(SECUESTRADOS!D$1,MATCH(B1122,SECUESTRADOS!A$2:A1405,0),0)  )</f>
        <v>0</v>
      </c>
      <c r="O1122" s="98"/>
      <c r="P1122" s="99" t="str">
        <f t="shared" si="238"/>
        <v>Bono canon</v>
      </c>
      <c r="Q1122" s="99" t="str">
        <f t="shared" si="304"/>
        <v>#REF!</v>
      </c>
      <c r="R1122" s="130"/>
      <c r="S1122" s="130"/>
      <c r="T1122" s="130"/>
    </row>
    <row r="1123">
      <c r="A1123" s="18" t="s">
        <v>71</v>
      </c>
      <c r="B1123" s="116">
        <v>2282.0</v>
      </c>
      <c r="C1123" s="140">
        <v>2282.0</v>
      </c>
      <c r="D1123" s="57" t="str">
        <f>IF(   ISERROR(OFFSET(PADRON!B$2,MATCH(C:C,PADRON!A$2:A1405,0)-1,0,1,1) )  ,  ,    OFFSET(PADRON!B$2,MATCH(C:C,PADRON!A$2:A1405,0)-1,0,1,1))</f>
        <v>SZALAGOWSKI, ISIDORO</v>
      </c>
      <c r="E1123" s="58">
        <v>45870.0</v>
      </c>
      <c r="F1123" s="145"/>
      <c r="G1123" s="59" t="s">
        <v>39</v>
      </c>
      <c r="H1123" s="60">
        <f>IF( ISERROR( OFFSET(   'Cuadro tarifario'!D$2  , MATCH(CONCATENATE(                 IF(F1123&gt;Mes,OFFSET(NroCT!B$17, MATCH($F1123,NroCT!$A$18:$A1405,0),0,1,1),Periodovigente)                                                                                                                     ,A1123) ,'Cuadro tarifario'!A$2:A1405,0) -1 , 0 , 1 , 1) )   , 0  ,   OFFSET(   'Cuadro tarifario'!D$2  , MATCH(CONCATENATE( IF(F1123&gt;Mes,OFFSET(NroCT!B$17, MATCH($F1123,NroCT!$A$18:$A1405,0),0,1,1),Periodovigente) ,A1123) ,'Cuadro tarifario'!A$2:A1405,0) -1 , 0 , 1 , 1))</f>
        <v>11000</v>
      </c>
      <c r="I1123" s="61">
        <f t="shared" si="252"/>
        <v>0</v>
      </c>
      <c r="J1123" s="60">
        <f t="shared" si="305"/>
        <v>0</v>
      </c>
      <c r="K1123" s="62">
        <f>IF(  AND(N1123&gt;0,I1123=0)          ,N1123 ,                         IF(  IF( F1123 ,  DAYS360(DATE(YEAR(F1123),MONTH(F1123),1),Mes)/30  ,  DAYS360(DATE(YEAR(E1123),MONTH(E1123),1),Mes)/30  )  &gt;  0 , IF(F1123,   DAYS360(DATE(YEAR(F1123),MONTH(F1123),1),Mes)/30  ,  DAYS360(DATE(YEAR(E1123),MONTH(E1123),1),Mes)/30) , 0)       )</f>
        <v>0</v>
      </c>
      <c r="L1123" s="63">
        <f t="shared" si="253"/>
        <v>0</v>
      </c>
      <c r="M1123" s="162"/>
      <c r="N1123" s="97">
        <f>IF( ISERROR(OFFSET(SECUESTRADOS!D$1,MATCH(B1123,SECUESTRADOS!A$2:A1405,0),0)) ,0 ,  OFFSET(SECUESTRADOS!D$1,MATCH(B1123,SECUESTRADOS!A$2:A1405,0),0)  )</f>
        <v>0</v>
      </c>
      <c r="O1123" s="98"/>
      <c r="P1123" s="99" t="b">
        <f t="shared" si="238"/>
        <v>0</v>
      </c>
      <c r="Q1123" s="99" t="str">
        <f t="shared" si="304"/>
        <v>#REF!</v>
      </c>
      <c r="R1123" s="130"/>
      <c r="S1123" s="130"/>
      <c r="T1123" s="130"/>
    </row>
    <row r="1124">
      <c r="A1124" s="18" t="s">
        <v>38</v>
      </c>
      <c r="B1124" s="116">
        <v>2282.0</v>
      </c>
      <c r="C1124" s="140">
        <v>2282.0</v>
      </c>
      <c r="D1124" s="57" t="str">
        <f>IF(   ISERROR(OFFSET(PADRON!B$2,MATCH(C:C,PADRON!A$2:A1405,0)-1,0,1,1) )  ,  ,    OFFSET(PADRON!B$2,MATCH(C:C,PADRON!A$2:A1405,0)-1,0,1,1))</f>
        <v>SZALAGOWSKI, ISIDORO</v>
      </c>
      <c r="E1124" s="58">
        <v>45870.0</v>
      </c>
      <c r="F1124" s="145"/>
      <c r="G1124" s="59" t="s">
        <v>39</v>
      </c>
      <c r="H1124" s="60">
        <f>IF( ISERROR( OFFSET(   'Cuadro tarifario'!D$2  , MATCH(CONCATENATE(                 IF(F1124&gt;Mes,OFFSET(NroCT!B$17, MATCH($F1124,NroCT!$A$18:$A1405,0),0,1,1),Periodovigente)                                                                                                                     ,A1124) ,'Cuadro tarifario'!A$2:A1405,0) -1 , 0 , 1 , 1) )   , 0  ,   OFFSET(   'Cuadro tarifario'!D$2  , MATCH(CONCATENATE( IF(F1124&gt;Mes,OFFSET(NroCT!B$17, MATCH($F1124,NroCT!$A$18:$A1405,0),0,1,1),Periodovigente) ,A1124) ,'Cuadro tarifario'!A$2:A1405,0) -1 , 0 , 1 , 1))</f>
        <v>9000</v>
      </c>
      <c r="I1124" s="61">
        <f t="shared" si="252"/>
        <v>0</v>
      </c>
      <c r="J1124" s="60">
        <f t="shared" si="305"/>
        <v>0</v>
      </c>
      <c r="K1124" s="62">
        <f>IF(  AND(N1124&gt;0,I1124=0)          ,N1124 ,                         IF(  IF( F1124 ,  DAYS360(DATE(YEAR(F1124),MONTH(F1124),1),Mes)/30  ,  DAYS360(DATE(YEAR(E1124),MONTH(E1124),1),Mes)/30  )  &gt;  0 , IF(F1124,   DAYS360(DATE(YEAR(F1124),MONTH(F1124),1),Mes)/30  ,  DAYS360(DATE(YEAR(E1124),MONTH(E1124),1),Mes)/30) , 0)       )</f>
        <v>0</v>
      </c>
      <c r="L1124" s="63">
        <f t="shared" si="253"/>
        <v>0</v>
      </c>
      <c r="M1124" s="162"/>
      <c r="N1124" s="97">
        <f>IF( ISERROR(OFFSET(SECUESTRADOS!D$1,MATCH(B1124,SECUESTRADOS!A$2:A1405,0),0)) ,0 ,  OFFSET(SECUESTRADOS!D$1,MATCH(B1124,SECUESTRADOS!A$2:A1405,0),0)  )</f>
        <v>0</v>
      </c>
      <c r="O1124" s="98"/>
      <c r="P1124" s="99" t="b">
        <f t="shared" si="238"/>
        <v>0</v>
      </c>
      <c r="Q1124" s="99" t="str">
        <f t="shared" si="304"/>
        <v>#REF!</v>
      </c>
      <c r="R1124" s="130"/>
      <c r="S1124" s="130"/>
      <c r="T1124" s="130"/>
    </row>
    <row r="1125">
      <c r="A1125" s="18" t="s">
        <v>40</v>
      </c>
      <c r="B1125" s="116" t="s">
        <v>453</v>
      </c>
      <c r="C1125" s="140">
        <v>2282.0</v>
      </c>
      <c r="D1125" s="57" t="str">
        <f>IF(   ISERROR(OFFSET(PADRON!B$2,MATCH(C:C,PADRON!A$2:A1405,0)-1,0,1,1) )  ,  ,    OFFSET(PADRON!B$2,MATCH(C:C,PADRON!A$2:A1405,0)-1,0,1,1))</f>
        <v>SZALAGOWSKI, ISIDORO</v>
      </c>
      <c r="E1125" s="58">
        <v>45870.0</v>
      </c>
      <c r="F1125" s="145"/>
      <c r="G1125" s="59" t="s">
        <v>39</v>
      </c>
      <c r="H1125" s="60">
        <f>IF( ISERROR( OFFSET(   'Cuadro tarifario'!D$2  , MATCH(CONCATENATE(                 IF(F1125&gt;Mes,OFFSET(NroCT!B$17, MATCH($F1125,NroCT!$A$18:$A1405,0),0,1,1),Periodovigente)                                                                                                                     ,A1125) ,'Cuadro tarifario'!A$2:A1405,0) -1 , 0 , 1 , 1) )   , 0  ,   OFFSET(   'Cuadro tarifario'!D$2  , MATCH(CONCATENATE( IF(F1125&gt;Mes,OFFSET(NroCT!B$17, MATCH($F1125,NroCT!$A$18:$A1405,0),0,1,1),Periodovigente) ,A1125) ,'Cuadro tarifario'!A$2:A1405,0) -1 , 0 , 1 , 1))</f>
        <v>12000</v>
      </c>
      <c r="I1125" s="61">
        <f t="shared" si="252"/>
        <v>0</v>
      </c>
      <c r="J1125" s="60">
        <f t="shared" si="305"/>
        <v>0</v>
      </c>
      <c r="K1125" s="62">
        <f>IF(  AND(N1125&gt;0,I1125=0)          ,N1125 ,                         IF(  IF( F1125 ,  DAYS360(DATE(YEAR(F1125),MONTH(F1125),1),Mes)/30  ,  DAYS360(DATE(YEAR(E1125),MONTH(E1125),1),Mes)/30  )  &gt;  0 , IF(F1125,   DAYS360(DATE(YEAR(F1125),MONTH(F1125),1),Mes)/30  ,  DAYS360(DATE(YEAR(E1125),MONTH(E1125),1),Mes)/30) , 0)       )</f>
        <v>0</v>
      </c>
      <c r="L1125" s="63">
        <f t="shared" si="253"/>
        <v>0</v>
      </c>
      <c r="M1125" s="162"/>
      <c r="N1125" s="97">
        <f>IF( ISERROR(OFFSET(SECUESTRADOS!D$1,MATCH(B1125,SECUESTRADOS!A$2:A1405,0),0)) ,0 ,  OFFSET(SECUESTRADOS!D$1,MATCH(B1125,SECUESTRADOS!A$2:A1405,0),0)  )</f>
        <v>0</v>
      </c>
      <c r="O1125" s="98"/>
      <c r="P1125" s="99" t="b">
        <f t="shared" si="238"/>
        <v>0</v>
      </c>
      <c r="Q1125" s="99" t="str">
        <f t="shared" si="304"/>
        <v>#REF!</v>
      </c>
      <c r="R1125" s="130"/>
      <c r="S1125" s="130"/>
      <c r="T1125" s="130"/>
    </row>
    <row r="1126">
      <c r="A1126" s="18" t="s">
        <v>71</v>
      </c>
      <c r="B1126" s="116">
        <v>2283.0</v>
      </c>
      <c r="C1126" s="140">
        <v>2283.0</v>
      </c>
      <c r="D1126" s="57" t="str">
        <f>IF(   ISERROR(OFFSET(PADRON!B$2,MATCH(C:C,PADRON!A$2:A1405,0)-1,0,1,1) )  ,  ,    OFFSET(PADRON!B$2,MATCH(C:C,PADRON!A$2:A1405,0)-1,0,1,1))</f>
        <v>CAMPOAMOR, RODRIGO</v>
      </c>
      <c r="E1126" s="58">
        <v>45809.0</v>
      </c>
      <c r="F1126" s="145">
        <v>45901.0</v>
      </c>
      <c r="G1126" s="59" t="s">
        <v>39</v>
      </c>
      <c r="H1126" s="60">
        <f>IF( ISERROR( OFFSET(   'Cuadro tarifario'!D$2  , MATCH(CONCATENATE(                 IF(F1126&gt;Mes,OFFSET(NroCT!B$17, MATCH($F1126,NroCT!$A$18:$A1405,0),0,1,1),Periodovigente)                                                                                                                     ,A1126) ,'Cuadro tarifario'!A$2:A1405,0) -1 , 0 , 1 , 1) )   , 0  ,   OFFSET(   'Cuadro tarifario'!D$2  , MATCH(CONCATENATE( IF(F1126&gt;Mes,OFFSET(NroCT!B$17, MATCH($F1126,NroCT!$A$18:$A1405,0),0,1,1),Periodovigente) ,A1126) ,'Cuadro tarifario'!A$2:A1405,0) -1 , 0 , 1 , 1))</f>
        <v>11000</v>
      </c>
      <c r="I1126" s="61">
        <f t="shared" si="252"/>
        <v>3</v>
      </c>
      <c r="J1126" s="60">
        <f t="shared" si="305"/>
        <v>33000</v>
      </c>
      <c r="K1126" s="62">
        <f>IF(  AND(N1126&gt;0,I1126=0)          ,N1126 ,                         IF(  IF( F1126 ,  DAYS360(DATE(YEAR(F1126),MONTH(F1126),1),Mes)/30  ,  DAYS360(DATE(YEAR(E1126),MONTH(E1126),1),Mes)/30  )  &gt;  0 , IF(F1126,   DAYS360(DATE(YEAR(F1126),MONTH(F1126),1),Mes)/30  ,  DAYS360(DATE(YEAR(E1126),MONTH(E1126),1),Mes)/30) , 0)       )</f>
        <v>0</v>
      </c>
      <c r="L1126" s="63">
        <f t="shared" si="253"/>
        <v>0</v>
      </c>
      <c r="M1126" s="162"/>
      <c r="N1126" s="97">
        <f>IF( ISERROR(OFFSET(SECUESTRADOS!D$1,MATCH(B1126,SECUESTRADOS!A$2:A1405,0),0)) ,0 ,  OFFSET(SECUESTRADOS!D$1,MATCH(B1126,SECUESTRADOS!A$2:A1405,0),0)  )</f>
        <v>0</v>
      </c>
      <c r="O1126" s="98"/>
      <c r="P1126" s="99" t="str">
        <f t="shared" si="238"/>
        <v>.socio</v>
      </c>
      <c r="Q1126" s="99" t="str">
        <f t="shared" si="304"/>
        <v>#REF!</v>
      </c>
      <c r="R1126" s="130"/>
      <c r="S1126" s="130"/>
      <c r="T1126" s="130"/>
    </row>
    <row r="1127">
      <c r="A1127" s="18" t="s">
        <v>38</v>
      </c>
      <c r="B1127" s="116">
        <v>2283.0</v>
      </c>
      <c r="C1127" s="140">
        <v>2283.0</v>
      </c>
      <c r="D1127" s="57" t="str">
        <f>IF(   ISERROR(OFFSET(PADRON!B$2,MATCH(C:C,PADRON!A$2:A1405,0)-1,0,1,1) )  ,  ,    OFFSET(PADRON!B$2,MATCH(C:C,PADRON!A$2:A1405,0)-1,0,1,1))</f>
        <v>CAMPOAMOR, RODRIGO</v>
      </c>
      <c r="E1127" s="58">
        <v>45809.0</v>
      </c>
      <c r="F1127" s="145">
        <v>45901.0</v>
      </c>
      <c r="G1127" s="59" t="s">
        <v>39</v>
      </c>
      <c r="H1127" s="60">
        <f>IF( ISERROR( OFFSET(   'Cuadro tarifario'!D$2  , MATCH(CONCATENATE(                 IF(F1127&gt;Mes,OFFSET(NroCT!B$17, MATCH($F1127,NroCT!$A$18:$A1405,0),0,1,1),Periodovigente)                                                                                                                     ,A1127) ,'Cuadro tarifario'!A$2:A1405,0) -1 , 0 , 1 , 1) )   , 0  ,   OFFSET(   'Cuadro tarifario'!D$2  , MATCH(CONCATENATE( IF(F1127&gt;Mes,OFFSET(NroCT!B$17, MATCH($F1127,NroCT!$A$18:$A1405,0),0,1,1),Periodovigente) ,A1127) ,'Cuadro tarifario'!A$2:A1405,0) -1 , 0 , 1 , 1))</f>
        <v>9000</v>
      </c>
      <c r="I1127" s="61">
        <f t="shared" si="252"/>
        <v>3</v>
      </c>
      <c r="J1127" s="60">
        <f t="shared" si="305"/>
        <v>27000</v>
      </c>
      <c r="K1127" s="62">
        <f>IF(  AND(N1127&gt;0,I1127=0)          ,N1127 ,                         IF(  IF( F1127 ,  DAYS360(DATE(YEAR(F1127),MONTH(F1127),1),Mes)/30  ,  DAYS360(DATE(YEAR(E1127),MONTH(E1127),1),Mes)/30  )  &gt;  0 , IF(F1127,   DAYS360(DATE(YEAR(F1127),MONTH(F1127),1),Mes)/30  ,  DAYS360(DATE(YEAR(E1127),MONTH(E1127),1),Mes)/30) , 0)       )</f>
        <v>0</v>
      </c>
      <c r="L1127" s="63">
        <f t="shared" si="253"/>
        <v>0</v>
      </c>
      <c r="M1127" s="162"/>
      <c r="N1127" s="97">
        <f>IF( ISERROR(OFFSET(SECUESTRADOS!D$1,MATCH(B1127,SECUESTRADOS!A$2:A1405,0),0)) ,0 ,  OFFSET(SECUESTRADOS!D$1,MATCH(B1127,SECUESTRADOS!A$2:A1405,0),0)  )</f>
        <v>0</v>
      </c>
      <c r="O1127" s="98"/>
      <c r="P1127" s="99" t="str">
        <f t="shared" si="238"/>
        <v>Bono canon</v>
      </c>
      <c r="Q1127" s="99" t="str">
        <f t="shared" si="304"/>
        <v>#REF!</v>
      </c>
      <c r="R1127" s="130"/>
      <c r="S1127" s="130"/>
      <c r="T1127" s="130"/>
    </row>
    <row r="1128">
      <c r="A1128" s="18" t="s">
        <v>71</v>
      </c>
      <c r="B1128" s="116">
        <v>2284.0</v>
      </c>
      <c r="C1128" s="140">
        <v>2284.0</v>
      </c>
      <c r="D1128" s="57" t="str">
        <f>IF(   ISERROR(OFFSET(PADRON!B$2,MATCH(C:C,PADRON!A$2:A1405,0)-1,0,1,1) )  ,  ,    OFFSET(PADRON!B$2,MATCH(C:C,PADRON!A$2:A1405,0)-1,0,1,1))</f>
        <v>DELUCCHI, GUSTAVO</v>
      </c>
      <c r="E1128" s="58">
        <v>45992.0</v>
      </c>
      <c r="F1128" s="145"/>
      <c r="G1128" s="59" t="s">
        <v>39</v>
      </c>
      <c r="H1128" s="60">
        <f>IF( ISERROR( OFFSET(   'Cuadro tarifario'!D$2  , MATCH(CONCATENATE(                 IF(F1128&gt;Mes,OFFSET(NroCT!B$17, MATCH($F1128,NroCT!$A$18:$A1405,0),0,1,1),Periodovigente)                                                                                                                     ,A1128) ,'Cuadro tarifario'!A$2:A1405,0) -1 , 0 , 1 , 1) )   , 0  ,   OFFSET(   'Cuadro tarifario'!D$2  , MATCH(CONCATENATE( IF(F1128&gt;Mes,OFFSET(NroCT!B$17, MATCH($F1128,NroCT!$A$18:$A1405,0),0,1,1),Periodovigente) ,A1128) ,'Cuadro tarifario'!A$2:A1405,0) -1 , 0 , 1 , 1))</f>
        <v>11000</v>
      </c>
      <c r="I1128" s="61">
        <f t="shared" si="252"/>
        <v>0</v>
      </c>
      <c r="J1128" s="60">
        <f t="shared" si="305"/>
        <v>0</v>
      </c>
      <c r="K1128" s="62">
        <f>IF(  AND(N1128&gt;0,I1128=0)          ,N1128 ,                         IF(  IF( F1128 ,  DAYS360(DATE(YEAR(F1128),MONTH(F1128),1),Mes)/30  ,  DAYS360(DATE(YEAR(E1128),MONTH(E1128),1),Mes)/30  )  &gt;  0 , IF(F1128,   DAYS360(DATE(YEAR(F1128),MONTH(F1128),1),Mes)/30  ,  DAYS360(DATE(YEAR(E1128),MONTH(E1128),1),Mes)/30) , 0)       )</f>
        <v>0</v>
      </c>
      <c r="L1128" s="63">
        <f t="shared" si="253"/>
        <v>0</v>
      </c>
      <c r="M1128" s="162"/>
      <c r="N1128" s="97">
        <f>IF( ISERROR(OFFSET(SECUESTRADOS!D$1,MATCH(B1128,SECUESTRADOS!A$2:A1405,0),0)) ,0 ,  OFFSET(SECUESTRADOS!D$1,MATCH(B1128,SECUESTRADOS!A$2:A1405,0),0)  )</f>
        <v>0</v>
      </c>
      <c r="O1128" s="98"/>
      <c r="P1128" s="99" t="b">
        <f t="shared" si="238"/>
        <v>0</v>
      </c>
      <c r="Q1128" s="99" t="str">
        <f t="shared" si="304"/>
        <v>#REF!</v>
      </c>
      <c r="R1128" s="130"/>
      <c r="S1128" s="130"/>
      <c r="T1128" s="130"/>
    </row>
    <row r="1129">
      <c r="A1129" s="18" t="s">
        <v>38</v>
      </c>
      <c r="B1129" s="116">
        <v>2284.0</v>
      </c>
      <c r="C1129" s="140">
        <v>2284.0</v>
      </c>
      <c r="D1129" s="57" t="str">
        <f>IF(   ISERROR(OFFSET(PADRON!B$2,MATCH(C:C,PADRON!A$2:A1405,0)-1,0,1,1) )  ,  ,    OFFSET(PADRON!B$2,MATCH(C:C,PADRON!A$2:A1405,0)-1,0,1,1))</f>
        <v>DELUCCHI, GUSTAVO</v>
      </c>
      <c r="E1129" s="58">
        <v>45992.0</v>
      </c>
      <c r="F1129" s="145"/>
      <c r="G1129" s="59" t="s">
        <v>39</v>
      </c>
      <c r="H1129" s="60">
        <f>IF( ISERROR( OFFSET(   'Cuadro tarifario'!D$2  , MATCH(CONCATENATE(                 IF(F1129&gt;Mes,OFFSET(NroCT!B$17, MATCH($F1129,NroCT!$A$18:$A1405,0),0,1,1),Periodovigente)                                                                                                                     ,A1129) ,'Cuadro tarifario'!A$2:A1405,0) -1 , 0 , 1 , 1) )   , 0  ,   OFFSET(   'Cuadro tarifario'!D$2  , MATCH(CONCATENATE( IF(F1129&gt;Mes,OFFSET(NroCT!B$17, MATCH($F1129,NroCT!$A$18:$A1405,0),0,1,1),Periodovigente) ,A1129) ,'Cuadro tarifario'!A$2:A1405,0) -1 , 0 , 1 , 1))</f>
        <v>9000</v>
      </c>
      <c r="I1129" s="61">
        <f t="shared" si="252"/>
        <v>0</v>
      </c>
      <c r="J1129" s="60">
        <f t="shared" si="305"/>
        <v>0</v>
      </c>
      <c r="K1129" s="62">
        <f>IF(  AND(N1129&gt;0,I1129=0)          ,N1129 ,                         IF(  IF( F1129 ,  DAYS360(DATE(YEAR(F1129),MONTH(F1129),1),Mes)/30  ,  DAYS360(DATE(YEAR(E1129),MONTH(E1129),1),Mes)/30  )  &gt;  0 , IF(F1129,   DAYS360(DATE(YEAR(F1129),MONTH(F1129),1),Mes)/30  ,  DAYS360(DATE(YEAR(E1129),MONTH(E1129),1),Mes)/30) , 0)       )</f>
        <v>0</v>
      </c>
      <c r="L1129" s="63">
        <f t="shared" si="253"/>
        <v>0</v>
      </c>
      <c r="M1129" s="162"/>
      <c r="N1129" s="97">
        <f>IF( ISERROR(OFFSET(SECUESTRADOS!D$1,MATCH(B1129,SECUESTRADOS!A$2:A1405,0),0)) ,0 ,  OFFSET(SECUESTRADOS!D$1,MATCH(B1129,SECUESTRADOS!A$2:A1405,0),0)  )</f>
        <v>0</v>
      </c>
      <c r="O1129" s="98"/>
      <c r="P1129" s="99" t="b">
        <f t="shared" si="238"/>
        <v>0</v>
      </c>
      <c r="Q1129" s="99" t="str">
        <f t="shared" si="304"/>
        <v>#REF!</v>
      </c>
      <c r="R1129" s="130"/>
      <c r="S1129" s="130"/>
      <c r="T1129" s="130"/>
    </row>
    <row r="1130">
      <c r="A1130" s="18" t="s">
        <v>40</v>
      </c>
      <c r="B1130" s="116" t="s">
        <v>454</v>
      </c>
      <c r="C1130" s="140">
        <v>2284.0</v>
      </c>
      <c r="D1130" s="57" t="str">
        <f>IF(   ISERROR(OFFSET(PADRON!B$2,MATCH(C:C,PADRON!A$2:A1405,0)-1,0,1,1) )  ,  ,    OFFSET(PADRON!B$2,MATCH(C:C,PADRON!A$2:A1405,0)-1,0,1,1))</f>
        <v>DELUCCHI, GUSTAVO</v>
      </c>
      <c r="E1130" s="58">
        <v>45992.0</v>
      </c>
      <c r="F1130" s="145"/>
      <c r="G1130" s="59" t="s">
        <v>39</v>
      </c>
      <c r="H1130" s="60">
        <f>IF( ISERROR( OFFSET(   'Cuadro tarifario'!D$2  , MATCH(CONCATENATE(                 IF(F1130&gt;Mes,OFFSET(NroCT!B$17, MATCH($F1130,NroCT!$A$18:$A1405,0),0,1,1),Periodovigente)                                                                                                                     ,A1130) ,'Cuadro tarifario'!A$2:A1405,0) -1 , 0 , 1 , 1) )   , 0  ,   OFFSET(   'Cuadro tarifario'!D$2  , MATCH(CONCATENATE( IF(F1130&gt;Mes,OFFSET(NroCT!B$17, MATCH($F1130,NroCT!$A$18:$A1405,0),0,1,1),Periodovigente) ,A1130) ,'Cuadro tarifario'!A$2:A1405,0) -1 , 0 , 1 , 1))</f>
        <v>12000</v>
      </c>
      <c r="I1130" s="61">
        <f t="shared" si="252"/>
        <v>0</v>
      </c>
      <c r="J1130" s="60">
        <f t="shared" si="305"/>
        <v>0</v>
      </c>
      <c r="K1130" s="62">
        <f>IF(  AND(N1130&gt;0,I1130=0)          ,N1130 ,                         IF(  IF( F1130 ,  DAYS360(DATE(YEAR(F1130),MONTH(F1130),1),Mes)/30  ,  DAYS360(DATE(YEAR(E1130),MONTH(E1130),1),Mes)/30  )  &gt;  0 , IF(F1130,   DAYS360(DATE(YEAR(F1130),MONTH(F1130),1),Mes)/30  ,  DAYS360(DATE(YEAR(E1130),MONTH(E1130),1),Mes)/30) , 0)       )</f>
        <v>0</v>
      </c>
      <c r="L1130" s="63">
        <f t="shared" si="253"/>
        <v>0</v>
      </c>
      <c r="M1130" s="162"/>
      <c r="N1130" s="97">
        <f>IF( ISERROR(OFFSET(SECUESTRADOS!D$1,MATCH(B1130,SECUESTRADOS!A$2:A1405,0),0)) ,0 ,  OFFSET(SECUESTRADOS!D$1,MATCH(B1130,SECUESTRADOS!A$2:A1405,0),0)  )</f>
        <v>0</v>
      </c>
      <c r="O1130" s="98"/>
      <c r="P1130" s="99" t="b">
        <f t="shared" si="238"/>
        <v>0</v>
      </c>
      <c r="Q1130" s="99" t="str">
        <f t="shared" si="304"/>
        <v>#REF!</v>
      </c>
      <c r="R1130" s="130"/>
      <c r="S1130" s="130"/>
      <c r="T1130" s="130"/>
    </row>
    <row r="1131">
      <c r="A1131" s="18" t="s">
        <v>71</v>
      </c>
      <c r="B1131" s="116">
        <v>2286.0</v>
      </c>
      <c r="C1131" s="140">
        <v>2286.0</v>
      </c>
      <c r="D1131" s="57" t="str">
        <f>IF(   ISERROR(OFFSET(PADRON!B$2,MATCH(C:C,PADRON!A$2:A1405,0)-1,0,1,1) )  ,  ,    OFFSET(PADRON!B$2,MATCH(C:C,PADRON!A$2:A1405,0)-1,0,1,1))</f>
        <v>TASSINARI, MAXIMO</v>
      </c>
      <c r="E1131" s="58">
        <v>45748.0</v>
      </c>
      <c r="F1131" s="145"/>
      <c r="G1131" s="59" t="s">
        <v>39</v>
      </c>
      <c r="H1131" s="60">
        <f>IF( ISERROR( OFFSET(   'Cuadro tarifario'!D$2  , MATCH(CONCATENATE(                 IF(F1131&gt;Mes,OFFSET(NroCT!B$17, MATCH($F1131,NroCT!$A$18:$A1405,0),0,1,1),Periodovigente)                                                                                                                     ,A1131) ,'Cuadro tarifario'!A$2:A1405,0) -1 , 0 , 1 , 1) )   , 0  ,   OFFSET(   'Cuadro tarifario'!D$2  , MATCH(CONCATENATE( IF(F1131&gt;Mes,OFFSET(NroCT!B$17, MATCH($F1131,NroCT!$A$18:$A1405,0),0,1,1),Periodovigente) ,A1131) ,'Cuadro tarifario'!A$2:A1405,0) -1 , 0 , 1 , 1))</f>
        <v>11000</v>
      </c>
      <c r="I1131" s="61">
        <f t="shared" si="252"/>
        <v>0</v>
      </c>
      <c r="J1131" s="60">
        <f t="shared" si="305"/>
        <v>0</v>
      </c>
      <c r="K1131" s="62">
        <f>IF(  AND(N1131&gt;0,I1131=0)          ,N1131 ,                         IF(  IF( F1131 ,  DAYS360(DATE(YEAR(F1131),MONTH(F1131),1),Mes)/30  ,  DAYS360(DATE(YEAR(E1131),MONTH(E1131),1),Mes)/30  )  &gt;  0 , IF(F1131,   DAYS360(DATE(YEAR(F1131),MONTH(F1131),1),Mes)/30  ,  DAYS360(DATE(YEAR(E1131),MONTH(E1131),1),Mes)/30) , 0)       )</f>
        <v>4</v>
      </c>
      <c r="L1131" s="63">
        <f t="shared" si="253"/>
        <v>44000</v>
      </c>
      <c r="M1131" s="162"/>
      <c r="N1131" s="97">
        <f>IF( ISERROR(OFFSET(SECUESTRADOS!D$1,MATCH(B1131,SECUESTRADOS!A$2:A1405,0),0)) ,0 ,  OFFSET(SECUESTRADOS!D$1,MATCH(B1131,SECUESTRADOS!A$2:A1405,0),0)  )</f>
        <v>0</v>
      </c>
      <c r="O1131" s="98"/>
      <c r="P1131" s="99" t="b">
        <f t="shared" si="238"/>
        <v>0</v>
      </c>
      <c r="Q1131" s="99" t="str">
        <f t="shared" si="304"/>
        <v>#REF!</v>
      </c>
      <c r="R1131" s="130"/>
      <c r="S1131" s="130"/>
      <c r="T1131" s="130"/>
    </row>
    <row r="1132">
      <c r="A1132" s="18" t="s">
        <v>38</v>
      </c>
      <c r="B1132" s="116">
        <v>2286.0</v>
      </c>
      <c r="C1132" s="140">
        <v>2286.0</v>
      </c>
      <c r="D1132" s="57" t="str">
        <f>IF(   ISERROR(OFFSET(PADRON!B$2,MATCH(C:C,PADRON!A$2:A1405,0)-1,0,1,1) )  ,  ,    OFFSET(PADRON!B$2,MATCH(C:C,PADRON!A$2:A1405,0)-1,0,1,1))</f>
        <v>TASSINARI, MAXIMO</v>
      </c>
      <c r="E1132" s="58">
        <v>45748.0</v>
      </c>
      <c r="F1132" s="145"/>
      <c r="G1132" s="59" t="s">
        <v>39</v>
      </c>
      <c r="H1132" s="60">
        <f>IF( ISERROR( OFFSET(   'Cuadro tarifario'!D$2  , MATCH(CONCATENATE(                 IF(F1132&gt;Mes,OFFSET(NroCT!B$17, MATCH($F1132,NroCT!$A$18:$A1405,0),0,1,1),Periodovigente)                                                                                                                     ,A1132) ,'Cuadro tarifario'!A$2:A1405,0) -1 , 0 , 1 , 1) )   , 0  ,   OFFSET(   'Cuadro tarifario'!D$2  , MATCH(CONCATENATE( IF(F1132&gt;Mes,OFFSET(NroCT!B$17, MATCH($F1132,NroCT!$A$18:$A1405,0),0,1,1),Periodovigente) ,A1132) ,'Cuadro tarifario'!A$2:A1405,0) -1 , 0 , 1 , 1))</f>
        <v>9000</v>
      </c>
      <c r="I1132" s="61">
        <f t="shared" si="252"/>
        <v>0</v>
      </c>
      <c r="J1132" s="60">
        <f t="shared" si="305"/>
        <v>0</v>
      </c>
      <c r="K1132" s="62">
        <f>IF(  AND(N1132&gt;0,I1132=0)          ,N1132 ,                         IF(  IF( F1132 ,  DAYS360(DATE(YEAR(F1132),MONTH(F1132),1),Mes)/30  ,  DAYS360(DATE(YEAR(E1132),MONTH(E1132),1),Mes)/30  )  &gt;  0 , IF(F1132,   DAYS360(DATE(YEAR(F1132),MONTH(F1132),1),Mes)/30  ,  DAYS360(DATE(YEAR(E1132),MONTH(E1132),1),Mes)/30) , 0)       )</f>
        <v>4</v>
      </c>
      <c r="L1132" s="63">
        <f t="shared" si="253"/>
        <v>36000</v>
      </c>
      <c r="M1132" s="162"/>
      <c r="N1132" s="97">
        <f>IF( ISERROR(OFFSET(SECUESTRADOS!D$1,MATCH(B1132,SECUESTRADOS!A$2:A1405,0),0)) ,0 ,  OFFSET(SECUESTRADOS!D$1,MATCH(B1132,SECUESTRADOS!A$2:A1405,0),0)  )</f>
        <v>0</v>
      </c>
      <c r="O1132" s="98"/>
      <c r="P1132" s="99" t="b">
        <f t="shared" si="238"/>
        <v>0</v>
      </c>
      <c r="Q1132" s="99" t="str">
        <f t="shared" si="304"/>
        <v>#REF!</v>
      </c>
      <c r="R1132" s="130"/>
      <c r="S1132" s="130"/>
      <c r="T1132" s="130"/>
    </row>
    <row r="1133">
      <c r="A1133" s="18" t="s">
        <v>71</v>
      </c>
      <c r="B1133" s="116">
        <v>2287.0</v>
      </c>
      <c r="C1133" s="140">
        <v>2287.0</v>
      </c>
      <c r="D1133" s="57" t="str">
        <f>IF(   ISERROR(OFFSET(PADRON!B$2,MATCH(C:C,PADRON!A$2:A1405,0)-1,0,1,1) )  ,  ,    OFFSET(PADRON!B$2,MATCH(C:C,PADRON!A$2:A1405,0)-1,0,1,1))</f>
        <v>LUISI, GASTON</v>
      </c>
      <c r="E1133" s="58">
        <v>45778.0</v>
      </c>
      <c r="F1133" s="145">
        <v>45839.0</v>
      </c>
      <c r="G1133" s="59" t="s">
        <v>39</v>
      </c>
      <c r="H1133" s="60">
        <f>IF( ISERROR( OFFSET(   'Cuadro tarifario'!D$2  , MATCH(CONCATENATE(                 IF(F1133&gt;Mes,OFFSET(NroCT!B$17, MATCH($F1133,NroCT!$A$18:$A1405,0),0,1,1),Periodovigente)                                                                                                                     ,A1133) ,'Cuadro tarifario'!A$2:A1405,0) -1 , 0 , 1 , 1) )   , 0  ,   OFFSET(   'Cuadro tarifario'!D$2  , MATCH(CONCATENATE( IF(F1133&gt;Mes,OFFSET(NroCT!B$17, MATCH($F1133,NroCT!$A$18:$A1405,0),0,1,1),Periodovigente) ,A1133) ,'Cuadro tarifario'!A$2:A1405,0) -1 , 0 , 1 , 1))</f>
        <v>11000</v>
      </c>
      <c r="I1133" s="61">
        <f t="shared" si="252"/>
        <v>2</v>
      </c>
      <c r="J1133" s="60">
        <f t="shared" si="305"/>
        <v>22000</v>
      </c>
      <c r="K1133" s="62">
        <f>IF(  AND(N1133&gt;0,I1133=0)          ,N1133 ,                         IF(  IF( F1133 ,  DAYS360(DATE(YEAR(F1133),MONTH(F1133),1),Mes)/30  ,  DAYS360(DATE(YEAR(E1133),MONTH(E1133),1),Mes)/30  )  &gt;  0 , IF(F1133,   DAYS360(DATE(YEAR(F1133),MONTH(F1133),1),Mes)/30  ,  DAYS360(DATE(YEAR(E1133),MONTH(E1133),1),Mes)/30) , 0)       )</f>
        <v>1</v>
      </c>
      <c r="L1133" s="63">
        <f t="shared" si="253"/>
        <v>11000</v>
      </c>
      <c r="M1133" s="162"/>
      <c r="N1133" s="97">
        <f>IF( ISERROR(OFFSET(SECUESTRADOS!D$1,MATCH(B1133,SECUESTRADOS!A$2:A1405,0),0)) ,0 ,  OFFSET(SECUESTRADOS!D$1,MATCH(B1133,SECUESTRADOS!A$2:A1405,0),0)  )</f>
        <v>0</v>
      </c>
      <c r="O1133" s="98"/>
      <c r="P1133" s="99" t="str">
        <f t="shared" si="238"/>
        <v>.socio</v>
      </c>
      <c r="Q1133" s="99" t="str">
        <f t="shared" si="304"/>
        <v>#REF!</v>
      </c>
      <c r="R1133" s="130"/>
      <c r="S1133" s="130"/>
      <c r="T1133" s="130"/>
    </row>
    <row r="1134">
      <c r="A1134" s="18" t="s">
        <v>38</v>
      </c>
      <c r="B1134" s="116">
        <v>2287.0</v>
      </c>
      <c r="C1134" s="140">
        <v>2287.0</v>
      </c>
      <c r="D1134" s="57" t="str">
        <f>IF(   ISERROR(OFFSET(PADRON!B$2,MATCH(C:C,PADRON!A$2:A1405,0)-1,0,1,1) )  ,  ,    OFFSET(PADRON!B$2,MATCH(C:C,PADRON!A$2:A1405,0)-1,0,1,1))</f>
        <v>LUISI, GASTON</v>
      </c>
      <c r="E1134" s="58">
        <v>45778.0</v>
      </c>
      <c r="F1134" s="145">
        <v>45839.0</v>
      </c>
      <c r="G1134" s="59" t="s">
        <v>39</v>
      </c>
      <c r="H1134" s="60">
        <f>IF( ISERROR( OFFSET(   'Cuadro tarifario'!D$2  , MATCH(CONCATENATE(                 IF(F1134&gt;Mes,OFFSET(NroCT!B$17, MATCH($F1134,NroCT!$A$18:$A1405,0),0,1,1),Periodovigente)                                                                                                                     ,A1134) ,'Cuadro tarifario'!A$2:A1405,0) -1 , 0 , 1 , 1) )   , 0  ,   OFFSET(   'Cuadro tarifario'!D$2  , MATCH(CONCATENATE( IF(F1134&gt;Mes,OFFSET(NroCT!B$17, MATCH($F1134,NroCT!$A$18:$A1405,0),0,1,1),Periodovigente) ,A1134) ,'Cuadro tarifario'!A$2:A1405,0) -1 , 0 , 1 , 1))</f>
        <v>9000</v>
      </c>
      <c r="I1134" s="61">
        <f t="shared" si="252"/>
        <v>2</v>
      </c>
      <c r="J1134" s="60">
        <f t="shared" si="305"/>
        <v>18000</v>
      </c>
      <c r="K1134" s="62">
        <f>IF(  AND(N1134&gt;0,I1134=0)          ,N1134 ,                         IF(  IF( F1134 ,  DAYS360(DATE(YEAR(F1134),MONTH(F1134),1),Mes)/30  ,  DAYS360(DATE(YEAR(E1134),MONTH(E1134),1),Mes)/30  )  &gt;  0 , IF(F1134,   DAYS360(DATE(YEAR(F1134),MONTH(F1134),1),Mes)/30  ,  DAYS360(DATE(YEAR(E1134),MONTH(E1134),1),Mes)/30) , 0)       )</f>
        <v>1</v>
      </c>
      <c r="L1134" s="63">
        <f t="shared" si="253"/>
        <v>9000</v>
      </c>
      <c r="M1134" s="162"/>
      <c r="N1134" s="97">
        <f>IF( ISERROR(OFFSET(SECUESTRADOS!D$1,MATCH(B1134,SECUESTRADOS!A$2:A1405,0),0)) ,0 ,  OFFSET(SECUESTRADOS!D$1,MATCH(B1134,SECUESTRADOS!A$2:A1405,0),0)  )</f>
        <v>0</v>
      </c>
      <c r="O1134" s="98"/>
      <c r="P1134" s="99" t="str">
        <f t="shared" si="238"/>
        <v>Bono canon</v>
      </c>
      <c r="Q1134" s="99" t="str">
        <f t="shared" si="304"/>
        <v>#REF!</v>
      </c>
      <c r="R1134" s="130"/>
      <c r="S1134" s="130"/>
      <c r="T1134" s="130"/>
    </row>
    <row r="1135">
      <c r="A1135" s="18" t="s">
        <v>82</v>
      </c>
      <c r="B1135" s="116" t="s">
        <v>455</v>
      </c>
      <c r="C1135" s="140">
        <v>2287.0</v>
      </c>
      <c r="D1135" s="57" t="str">
        <f>IF(   ISERROR(OFFSET(PADRON!B$2,MATCH(C:C,PADRON!A$2:A1405,0)-1,0,1,1) )  ,  ,    OFFSET(PADRON!B$2,MATCH(C:C,PADRON!A$2:A1405,0)-1,0,1,1))</f>
        <v>LUISI, GASTON</v>
      </c>
      <c r="E1135" s="58">
        <v>45778.0</v>
      </c>
      <c r="F1135" s="145">
        <v>45839.0</v>
      </c>
      <c r="G1135" s="59" t="s">
        <v>39</v>
      </c>
      <c r="H1135" s="60">
        <f>IF( ISERROR( OFFSET(   'Cuadro tarifario'!D$2  , MATCH(CONCATENATE(                 IF(F1135&gt;Mes,OFFSET(NroCT!B$17, MATCH($F1135,NroCT!$A$18:$A1405,0),0,1,1),Periodovigente)                                                                                                                     ,A1135) ,'Cuadro tarifario'!A$2:A1405,0) -1 , 0 , 1 , 1) )   , 0  ,   OFFSET(   'Cuadro tarifario'!D$2  , MATCH(CONCATENATE( IF(F1135&gt;Mes,OFFSET(NroCT!B$17, MATCH($F1135,NroCT!$A$18:$A1405,0),0,1,1),Periodovigente) ,A1135) ,'Cuadro tarifario'!A$2:A1405,0) -1 , 0 , 1 , 1))</f>
        <v>12000</v>
      </c>
      <c r="I1135" s="61">
        <f t="shared" si="252"/>
        <v>2</v>
      </c>
      <c r="J1135" s="60">
        <f t="shared" si="305"/>
        <v>24000</v>
      </c>
      <c r="K1135" s="62">
        <f>IF(  AND(N1135&gt;0,I1135=0)          ,N1135 ,                         IF(  IF( F1135 ,  DAYS360(DATE(YEAR(F1135),MONTH(F1135),1),Mes)/30  ,  DAYS360(DATE(YEAR(E1135),MONTH(E1135),1),Mes)/30  )  &gt;  0 , IF(F1135,   DAYS360(DATE(YEAR(F1135),MONTH(F1135),1),Mes)/30  ,  DAYS360(DATE(YEAR(E1135),MONTH(E1135),1),Mes)/30) , 0)       )</f>
        <v>1</v>
      </c>
      <c r="L1135" s="63">
        <f t="shared" si="253"/>
        <v>12000</v>
      </c>
      <c r="M1135" s="162"/>
      <c r="N1135" s="97">
        <f>IF( ISERROR(OFFSET(SECUESTRADOS!D$1,MATCH(B1135,SECUESTRADOS!A$2:A1405,0),0)) ,0 ,  OFFSET(SECUESTRADOS!D$1,MATCH(B1135,SECUESTRADOS!A$2:A1405,0),0)  )</f>
        <v>0</v>
      </c>
      <c r="O1135" s="98"/>
      <c r="P1135" s="99" t="str">
        <f t="shared" si="238"/>
        <v>cuna kayak</v>
      </c>
      <c r="Q1135" s="99" t="str">
        <f t="shared" si="304"/>
        <v>#REF!</v>
      </c>
      <c r="R1135" s="130"/>
      <c r="S1135" s="130"/>
      <c r="T1135" s="130"/>
    </row>
    <row r="1136">
      <c r="A1136" s="18" t="s">
        <v>71</v>
      </c>
      <c r="B1136" s="116">
        <v>2288.0</v>
      </c>
      <c r="C1136" s="140">
        <v>2288.0</v>
      </c>
      <c r="D1136" s="57" t="str">
        <f>IF(   ISERROR(OFFSET(PADRON!B$2,MATCH(C:C,PADRON!A$2:A1405,0)-1,0,1,1) )  ,  ,    OFFSET(PADRON!B$2,MATCH(C:C,PADRON!A$2:A1405,0)-1,0,1,1))</f>
        <v>BULFON, MARCELO</v>
      </c>
      <c r="E1136" s="58">
        <v>45689.0</v>
      </c>
      <c r="F1136" s="145"/>
      <c r="G1136" s="59" t="s">
        <v>39</v>
      </c>
      <c r="H1136" s="60">
        <f>IF( ISERROR( OFFSET(   'Cuadro tarifario'!D$2  , MATCH(CONCATENATE(                 IF(F1136&gt;Mes,OFFSET(NroCT!B$17, MATCH($F1136,NroCT!$A$18:$A1405,0),0,1,1),Periodovigente)                                                                                                                     ,A1136) ,'Cuadro tarifario'!A$2:A1405,0) -1 , 0 , 1 , 1) )   , 0  ,   OFFSET(   'Cuadro tarifario'!D$2  , MATCH(CONCATENATE( IF(F1136&gt;Mes,OFFSET(NroCT!B$17, MATCH($F1136,NroCT!$A$18:$A1405,0),0,1,1),Periodovigente) ,A1136) ,'Cuadro tarifario'!A$2:A1405,0) -1 , 0 , 1 , 1))</f>
        <v>11000</v>
      </c>
      <c r="I1136" s="61">
        <f t="shared" si="252"/>
        <v>0</v>
      </c>
      <c r="J1136" s="60">
        <f t="shared" si="305"/>
        <v>0</v>
      </c>
      <c r="K1136" s="62">
        <f>IF(  AND(N1136&gt;0,I1136=0)          ,N1136 ,                         IF(  IF( F1136 ,  DAYS360(DATE(YEAR(F1136),MONTH(F1136),1),Mes)/30  ,  DAYS360(DATE(YEAR(E1136),MONTH(E1136),1),Mes)/30  )  &gt;  0 , IF(F1136,   DAYS360(DATE(YEAR(F1136),MONTH(F1136),1),Mes)/30  ,  DAYS360(DATE(YEAR(E1136),MONTH(E1136),1),Mes)/30) , 0)       )</f>
        <v>6</v>
      </c>
      <c r="L1136" s="63">
        <f t="shared" si="253"/>
        <v>66000</v>
      </c>
      <c r="M1136" s="162"/>
      <c r="N1136" s="97">
        <f>IF( ISERROR(OFFSET(SECUESTRADOS!D$1,MATCH(B1136,SECUESTRADOS!A$2:A1405,0),0)) ,0 ,  OFFSET(SECUESTRADOS!D$1,MATCH(B1136,SECUESTRADOS!A$2:A1405,0),0)  )</f>
        <v>0</v>
      </c>
      <c r="O1136" s="98"/>
      <c r="P1136" s="99" t="b">
        <f t="shared" si="238"/>
        <v>0</v>
      </c>
      <c r="Q1136" s="99" t="str">
        <f t="shared" si="304"/>
        <v>#REF!</v>
      </c>
      <c r="R1136" s="130"/>
      <c r="S1136" s="130"/>
      <c r="T1136" s="130"/>
    </row>
    <row r="1137">
      <c r="A1137" s="18" t="s">
        <v>38</v>
      </c>
      <c r="B1137" s="116">
        <v>2288.0</v>
      </c>
      <c r="C1137" s="140">
        <v>2288.0</v>
      </c>
      <c r="D1137" s="57" t="str">
        <f>IF(   ISERROR(OFFSET(PADRON!B$2,MATCH(C:C,PADRON!A$2:A1405,0)-1,0,1,1) )  ,  ,    OFFSET(PADRON!B$2,MATCH(C:C,PADRON!A$2:A1405,0)-1,0,1,1))</f>
        <v>BULFON, MARCELO</v>
      </c>
      <c r="E1137" s="58">
        <v>45689.0</v>
      </c>
      <c r="F1137" s="145"/>
      <c r="G1137" s="59" t="s">
        <v>39</v>
      </c>
      <c r="H1137" s="60">
        <f>IF( ISERROR( OFFSET(   'Cuadro tarifario'!D$2  , MATCH(CONCATENATE(                 IF(F1137&gt;Mes,OFFSET(NroCT!B$17, MATCH($F1137,NroCT!$A$18:$A1405,0),0,1,1),Periodovigente)                                                                                                                     ,A1137) ,'Cuadro tarifario'!A$2:A1405,0) -1 , 0 , 1 , 1) )   , 0  ,   OFFSET(   'Cuadro tarifario'!D$2  , MATCH(CONCATENATE( IF(F1137&gt;Mes,OFFSET(NroCT!B$17, MATCH($F1137,NroCT!$A$18:$A1405,0),0,1,1),Periodovigente) ,A1137) ,'Cuadro tarifario'!A$2:A1405,0) -1 , 0 , 1 , 1))</f>
        <v>9000</v>
      </c>
      <c r="I1137" s="61">
        <f t="shared" si="252"/>
        <v>0</v>
      </c>
      <c r="J1137" s="60">
        <f t="shared" si="305"/>
        <v>0</v>
      </c>
      <c r="K1137" s="62">
        <f>IF(  AND(N1137&gt;0,I1137=0)          ,N1137 ,                         IF(  IF( F1137 ,  DAYS360(DATE(YEAR(F1137),MONTH(F1137),1),Mes)/30  ,  DAYS360(DATE(YEAR(E1137),MONTH(E1137),1),Mes)/30  )  &gt;  0 , IF(F1137,   DAYS360(DATE(YEAR(F1137),MONTH(F1137),1),Mes)/30  ,  DAYS360(DATE(YEAR(E1137),MONTH(E1137),1),Mes)/30) , 0)       )</f>
        <v>6</v>
      </c>
      <c r="L1137" s="63">
        <f t="shared" si="253"/>
        <v>54000</v>
      </c>
      <c r="M1137" s="162"/>
      <c r="N1137" s="97">
        <f>IF( ISERROR(OFFSET(SECUESTRADOS!D$1,MATCH(B1137,SECUESTRADOS!A$2:A1405,0),0)) ,0 ,  OFFSET(SECUESTRADOS!D$1,MATCH(B1137,SECUESTRADOS!A$2:A1405,0),0)  )</f>
        <v>0</v>
      </c>
      <c r="O1137" s="98"/>
      <c r="P1137" s="99" t="b">
        <f t="shared" si="238"/>
        <v>0</v>
      </c>
      <c r="Q1137" s="99" t="str">
        <f t="shared" si="304"/>
        <v>#REF!</v>
      </c>
      <c r="R1137" s="130"/>
      <c r="S1137" s="130"/>
      <c r="T1137" s="130"/>
    </row>
    <row r="1138">
      <c r="A1138" s="18" t="s">
        <v>71</v>
      </c>
      <c r="B1138" s="116">
        <v>2289.0</v>
      </c>
      <c r="C1138" s="140">
        <v>2289.0</v>
      </c>
      <c r="D1138" s="57" t="str">
        <f>IF(   ISERROR(OFFSET(PADRON!B$2,MATCH(C:C,PADRON!A$2:A1405,0)-1,0,1,1) )  ,  ,    OFFSET(PADRON!B$2,MATCH(C:C,PADRON!A$2:A1405,0)-1,0,1,1))</f>
        <v>FALBO, ANIBAL JOSE</v>
      </c>
      <c r="E1138" s="58">
        <v>45992.0</v>
      </c>
      <c r="F1138" s="145"/>
      <c r="G1138" s="59" t="s">
        <v>39</v>
      </c>
      <c r="H1138" s="60">
        <f>IF( ISERROR( OFFSET(   'Cuadro tarifario'!D$2  , MATCH(CONCATENATE(                 IF(F1138&gt;Mes,OFFSET(NroCT!B$17, MATCH($F1138,NroCT!$A$18:$A1405,0),0,1,1),Periodovigente)                                                                                                                     ,A1138) ,'Cuadro tarifario'!A$2:A1405,0) -1 , 0 , 1 , 1) )   , 0  ,   OFFSET(   'Cuadro tarifario'!D$2  , MATCH(CONCATENATE( IF(F1138&gt;Mes,OFFSET(NroCT!B$17, MATCH($F1138,NroCT!$A$18:$A1405,0),0,1,1),Periodovigente) ,A1138) ,'Cuadro tarifario'!A$2:A1405,0) -1 , 0 , 1 , 1))</f>
        <v>11000</v>
      </c>
      <c r="I1138" s="61">
        <f t="shared" si="252"/>
        <v>0</v>
      </c>
      <c r="J1138" s="60">
        <f t="shared" si="305"/>
        <v>0</v>
      </c>
      <c r="K1138" s="62">
        <f>IF(  AND(N1138&gt;0,I1138=0)          ,N1138 ,                         IF(  IF( F1138 ,  DAYS360(DATE(YEAR(F1138),MONTH(F1138),1),Mes)/30  ,  DAYS360(DATE(YEAR(E1138),MONTH(E1138),1),Mes)/30  )  &gt;  0 , IF(F1138,   DAYS360(DATE(YEAR(F1138),MONTH(F1138),1),Mes)/30  ,  DAYS360(DATE(YEAR(E1138),MONTH(E1138),1),Mes)/30) , 0)       )</f>
        <v>0</v>
      </c>
      <c r="L1138" s="63">
        <f t="shared" si="253"/>
        <v>0</v>
      </c>
      <c r="M1138" s="162"/>
      <c r="N1138" s="97">
        <f>IF( ISERROR(OFFSET(SECUESTRADOS!D$1,MATCH(B1138,SECUESTRADOS!A$2:A1405,0),0)) ,0 ,  OFFSET(SECUESTRADOS!D$1,MATCH(B1138,SECUESTRADOS!A$2:A1405,0),0)  )</f>
        <v>0</v>
      </c>
      <c r="O1138" s="98"/>
      <c r="P1138" s="99" t="b">
        <f t="shared" si="238"/>
        <v>0</v>
      </c>
      <c r="Q1138" s="99" t="str">
        <f t="shared" si="304"/>
        <v>#REF!</v>
      </c>
      <c r="R1138" s="130"/>
      <c r="S1138" s="130"/>
      <c r="T1138" s="130"/>
    </row>
    <row r="1139">
      <c r="A1139" s="18" t="s">
        <v>38</v>
      </c>
      <c r="B1139" s="116">
        <v>2289.0</v>
      </c>
      <c r="C1139" s="140">
        <v>2289.0</v>
      </c>
      <c r="D1139" s="57" t="str">
        <f>IF(   ISERROR(OFFSET(PADRON!B$2,MATCH(C:C,PADRON!A$2:A1405,0)-1,0,1,1) )  ,  ,    OFFSET(PADRON!B$2,MATCH(C:C,PADRON!A$2:A1405,0)-1,0,1,1))</f>
        <v>FALBO, ANIBAL JOSE</v>
      </c>
      <c r="E1139" s="58">
        <v>45992.0</v>
      </c>
      <c r="F1139" s="145"/>
      <c r="G1139" s="59" t="s">
        <v>39</v>
      </c>
      <c r="H1139" s="60">
        <f>IF( ISERROR( OFFSET(   'Cuadro tarifario'!D$2  , MATCH(CONCATENATE(                 IF(F1139&gt;Mes,OFFSET(NroCT!B$17, MATCH($F1139,NroCT!$A$18:$A1405,0),0,1,1),Periodovigente)                                                                                                                     ,A1139) ,'Cuadro tarifario'!A$2:A1405,0) -1 , 0 , 1 , 1) )   , 0  ,   OFFSET(   'Cuadro tarifario'!D$2  , MATCH(CONCATENATE( IF(F1139&gt;Mes,OFFSET(NroCT!B$17, MATCH($F1139,NroCT!$A$18:$A1405,0),0,1,1),Periodovigente) ,A1139) ,'Cuadro tarifario'!A$2:A1405,0) -1 , 0 , 1 , 1))</f>
        <v>9000</v>
      </c>
      <c r="I1139" s="61">
        <f t="shared" si="252"/>
        <v>0</v>
      </c>
      <c r="J1139" s="60">
        <f t="shared" si="305"/>
        <v>0</v>
      </c>
      <c r="K1139" s="62">
        <f>IF(  AND(N1139&gt;0,I1139=0)          ,N1139 ,                         IF(  IF( F1139 ,  DAYS360(DATE(YEAR(F1139),MONTH(F1139),1),Mes)/30  ,  DAYS360(DATE(YEAR(E1139),MONTH(E1139),1),Mes)/30  )  &gt;  0 , IF(F1139,   DAYS360(DATE(YEAR(F1139),MONTH(F1139),1),Mes)/30  ,  DAYS360(DATE(YEAR(E1139),MONTH(E1139),1),Mes)/30) , 0)       )</f>
        <v>0</v>
      </c>
      <c r="L1139" s="63">
        <f t="shared" si="253"/>
        <v>0</v>
      </c>
      <c r="M1139" s="162"/>
      <c r="N1139" s="97">
        <f>IF( ISERROR(OFFSET(SECUESTRADOS!D$1,MATCH(B1139,SECUESTRADOS!A$2:A1405,0),0)) ,0 ,  OFFSET(SECUESTRADOS!D$1,MATCH(B1139,SECUESTRADOS!A$2:A1405,0),0)  )</f>
        <v>0</v>
      </c>
      <c r="O1139" s="98"/>
      <c r="P1139" s="99" t="b">
        <f t="shared" si="238"/>
        <v>0</v>
      </c>
      <c r="Q1139" s="99" t="str">
        <f t="shared" si="304"/>
        <v>#REF!</v>
      </c>
      <c r="R1139" s="130"/>
      <c r="S1139" s="130"/>
      <c r="T1139" s="130"/>
    </row>
    <row r="1140">
      <c r="A1140" s="18" t="s">
        <v>40</v>
      </c>
      <c r="B1140" s="116" t="s">
        <v>456</v>
      </c>
      <c r="C1140" s="140">
        <v>2289.0</v>
      </c>
      <c r="D1140" s="57" t="str">
        <f>IF(   ISERROR(OFFSET(PADRON!B$2,MATCH(C:C,PADRON!A$2:A1405,0)-1,0,1,1) )  ,  ,    OFFSET(PADRON!B$2,MATCH(C:C,PADRON!A$2:A1405,0)-1,0,1,1))</f>
        <v>FALBO, ANIBAL JOSE</v>
      </c>
      <c r="E1140" s="58">
        <v>45992.0</v>
      </c>
      <c r="F1140" s="145"/>
      <c r="G1140" s="59" t="s">
        <v>39</v>
      </c>
      <c r="H1140" s="60">
        <f>IF( ISERROR( OFFSET(   'Cuadro tarifario'!D$2  , MATCH(CONCATENATE(                 IF(F1140&gt;Mes,OFFSET(NroCT!B$17, MATCH($F1140,NroCT!$A$18:$A1405,0),0,1,1),Periodovigente)                                                                                                                     ,A1140) ,'Cuadro tarifario'!A$2:A1405,0) -1 , 0 , 1 , 1) )   , 0  ,   OFFSET(   'Cuadro tarifario'!D$2  , MATCH(CONCATENATE( IF(F1140&gt;Mes,OFFSET(NroCT!B$17, MATCH($F1140,NroCT!$A$18:$A1405,0),0,1,1),Periodovigente) ,A1140) ,'Cuadro tarifario'!A$2:A1405,0) -1 , 0 , 1 , 1))</f>
        <v>12000</v>
      </c>
      <c r="I1140" s="61">
        <f t="shared" si="252"/>
        <v>0</v>
      </c>
      <c r="J1140" s="60">
        <f t="shared" si="305"/>
        <v>0</v>
      </c>
      <c r="K1140" s="62">
        <f>IF(  AND(N1140&gt;0,I1140=0)          ,N1140 ,                         IF(  IF( F1140 ,  DAYS360(DATE(YEAR(F1140),MONTH(F1140),1),Mes)/30  ,  DAYS360(DATE(YEAR(E1140),MONTH(E1140),1),Mes)/30  )  &gt;  0 , IF(F1140,   DAYS360(DATE(YEAR(F1140),MONTH(F1140),1),Mes)/30  ,  DAYS360(DATE(YEAR(E1140),MONTH(E1140),1),Mes)/30) , 0)       )</f>
        <v>0</v>
      </c>
      <c r="L1140" s="63">
        <f t="shared" si="253"/>
        <v>0</v>
      </c>
      <c r="M1140" s="162"/>
      <c r="N1140" s="97">
        <f>IF( ISERROR(OFFSET(SECUESTRADOS!D$1,MATCH(B1140,SECUESTRADOS!A$2:A1405,0),0)) ,0 ,  OFFSET(SECUESTRADOS!D$1,MATCH(B1140,SECUESTRADOS!A$2:A1405,0),0)  )</f>
        <v>0</v>
      </c>
      <c r="O1140" s="98"/>
      <c r="P1140" s="99" t="b">
        <f t="shared" si="238"/>
        <v>0</v>
      </c>
      <c r="Q1140" s="99" t="str">
        <f t="shared" si="304"/>
        <v>#REF!</v>
      </c>
      <c r="R1140" s="130"/>
      <c r="S1140" s="130"/>
      <c r="T1140" s="130"/>
    </row>
    <row r="1141">
      <c r="A1141" s="18" t="s">
        <v>71</v>
      </c>
      <c r="B1141" s="116">
        <v>2290.0</v>
      </c>
      <c r="C1141" s="140">
        <v>2290.0</v>
      </c>
      <c r="D1141" s="57" t="str">
        <f>IF(   ISERROR(OFFSET(PADRON!B$2,MATCH(C:C,PADRON!A$2:A1405,0)-1,0,1,1) )  ,  ,    OFFSET(PADRON!B$2,MATCH(C:C,PADRON!A$2:A1405,0)-1,0,1,1))</f>
        <v>REY, ROXANA MONTSERRAT</v>
      </c>
      <c r="E1141" s="58">
        <v>45839.0</v>
      </c>
      <c r="F1141" s="145">
        <v>45870.0</v>
      </c>
      <c r="G1141" s="59" t="s">
        <v>39</v>
      </c>
      <c r="H1141" s="60">
        <f>IF( ISERROR( OFFSET(   'Cuadro tarifario'!D$2  , MATCH(CONCATENATE(                 IF(F1141&gt;Mes,OFFSET(NroCT!B$17, MATCH($F1141,NroCT!$A$18:$A1405,0),0,1,1),Periodovigente)                                                                                                                     ,A1141) ,'Cuadro tarifario'!A$2:A1405,0) -1 , 0 , 1 , 1) )   , 0  ,   OFFSET(   'Cuadro tarifario'!D$2  , MATCH(CONCATENATE( IF(F1141&gt;Mes,OFFSET(NroCT!B$17, MATCH($F1141,NroCT!$A$18:$A1405,0),0,1,1),Periodovigente) ,A1141) ,'Cuadro tarifario'!A$2:A1405,0) -1 , 0 , 1 , 1))</f>
        <v>11000</v>
      </c>
      <c r="I1141" s="61">
        <f t="shared" si="252"/>
        <v>1</v>
      </c>
      <c r="J1141" s="60">
        <f t="shared" si="305"/>
        <v>11000</v>
      </c>
      <c r="K1141" s="62">
        <f>IF(  AND(N1141&gt;0,I1141=0)          ,N1141 ,                         IF(  IF( F1141 ,  DAYS360(DATE(YEAR(F1141),MONTH(F1141),1),Mes)/30  ,  DAYS360(DATE(YEAR(E1141),MONTH(E1141),1),Mes)/30  )  &gt;  0 , IF(F1141,   DAYS360(DATE(YEAR(F1141),MONTH(F1141),1),Mes)/30  ,  DAYS360(DATE(YEAR(E1141),MONTH(E1141),1),Mes)/30) , 0)       )</f>
        <v>0</v>
      </c>
      <c r="L1141" s="63">
        <f t="shared" si="253"/>
        <v>0</v>
      </c>
      <c r="M1141" s="162"/>
      <c r="N1141" s="97">
        <f>IF( ISERROR(OFFSET(SECUESTRADOS!D$1,MATCH(B1141,SECUESTRADOS!A$2:A1405,0),0)) ,0 ,  OFFSET(SECUESTRADOS!D$1,MATCH(B1141,SECUESTRADOS!A$2:A1405,0),0)  )</f>
        <v>0</v>
      </c>
      <c r="O1141" s="98"/>
      <c r="P1141" s="99" t="str">
        <f t="shared" si="238"/>
        <v>.socio</v>
      </c>
      <c r="Q1141" s="99" t="str">
        <f t="shared" si="304"/>
        <v>#REF!</v>
      </c>
      <c r="R1141" s="130"/>
      <c r="S1141" s="130"/>
      <c r="T1141" s="130"/>
    </row>
    <row r="1142">
      <c r="A1142" s="18" t="s">
        <v>38</v>
      </c>
      <c r="B1142" s="116">
        <v>2290.0</v>
      </c>
      <c r="C1142" s="140">
        <v>2290.0</v>
      </c>
      <c r="D1142" s="57" t="str">
        <f>IF(   ISERROR(OFFSET(PADRON!B$2,MATCH(C:C,PADRON!A$2:A1405,0)-1,0,1,1) )  ,  ,    OFFSET(PADRON!B$2,MATCH(C:C,PADRON!A$2:A1405,0)-1,0,1,1))</f>
        <v>REY, ROXANA MONTSERRAT</v>
      </c>
      <c r="E1142" s="58">
        <v>45839.0</v>
      </c>
      <c r="F1142" s="145">
        <v>45870.0</v>
      </c>
      <c r="G1142" s="59" t="s">
        <v>39</v>
      </c>
      <c r="H1142" s="60">
        <f>IF( ISERROR( OFFSET(   'Cuadro tarifario'!D$2  , MATCH(CONCATENATE(                 IF(F1142&gt;Mes,OFFSET(NroCT!B$17, MATCH($F1142,NroCT!$A$18:$A1405,0),0,1,1),Periodovigente)                                                                                                                     ,A1142) ,'Cuadro tarifario'!A$2:A1405,0) -1 , 0 , 1 , 1) )   , 0  ,   OFFSET(   'Cuadro tarifario'!D$2  , MATCH(CONCATENATE( IF(F1142&gt;Mes,OFFSET(NroCT!B$17, MATCH($F1142,NroCT!$A$18:$A1405,0),0,1,1),Periodovigente) ,A1142) ,'Cuadro tarifario'!A$2:A1405,0) -1 , 0 , 1 , 1))</f>
        <v>9000</v>
      </c>
      <c r="I1142" s="61">
        <f t="shared" si="252"/>
        <v>1</v>
      </c>
      <c r="J1142" s="60">
        <f t="shared" si="305"/>
        <v>9000</v>
      </c>
      <c r="K1142" s="62">
        <f>IF(  AND(N1142&gt;0,I1142=0)          ,N1142 ,                         IF(  IF( F1142 ,  DAYS360(DATE(YEAR(F1142),MONTH(F1142),1),Mes)/30  ,  DAYS360(DATE(YEAR(E1142),MONTH(E1142),1),Mes)/30  )  &gt;  0 , IF(F1142,   DAYS360(DATE(YEAR(F1142),MONTH(F1142),1),Mes)/30  ,  DAYS360(DATE(YEAR(E1142),MONTH(E1142),1),Mes)/30) , 0)       )</f>
        <v>0</v>
      </c>
      <c r="L1142" s="63">
        <f t="shared" si="253"/>
        <v>0</v>
      </c>
      <c r="M1142" s="162"/>
      <c r="N1142" s="97">
        <f>IF( ISERROR(OFFSET(SECUESTRADOS!D$1,MATCH(B1142,SECUESTRADOS!A$2:A1405,0),0)) ,0 ,  OFFSET(SECUESTRADOS!D$1,MATCH(B1142,SECUESTRADOS!A$2:A1405,0),0)  )</f>
        <v>0</v>
      </c>
      <c r="O1142" s="98"/>
      <c r="P1142" s="99" t="str">
        <f t="shared" si="238"/>
        <v>Bono canon</v>
      </c>
      <c r="Q1142" s="99" t="str">
        <f t="shared" si="304"/>
        <v>#REF!</v>
      </c>
      <c r="R1142" s="130"/>
      <c r="S1142" s="130"/>
      <c r="T1142" s="130"/>
    </row>
    <row r="1143">
      <c r="A1143" s="18" t="s">
        <v>71</v>
      </c>
      <c r="B1143" s="116">
        <v>2291.0</v>
      </c>
      <c r="C1143" s="140">
        <v>2291.0</v>
      </c>
      <c r="D1143" s="57" t="str">
        <f>IF(   ISERROR(OFFSET(PADRON!B$2,MATCH(C:C,PADRON!A$2:A1405,0)-1,0,1,1) )  ,  ,    OFFSET(PADRON!B$2,MATCH(C:C,PADRON!A$2:A1405,0)-1,0,1,1))</f>
        <v>MARTINEZ, VALERIA SOLEDAD</v>
      </c>
      <c r="E1143" s="58">
        <v>45839.0</v>
      </c>
      <c r="F1143" s="145">
        <v>45870.0</v>
      </c>
      <c r="G1143" s="59" t="s">
        <v>39</v>
      </c>
      <c r="H1143" s="60">
        <f>IF( ISERROR( OFFSET(   'Cuadro tarifario'!D$2  , MATCH(CONCATENATE(                 IF(F1143&gt;Mes,OFFSET(NroCT!B$17, MATCH($F1143,NroCT!$A$18:$A1405,0),0,1,1),Periodovigente)                                                                                                                     ,A1143) ,'Cuadro tarifario'!A$2:A1405,0) -1 , 0 , 1 , 1) )   , 0  ,   OFFSET(   'Cuadro tarifario'!D$2  , MATCH(CONCATENATE( IF(F1143&gt;Mes,OFFSET(NroCT!B$17, MATCH($F1143,NroCT!$A$18:$A1405,0),0,1,1),Periodovigente) ,A1143) ,'Cuadro tarifario'!A$2:A1405,0) -1 , 0 , 1 , 1))</f>
        <v>11000</v>
      </c>
      <c r="I1143" s="61">
        <f t="shared" si="252"/>
        <v>1</v>
      </c>
      <c r="J1143" s="60">
        <f t="shared" si="305"/>
        <v>11000</v>
      </c>
      <c r="K1143" s="62">
        <f>IF(  AND(N1143&gt;0,I1143=0)          ,N1143 ,                         IF(  IF( F1143 ,  DAYS360(DATE(YEAR(F1143),MONTH(F1143),1),Mes)/30  ,  DAYS360(DATE(YEAR(E1143),MONTH(E1143),1),Mes)/30  )  &gt;  0 , IF(F1143,   DAYS360(DATE(YEAR(F1143),MONTH(F1143),1),Mes)/30  ,  DAYS360(DATE(YEAR(E1143),MONTH(E1143),1),Mes)/30) , 0)       )</f>
        <v>0</v>
      </c>
      <c r="L1143" s="63">
        <f t="shared" si="253"/>
        <v>0</v>
      </c>
      <c r="M1143" s="162"/>
      <c r="N1143" s="97">
        <f>IF( ISERROR(OFFSET(SECUESTRADOS!D$1,MATCH(B1143,SECUESTRADOS!A$2:A1405,0),0)) ,0 ,  OFFSET(SECUESTRADOS!D$1,MATCH(B1143,SECUESTRADOS!A$2:A1405,0),0)  )</f>
        <v>0</v>
      </c>
      <c r="O1143" s="98"/>
      <c r="P1143" s="99" t="str">
        <f t="shared" si="238"/>
        <v>.socio</v>
      </c>
      <c r="Q1143" s="99" t="str">
        <f t="shared" si="304"/>
        <v>#REF!</v>
      </c>
      <c r="R1143" s="130"/>
      <c r="S1143" s="130"/>
      <c r="T1143" s="130"/>
    </row>
    <row r="1144">
      <c r="A1144" s="18" t="s">
        <v>38</v>
      </c>
      <c r="B1144" s="116">
        <v>2291.0</v>
      </c>
      <c r="C1144" s="140">
        <v>2291.0</v>
      </c>
      <c r="D1144" s="57" t="str">
        <f>IF(   ISERROR(OFFSET(PADRON!B$2,MATCH(C:C,PADRON!A$2:A1405,0)-1,0,1,1) )  ,  ,    OFFSET(PADRON!B$2,MATCH(C:C,PADRON!A$2:A1405,0)-1,0,1,1))</f>
        <v>MARTINEZ, VALERIA SOLEDAD</v>
      </c>
      <c r="E1144" s="58">
        <v>45839.0</v>
      </c>
      <c r="F1144" s="145">
        <v>45870.0</v>
      </c>
      <c r="G1144" s="59" t="s">
        <v>39</v>
      </c>
      <c r="H1144" s="60">
        <f>IF( ISERROR( OFFSET(   'Cuadro tarifario'!D$2  , MATCH(CONCATENATE(                 IF(F1144&gt;Mes,OFFSET(NroCT!B$17, MATCH($F1144,NroCT!$A$18:$A1405,0),0,1,1),Periodovigente)                                                                                                                     ,A1144) ,'Cuadro tarifario'!A$2:A1405,0) -1 , 0 , 1 , 1) )   , 0  ,   OFFSET(   'Cuadro tarifario'!D$2  , MATCH(CONCATENATE( IF(F1144&gt;Mes,OFFSET(NroCT!B$17, MATCH($F1144,NroCT!$A$18:$A1405,0),0,1,1),Periodovigente) ,A1144) ,'Cuadro tarifario'!A$2:A1405,0) -1 , 0 , 1 , 1))</f>
        <v>9000</v>
      </c>
      <c r="I1144" s="61">
        <f t="shared" si="252"/>
        <v>1</v>
      </c>
      <c r="J1144" s="60">
        <f t="shared" si="305"/>
        <v>9000</v>
      </c>
      <c r="K1144" s="62">
        <f>IF(  AND(N1144&gt;0,I1144=0)          ,N1144 ,                         IF(  IF( F1144 ,  DAYS360(DATE(YEAR(F1144),MONTH(F1144),1),Mes)/30  ,  DAYS360(DATE(YEAR(E1144),MONTH(E1144),1),Mes)/30  )  &gt;  0 , IF(F1144,   DAYS360(DATE(YEAR(F1144),MONTH(F1144),1),Mes)/30  ,  DAYS360(DATE(YEAR(E1144),MONTH(E1144),1),Mes)/30) , 0)       )</f>
        <v>0</v>
      </c>
      <c r="L1144" s="63">
        <f t="shared" si="253"/>
        <v>0</v>
      </c>
      <c r="M1144" s="162"/>
      <c r="N1144" s="97">
        <f>IF( ISERROR(OFFSET(SECUESTRADOS!D$1,MATCH(B1144,SECUESTRADOS!A$2:A1405,0),0)) ,0 ,  OFFSET(SECUESTRADOS!D$1,MATCH(B1144,SECUESTRADOS!A$2:A1405,0),0)  )</f>
        <v>0</v>
      </c>
      <c r="O1144" s="98"/>
      <c r="P1144" s="99" t="str">
        <f t="shared" si="238"/>
        <v>Bono canon</v>
      </c>
      <c r="Q1144" s="99" t="str">
        <f t="shared" si="304"/>
        <v>#REF!</v>
      </c>
      <c r="R1144" s="130"/>
      <c r="S1144" s="130"/>
      <c r="T1144" s="130"/>
    </row>
    <row r="1145">
      <c r="A1145" s="18" t="s">
        <v>82</v>
      </c>
      <c r="B1145" s="116" t="s">
        <v>457</v>
      </c>
      <c r="C1145" s="140">
        <v>2291.0</v>
      </c>
      <c r="D1145" s="57" t="str">
        <f>IF(   ISERROR(OFFSET(PADRON!B$2,MATCH(C:C,PADRON!A$2:A1405,0)-1,0,1,1) )  ,  ,    OFFSET(PADRON!B$2,MATCH(C:C,PADRON!A$2:A1405,0)-1,0,1,1))</f>
        <v>MARTINEZ, VALERIA SOLEDAD</v>
      </c>
      <c r="E1145" s="58">
        <v>45839.0</v>
      </c>
      <c r="F1145" s="145">
        <v>45870.0</v>
      </c>
      <c r="G1145" s="59" t="s">
        <v>39</v>
      </c>
      <c r="H1145" s="60">
        <f>IF( ISERROR( OFFSET(   'Cuadro tarifario'!D$2  , MATCH(CONCATENATE(                 IF(F1145&gt;Mes,OFFSET(NroCT!B$17, MATCH($F1145,NroCT!$A$18:$A1405,0),0,1,1),Periodovigente)                                                                                                                     ,A1145) ,'Cuadro tarifario'!A$2:A1405,0) -1 , 0 , 1 , 1) )   , 0  ,   OFFSET(   'Cuadro tarifario'!D$2  , MATCH(CONCATENATE( IF(F1145&gt;Mes,OFFSET(NroCT!B$17, MATCH($F1145,NroCT!$A$18:$A1405,0),0,1,1),Periodovigente) ,A1145) ,'Cuadro tarifario'!A$2:A1405,0) -1 , 0 , 1 , 1))</f>
        <v>12000</v>
      </c>
      <c r="I1145" s="61">
        <f t="shared" si="252"/>
        <v>1</v>
      </c>
      <c r="J1145" s="60">
        <f t="shared" si="305"/>
        <v>12000</v>
      </c>
      <c r="K1145" s="62">
        <f>IF(  AND(N1145&gt;0,I1145=0)          ,N1145 ,                         IF(  IF( F1145 ,  DAYS360(DATE(YEAR(F1145),MONTH(F1145),1),Mes)/30  ,  DAYS360(DATE(YEAR(E1145),MONTH(E1145),1),Mes)/30  )  &gt;  0 , IF(F1145,   DAYS360(DATE(YEAR(F1145),MONTH(F1145),1),Mes)/30  ,  DAYS360(DATE(YEAR(E1145),MONTH(E1145),1),Mes)/30) , 0)       )</f>
        <v>0</v>
      </c>
      <c r="L1145" s="63">
        <f t="shared" si="253"/>
        <v>0</v>
      </c>
      <c r="M1145" s="162"/>
      <c r="N1145" s="97">
        <f>IF( ISERROR(OFFSET(SECUESTRADOS!D$1,MATCH(B1145,SECUESTRADOS!A$2:A1405,0),0)) ,0 ,  OFFSET(SECUESTRADOS!D$1,MATCH(B1145,SECUESTRADOS!A$2:A1405,0),0)  )</f>
        <v>0</v>
      </c>
      <c r="O1145" s="98"/>
      <c r="P1145" s="99" t="str">
        <f t="shared" si="238"/>
        <v>cuna kayak</v>
      </c>
      <c r="Q1145" s="99" t="str">
        <f t="shared" si="304"/>
        <v>#REF!</v>
      </c>
      <c r="R1145" s="130"/>
      <c r="S1145" s="130"/>
      <c r="T1145" s="130"/>
    </row>
    <row r="1146">
      <c r="A1146" s="18" t="s">
        <v>71</v>
      </c>
      <c r="B1146" s="116">
        <v>2292.0</v>
      </c>
      <c r="C1146" s="140">
        <v>2292.0</v>
      </c>
      <c r="D1146" s="57" t="str">
        <f>IF(   ISERROR(OFFSET(PADRON!B$2,MATCH(C:C,PADRON!A$2:A1405,0)-1,0,1,1) )  ,  ,    OFFSET(PADRON!B$2,MATCH(C:C,PADRON!A$2:A1405,0)-1,0,1,1))</f>
        <v>ASPREA, MARTIN</v>
      </c>
      <c r="E1146" s="58">
        <v>45809.0</v>
      </c>
      <c r="F1146" s="145">
        <v>45901.0</v>
      </c>
      <c r="G1146" s="59" t="s">
        <v>39</v>
      </c>
      <c r="H1146" s="60">
        <f>IF( ISERROR( OFFSET(   'Cuadro tarifario'!D$2  , MATCH(CONCATENATE(                 IF(F1146&gt;Mes,OFFSET(NroCT!B$17, MATCH($F1146,NroCT!$A$18:$A1405,0),0,1,1),Periodovigente)                                                                                                                     ,A1146) ,'Cuadro tarifario'!A$2:A1405,0) -1 , 0 , 1 , 1) )   , 0  ,   OFFSET(   'Cuadro tarifario'!D$2  , MATCH(CONCATENATE( IF(F1146&gt;Mes,OFFSET(NroCT!B$17, MATCH($F1146,NroCT!$A$18:$A1405,0),0,1,1),Periodovigente) ,A1146) ,'Cuadro tarifario'!A$2:A1405,0) -1 , 0 , 1 , 1))</f>
        <v>11000</v>
      </c>
      <c r="I1146" s="61">
        <f t="shared" si="252"/>
        <v>3</v>
      </c>
      <c r="J1146" s="60">
        <f t="shared" si="305"/>
        <v>33000</v>
      </c>
      <c r="K1146" s="62">
        <f>IF(  AND(N1146&gt;0,I1146=0)          ,N1146 ,                         IF(  IF( F1146 ,  DAYS360(DATE(YEAR(F1146),MONTH(F1146),1),Mes)/30  ,  DAYS360(DATE(YEAR(E1146),MONTH(E1146),1),Mes)/30  )  &gt;  0 , IF(F1146,   DAYS360(DATE(YEAR(F1146),MONTH(F1146),1),Mes)/30  ,  DAYS360(DATE(YEAR(E1146),MONTH(E1146),1),Mes)/30) , 0)       )</f>
        <v>0</v>
      </c>
      <c r="L1146" s="63">
        <f t="shared" si="253"/>
        <v>0</v>
      </c>
      <c r="M1146" s="162"/>
      <c r="N1146" s="97">
        <f>IF( ISERROR(OFFSET(SECUESTRADOS!D$1,MATCH(B1146,SECUESTRADOS!A$2:A1405,0),0)) ,0 ,  OFFSET(SECUESTRADOS!D$1,MATCH(B1146,SECUESTRADOS!A$2:A1405,0),0)  )</f>
        <v>0</v>
      </c>
      <c r="O1146" s="98"/>
      <c r="P1146" s="99" t="str">
        <f t="shared" si="238"/>
        <v>.socio</v>
      </c>
      <c r="Q1146" s="99" t="str">
        <f t="shared" si="304"/>
        <v>#REF!</v>
      </c>
      <c r="R1146" s="130"/>
      <c r="S1146" s="130"/>
      <c r="T1146" s="130"/>
    </row>
    <row r="1147">
      <c r="A1147" s="18" t="s">
        <v>38</v>
      </c>
      <c r="B1147" s="116">
        <v>2292.0</v>
      </c>
      <c r="C1147" s="140">
        <v>2292.0</v>
      </c>
      <c r="D1147" s="57" t="str">
        <f>IF(   ISERROR(OFFSET(PADRON!B$2,MATCH(C:C,PADRON!A$2:A1405,0)-1,0,1,1) )  ,  ,    OFFSET(PADRON!B$2,MATCH(C:C,PADRON!A$2:A1405,0)-1,0,1,1))</f>
        <v>ASPREA, MARTIN</v>
      </c>
      <c r="E1147" s="58">
        <v>45809.0</v>
      </c>
      <c r="F1147" s="145">
        <v>45901.0</v>
      </c>
      <c r="G1147" s="59" t="s">
        <v>39</v>
      </c>
      <c r="H1147" s="60">
        <f>IF( ISERROR( OFFSET(   'Cuadro tarifario'!D$2  , MATCH(CONCATENATE(                 IF(F1147&gt;Mes,OFFSET(NroCT!B$17, MATCH($F1147,NroCT!$A$18:$A1405,0),0,1,1),Periodovigente)                                                                                                                     ,A1147) ,'Cuadro tarifario'!A$2:A1405,0) -1 , 0 , 1 , 1) )   , 0  ,   OFFSET(   'Cuadro tarifario'!D$2  , MATCH(CONCATENATE( IF(F1147&gt;Mes,OFFSET(NroCT!B$17, MATCH($F1147,NroCT!$A$18:$A1405,0),0,1,1),Periodovigente) ,A1147) ,'Cuadro tarifario'!A$2:A1405,0) -1 , 0 , 1 , 1))</f>
        <v>9000</v>
      </c>
      <c r="I1147" s="61">
        <f t="shared" si="252"/>
        <v>3</v>
      </c>
      <c r="J1147" s="60">
        <f t="shared" si="305"/>
        <v>27000</v>
      </c>
      <c r="K1147" s="62">
        <f>IF(  AND(N1147&gt;0,I1147=0)          ,N1147 ,                         IF(  IF( F1147 ,  DAYS360(DATE(YEAR(F1147),MONTH(F1147),1),Mes)/30  ,  DAYS360(DATE(YEAR(E1147),MONTH(E1147),1),Mes)/30  )  &gt;  0 , IF(F1147,   DAYS360(DATE(YEAR(F1147),MONTH(F1147),1),Mes)/30  ,  DAYS360(DATE(YEAR(E1147),MONTH(E1147),1),Mes)/30) , 0)       )</f>
        <v>0</v>
      </c>
      <c r="L1147" s="63">
        <f t="shared" si="253"/>
        <v>0</v>
      </c>
      <c r="M1147" s="162"/>
      <c r="N1147" s="97">
        <f>IF( ISERROR(OFFSET(SECUESTRADOS!D$1,MATCH(B1147,SECUESTRADOS!A$2:A1405,0),0)) ,0 ,  OFFSET(SECUESTRADOS!D$1,MATCH(B1147,SECUESTRADOS!A$2:A1405,0),0)  )</f>
        <v>0</v>
      </c>
      <c r="O1147" s="98"/>
      <c r="P1147" s="99" t="str">
        <f t="shared" si="238"/>
        <v>Bono canon</v>
      </c>
      <c r="Q1147" s="99" t="str">
        <f t="shared" si="304"/>
        <v>#REF!</v>
      </c>
      <c r="R1147" s="130"/>
      <c r="S1147" s="130"/>
      <c r="T1147" s="130"/>
    </row>
    <row r="1148">
      <c r="A1148" s="18" t="s">
        <v>40</v>
      </c>
      <c r="B1148" s="116" t="s">
        <v>458</v>
      </c>
      <c r="C1148" s="140">
        <v>2292.0</v>
      </c>
      <c r="D1148" s="57" t="str">
        <f>IF(   ISERROR(OFFSET(PADRON!B$2,MATCH(C:C,PADRON!A$2:A1405,0)-1,0,1,1) )  ,  ,    OFFSET(PADRON!B$2,MATCH(C:C,PADRON!A$2:A1405,0)-1,0,1,1))</f>
        <v>ASPREA, MARTIN</v>
      </c>
      <c r="E1148" s="58">
        <v>45809.0</v>
      </c>
      <c r="F1148" s="145">
        <v>45901.0</v>
      </c>
      <c r="G1148" s="59" t="s">
        <v>39</v>
      </c>
      <c r="H1148" s="60">
        <f>IF( ISERROR( OFFSET(   'Cuadro tarifario'!D$2  , MATCH(CONCATENATE(                 IF(F1148&gt;Mes,OFFSET(NroCT!B$17, MATCH($F1148,NroCT!$A$18:$A1405,0),0,1,1),Periodovigente)                                                                                                                     ,A1148) ,'Cuadro tarifario'!A$2:A1405,0) -1 , 0 , 1 , 1) )   , 0  ,   OFFSET(   'Cuadro tarifario'!D$2  , MATCH(CONCATENATE( IF(F1148&gt;Mes,OFFSET(NroCT!B$17, MATCH($F1148,NroCT!$A$18:$A1405,0),0,1,1),Periodovigente) ,A1148) ,'Cuadro tarifario'!A$2:A1405,0) -1 , 0 , 1 , 1))</f>
        <v>12000</v>
      </c>
      <c r="I1148" s="61">
        <f t="shared" si="252"/>
        <v>3</v>
      </c>
      <c r="J1148" s="60">
        <f t="shared" si="305"/>
        <v>36000</v>
      </c>
      <c r="K1148" s="62">
        <f>IF(  AND(N1148&gt;0,I1148=0)          ,N1148 ,                         IF(  IF( F1148 ,  DAYS360(DATE(YEAR(F1148),MONTH(F1148),1),Mes)/30  ,  DAYS360(DATE(YEAR(E1148),MONTH(E1148),1),Mes)/30  )  &gt;  0 , IF(F1148,   DAYS360(DATE(YEAR(F1148),MONTH(F1148),1),Mes)/30  ,  DAYS360(DATE(YEAR(E1148),MONTH(E1148),1),Mes)/30) , 0)       )</f>
        <v>0</v>
      </c>
      <c r="L1148" s="63">
        <f t="shared" si="253"/>
        <v>0</v>
      </c>
      <c r="M1148" s="162"/>
      <c r="N1148" s="97">
        <f>IF( ISERROR(OFFSET(SECUESTRADOS!D$1,MATCH(B1148,SECUESTRADOS!A$2:A1405,0),0)) ,0 ,  OFFSET(SECUESTRADOS!D$1,MATCH(B1148,SECUESTRADOS!A$2:A1405,0),0)  )</f>
        <v>0</v>
      </c>
      <c r="O1148" s="98"/>
      <c r="P1148" s="99" t="str">
        <f t="shared" si="238"/>
        <v>cuna windsurf</v>
      </c>
      <c r="Q1148" s="99" t="str">
        <f t="shared" si="304"/>
        <v>#REF!</v>
      </c>
      <c r="R1148" s="130"/>
      <c r="S1148" s="130"/>
      <c r="T1148" s="130"/>
    </row>
    <row r="1149">
      <c r="A1149" s="18" t="s">
        <v>42</v>
      </c>
      <c r="B1149" s="116" t="s">
        <v>459</v>
      </c>
      <c r="C1149" s="140">
        <v>2292.0</v>
      </c>
      <c r="D1149" s="57" t="str">
        <f>IF(   ISERROR(OFFSET(PADRON!B$2,MATCH(C:C,PADRON!A$2:A1405,0)-1,0,1,1) )  ,  ,    OFFSET(PADRON!B$2,MATCH(C:C,PADRON!A$2:A1405,0)-1,0,1,1))</f>
        <v>ASPREA, MARTIN</v>
      </c>
      <c r="E1149" s="58">
        <v>45992.0</v>
      </c>
      <c r="F1149" s="145"/>
      <c r="G1149" s="59" t="s">
        <v>39</v>
      </c>
      <c r="H1149" s="60">
        <f>IF( ISERROR( OFFSET(   'Cuadro tarifario'!D$2  , MATCH(CONCATENATE(                 IF(F1149&gt;Mes,OFFSET(NroCT!B$17, MATCH($F1149,NroCT!$A$18:$A1405,0),0,1,1),Periodovigente)                                                                                                                     ,A1149) ,'Cuadro tarifario'!A$2:A1405,0) -1 , 0 , 1 , 1) )   , 0  ,   OFFSET(   'Cuadro tarifario'!D$2  , MATCH(CONCATENATE( IF(F1149&gt;Mes,OFFSET(NroCT!B$17, MATCH($F1149,NroCT!$A$18:$A1405,0),0,1,1),Periodovigente) ,A1149) ,'Cuadro tarifario'!A$2:A1405,0) -1 , 0 , 1 , 1))</f>
        <v>4000</v>
      </c>
      <c r="I1149" s="61">
        <f t="shared" si="252"/>
        <v>0</v>
      </c>
      <c r="J1149" s="60">
        <f t="shared" si="305"/>
        <v>0</v>
      </c>
      <c r="K1149" s="62">
        <f>IF(  AND(N1149&gt;0,I1149=0)          ,N1149 ,                         IF(  IF( F1149 ,  DAYS360(DATE(YEAR(F1149),MONTH(F1149),1),Mes)/30  ,  DAYS360(DATE(YEAR(E1149),MONTH(E1149),1),Mes)/30  )  &gt;  0 , IF(F1149,   DAYS360(DATE(YEAR(F1149),MONTH(F1149),1),Mes)/30  ,  DAYS360(DATE(YEAR(E1149),MONTH(E1149),1),Mes)/30) , 0)       )</f>
        <v>0</v>
      </c>
      <c r="L1149" s="63">
        <f t="shared" si="253"/>
        <v>0</v>
      </c>
      <c r="M1149" s="162"/>
      <c r="N1149" s="97">
        <f>IF( ISERROR(OFFSET(SECUESTRADOS!D$1,MATCH(B1149,SECUESTRADOS!A$2:A1405,0),0)) ,0 ,  OFFSET(SECUESTRADOS!D$1,MATCH(B1149,SECUESTRADOS!A$2:A1405,0),0)  )</f>
        <v>0</v>
      </c>
      <c r="O1149" s="98"/>
      <c r="P1149" s="99" t="b">
        <f t="shared" si="238"/>
        <v>0</v>
      </c>
      <c r="Q1149" s="99" t="str">
        <f t="shared" si="304"/>
        <v>#REF!</v>
      </c>
      <c r="R1149" s="130"/>
      <c r="S1149" s="130"/>
      <c r="T1149" s="130"/>
    </row>
    <row r="1150">
      <c r="A1150" s="18" t="s">
        <v>71</v>
      </c>
      <c r="B1150" s="116">
        <v>2293.0</v>
      </c>
      <c r="C1150" s="140">
        <v>2293.0</v>
      </c>
      <c r="D1150" s="57" t="str">
        <f>IF(   ISERROR(OFFSET(PADRON!B$2,MATCH(C:C,PADRON!A$2:A1405,0)-1,0,1,1) )  ,  ,    OFFSET(PADRON!B$2,MATCH(C:C,PADRON!A$2:A1405,0)-1,0,1,1))</f>
        <v>FERREYRA, FEDERICO</v>
      </c>
      <c r="E1150" s="58">
        <v>45839.0</v>
      </c>
      <c r="F1150" s="145">
        <v>45870.0</v>
      </c>
      <c r="G1150" s="59" t="s">
        <v>39</v>
      </c>
      <c r="H1150" s="60">
        <f>IF( ISERROR( OFFSET(   'Cuadro tarifario'!D$2  , MATCH(CONCATENATE(                 IF(F1150&gt;Mes,OFFSET(NroCT!B$17, MATCH($F1150,NroCT!$A$18:$A1405,0),0,1,1),Periodovigente)                                                                                                                     ,A1150) ,'Cuadro tarifario'!A$2:A1405,0) -1 , 0 , 1 , 1) )   , 0  ,   OFFSET(   'Cuadro tarifario'!D$2  , MATCH(CONCATENATE( IF(F1150&gt;Mes,OFFSET(NroCT!B$17, MATCH($F1150,NroCT!$A$18:$A1405,0),0,1,1),Periodovigente) ,A1150) ,'Cuadro tarifario'!A$2:A1405,0) -1 , 0 , 1 , 1))</f>
        <v>11000</v>
      </c>
      <c r="I1150" s="61">
        <f t="shared" si="252"/>
        <v>1</v>
      </c>
      <c r="J1150" s="60">
        <f t="shared" si="305"/>
        <v>11000</v>
      </c>
      <c r="K1150" s="62">
        <f>IF(  AND(N1150&gt;0,I1150=0)          ,N1150 ,                         IF(  IF( F1150 ,  DAYS360(DATE(YEAR(F1150),MONTH(F1150),1),Mes)/30  ,  DAYS360(DATE(YEAR(E1150),MONTH(E1150),1),Mes)/30  )  &gt;  0 , IF(F1150,   DAYS360(DATE(YEAR(F1150),MONTH(F1150),1),Mes)/30  ,  DAYS360(DATE(YEAR(E1150),MONTH(E1150),1),Mes)/30) , 0)       )</f>
        <v>0</v>
      </c>
      <c r="L1150" s="63">
        <f t="shared" si="253"/>
        <v>0</v>
      </c>
      <c r="M1150" s="162"/>
      <c r="N1150" s="97">
        <f>IF( ISERROR(OFFSET(SECUESTRADOS!D$1,MATCH(B1150,SECUESTRADOS!A$2:A1405,0),0)) ,0 ,  OFFSET(SECUESTRADOS!D$1,MATCH(B1150,SECUESTRADOS!A$2:A1405,0),0)  )</f>
        <v>0</v>
      </c>
      <c r="O1150" s="98"/>
      <c r="P1150" s="99" t="str">
        <f t="shared" si="238"/>
        <v>.socio</v>
      </c>
      <c r="Q1150" s="99" t="str">
        <f t="shared" si="304"/>
        <v>#REF!</v>
      </c>
      <c r="R1150" s="130"/>
      <c r="S1150" s="130"/>
      <c r="T1150" s="130"/>
    </row>
    <row r="1151">
      <c r="A1151" s="18" t="s">
        <v>38</v>
      </c>
      <c r="B1151" s="116">
        <v>2293.0</v>
      </c>
      <c r="C1151" s="140">
        <v>2293.0</v>
      </c>
      <c r="D1151" s="57" t="str">
        <f>IF(   ISERROR(OFFSET(PADRON!B$2,MATCH(C:C,PADRON!A$2:A1405,0)-1,0,1,1) )  ,  ,    OFFSET(PADRON!B$2,MATCH(C:C,PADRON!A$2:A1405,0)-1,0,1,1))</f>
        <v>FERREYRA, FEDERICO</v>
      </c>
      <c r="E1151" s="58">
        <v>45839.0</v>
      </c>
      <c r="F1151" s="145">
        <v>45870.0</v>
      </c>
      <c r="G1151" s="59" t="s">
        <v>39</v>
      </c>
      <c r="H1151" s="60">
        <f>IF( ISERROR( OFFSET(   'Cuadro tarifario'!D$2  , MATCH(CONCATENATE(                 IF(F1151&gt;Mes,OFFSET(NroCT!B$17, MATCH($F1151,NroCT!$A$18:$A1405,0),0,1,1),Periodovigente)                                                                                                                     ,A1151) ,'Cuadro tarifario'!A$2:A1405,0) -1 , 0 , 1 , 1) )   , 0  ,   OFFSET(   'Cuadro tarifario'!D$2  , MATCH(CONCATENATE( IF(F1151&gt;Mes,OFFSET(NroCT!B$17, MATCH($F1151,NroCT!$A$18:$A1405,0),0,1,1),Periodovigente) ,A1151) ,'Cuadro tarifario'!A$2:A1405,0) -1 , 0 , 1 , 1))</f>
        <v>9000</v>
      </c>
      <c r="I1151" s="61">
        <f t="shared" si="252"/>
        <v>1</v>
      </c>
      <c r="J1151" s="60">
        <f t="shared" si="305"/>
        <v>9000</v>
      </c>
      <c r="K1151" s="62">
        <f>IF(  AND(N1151&gt;0,I1151=0)          ,N1151 ,                         IF(  IF( F1151 ,  DAYS360(DATE(YEAR(F1151),MONTH(F1151),1),Mes)/30  ,  DAYS360(DATE(YEAR(E1151),MONTH(E1151),1),Mes)/30  )  &gt;  0 , IF(F1151,   DAYS360(DATE(YEAR(F1151),MONTH(F1151),1),Mes)/30  ,  DAYS360(DATE(YEAR(E1151),MONTH(E1151),1),Mes)/30) , 0)       )</f>
        <v>0</v>
      </c>
      <c r="L1151" s="63">
        <f t="shared" si="253"/>
        <v>0</v>
      </c>
      <c r="M1151" s="162"/>
      <c r="N1151" s="97">
        <f>IF( ISERROR(OFFSET(SECUESTRADOS!D$1,MATCH(B1151,SECUESTRADOS!A$2:A1405,0),0)) ,0 ,  OFFSET(SECUESTRADOS!D$1,MATCH(B1151,SECUESTRADOS!A$2:A1405,0),0)  )</f>
        <v>0</v>
      </c>
      <c r="O1151" s="98"/>
      <c r="P1151" s="99" t="str">
        <f t="shared" si="238"/>
        <v>Bono canon</v>
      </c>
      <c r="Q1151" s="99" t="str">
        <f t="shared" si="304"/>
        <v>#REF!</v>
      </c>
      <c r="R1151" s="130"/>
      <c r="S1151" s="130"/>
      <c r="T1151" s="130"/>
    </row>
    <row r="1152">
      <c r="A1152" s="18" t="s">
        <v>40</v>
      </c>
      <c r="B1152" s="116" t="s">
        <v>460</v>
      </c>
      <c r="C1152" s="140">
        <v>2293.0</v>
      </c>
      <c r="D1152" s="57" t="str">
        <f>IF(   ISERROR(OFFSET(PADRON!B$2,MATCH(C:C,PADRON!A$2:A1405,0)-1,0,1,1) )  ,  ,    OFFSET(PADRON!B$2,MATCH(C:C,PADRON!A$2:A1405,0)-1,0,1,1))</f>
        <v>FERREYRA, FEDERICO</v>
      </c>
      <c r="E1152" s="58">
        <v>45839.0</v>
      </c>
      <c r="F1152" s="145">
        <v>45870.0</v>
      </c>
      <c r="G1152" s="59" t="s">
        <v>39</v>
      </c>
      <c r="H1152" s="60">
        <f>IF( ISERROR( OFFSET(   'Cuadro tarifario'!D$2  , MATCH(CONCATENATE(                 IF(F1152&gt;Mes,OFFSET(NroCT!B$17, MATCH($F1152,NroCT!$A$18:$A1405,0),0,1,1),Periodovigente)                                                                                                                     ,A1152) ,'Cuadro tarifario'!A$2:A1405,0) -1 , 0 , 1 , 1) )   , 0  ,   OFFSET(   'Cuadro tarifario'!D$2  , MATCH(CONCATENATE( IF(F1152&gt;Mes,OFFSET(NroCT!B$17, MATCH($F1152,NroCT!$A$18:$A1405,0),0,1,1),Periodovigente) ,A1152) ,'Cuadro tarifario'!A$2:A1405,0) -1 , 0 , 1 , 1))</f>
        <v>12000</v>
      </c>
      <c r="I1152" s="61">
        <f t="shared" si="252"/>
        <v>1</v>
      </c>
      <c r="J1152" s="60">
        <f t="shared" si="305"/>
        <v>12000</v>
      </c>
      <c r="K1152" s="62">
        <f>IF(  AND(N1152&gt;0,I1152=0)          ,N1152 ,                         IF(  IF( F1152 ,  DAYS360(DATE(YEAR(F1152),MONTH(F1152),1),Mes)/30  ,  DAYS360(DATE(YEAR(E1152),MONTH(E1152),1),Mes)/30  )  &gt;  0 , IF(F1152,   DAYS360(DATE(YEAR(F1152),MONTH(F1152),1),Mes)/30  ,  DAYS360(DATE(YEAR(E1152),MONTH(E1152),1),Mes)/30) , 0)       )</f>
        <v>0</v>
      </c>
      <c r="L1152" s="63">
        <f t="shared" si="253"/>
        <v>0</v>
      </c>
      <c r="M1152" s="162"/>
      <c r="N1152" s="97">
        <f>IF( ISERROR(OFFSET(SECUESTRADOS!D$1,MATCH(B1152,SECUESTRADOS!A$2:A1405,0),0)) ,0 ,  OFFSET(SECUESTRADOS!D$1,MATCH(B1152,SECUESTRADOS!A$2:A1405,0),0)  )</f>
        <v>0</v>
      </c>
      <c r="O1152" s="98"/>
      <c r="P1152" s="99" t="str">
        <f t="shared" si="238"/>
        <v>cuna windsurf</v>
      </c>
      <c r="Q1152" s="99" t="str">
        <f t="shared" si="304"/>
        <v>#REF!</v>
      </c>
      <c r="R1152" s="130"/>
      <c r="S1152" s="130"/>
      <c r="T1152" s="130"/>
    </row>
    <row r="1153">
      <c r="A1153" s="18" t="s">
        <v>71</v>
      </c>
      <c r="B1153" s="116">
        <v>2294.0</v>
      </c>
      <c r="C1153" s="140">
        <v>2294.0</v>
      </c>
      <c r="D1153" s="57" t="str">
        <f>IF(   ISERROR(OFFSET(PADRON!B$2,MATCH(C:C,PADRON!A$2:A1405,0)-1,0,1,1) )  ,  ,    OFFSET(PADRON!B$2,MATCH(C:C,PADRON!A$2:A1405,0)-1,0,1,1))</f>
        <v>ETCHEVERRIA, MARTIN FEDERICO</v>
      </c>
      <c r="E1153" s="58">
        <v>45717.0</v>
      </c>
      <c r="F1153" s="145"/>
      <c r="G1153" s="59" t="s">
        <v>39</v>
      </c>
      <c r="H1153" s="60">
        <f>IF( ISERROR( OFFSET(   'Cuadro tarifario'!D$2  , MATCH(CONCATENATE(                 IF(F1153&gt;Mes,OFFSET(NroCT!B$17, MATCH($F1153,NroCT!$A$18:$A1405,0),0,1,1),Periodovigente)                                                                                                                     ,A1153) ,'Cuadro tarifario'!A$2:A1405,0) -1 , 0 , 1 , 1) )   , 0  ,   OFFSET(   'Cuadro tarifario'!D$2  , MATCH(CONCATENATE( IF(F1153&gt;Mes,OFFSET(NroCT!B$17, MATCH($F1153,NroCT!$A$18:$A1405,0),0,1,1),Periodovigente) ,A1153) ,'Cuadro tarifario'!A$2:A1405,0) -1 , 0 , 1 , 1))</f>
        <v>11000</v>
      </c>
      <c r="I1153" s="61">
        <f t="shared" si="252"/>
        <v>0</v>
      </c>
      <c r="J1153" s="60">
        <f t="shared" si="305"/>
        <v>0</v>
      </c>
      <c r="K1153" s="62">
        <f>IF(  AND(N1153&gt;0,I1153=0)          ,N1153 ,                         IF(  IF( F1153 ,  DAYS360(DATE(YEAR(F1153),MONTH(F1153),1),Mes)/30  ,  DAYS360(DATE(YEAR(E1153),MONTH(E1153),1),Mes)/30  )  &gt;  0 , IF(F1153,   DAYS360(DATE(YEAR(F1153),MONTH(F1153),1),Mes)/30  ,  DAYS360(DATE(YEAR(E1153),MONTH(E1153),1),Mes)/30) , 0)       )</f>
        <v>5</v>
      </c>
      <c r="L1153" s="63">
        <f t="shared" si="253"/>
        <v>55000</v>
      </c>
      <c r="M1153" s="162"/>
      <c r="N1153" s="97">
        <f>IF( ISERROR(OFFSET(SECUESTRADOS!D$1,MATCH(B1153,SECUESTRADOS!A$2:A1405,0),0)) ,0 ,  OFFSET(SECUESTRADOS!D$1,MATCH(B1153,SECUESTRADOS!A$2:A1405,0),0)  )</f>
        <v>0</v>
      </c>
      <c r="O1153" s="98"/>
      <c r="P1153" s="99" t="b">
        <f t="shared" si="238"/>
        <v>0</v>
      </c>
      <c r="Q1153" s="99" t="str">
        <f t="shared" si="304"/>
        <v>#REF!</v>
      </c>
      <c r="R1153" s="130"/>
      <c r="S1153" s="130"/>
      <c r="T1153" s="130"/>
    </row>
    <row r="1154">
      <c r="A1154" s="18" t="s">
        <v>38</v>
      </c>
      <c r="B1154" s="116">
        <v>2294.0</v>
      </c>
      <c r="C1154" s="140">
        <v>2294.0</v>
      </c>
      <c r="D1154" s="57" t="str">
        <f>IF(   ISERROR(OFFSET(PADRON!B$2,MATCH(C:C,PADRON!A$2:A1405,0)-1,0,1,1) )  ,  ,    OFFSET(PADRON!B$2,MATCH(C:C,PADRON!A$2:A1405,0)-1,0,1,1))</f>
        <v>ETCHEVERRIA, MARTIN FEDERICO</v>
      </c>
      <c r="E1154" s="58">
        <v>45717.0</v>
      </c>
      <c r="F1154" s="145"/>
      <c r="G1154" s="59" t="s">
        <v>39</v>
      </c>
      <c r="H1154" s="60">
        <f>IF( ISERROR( OFFSET(   'Cuadro tarifario'!D$2  , MATCH(CONCATENATE(                 IF(F1154&gt;Mes,OFFSET(NroCT!B$17, MATCH($F1154,NroCT!$A$18:$A1405,0),0,1,1),Periodovigente)                                                                                                                     ,A1154) ,'Cuadro tarifario'!A$2:A1405,0) -1 , 0 , 1 , 1) )   , 0  ,   OFFSET(   'Cuadro tarifario'!D$2  , MATCH(CONCATENATE( IF(F1154&gt;Mes,OFFSET(NroCT!B$17, MATCH($F1154,NroCT!$A$18:$A1405,0),0,1,1),Periodovigente) ,A1154) ,'Cuadro tarifario'!A$2:A1405,0) -1 , 0 , 1 , 1))</f>
        <v>9000</v>
      </c>
      <c r="I1154" s="61">
        <f t="shared" si="252"/>
        <v>0</v>
      </c>
      <c r="J1154" s="60">
        <f t="shared" si="305"/>
        <v>0</v>
      </c>
      <c r="K1154" s="62">
        <f>IF(  AND(N1154&gt;0,I1154=0)          ,N1154 ,                         IF(  IF( F1154 ,  DAYS360(DATE(YEAR(F1154),MONTH(F1154),1),Mes)/30  ,  DAYS360(DATE(YEAR(E1154),MONTH(E1154),1),Mes)/30  )  &gt;  0 , IF(F1154,   DAYS360(DATE(YEAR(F1154),MONTH(F1154),1),Mes)/30  ,  DAYS360(DATE(YEAR(E1154),MONTH(E1154),1),Mes)/30) , 0)       )</f>
        <v>5</v>
      </c>
      <c r="L1154" s="63">
        <f t="shared" si="253"/>
        <v>45000</v>
      </c>
      <c r="M1154" s="162"/>
      <c r="N1154" s="97">
        <f>IF( ISERROR(OFFSET(SECUESTRADOS!D$1,MATCH(B1154,SECUESTRADOS!A$2:A1405,0),0)) ,0 ,  OFFSET(SECUESTRADOS!D$1,MATCH(B1154,SECUESTRADOS!A$2:A1405,0),0)  )</f>
        <v>0</v>
      </c>
      <c r="O1154" s="98"/>
      <c r="P1154" s="99" t="b">
        <f t="shared" si="238"/>
        <v>0</v>
      </c>
      <c r="Q1154" s="99" t="str">
        <f t="shared" si="304"/>
        <v>#REF!</v>
      </c>
      <c r="R1154" s="130"/>
      <c r="S1154" s="130"/>
      <c r="T1154" s="130"/>
    </row>
    <row r="1155">
      <c r="A1155" s="18" t="s">
        <v>71</v>
      </c>
      <c r="B1155" s="116">
        <v>2295.0</v>
      </c>
      <c r="C1155" s="140">
        <v>2295.0</v>
      </c>
      <c r="D1155" s="57" t="str">
        <f>IF(   ISERROR(OFFSET(PADRON!B$2,MATCH(C:C,PADRON!A$2:A1405,0)-1,0,1,1) )  ,  ,    OFFSET(PADRON!B$2,MATCH(C:C,PADRON!A$2:A1405,0)-1,0,1,1))</f>
        <v>SANTILLAN, SANTIAGO</v>
      </c>
      <c r="E1155" s="58">
        <v>45809.0</v>
      </c>
      <c r="F1155" s="145">
        <v>45870.0</v>
      </c>
      <c r="G1155" s="59" t="s">
        <v>39</v>
      </c>
      <c r="H1155" s="60">
        <f>IF( ISERROR( OFFSET(   'Cuadro tarifario'!D$2  , MATCH(CONCATENATE(                 IF(F1155&gt;Mes,OFFSET(NroCT!B$17, MATCH($F1155,NroCT!$A$18:$A1405,0),0,1,1),Periodovigente)                                                                                                                     ,A1155) ,'Cuadro tarifario'!A$2:A1405,0) -1 , 0 , 1 , 1) )   , 0  ,   OFFSET(   'Cuadro tarifario'!D$2  , MATCH(CONCATENATE( IF(F1155&gt;Mes,OFFSET(NroCT!B$17, MATCH($F1155,NroCT!$A$18:$A1405,0),0,1,1),Periodovigente) ,A1155) ,'Cuadro tarifario'!A$2:A1405,0) -1 , 0 , 1 , 1))</f>
        <v>11000</v>
      </c>
      <c r="I1155" s="61">
        <f t="shared" si="252"/>
        <v>2</v>
      </c>
      <c r="J1155" s="60">
        <f t="shared" si="305"/>
        <v>22000</v>
      </c>
      <c r="K1155" s="62">
        <f>IF(  AND(N1155&gt;0,I1155=0)          ,N1155 ,                         IF(  IF( F1155 ,  DAYS360(DATE(YEAR(F1155),MONTH(F1155),1),Mes)/30  ,  DAYS360(DATE(YEAR(E1155),MONTH(E1155),1),Mes)/30  )  &gt;  0 , IF(F1155,   DAYS360(DATE(YEAR(F1155),MONTH(F1155),1),Mes)/30  ,  DAYS360(DATE(YEAR(E1155),MONTH(E1155),1),Mes)/30) , 0)       )</f>
        <v>0</v>
      </c>
      <c r="L1155" s="63">
        <f t="shared" si="253"/>
        <v>0</v>
      </c>
      <c r="M1155" s="162"/>
      <c r="N1155" s="97">
        <f>IF( ISERROR(OFFSET(SECUESTRADOS!D$1,MATCH(B1155,SECUESTRADOS!A$2:A1405,0),0)) ,0 ,  OFFSET(SECUESTRADOS!D$1,MATCH(B1155,SECUESTRADOS!A$2:A1405,0),0)  )</f>
        <v>0</v>
      </c>
      <c r="O1155" s="98"/>
      <c r="P1155" s="99" t="str">
        <f t="shared" si="238"/>
        <v>.socio</v>
      </c>
      <c r="Q1155" s="99" t="str">
        <f t="shared" si="304"/>
        <v>#REF!</v>
      </c>
      <c r="R1155" s="130"/>
      <c r="S1155" s="130"/>
      <c r="T1155" s="130"/>
    </row>
    <row r="1156">
      <c r="A1156" s="18" t="s">
        <v>38</v>
      </c>
      <c r="B1156" s="116">
        <v>2295.0</v>
      </c>
      <c r="C1156" s="140">
        <v>2295.0</v>
      </c>
      <c r="D1156" s="57" t="str">
        <f>IF(   ISERROR(OFFSET(PADRON!B$2,MATCH(C:C,PADRON!A$2:A1405,0)-1,0,1,1) )  ,  ,    OFFSET(PADRON!B$2,MATCH(C:C,PADRON!A$2:A1405,0)-1,0,1,1))</f>
        <v>SANTILLAN, SANTIAGO</v>
      </c>
      <c r="E1156" s="58">
        <v>45809.0</v>
      </c>
      <c r="F1156" s="145">
        <v>45870.0</v>
      </c>
      <c r="G1156" s="59" t="s">
        <v>39</v>
      </c>
      <c r="H1156" s="60">
        <f>IF( ISERROR( OFFSET(   'Cuadro tarifario'!D$2  , MATCH(CONCATENATE(                 IF(F1156&gt;Mes,OFFSET(NroCT!B$17, MATCH($F1156,NroCT!$A$18:$A1405,0),0,1,1),Periodovigente)                                                                                                                     ,A1156) ,'Cuadro tarifario'!A$2:A1405,0) -1 , 0 , 1 , 1) )   , 0  ,   OFFSET(   'Cuadro tarifario'!D$2  , MATCH(CONCATENATE( IF(F1156&gt;Mes,OFFSET(NroCT!B$17, MATCH($F1156,NroCT!$A$18:$A1405,0),0,1,1),Periodovigente) ,A1156) ,'Cuadro tarifario'!A$2:A1405,0) -1 , 0 , 1 , 1))</f>
        <v>9000</v>
      </c>
      <c r="I1156" s="61">
        <f t="shared" si="252"/>
        <v>2</v>
      </c>
      <c r="J1156" s="60">
        <f t="shared" si="305"/>
        <v>18000</v>
      </c>
      <c r="K1156" s="62">
        <f>IF(  AND(N1156&gt;0,I1156=0)          ,N1156 ,                         IF(  IF( F1156 ,  DAYS360(DATE(YEAR(F1156),MONTH(F1156),1),Mes)/30  ,  DAYS360(DATE(YEAR(E1156),MONTH(E1156),1),Mes)/30  )  &gt;  0 , IF(F1156,   DAYS360(DATE(YEAR(F1156),MONTH(F1156),1),Mes)/30  ,  DAYS360(DATE(YEAR(E1156),MONTH(E1156),1),Mes)/30) , 0)       )</f>
        <v>0</v>
      </c>
      <c r="L1156" s="63">
        <f t="shared" si="253"/>
        <v>0</v>
      </c>
      <c r="M1156" s="162"/>
      <c r="N1156" s="97">
        <f>IF( ISERROR(OFFSET(SECUESTRADOS!D$1,MATCH(B1156,SECUESTRADOS!A$2:A1405,0),0)) ,0 ,  OFFSET(SECUESTRADOS!D$1,MATCH(B1156,SECUESTRADOS!A$2:A1405,0),0)  )</f>
        <v>0</v>
      </c>
      <c r="O1156" s="98"/>
      <c r="P1156" s="99" t="str">
        <f t="shared" si="238"/>
        <v>Bono canon</v>
      </c>
      <c r="Q1156" s="99" t="str">
        <f t="shared" si="304"/>
        <v>#REF!</v>
      </c>
      <c r="R1156" s="130"/>
      <c r="S1156" s="130"/>
      <c r="T1156" s="130"/>
    </row>
    <row r="1157">
      <c r="A1157" s="18" t="s">
        <v>40</v>
      </c>
      <c r="B1157" s="163" t="s">
        <v>461</v>
      </c>
      <c r="C1157" s="140">
        <v>2295.0</v>
      </c>
      <c r="D1157" s="57" t="str">
        <f>IF(   ISERROR(OFFSET(PADRON!B$2,MATCH(C:C,PADRON!A$2:A1405,0)-1,0,1,1) )  ,  ,    OFFSET(PADRON!B$2,MATCH(C:C,PADRON!A$2:A1405,0)-1,0,1,1))</f>
        <v>SANTILLAN, SANTIAGO</v>
      </c>
      <c r="E1157" s="58">
        <v>45809.0</v>
      </c>
      <c r="F1157" s="145">
        <v>45870.0</v>
      </c>
      <c r="G1157" s="59" t="s">
        <v>39</v>
      </c>
      <c r="H1157" s="60">
        <f>IF( ISERROR( OFFSET(   'Cuadro tarifario'!D$2  , MATCH(CONCATENATE(                 IF(F1157&gt;Mes,OFFSET(NroCT!B$17, MATCH($F1157,NroCT!$A$18:$A1405,0),0,1,1),Periodovigente)                                                                                                                     ,A1157) ,'Cuadro tarifario'!A$2:A1405,0) -1 , 0 , 1 , 1) )   , 0  ,   OFFSET(   'Cuadro tarifario'!D$2  , MATCH(CONCATENATE( IF(F1157&gt;Mes,OFFSET(NroCT!B$17, MATCH($F1157,NroCT!$A$18:$A1405,0),0,1,1),Periodovigente) ,A1157) ,'Cuadro tarifario'!A$2:A1405,0) -1 , 0 , 1 , 1))</f>
        <v>12000</v>
      </c>
      <c r="I1157" s="61">
        <f t="shared" si="252"/>
        <v>2</v>
      </c>
      <c r="J1157" s="60">
        <f t="shared" si="305"/>
        <v>24000</v>
      </c>
      <c r="K1157" s="62">
        <f>IF(  AND(N1157&gt;0,I1157=0)          ,N1157 ,                         IF(  IF( F1157 ,  DAYS360(DATE(YEAR(F1157),MONTH(F1157),1),Mes)/30  ,  DAYS360(DATE(YEAR(E1157),MONTH(E1157),1),Mes)/30  )  &gt;  0 , IF(F1157,   DAYS360(DATE(YEAR(F1157),MONTH(F1157),1),Mes)/30  ,  DAYS360(DATE(YEAR(E1157),MONTH(E1157),1),Mes)/30) , 0)       )</f>
        <v>0</v>
      </c>
      <c r="L1157" s="63">
        <f t="shared" si="253"/>
        <v>0</v>
      </c>
      <c r="M1157" s="162"/>
      <c r="N1157" s="97">
        <f>IF( ISERROR(OFFSET(SECUESTRADOS!D$1,MATCH(B1157,SECUESTRADOS!A$2:A1405,0),0)) ,0 ,  OFFSET(SECUESTRADOS!D$1,MATCH(B1157,SECUESTRADOS!A$2:A1405,0),0)  )</f>
        <v>0</v>
      </c>
      <c r="O1157" s="98"/>
      <c r="P1157" s="99" t="str">
        <f t="shared" si="238"/>
        <v>cuna windsurf</v>
      </c>
      <c r="Q1157" s="99" t="str">
        <f t="shared" si="304"/>
        <v>#REF!</v>
      </c>
      <c r="R1157" s="130"/>
      <c r="S1157" s="130"/>
      <c r="T1157" s="130"/>
    </row>
    <row r="1158">
      <c r="A1158" s="18" t="s">
        <v>42</v>
      </c>
      <c r="B1158" s="163" t="s">
        <v>260</v>
      </c>
      <c r="C1158" s="140">
        <v>2295.0</v>
      </c>
      <c r="D1158" s="57" t="str">
        <f>IF(   ISERROR(OFFSET(PADRON!B$2,MATCH(C:C,PADRON!A$2:A1405,0)-1,0,1,1) )  ,  ,    OFFSET(PADRON!B$2,MATCH(C:C,PADRON!A$2:A1405,0)-1,0,1,1))</f>
        <v>SANTILLAN, SANTIAGO</v>
      </c>
      <c r="E1158" s="58">
        <v>45992.0</v>
      </c>
      <c r="F1158" s="145"/>
      <c r="G1158" s="59" t="s">
        <v>39</v>
      </c>
      <c r="H1158" s="60">
        <f>IF( ISERROR( OFFSET(   'Cuadro tarifario'!D$2  , MATCH(CONCATENATE(                 IF(F1158&gt;Mes,OFFSET(NroCT!B$17, MATCH($F1158,NroCT!$A$18:$A1405,0),0,1,1),Periodovigente)                                                                                                                     ,A1158) ,'Cuadro tarifario'!A$2:A1405,0) -1 , 0 , 1 , 1) )   , 0  ,   OFFSET(   'Cuadro tarifario'!D$2  , MATCH(CONCATENATE( IF(F1158&gt;Mes,OFFSET(NroCT!B$17, MATCH($F1158,NroCT!$A$18:$A1405,0),0,1,1),Periodovigente) ,A1158) ,'Cuadro tarifario'!A$2:A1405,0) -1 , 0 , 1 , 1))</f>
        <v>4000</v>
      </c>
      <c r="I1158" s="61">
        <f t="shared" si="252"/>
        <v>0</v>
      </c>
      <c r="J1158" s="60">
        <f t="shared" si="305"/>
        <v>0</v>
      </c>
      <c r="K1158" s="62">
        <f>IF(  AND(N1158&gt;0,I1158=0)          ,N1158 ,                         IF(  IF( F1158 ,  DAYS360(DATE(YEAR(F1158),MONTH(F1158),1),Mes)/30  ,  DAYS360(DATE(YEAR(E1158),MONTH(E1158),1),Mes)/30  )  &gt;  0 , IF(F1158,   DAYS360(DATE(YEAR(F1158),MONTH(F1158),1),Mes)/30  ,  DAYS360(DATE(YEAR(E1158),MONTH(E1158),1),Mes)/30) , 0)       )</f>
        <v>0</v>
      </c>
      <c r="L1158" s="63">
        <f t="shared" si="253"/>
        <v>0</v>
      </c>
      <c r="M1158" s="162"/>
      <c r="N1158" s="97">
        <f>IF( ISERROR(OFFSET(SECUESTRADOS!D$1,MATCH(B1158,SECUESTRADOS!A$2:A1405,0),0)) ,0 ,  OFFSET(SECUESTRADOS!D$1,MATCH(B1158,SECUESTRADOS!A$2:A1405,0),0)  )</f>
        <v>0</v>
      </c>
      <c r="O1158" s="98"/>
      <c r="P1158" s="99" t="b">
        <f t="shared" si="238"/>
        <v>0</v>
      </c>
      <c r="Q1158" s="99" t="str">
        <f t="shared" si="304"/>
        <v>#REF!</v>
      </c>
      <c r="R1158" s="130"/>
      <c r="S1158" s="130"/>
      <c r="T1158" s="130"/>
    </row>
    <row r="1159">
      <c r="A1159" s="18" t="s">
        <v>71</v>
      </c>
      <c r="B1159" s="116">
        <v>2296.0</v>
      </c>
      <c r="C1159" s="140">
        <v>2296.0</v>
      </c>
      <c r="D1159" s="57" t="str">
        <f>IF(   ISERROR(OFFSET(PADRON!B$2,MATCH(C:C,PADRON!A$2:A1405,0)-1,0,1,1) )  ,  ,    OFFSET(PADRON!B$2,MATCH(C:C,PADRON!A$2:A1405,0)-1,0,1,1))</f>
        <v>LEONE, NAHUEL</v>
      </c>
      <c r="E1159" s="58">
        <v>45778.0</v>
      </c>
      <c r="F1159" s="145">
        <v>45870.0</v>
      </c>
      <c r="G1159" s="59" t="s">
        <v>39</v>
      </c>
      <c r="H1159" s="60">
        <f>IF( ISERROR( OFFSET(   'Cuadro tarifario'!D$2  , MATCH(CONCATENATE(                 IF(F1159&gt;Mes,OFFSET(NroCT!B$17, MATCH($F1159,NroCT!$A$18:$A1405,0),0,1,1),Periodovigente)                                                                                                                     ,A1159) ,'Cuadro tarifario'!A$2:A1405,0) -1 , 0 , 1 , 1) )   , 0  ,   OFFSET(   'Cuadro tarifario'!D$2  , MATCH(CONCATENATE( IF(F1159&gt;Mes,OFFSET(NroCT!B$17, MATCH($F1159,NroCT!$A$18:$A1405,0),0,1,1),Periodovigente) ,A1159) ,'Cuadro tarifario'!A$2:A1405,0) -1 , 0 , 1 , 1))</f>
        <v>11000</v>
      </c>
      <c r="I1159" s="61">
        <f t="shared" si="252"/>
        <v>3</v>
      </c>
      <c r="J1159" s="60">
        <f t="shared" si="305"/>
        <v>33000</v>
      </c>
      <c r="K1159" s="62">
        <f>IF(  AND(N1159&gt;0,I1159=0)          ,N1159 ,                         IF(  IF( F1159 ,  DAYS360(DATE(YEAR(F1159),MONTH(F1159),1),Mes)/30  ,  DAYS360(DATE(YEAR(E1159),MONTH(E1159),1),Mes)/30  )  &gt;  0 , IF(F1159,   DAYS360(DATE(YEAR(F1159),MONTH(F1159),1),Mes)/30  ,  DAYS360(DATE(YEAR(E1159),MONTH(E1159),1),Mes)/30) , 0)       )</f>
        <v>0</v>
      </c>
      <c r="L1159" s="63">
        <f t="shared" si="253"/>
        <v>0</v>
      </c>
      <c r="M1159" s="162"/>
      <c r="N1159" s="97">
        <f>IF( ISERROR(OFFSET(SECUESTRADOS!D$1,MATCH(B1159,SECUESTRADOS!A$2:A1405,0),0)) ,0 ,  OFFSET(SECUESTRADOS!D$1,MATCH(B1159,SECUESTRADOS!A$2:A1405,0),0)  )</f>
        <v>0</v>
      </c>
      <c r="O1159" s="98"/>
      <c r="P1159" s="99" t="str">
        <f t="shared" si="238"/>
        <v>.socio</v>
      </c>
      <c r="Q1159" s="99" t="str">
        <f t="shared" si="304"/>
        <v>#REF!</v>
      </c>
      <c r="R1159" s="130"/>
      <c r="S1159" s="130"/>
      <c r="T1159" s="130"/>
    </row>
    <row r="1160">
      <c r="A1160" s="18" t="s">
        <v>38</v>
      </c>
      <c r="B1160" s="116">
        <v>2296.0</v>
      </c>
      <c r="C1160" s="140">
        <v>2296.0</v>
      </c>
      <c r="D1160" s="57" t="str">
        <f>IF(   ISERROR(OFFSET(PADRON!B$2,MATCH(C:C,PADRON!A$2:A1405,0)-1,0,1,1) )  ,  ,    OFFSET(PADRON!B$2,MATCH(C:C,PADRON!A$2:A1405,0)-1,0,1,1))</f>
        <v>LEONE, NAHUEL</v>
      </c>
      <c r="E1160" s="58">
        <v>45778.0</v>
      </c>
      <c r="F1160" s="145">
        <v>45870.0</v>
      </c>
      <c r="G1160" s="59" t="s">
        <v>39</v>
      </c>
      <c r="H1160" s="60">
        <f>IF( ISERROR( OFFSET(   'Cuadro tarifario'!D$2  , MATCH(CONCATENATE(                 IF(F1160&gt;Mes,OFFSET(NroCT!B$17, MATCH($F1160,NroCT!$A$18:$A1405,0),0,1,1),Periodovigente)                                                                                                                     ,A1160) ,'Cuadro tarifario'!A$2:A1405,0) -1 , 0 , 1 , 1) )   , 0  ,   OFFSET(   'Cuadro tarifario'!D$2  , MATCH(CONCATENATE( IF(F1160&gt;Mes,OFFSET(NroCT!B$17, MATCH($F1160,NroCT!$A$18:$A1405,0),0,1,1),Periodovigente) ,A1160) ,'Cuadro tarifario'!A$2:A1405,0) -1 , 0 , 1 , 1))</f>
        <v>9000</v>
      </c>
      <c r="I1160" s="61">
        <f t="shared" si="252"/>
        <v>3</v>
      </c>
      <c r="J1160" s="60">
        <f t="shared" si="305"/>
        <v>27000</v>
      </c>
      <c r="K1160" s="62">
        <f>IF(  AND(N1160&gt;0,I1160=0)          ,N1160 ,                         IF(  IF( F1160 ,  DAYS360(DATE(YEAR(F1160),MONTH(F1160),1),Mes)/30  ,  DAYS360(DATE(YEAR(E1160),MONTH(E1160),1),Mes)/30  )  &gt;  0 , IF(F1160,   DAYS360(DATE(YEAR(F1160),MONTH(F1160),1),Mes)/30  ,  DAYS360(DATE(YEAR(E1160),MONTH(E1160),1),Mes)/30) , 0)       )</f>
        <v>0</v>
      </c>
      <c r="L1160" s="63">
        <f t="shared" si="253"/>
        <v>0</v>
      </c>
      <c r="M1160" s="162"/>
      <c r="N1160" s="97">
        <f>IF( ISERROR(OFFSET(SECUESTRADOS!D$1,MATCH(B1160,SECUESTRADOS!A$2:A1405,0),0)) ,0 ,  OFFSET(SECUESTRADOS!D$1,MATCH(B1160,SECUESTRADOS!A$2:A1405,0),0)  )</f>
        <v>0</v>
      </c>
      <c r="O1160" s="98"/>
      <c r="P1160" s="99" t="str">
        <f t="shared" si="238"/>
        <v>Bono canon</v>
      </c>
      <c r="Q1160" s="99" t="str">
        <f t="shared" si="304"/>
        <v>#REF!</v>
      </c>
      <c r="R1160" s="130"/>
      <c r="S1160" s="130"/>
      <c r="T1160" s="130"/>
    </row>
    <row r="1161">
      <c r="A1161" s="18" t="s">
        <v>71</v>
      </c>
      <c r="B1161" s="116">
        <v>2297.0</v>
      </c>
      <c r="C1161" s="140">
        <v>2297.0</v>
      </c>
      <c r="D1161" s="57" t="str">
        <f>IF(   ISERROR(OFFSET(PADRON!B$2,MATCH(C:C,PADRON!A$2:A1405,0)-1,0,1,1) )  ,  ,    OFFSET(PADRON!B$2,MATCH(C:C,PADRON!A$2:A1405,0)-1,0,1,1))</f>
        <v>SARTOTI, GALA</v>
      </c>
      <c r="E1161" s="58">
        <v>45717.0</v>
      </c>
      <c r="F1161" s="145"/>
      <c r="G1161" s="59" t="s">
        <v>39</v>
      </c>
      <c r="H1161" s="60">
        <f>IF( ISERROR( OFFSET(   'Cuadro tarifario'!D$2  , MATCH(CONCATENATE(                 IF(F1161&gt;Mes,OFFSET(NroCT!B$17, MATCH($F1161,NroCT!$A$18:$A1405,0),0,1,1),Periodovigente)                                                                                                                     ,A1161) ,'Cuadro tarifario'!A$2:A1405,0) -1 , 0 , 1 , 1) )   , 0  ,   OFFSET(   'Cuadro tarifario'!D$2  , MATCH(CONCATENATE( IF(F1161&gt;Mes,OFFSET(NroCT!B$17, MATCH($F1161,NroCT!$A$18:$A1405,0),0,1,1),Periodovigente) ,A1161) ,'Cuadro tarifario'!A$2:A1405,0) -1 , 0 , 1 , 1))</f>
        <v>11000</v>
      </c>
      <c r="I1161" s="61">
        <f t="shared" si="252"/>
        <v>0</v>
      </c>
      <c r="J1161" s="60">
        <f t="shared" si="305"/>
        <v>0</v>
      </c>
      <c r="K1161" s="62">
        <f>IF(  AND(N1161&gt;0,I1161=0)          ,N1161 ,                         IF(  IF( F1161 ,  DAYS360(DATE(YEAR(F1161),MONTH(F1161),1),Mes)/30  ,  DAYS360(DATE(YEAR(E1161),MONTH(E1161),1),Mes)/30  )  &gt;  0 , IF(F1161,   DAYS360(DATE(YEAR(F1161),MONTH(F1161),1),Mes)/30  ,  DAYS360(DATE(YEAR(E1161),MONTH(E1161),1),Mes)/30) , 0)       )</f>
        <v>5</v>
      </c>
      <c r="L1161" s="63">
        <f t="shared" si="253"/>
        <v>55000</v>
      </c>
      <c r="M1161" s="162"/>
      <c r="N1161" s="97">
        <f>IF( ISERROR(OFFSET(SECUESTRADOS!D$1,MATCH(B1161,SECUESTRADOS!A$2:A1405,0),0)) ,0 ,  OFFSET(SECUESTRADOS!D$1,MATCH(B1161,SECUESTRADOS!A$2:A1405,0),0)  )</f>
        <v>0</v>
      </c>
      <c r="O1161" s="98"/>
      <c r="P1161" s="99" t="b">
        <f t="shared" si="238"/>
        <v>0</v>
      </c>
      <c r="Q1161" s="99" t="str">
        <f t="shared" si="304"/>
        <v>#REF!</v>
      </c>
      <c r="R1161" s="130"/>
      <c r="S1161" s="130"/>
      <c r="T1161" s="130"/>
    </row>
    <row r="1162">
      <c r="A1162" s="18" t="s">
        <v>38</v>
      </c>
      <c r="B1162" s="116">
        <v>2297.0</v>
      </c>
      <c r="C1162" s="140">
        <v>2297.0</v>
      </c>
      <c r="D1162" s="57" t="str">
        <f>IF(   ISERROR(OFFSET(PADRON!B$2,MATCH(C:C,PADRON!A$2:A1405,0)-1,0,1,1) )  ,  ,    OFFSET(PADRON!B$2,MATCH(C:C,PADRON!A$2:A1405,0)-1,0,1,1))</f>
        <v>SARTOTI, GALA</v>
      </c>
      <c r="E1162" s="58">
        <v>45717.0</v>
      </c>
      <c r="F1162" s="145"/>
      <c r="G1162" s="59" t="s">
        <v>39</v>
      </c>
      <c r="H1162" s="60">
        <f>IF( ISERROR( OFFSET(   'Cuadro tarifario'!D$2  , MATCH(CONCATENATE(                 IF(F1162&gt;Mes,OFFSET(NroCT!B$17, MATCH($F1162,NroCT!$A$18:$A1405,0),0,1,1),Periodovigente)                                                                                                                     ,A1162) ,'Cuadro tarifario'!A$2:A1405,0) -1 , 0 , 1 , 1) )   , 0  ,   OFFSET(   'Cuadro tarifario'!D$2  , MATCH(CONCATENATE( IF(F1162&gt;Mes,OFFSET(NroCT!B$17, MATCH($F1162,NroCT!$A$18:$A1405,0),0,1,1),Periodovigente) ,A1162) ,'Cuadro tarifario'!A$2:A1405,0) -1 , 0 , 1 , 1))</f>
        <v>9000</v>
      </c>
      <c r="I1162" s="61">
        <f t="shared" si="252"/>
        <v>0</v>
      </c>
      <c r="J1162" s="60">
        <f t="shared" si="305"/>
        <v>0</v>
      </c>
      <c r="K1162" s="62">
        <f>IF(  AND(N1162&gt;0,I1162=0)          ,N1162 ,                         IF(  IF( F1162 ,  DAYS360(DATE(YEAR(F1162),MONTH(F1162),1),Mes)/30  ,  DAYS360(DATE(YEAR(E1162),MONTH(E1162),1),Mes)/30  )  &gt;  0 , IF(F1162,   DAYS360(DATE(YEAR(F1162),MONTH(F1162),1),Mes)/30  ,  DAYS360(DATE(YEAR(E1162),MONTH(E1162),1),Mes)/30) , 0)       )</f>
        <v>5</v>
      </c>
      <c r="L1162" s="63">
        <f t="shared" si="253"/>
        <v>45000</v>
      </c>
      <c r="M1162" s="162"/>
      <c r="N1162" s="97">
        <f>IF( ISERROR(OFFSET(SECUESTRADOS!D$1,MATCH(B1162,SECUESTRADOS!A$2:A1405,0),0)) ,0 ,  OFFSET(SECUESTRADOS!D$1,MATCH(B1162,SECUESTRADOS!A$2:A1405,0),0)  )</f>
        <v>0</v>
      </c>
      <c r="O1162" s="98"/>
      <c r="P1162" s="99" t="b">
        <f t="shared" si="238"/>
        <v>0</v>
      </c>
      <c r="Q1162" s="99" t="str">
        <f t="shared" si="304"/>
        <v>#REF!</v>
      </c>
      <c r="R1162" s="130"/>
      <c r="S1162" s="130"/>
      <c r="T1162" s="130"/>
    </row>
    <row r="1163">
      <c r="A1163" s="18" t="s">
        <v>71</v>
      </c>
      <c r="B1163" s="116">
        <v>2298.0</v>
      </c>
      <c r="C1163" s="140">
        <v>2298.0</v>
      </c>
      <c r="D1163" s="57" t="str">
        <f>IF(   ISERROR(OFFSET(PADRON!B$2,MATCH(C:C,PADRON!A$2:A1405,0)-1,0,1,1) )  ,  ,    OFFSET(PADRON!B$2,MATCH(C:C,PADRON!A$2:A1405,0)-1,0,1,1))</f>
        <v>MUÑOZ, MARCELO</v>
      </c>
      <c r="E1163" s="58">
        <v>45748.0</v>
      </c>
      <c r="F1163" s="145">
        <v>45870.0</v>
      </c>
      <c r="G1163" s="59" t="s">
        <v>39</v>
      </c>
      <c r="H1163" s="60">
        <f>IF( ISERROR( OFFSET(   'Cuadro tarifario'!D$2  , MATCH(CONCATENATE(                 IF(F1163&gt;Mes,OFFSET(NroCT!B$17, MATCH($F1163,NroCT!$A$18:$A1405,0),0,1,1),Periodovigente)                                                                                                                     ,A1163) ,'Cuadro tarifario'!A$2:A1405,0) -1 , 0 , 1 , 1) )   , 0  ,   OFFSET(   'Cuadro tarifario'!D$2  , MATCH(CONCATENATE( IF(F1163&gt;Mes,OFFSET(NroCT!B$17, MATCH($F1163,NroCT!$A$18:$A1405,0),0,1,1),Periodovigente) ,A1163) ,'Cuadro tarifario'!A$2:A1405,0) -1 , 0 , 1 , 1))</f>
        <v>11000</v>
      </c>
      <c r="I1163" s="61">
        <f t="shared" si="252"/>
        <v>4</v>
      </c>
      <c r="J1163" s="60">
        <f t="shared" si="305"/>
        <v>44000</v>
      </c>
      <c r="K1163" s="62">
        <f>IF(  AND(N1163&gt;0,I1163=0)          ,N1163 ,                         IF(  IF( F1163 ,  DAYS360(DATE(YEAR(F1163),MONTH(F1163),1),Mes)/30  ,  DAYS360(DATE(YEAR(E1163),MONTH(E1163),1),Mes)/30  )  &gt;  0 , IF(F1163,   DAYS360(DATE(YEAR(F1163),MONTH(F1163),1),Mes)/30  ,  DAYS360(DATE(YEAR(E1163),MONTH(E1163),1),Mes)/30) , 0)       )</f>
        <v>0</v>
      </c>
      <c r="L1163" s="63">
        <f t="shared" si="253"/>
        <v>0</v>
      </c>
      <c r="M1163" s="162"/>
      <c r="N1163" s="97">
        <f>IF( ISERROR(OFFSET(SECUESTRADOS!D$1,MATCH(B1163,SECUESTRADOS!A$2:A1405,0),0)) ,0 ,  OFFSET(SECUESTRADOS!D$1,MATCH(B1163,SECUESTRADOS!A$2:A1405,0),0)  )</f>
        <v>0</v>
      </c>
      <c r="O1163" s="98"/>
      <c r="P1163" s="99" t="str">
        <f t="shared" si="238"/>
        <v>.socio</v>
      </c>
      <c r="Q1163" s="99" t="str">
        <f t="shared" si="304"/>
        <v>#REF!</v>
      </c>
      <c r="R1163" s="130"/>
      <c r="S1163" s="130"/>
      <c r="T1163" s="130"/>
    </row>
    <row r="1164">
      <c r="A1164" s="18" t="s">
        <v>38</v>
      </c>
      <c r="B1164" s="116">
        <v>2298.0</v>
      </c>
      <c r="C1164" s="140">
        <v>2298.0</v>
      </c>
      <c r="D1164" s="57" t="str">
        <f>IF(   ISERROR(OFFSET(PADRON!B$2,MATCH(C:C,PADRON!A$2:A1405,0)-1,0,1,1) )  ,  ,    OFFSET(PADRON!B$2,MATCH(C:C,PADRON!A$2:A1405,0)-1,0,1,1))</f>
        <v>MUÑOZ, MARCELO</v>
      </c>
      <c r="E1164" s="58">
        <v>45748.0</v>
      </c>
      <c r="F1164" s="145">
        <v>45870.0</v>
      </c>
      <c r="G1164" s="59" t="s">
        <v>39</v>
      </c>
      <c r="H1164" s="60">
        <f>IF( ISERROR( OFFSET(   'Cuadro tarifario'!D$2  , MATCH(CONCATENATE(                 IF(F1164&gt;Mes,OFFSET(NroCT!B$17, MATCH($F1164,NroCT!$A$18:$A1405,0),0,1,1),Periodovigente)                                                                                                                     ,A1164) ,'Cuadro tarifario'!A$2:A1405,0) -1 , 0 , 1 , 1) )   , 0  ,   OFFSET(   'Cuadro tarifario'!D$2  , MATCH(CONCATENATE( IF(F1164&gt;Mes,OFFSET(NroCT!B$17, MATCH($F1164,NroCT!$A$18:$A1405,0),0,1,1),Periodovigente) ,A1164) ,'Cuadro tarifario'!A$2:A1405,0) -1 , 0 , 1 , 1))</f>
        <v>9000</v>
      </c>
      <c r="I1164" s="61">
        <f t="shared" si="252"/>
        <v>4</v>
      </c>
      <c r="J1164" s="60">
        <f t="shared" si="305"/>
        <v>36000</v>
      </c>
      <c r="K1164" s="62">
        <f>IF(  AND(N1164&gt;0,I1164=0)          ,N1164 ,                         IF(  IF( F1164 ,  DAYS360(DATE(YEAR(F1164),MONTH(F1164),1),Mes)/30  ,  DAYS360(DATE(YEAR(E1164),MONTH(E1164),1),Mes)/30  )  &gt;  0 , IF(F1164,   DAYS360(DATE(YEAR(F1164),MONTH(F1164),1),Mes)/30  ,  DAYS360(DATE(YEAR(E1164),MONTH(E1164),1),Mes)/30) , 0)       )</f>
        <v>0</v>
      </c>
      <c r="L1164" s="63">
        <f t="shared" si="253"/>
        <v>0</v>
      </c>
      <c r="M1164" s="162"/>
      <c r="N1164" s="97">
        <f>IF( ISERROR(OFFSET(SECUESTRADOS!D$1,MATCH(B1164,SECUESTRADOS!A$2:A1405,0),0)) ,0 ,  OFFSET(SECUESTRADOS!D$1,MATCH(B1164,SECUESTRADOS!A$2:A1405,0),0)  )</f>
        <v>0</v>
      </c>
      <c r="O1164" s="98"/>
      <c r="P1164" s="99" t="str">
        <f t="shared" si="238"/>
        <v>Bono canon</v>
      </c>
      <c r="Q1164" s="99" t="str">
        <f t="shared" si="304"/>
        <v>#REF!</v>
      </c>
      <c r="R1164" s="130"/>
      <c r="S1164" s="130"/>
      <c r="T1164" s="130"/>
    </row>
    <row r="1165">
      <c r="A1165" s="18" t="s">
        <v>71</v>
      </c>
      <c r="B1165" s="116">
        <v>2299.0</v>
      </c>
      <c r="C1165" s="140">
        <v>2299.0</v>
      </c>
      <c r="D1165" s="57" t="str">
        <f>IF(   ISERROR(OFFSET(PADRON!B$2,MATCH(C:C,PADRON!A$2:A1405,0)-1,0,1,1) )  ,  ,    OFFSET(PADRON!B$2,MATCH(C:C,PADRON!A$2:A1405,0)-1,0,1,1))</f>
        <v>CANCELA, JONATAN</v>
      </c>
      <c r="E1165" s="58">
        <v>45839.0</v>
      </c>
      <c r="F1165" s="145">
        <v>45870.0</v>
      </c>
      <c r="G1165" s="59" t="s">
        <v>39</v>
      </c>
      <c r="H1165" s="60">
        <f>IF( ISERROR( OFFSET(   'Cuadro tarifario'!D$2  , MATCH(CONCATENATE(                 IF(F1165&gt;Mes,OFFSET(NroCT!B$17, MATCH($F1165,NroCT!$A$18:$A1405,0),0,1,1),Periodovigente)                                                                                                                     ,A1165) ,'Cuadro tarifario'!A$2:A1405,0) -1 , 0 , 1 , 1) )   , 0  ,   OFFSET(   'Cuadro tarifario'!D$2  , MATCH(CONCATENATE( IF(F1165&gt;Mes,OFFSET(NroCT!B$17, MATCH($F1165,NroCT!$A$18:$A1405,0),0,1,1),Periodovigente) ,A1165) ,'Cuadro tarifario'!A$2:A1405,0) -1 , 0 , 1 , 1))</f>
        <v>11000</v>
      </c>
      <c r="I1165" s="61">
        <f t="shared" si="252"/>
        <v>1</v>
      </c>
      <c r="J1165" s="60">
        <f t="shared" si="305"/>
        <v>11000</v>
      </c>
      <c r="K1165" s="62">
        <f>IF(  AND(N1165&gt;0,I1165=0)          ,N1165 ,                         IF(  IF( F1165 ,  DAYS360(DATE(YEAR(F1165),MONTH(F1165),1),Mes)/30  ,  DAYS360(DATE(YEAR(E1165),MONTH(E1165),1),Mes)/30  )  &gt;  0 , IF(F1165,   DAYS360(DATE(YEAR(F1165),MONTH(F1165),1),Mes)/30  ,  DAYS360(DATE(YEAR(E1165),MONTH(E1165),1),Mes)/30) , 0)       )</f>
        <v>0</v>
      </c>
      <c r="L1165" s="63">
        <f t="shared" si="253"/>
        <v>0</v>
      </c>
      <c r="M1165" s="162"/>
      <c r="N1165" s="97">
        <f>IF( ISERROR(OFFSET(SECUESTRADOS!D$1,MATCH(B1165,SECUESTRADOS!A$2:A1405,0),0)) ,0 ,  OFFSET(SECUESTRADOS!D$1,MATCH(B1165,SECUESTRADOS!A$2:A1405,0),0)  )</f>
        <v>0</v>
      </c>
      <c r="O1165" s="98"/>
      <c r="P1165" s="99" t="str">
        <f t="shared" si="238"/>
        <v>.socio</v>
      </c>
      <c r="Q1165" s="99" t="str">
        <f t="shared" si="304"/>
        <v>#REF!</v>
      </c>
      <c r="R1165" s="130"/>
      <c r="S1165" s="130"/>
      <c r="T1165" s="130"/>
    </row>
    <row r="1166">
      <c r="A1166" s="18" t="s">
        <v>38</v>
      </c>
      <c r="B1166" s="116">
        <v>2299.0</v>
      </c>
      <c r="C1166" s="140">
        <v>2299.0</v>
      </c>
      <c r="D1166" s="57" t="str">
        <f>IF(   ISERROR(OFFSET(PADRON!B$2,MATCH(C:C,PADRON!A$2:A1405,0)-1,0,1,1) )  ,  ,    OFFSET(PADRON!B$2,MATCH(C:C,PADRON!A$2:A1405,0)-1,0,1,1))</f>
        <v>CANCELA, JONATAN</v>
      </c>
      <c r="E1166" s="58">
        <v>45839.0</v>
      </c>
      <c r="F1166" s="145">
        <v>45870.0</v>
      </c>
      <c r="G1166" s="59" t="s">
        <v>39</v>
      </c>
      <c r="H1166" s="60">
        <f>IF( ISERROR( OFFSET(   'Cuadro tarifario'!D$2  , MATCH(CONCATENATE(                 IF(F1166&gt;Mes,OFFSET(NroCT!B$17, MATCH($F1166,NroCT!$A$18:$A1405,0),0,1,1),Periodovigente)                                                                                                                     ,A1166) ,'Cuadro tarifario'!A$2:A1405,0) -1 , 0 , 1 , 1) )   , 0  ,   OFFSET(   'Cuadro tarifario'!D$2  , MATCH(CONCATENATE( IF(F1166&gt;Mes,OFFSET(NroCT!B$17, MATCH($F1166,NroCT!$A$18:$A1405,0),0,1,1),Periodovigente) ,A1166) ,'Cuadro tarifario'!A$2:A1405,0) -1 , 0 , 1 , 1))</f>
        <v>9000</v>
      </c>
      <c r="I1166" s="61">
        <f t="shared" si="252"/>
        <v>1</v>
      </c>
      <c r="J1166" s="60">
        <f t="shared" si="305"/>
        <v>9000</v>
      </c>
      <c r="K1166" s="62">
        <f>IF(  AND(N1166&gt;0,I1166=0)          ,N1166 ,                         IF(  IF( F1166 ,  DAYS360(DATE(YEAR(F1166),MONTH(F1166),1),Mes)/30  ,  DAYS360(DATE(YEAR(E1166),MONTH(E1166),1),Mes)/30  )  &gt;  0 , IF(F1166,   DAYS360(DATE(YEAR(F1166),MONTH(F1166),1),Mes)/30  ,  DAYS360(DATE(YEAR(E1166),MONTH(E1166),1),Mes)/30) , 0)       )</f>
        <v>0</v>
      </c>
      <c r="L1166" s="63">
        <f t="shared" si="253"/>
        <v>0</v>
      </c>
      <c r="M1166" s="162"/>
      <c r="N1166" s="97">
        <f>IF( ISERROR(OFFSET(SECUESTRADOS!D$1,MATCH(B1166,SECUESTRADOS!A$2:A1405,0),0)) ,0 ,  OFFSET(SECUESTRADOS!D$1,MATCH(B1166,SECUESTRADOS!A$2:A1405,0),0)  )</f>
        <v>0</v>
      </c>
      <c r="O1166" s="98"/>
      <c r="P1166" s="99" t="str">
        <f t="shared" si="238"/>
        <v>Bono canon</v>
      </c>
      <c r="Q1166" s="99" t="str">
        <f t="shared" si="304"/>
        <v>#REF!</v>
      </c>
      <c r="R1166" s="130"/>
      <c r="S1166" s="130"/>
      <c r="T1166" s="130"/>
    </row>
    <row r="1167">
      <c r="A1167" s="18" t="s">
        <v>82</v>
      </c>
      <c r="B1167" s="116" t="s">
        <v>462</v>
      </c>
      <c r="C1167" s="140">
        <v>2299.0</v>
      </c>
      <c r="D1167" s="57" t="str">
        <f>IF(   ISERROR(OFFSET(PADRON!B$2,MATCH(C:C,PADRON!A$2:A1405,0)-1,0,1,1) )  ,  ,    OFFSET(PADRON!B$2,MATCH(C:C,PADRON!A$2:A1405,0)-1,0,1,1))</f>
        <v>CANCELA, JONATAN</v>
      </c>
      <c r="E1167" s="58">
        <v>45839.0</v>
      </c>
      <c r="F1167" s="145">
        <v>45870.0</v>
      </c>
      <c r="G1167" s="59" t="s">
        <v>39</v>
      </c>
      <c r="H1167" s="60">
        <f>IF( ISERROR( OFFSET(   'Cuadro tarifario'!D$2  , MATCH(CONCATENATE(                 IF(F1167&gt;Mes,OFFSET(NroCT!B$17, MATCH($F1167,NroCT!$A$18:$A1405,0),0,1,1),Periodovigente)                                                                                                                     ,A1167) ,'Cuadro tarifario'!A$2:A1405,0) -1 , 0 , 1 , 1) )   , 0  ,   OFFSET(   'Cuadro tarifario'!D$2  , MATCH(CONCATENATE( IF(F1167&gt;Mes,OFFSET(NroCT!B$17, MATCH($F1167,NroCT!$A$18:$A1405,0),0,1,1),Periodovigente) ,A1167) ,'Cuadro tarifario'!A$2:A1405,0) -1 , 0 , 1 , 1))</f>
        <v>12000</v>
      </c>
      <c r="I1167" s="61">
        <f t="shared" si="252"/>
        <v>1</v>
      </c>
      <c r="J1167" s="60">
        <f t="shared" si="305"/>
        <v>12000</v>
      </c>
      <c r="K1167" s="62">
        <f>IF(  AND(N1167&gt;0,I1167=0)          ,N1167 ,                         IF(  IF( F1167 ,  DAYS360(DATE(YEAR(F1167),MONTH(F1167),1),Mes)/30  ,  DAYS360(DATE(YEAR(E1167),MONTH(E1167),1),Mes)/30  )  &gt;  0 , IF(F1167,   DAYS360(DATE(YEAR(F1167),MONTH(F1167),1),Mes)/30  ,  DAYS360(DATE(YEAR(E1167),MONTH(E1167),1),Mes)/30) , 0)       )</f>
        <v>0</v>
      </c>
      <c r="L1167" s="63">
        <f t="shared" si="253"/>
        <v>0</v>
      </c>
      <c r="M1167" s="162"/>
      <c r="N1167" s="97">
        <f>IF( ISERROR(OFFSET(SECUESTRADOS!D$1,MATCH(B1167,SECUESTRADOS!A$2:A1405,0),0)) ,0 ,  OFFSET(SECUESTRADOS!D$1,MATCH(B1167,SECUESTRADOS!A$2:A1405,0),0)  )</f>
        <v>0</v>
      </c>
      <c r="O1167" s="98"/>
      <c r="P1167" s="99" t="str">
        <f t="shared" si="238"/>
        <v>cuna kayak</v>
      </c>
      <c r="Q1167" s="99" t="str">
        <f t="shared" si="304"/>
        <v>#REF!</v>
      </c>
      <c r="R1167" s="130"/>
      <c r="S1167" s="130"/>
      <c r="T1167" s="130"/>
    </row>
    <row r="1168">
      <c r="A1168" s="18" t="s">
        <v>71</v>
      </c>
      <c r="B1168" s="116">
        <v>2230.0</v>
      </c>
      <c r="C1168" s="140">
        <v>2300.0</v>
      </c>
      <c r="D1168" s="57" t="str">
        <f>IF(   ISERROR(OFFSET(PADRON!B$2,MATCH(C:C,PADRON!A$2:A1405,0)-1,0,1,1) )  ,  ,    OFFSET(PADRON!B$2,MATCH(C:C,PADRON!A$2:A1405,0)-1,0,1,1))</f>
        <v>SANTILLI, LEANDRO GASTON</v>
      </c>
      <c r="E1168" s="58">
        <v>45809.0</v>
      </c>
      <c r="F1168" s="145">
        <v>45870.0</v>
      </c>
      <c r="G1168" s="59" t="s">
        <v>39</v>
      </c>
      <c r="H1168" s="60">
        <f>IF( ISERROR( OFFSET(   'Cuadro tarifario'!D$2  , MATCH(CONCATENATE(                 IF(F1168&gt;Mes,OFFSET(NroCT!B$17, MATCH($F1168,NroCT!$A$18:$A1405,0),0,1,1),Periodovigente)                                                                                                                     ,A1168) ,'Cuadro tarifario'!A$2:A1405,0) -1 , 0 , 1 , 1) )   , 0  ,   OFFSET(   'Cuadro tarifario'!D$2  , MATCH(CONCATENATE( IF(F1168&gt;Mes,OFFSET(NroCT!B$17, MATCH($F1168,NroCT!$A$18:$A1405,0),0,1,1),Periodovigente) ,A1168) ,'Cuadro tarifario'!A$2:A1405,0) -1 , 0 , 1 , 1))</f>
        <v>11000</v>
      </c>
      <c r="I1168" s="61">
        <f t="shared" si="252"/>
        <v>2</v>
      </c>
      <c r="J1168" s="60">
        <f t="shared" si="305"/>
        <v>22000</v>
      </c>
      <c r="K1168" s="62">
        <f>IF(  AND(N1168&gt;0,I1168=0)          ,N1168 ,                         IF(  IF( F1168 ,  DAYS360(DATE(YEAR(F1168),MONTH(F1168),1),Mes)/30  ,  DAYS360(DATE(YEAR(E1168),MONTH(E1168),1),Mes)/30  )  &gt;  0 , IF(F1168,   DAYS360(DATE(YEAR(F1168),MONTH(F1168),1),Mes)/30  ,  DAYS360(DATE(YEAR(E1168),MONTH(E1168),1),Mes)/30) , 0)       )</f>
        <v>0</v>
      </c>
      <c r="L1168" s="63">
        <f t="shared" si="253"/>
        <v>0</v>
      </c>
      <c r="M1168" s="162"/>
      <c r="N1168" s="97">
        <f>IF( ISERROR(OFFSET(SECUESTRADOS!D$1,MATCH(B1168,SECUESTRADOS!A$2:A1405,0),0)) ,0 ,  OFFSET(SECUESTRADOS!D$1,MATCH(B1168,SECUESTRADOS!A$2:A1405,0),0)  )</f>
        <v>0</v>
      </c>
      <c r="O1168" s="98"/>
      <c r="P1168" s="99" t="str">
        <f t="shared" si="238"/>
        <v>.socio</v>
      </c>
      <c r="Q1168" s="99" t="str">
        <f t="shared" si="304"/>
        <v>#REF!</v>
      </c>
      <c r="R1168" s="130"/>
      <c r="S1168" s="130"/>
      <c r="T1168" s="130"/>
    </row>
    <row r="1169">
      <c r="A1169" s="18" t="s">
        <v>38</v>
      </c>
      <c r="B1169" s="116">
        <v>2230.0</v>
      </c>
      <c r="C1169" s="140">
        <v>2300.0</v>
      </c>
      <c r="D1169" s="57" t="str">
        <f>IF(   ISERROR(OFFSET(PADRON!B$2,MATCH(C:C,PADRON!A$2:A1405,0)-1,0,1,1) )  ,  ,    OFFSET(PADRON!B$2,MATCH(C:C,PADRON!A$2:A1405,0)-1,0,1,1))</f>
        <v>SANTILLI, LEANDRO GASTON</v>
      </c>
      <c r="E1169" s="58">
        <v>45809.0</v>
      </c>
      <c r="F1169" s="145">
        <v>45870.0</v>
      </c>
      <c r="G1169" s="59" t="s">
        <v>39</v>
      </c>
      <c r="H1169" s="60">
        <f>IF( ISERROR( OFFSET(   'Cuadro tarifario'!D$2  , MATCH(CONCATENATE(                 IF(F1169&gt;Mes,OFFSET(NroCT!B$17, MATCH($F1169,NroCT!$A$18:$A1405,0),0,1,1),Periodovigente)                                                                                                                     ,A1169) ,'Cuadro tarifario'!A$2:A1405,0) -1 , 0 , 1 , 1) )   , 0  ,   OFFSET(   'Cuadro tarifario'!D$2  , MATCH(CONCATENATE( IF(F1169&gt;Mes,OFFSET(NroCT!B$17, MATCH($F1169,NroCT!$A$18:$A1405,0),0,1,1),Periodovigente) ,A1169) ,'Cuadro tarifario'!A$2:A1405,0) -1 , 0 , 1 , 1))</f>
        <v>9000</v>
      </c>
      <c r="I1169" s="61">
        <f t="shared" si="252"/>
        <v>2</v>
      </c>
      <c r="J1169" s="60">
        <f t="shared" si="305"/>
        <v>18000</v>
      </c>
      <c r="K1169" s="62">
        <f>IF(  AND(N1169&gt;0,I1169=0)          ,N1169 ,                         IF(  IF( F1169 ,  DAYS360(DATE(YEAR(F1169),MONTH(F1169),1),Mes)/30  ,  DAYS360(DATE(YEAR(E1169),MONTH(E1169),1),Mes)/30  )  &gt;  0 , IF(F1169,   DAYS360(DATE(YEAR(F1169),MONTH(F1169),1),Mes)/30  ,  DAYS360(DATE(YEAR(E1169),MONTH(E1169),1),Mes)/30) , 0)       )</f>
        <v>0</v>
      </c>
      <c r="L1169" s="63">
        <f t="shared" si="253"/>
        <v>0</v>
      </c>
      <c r="M1169" s="162"/>
      <c r="N1169" s="97">
        <f>IF( ISERROR(OFFSET(SECUESTRADOS!D$1,MATCH(B1169,SECUESTRADOS!A$2:A1405,0),0)) ,0 ,  OFFSET(SECUESTRADOS!D$1,MATCH(B1169,SECUESTRADOS!A$2:A1405,0),0)  )</f>
        <v>0</v>
      </c>
      <c r="O1169" s="98"/>
      <c r="P1169" s="99" t="str">
        <f t="shared" si="238"/>
        <v>Bono canon</v>
      </c>
      <c r="Q1169" s="99" t="str">
        <f t="shared" si="304"/>
        <v>#REF!</v>
      </c>
      <c r="R1169" s="130"/>
      <c r="S1169" s="130"/>
      <c r="T1169" s="130"/>
    </row>
    <row r="1170">
      <c r="A1170" s="18" t="s">
        <v>71</v>
      </c>
      <c r="B1170" s="116">
        <v>2301.0</v>
      </c>
      <c r="C1170" s="140">
        <v>2301.0</v>
      </c>
      <c r="D1170" s="57" t="str">
        <f>IF(   ISERROR(OFFSET(PADRON!B$2,MATCH(C:C,PADRON!A$2:A1405,0)-1,0,1,1) )  ,  ,    OFFSET(PADRON!B$2,MATCH(C:C,PADRON!A$2:A1405,0)-1,0,1,1))</f>
        <v>AYERDI, DOLORES</v>
      </c>
      <c r="E1170" s="58">
        <v>45809.0</v>
      </c>
      <c r="F1170" s="145">
        <v>45870.0</v>
      </c>
      <c r="G1170" s="59" t="s">
        <v>39</v>
      </c>
      <c r="H1170" s="60">
        <f>IF( ISERROR( OFFSET(   'Cuadro tarifario'!D$2  , MATCH(CONCATENATE(                 IF(F1170&gt;Mes,OFFSET(NroCT!B$17, MATCH($F1170,NroCT!$A$18:$A1405,0),0,1,1),Periodovigente)                                                                                                                     ,A1170) ,'Cuadro tarifario'!A$2:A1405,0) -1 , 0 , 1 , 1) )   , 0  ,   OFFSET(   'Cuadro tarifario'!D$2  , MATCH(CONCATENATE( IF(F1170&gt;Mes,OFFSET(NroCT!B$17, MATCH($F1170,NroCT!$A$18:$A1405,0),0,1,1),Periodovigente) ,A1170) ,'Cuadro tarifario'!A$2:A1405,0) -1 , 0 , 1 , 1))</f>
        <v>11000</v>
      </c>
      <c r="I1170" s="61">
        <f t="shared" si="252"/>
        <v>2</v>
      </c>
      <c r="J1170" s="60">
        <f t="shared" si="305"/>
        <v>22000</v>
      </c>
      <c r="K1170" s="62">
        <f>IF(  AND(N1170&gt;0,I1170=0)          ,N1170 ,                         IF(  IF( F1170 ,  DAYS360(DATE(YEAR(F1170),MONTH(F1170),1),Mes)/30  ,  DAYS360(DATE(YEAR(E1170),MONTH(E1170),1),Mes)/30  )  &gt;  0 , IF(F1170,   DAYS360(DATE(YEAR(F1170),MONTH(F1170),1),Mes)/30  ,  DAYS360(DATE(YEAR(E1170),MONTH(E1170),1),Mes)/30) , 0)       )</f>
        <v>0</v>
      </c>
      <c r="L1170" s="63">
        <f t="shared" si="253"/>
        <v>0</v>
      </c>
      <c r="M1170" s="162"/>
      <c r="N1170" s="97">
        <f>IF( ISERROR(OFFSET(SECUESTRADOS!D$1,MATCH(B1170,SECUESTRADOS!A$2:A1405,0),0)) ,0 ,  OFFSET(SECUESTRADOS!D$1,MATCH(B1170,SECUESTRADOS!A$2:A1405,0),0)  )</f>
        <v>0</v>
      </c>
      <c r="O1170" s="98"/>
      <c r="P1170" s="99" t="str">
        <f t="shared" si="238"/>
        <v>.socio</v>
      </c>
      <c r="Q1170" s="99" t="str">
        <f t="shared" si="304"/>
        <v>#REF!</v>
      </c>
      <c r="R1170" s="130"/>
      <c r="S1170" s="130"/>
      <c r="T1170" s="130"/>
    </row>
    <row r="1171">
      <c r="A1171" s="18" t="s">
        <v>38</v>
      </c>
      <c r="B1171" s="116">
        <v>2301.0</v>
      </c>
      <c r="C1171" s="140">
        <v>2301.0</v>
      </c>
      <c r="D1171" s="57" t="str">
        <f>IF(   ISERROR(OFFSET(PADRON!B$2,MATCH(C:C,PADRON!A$2:A1405,0)-1,0,1,1) )  ,  ,    OFFSET(PADRON!B$2,MATCH(C:C,PADRON!A$2:A1405,0)-1,0,1,1))</f>
        <v>AYERDI, DOLORES</v>
      </c>
      <c r="E1171" s="58">
        <v>45809.0</v>
      </c>
      <c r="F1171" s="145">
        <v>45870.0</v>
      </c>
      <c r="G1171" s="59" t="s">
        <v>39</v>
      </c>
      <c r="H1171" s="60">
        <f>IF( ISERROR( OFFSET(   'Cuadro tarifario'!D$2  , MATCH(CONCATENATE(                 IF(F1171&gt;Mes,OFFSET(NroCT!B$17, MATCH($F1171,NroCT!$A$18:$A1405,0),0,1,1),Periodovigente)                                                                                                                     ,A1171) ,'Cuadro tarifario'!A$2:A1405,0) -1 , 0 , 1 , 1) )   , 0  ,   OFFSET(   'Cuadro tarifario'!D$2  , MATCH(CONCATENATE( IF(F1171&gt;Mes,OFFSET(NroCT!B$17, MATCH($F1171,NroCT!$A$18:$A1405,0),0,1,1),Periodovigente) ,A1171) ,'Cuadro tarifario'!A$2:A1405,0) -1 , 0 , 1 , 1))</f>
        <v>9000</v>
      </c>
      <c r="I1171" s="61">
        <f t="shared" si="252"/>
        <v>2</v>
      </c>
      <c r="J1171" s="60">
        <f t="shared" si="305"/>
        <v>18000</v>
      </c>
      <c r="K1171" s="62">
        <f>IF(  AND(N1171&gt;0,I1171=0)          ,N1171 ,                         IF(  IF( F1171 ,  DAYS360(DATE(YEAR(F1171),MONTH(F1171),1),Mes)/30  ,  DAYS360(DATE(YEAR(E1171),MONTH(E1171),1),Mes)/30  )  &gt;  0 , IF(F1171,   DAYS360(DATE(YEAR(F1171),MONTH(F1171),1),Mes)/30  ,  DAYS360(DATE(YEAR(E1171),MONTH(E1171),1),Mes)/30) , 0)       )</f>
        <v>0</v>
      </c>
      <c r="L1171" s="63">
        <f t="shared" si="253"/>
        <v>0</v>
      </c>
      <c r="M1171" s="162"/>
      <c r="N1171" s="97">
        <f>IF( ISERROR(OFFSET(SECUESTRADOS!D$1,MATCH(B1171,SECUESTRADOS!A$2:A1405,0),0)) ,0 ,  OFFSET(SECUESTRADOS!D$1,MATCH(B1171,SECUESTRADOS!A$2:A1405,0),0)  )</f>
        <v>0</v>
      </c>
      <c r="O1171" s="98"/>
      <c r="P1171" s="99" t="str">
        <f t="shared" si="238"/>
        <v>Bono canon</v>
      </c>
      <c r="Q1171" s="99" t="str">
        <f t="shared" si="304"/>
        <v>#REF!</v>
      </c>
      <c r="R1171" s="130"/>
      <c r="S1171" s="130"/>
      <c r="T1171" s="130"/>
    </row>
    <row r="1172">
      <c r="A1172" s="18" t="s">
        <v>71</v>
      </c>
      <c r="B1172" s="116">
        <v>2302.0</v>
      </c>
      <c r="C1172" s="140">
        <v>2302.0</v>
      </c>
      <c r="D1172" s="57" t="str">
        <f>IF(   ISERROR(OFFSET(PADRON!B$2,MATCH(C:C,PADRON!A$2:A1405,0)-1,0,1,1) )  ,  ,    OFFSET(PADRON!B$2,MATCH(C:C,PADRON!A$2:A1405,0)-1,0,1,1))</f>
        <v>CAPORALE, SANDRA</v>
      </c>
      <c r="E1172" s="58">
        <v>45839.0</v>
      </c>
      <c r="F1172" s="145">
        <v>45870.0</v>
      </c>
      <c r="G1172" s="59" t="s">
        <v>39</v>
      </c>
      <c r="H1172" s="60">
        <f>IF( ISERROR( OFFSET(   'Cuadro tarifario'!D$2  , MATCH(CONCATENATE(                 IF(F1172&gt;Mes,OFFSET(NroCT!B$17, MATCH($F1172,NroCT!$A$18:$A1405,0),0,1,1),Periodovigente)                                                                                                                     ,A1172) ,'Cuadro tarifario'!A$2:A1405,0) -1 , 0 , 1 , 1) )   , 0  ,   OFFSET(   'Cuadro tarifario'!D$2  , MATCH(CONCATENATE( IF(F1172&gt;Mes,OFFSET(NroCT!B$17, MATCH($F1172,NroCT!$A$18:$A1405,0),0,1,1),Periodovigente) ,A1172) ,'Cuadro tarifario'!A$2:A1405,0) -1 , 0 , 1 , 1))</f>
        <v>11000</v>
      </c>
      <c r="I1172" s="61">
        <f t="shared" si="252"/>
        <v>1</v>
      </c>
      <c r="J1172" s="60">
        <f t="shared" si="305"/>
        <v>11000</v>
      </c>
      <c r="K1172" s="62">
        <f>IF(  AND(N1172&gt;0,I1172=0)          ,N1172 ,                         IF(  IF( F1172 ,  DAYS360(DATE(YEAR(F1172),MONTH(F1172),1),Mes)/30  ,  DAYS360(DATE(YEAR(E1172),MONTH(E1172),1),Mes)/30  )  &gt;  0 , IF(F1172,   DAYS360(DATE(YEAR(F1172),MONTH(F1172),1),Mes)/30  ,  DAYS360(DATE(YEAR(E1172),MONTH(E1172),1),Mes)/30) , 0)       )</f>
        <v>0</v>
      </c>
      <c r="L1172" s="63">
        <f t="shared" si="253"/>
        <v>0</v>
      </c>
      <c r="M1172" s="162"/>
      <c r="N1172" s="97">
        <f>IF( ISERROR(OFFSET(SECUESTRADOS!D$1,MATCH(B1172,SECUESTRADOS!A$2:A1405,0),0)) ,0 ,  OFFSET(SECUESTRADOS!D$1,MATCH(B1172,SECUESTRADOS!A$2:A1405,0),0)  )</f>
        <v>0</v>
      </c>
      <c r="O1172" s="98"/>
      <c r="P1172" s="99" t="str">
        <f t="shared" si="238"/>
        <v>.socio</v>
      </c>
      <c r="Q1172" s="99" t="str">
        <f t="shared" si="304"/>
        <v>#REF!</v>
      </c>
      <c r="R1172" s="130"/>
      <c r="S1172" s="130"/>
      <c r="T1172" s="130"/>
    </row>
    <row r="1173">
      <c r="A1173" s="18" t="s">
        <v>38</v>
      </c>
      <c r="B1173" s="116">
        <v>2302.0</v>
      </c>
      <c r="C1173" s="140">
        <v>2302.0</v>
      </c>
      <c r="D1173" s="57" t="str">
        <f>IF(   ISERROR(OFFSET(PADRON!B$2,MATCH(C:C,PADRON!A$2:A1405,0)-1,0,1,1) )  ,  ,    OFFSET(PADRON!B$2,MATCH(C:C,PADRON!A$2:A1405,0)-1,0,1,1))</f>
        <v>CAPORALE, SANDRA</v>
      </c>
      <c r="E1173" s="58">
        <v>45839.0</v>
      </c>
      <c r="F1173" s="145">
        <v>45870.0</v>
      </c>
      <c r="G1173" s="59" t="s">
        <v>39</v>
      </c>
      <c r="H1173" s="60">
        <f>IF( ISERROR( OFFSET(   'Cuadro tarifario'!D$2  , MATCH(CONCATENATE(                 IF(F1173&gt;Mes,OFFSET(NroCT!B$17, MATCH($F1173,NroCT!$A$18:$A1405,0),0,1,1),Periodovigente)                                                                                                                     ,A1173) ,'Cuadro tarifario'!A$2:A1405,0) -1 , 0 , 1 , 1) )   , 0  ,   OFFSET(   'Cuadro tarifario'!D$2  , MATCH(CONCATENATE( IF(F1173&gt;Mes,OFFSET(NroCT!B$17, MATCH($F1173,NroCT!$A$18:$A1405,0),0,1,1),Periodovigente) ,A1173) ,'Cuadro tarifario'!A$2:A1405,0) -1 , 0 , 1 , 1))</f>
        <v>9000</v>
      </c>
      <c r="I1173" s="61">
        <f t="shared" si="252"/>
        <v>1</v>
      </c>
      <c r="J1173" s="60">
        <f t="shared" si="305"/>
        <v>9000</v>
      </c>
      <c r="K1173" s="62">
        <f>IF(  AND(N1173&gt;0,I1173=0)          ,N1173 ,                         IF(  IF( F1173 ,  DAYS360(DATE(YEAR(F1173),MONTH(F1173),1),Mes)/30  ,  DAYS360(DATE(YEAR(E1173),MONTH(E1173),1),Mes)/30  )  &gt;  0 , IF(F1173,   DAYS360(DATE(YEAR(F1173),MONTH(F1173),1),Mes)/30  ,  DAYS360(DATE(YEAR(E1173),MONTH(E1173),1),Mes)/30) , 0)       )</f>
        <v>0</v>
      </c>
      <c r="L1173" s="63">
        <f t="shared" si="253"/>
        <v>0</v>
      </c>
      <c r="M1173" s="162"/>
      <c r="N1173" s="97">
        <f>IF( ISERROR(OFFSET(SECUESTRADOS!D$1,MATCH(B1173,SECUESTRADOS!A$2:A1405,0),0)) ,0 ,  OFFSET(SECUESTRADOS!D$1,MATCH(B1173,SECUESTRADOS!A$2:A1405,0),0)  )</f>
        <v>0</v>
      </c>
      <c r="O1173" s="98"/>
      <c r="P1173" s="99" t="str">
        <f t="shared" si="238"/>
        <v>Bono canon</v>
      </c>
      <c r="Q1173" s="99" t="str">
        <f t="shared" si="304"/>
        <v>#REF!</v>
      </c>
      <c r="R1173" s="130"/>
      <c r="S1173" s="130"/>
      <c r="T1173" s="130"/>
    </row>
    <row r="1174">
      <c r="A1174" s="18" t="s">
        <v>71</v>
      </c>
      <c r="B1174" s="116">
        <v>2303.0</v>
      </c>
      <c r="C1174" s="140">
        <v>2303.0</v>
      </c>
      <c r="D1174" s="57" t="str">
        <f>IF(   ISERROR(OFFSET(PADRON!B$2,MATCH(C:C,PADRON!A$2:A1405,0)-1,0,1,1) )  ,  ,    OFFSET(PADRON!B$2,MATCH(C:C,PADRON!A$2:A1405,0)-1,0,1,1))</f>
        <v>LOFEUDO, LISANDRO</v>
      </c>
      <c r="E1174" s="58">
        <v>45839.0</v>
      </c>
      <c r="F1174" s="145">
        <v>45870.0</v>
      </c>
      <c r="G1174" s="59" t="s">
        <v>39</v>
      </c>
      <c r="H1174" s="60">
        <f>IF( ISERROR( OFFSET(   'Cuadro tarifario'!D$2  , MATCH(CONCATENATE(                 IF(F1174&gt;Mes,OFFSET(NroCT!B$17, MATCH($F1174,NroCT!$A$18:$A1405,0),0,1,1),Periodovigente)                                                                                                                     ,A1174) ,'Cuadro tarifario'!A$2:A1405,0) -1 , 0 , 1 , 1) )   , 0  ,   OFFSET(   'Cuadro tarifario'!D$2  , MATCH(CONCATENATE( IF(F1174&gt;Mes,OFFSET(NroCT!B$17, MATCH($F1174,NroCT!$A$18:$A1405,0),0,1,1),Periodovigente) ,A1174) ,'Cuadro tarifario'!A$2:A1405,0) -1 , 0 , 1 , 1))</f>
        <v>11000</v>
      </c>
      <c r="I1174" s="61">
        <f t="shared" si="252"/>
        <v>1</v>
      </c>
      <c r="J1174" s="60">
        <f t="shared" si="305"/>
        <v>11000</v>
      </c>
      <c r="K1174" s="62">
        <f>IF(  AND(N1174&gt;0,I1174=0)          ,N1174 ,                         IF(  IF( F1174 ,  DAYS360(DATE(YEAR(F1174),MONTH(F1174),1),Mes)/30  ,  DAYS360(DATE(YEAR(E1174),MONTH(E1174),1),Mes)/30  )  &gt;  0 , IF(F1174,   DAYS360(DATE(YEAR(F1174),MONTH(F1174),1),Mes)/30  ,  DAYS360(DATE(YEAR(E1174),MONTH(E1174),1),Mes)/30) , 0)       )</f>
        <v>0</v>
      </c>
      <c r="L1174" s="63">
        <f t="shared" si="253"/>
        <v>0</v>
      </c>
      <c r="M1174" s="162"/>
      <c r="N1174" s="97">
        <f>IF( ISERROR(OFFSET(SECUESTRADOS!D$1,MATCH(B1174,SECUESTRADOS!A$2:A1405,0),0)) ,0 ,  OFFSET(SECUESTRADOS!D$1,MATCH(B1174,SECUESTRADOS!A$2:A1405,0),0)  )</f>
        <v>0</v>
      </c>
      <c r="O1174" s="98"/>
      <c r="P1174" s="99" t="str">
        <f t="shared" si="238"/>
        <v>.socio</v>
      </c>
      <c r="Q1174" s="99" t="str">
        <f t="shared" si="304"/>
        <v>#REF!</v>
      </c>
      <c r="R1174" s="130"/>
      <c r="S1174" s="130"/>
      <c r="T1174" s="130"/>
    </row>
    <row r="1175">
      <c r="A1175" s="18" t="s">
        <v>38</v>
      </c>
      <c r="B1175" s="116">
        <v>2303.0</v>
      </c>
      <c r="C1175" s="140">
        <v>2303.0</v>
      </c>
      <c r="D1175" s="57" t="str">
        <f>IF(   ISERROR(OFFSET(PADRON!B$2,MATCH(C:C,PADRON!A$2:A1405,0)-1,0,1,1) )  ,  ,    OFFSET(PADRON!B$2,MATCH(C:C,PADRON!A$2:A1405,0)-1,0,1,1))</f>
        <v>LOFEUDO, LISANDRO</v>
      </c>
      <c r="E1175" s="58">
        <v>45839.0</v>
      </c>
      <c r="F1175" s="145">
        <v>45870.0</v>
      </c>
      <c r="G1175" s="59" t="s">
        <v>39</v>
      </c>
      <c r="H1175" s="60">
        <f>IF( ISERROR( OFFSET(   'Cuadro tarifario'!D$2  , MATCH(CONCATENATE(                 IF(F1175&gt;Mes,OFFSET(NroCT!B$17, MATCH($F1175,NroCT!$A$18:$A1405,0),0,1,1),Periodovigente)                                                                                                                     ,A1175) ,'Cuadro tarifario'!A$2:A1405,0) -1 , 0 , 1 , 1) )   , 0  ,   OFFSET(   'Cuadro tarifario'!D$2  , MATCH(CONCATENATE( IF(F1175&gt;Mes,OFFSET(NroCT!B$17, MATCH($F1175,NroCT!$A$18:$A1405,0),0,1,1),Periodovigente) ,A1175) ,'Cuadro tarifario'!A$2:A1405,0) -1 , 0 , 1 , 1))</f>
        <v>9000</v>
      </c>
      <c r="I1175" s="61">
        <f t="shared" si="252"/>
        <v>1</v>
      </c>
      <c r="J1175" s="60">
        <f t="shared" si="305"/>
        <v>9000</v>
      </c>
      <c r="K1175" s="62">
        <f>IF(  AND(N1175&gt;0,I1175=0)          ,N1175 ,                         IF(  IF( F1175 ,  DAYS360(DATE(YEAR(F1175),MONTH(F1175),1),Mes)/30  ,  DAYS360(DATE(YEAR(E1175),MONTH(E1175),1),Mes)/30  )  &gt;  0 , IF(F1175,   DAYS360(DATE(YEAR(F1175),MONTH(F1175),1),Mes)/30  ,  DAYS360(DATE(YEAR(E1175),MONTH(E1175),1),Mes)/30) , 0)       )</f>
        <v>0</v>
      </c>
      <c r="L1175" s="63">
        <f t="shared" si="253"/>
        <v>0</v>
      </c>
      <c r="M1175" s="162"/>
      <c r="N1175" s="97">
        <f>IF( ISERROR(OFFSET(SECUESTRADOS!D$1,MATCH(B1175,SECUESTRADOS!A$2:A1405,0),0)) ,0 ,  OFFSET(SECUESTRADOS!D$1,MATCH(B1175,SECUESTRADOS!A$2:A1405,0),0)  )</f>
        <v>0</v>
      </c>
      <c r="O1175" s="98"/>
      <c r="P1175" s="99" t="str">
        <f t="shared" si="238"/>
        <v>Bono canon</v>
      </c>
      <c r="Q1175" s="99" t="str">
        <f t="shared" si="304"/>
        <v>#REF!</v>
      </c>
      <c r="R1175" s="130"/>
      <c r="S1175" s="130"/>
      <c r="T1175" s="130"/>
    </row>
    <row r="1176">
      <c r="A1176" s="18" t="s">
        <v>40</v>
      </c>
      <c r="B1176" s="116" t="s">
        <v>463</v>
      </c>
      <c r="C1176" s="140">
        <v>2303.0</v>
      </c>
      <c r="D1176" s="57" t="str">
        <f>IF(   ISERROR(OFFSET(PADRON!B$2,MATCH(C:C,PADRON!A$2:A1405,0)-1,0,1,1) )  ,  ,    OFFSET(PADRON!B$2,MATCH(C:C,PADRON!A$2:A1405,0)-1,0,1,1))</f>
        <v>LOFEUDO, LISANDRO</v>
      </c>
      <c r="E1176" s="58">
        <v>45839.0</v>
      </c>
      <c r="F1176" s="145">
        <v>45870.0</v>
      </c>
      <c r="G1176" s="59" t="s">
        <v>39</v>
      </c>
      <c r="H1176" s="60">
        <f>IF( ISERROR( OFFSET(   'Cuadro tarifario'!D$2  , MATCH(CONCATENATE(                 IF(F1176&gt;Mes,OFFSET(NroCT!B$17, MATCH($F1176,NroCT!$A$18:$A1405,0),0,1,1),Periodovigente)                                                                                                                     ,A1176) ,'Cuadro tarifario'!A$2:A1405,0) -1 , 0 , 1 , 1) )   , 0  ,   OFFSET(   'Cuadro tarifario'!D$2  , MATCH(CONCATENATE( IF(F1176&gt;Mes,OFFSET(NroCT!B$17, MATCH($F1176,NroCT!$A$18:$A1405,0),0,1,1),Periodovigente) ,A1176) ,'Cuadro tarifario'!A$2:A1405,0) -1 , 0 , 1 , 1))</f>
        <v>12000</v>
      </c>
      <c r="I1176" s="61">
        <f t="shared" si="252"/>
        <v>1</v>
      </c>
      <c r="J1176" s="60">
        <f t="shared" si="305"/>
        <v>12000</v>
      </c>
      <c r="K1176" s="62">
        <f>IF(  AND(N1176&gt;0,I1176=0)          ,N1176 ,                         IF(  IF( F1176 ,  DAYS360(DATE(YEAR(F1176),MONTH(F1176),1),Mes)/30  ,  DAYS360(DATE(YEAR(E1176),MONTH(E1176),1),Mes)/30  )  &gt;  0 , IF(F1176,   DAYS360(DATE(YEAR(F1176),MONTH(F1176),1),Mes)/30  ,  DAYS360(DATE(YEAR(E1176),MONTH(E1176),1),Mes)/30) , 0)       )</f>
        <v>0</v>
      </c>
      <c r="L1176" s="63">
        <f t="shared" si="253"/>
        <v>0</v>
      </c>
      <c r="M1176" s="162"/>
      <c r="N1176" s="97">
        <f>IF( ISERROR(OFFSET(SECUESTRADOS!D$1,MATCH(B1176,SECUESTRADOS!A$2:A1405,0),0)) ,0 ,  OFFSET(SECUESTRADOS!D$1,MATCH(B1176,SECUESTRADOS!A$2:A1405,0),0)  )</f>
        <v>0</v>
      </c>
      <c r="O1176" s="98"/>
      <c r="P1176" s="99" t="str">
        <f t="shared" si="238"/>
        <v>cuna windsurf</v>
      </c>
      <c r="Q1176" s="99" t="str">
        <f t="shared" si="304"/>
        <v>#REF!</v>
      </c>
      <c r="R1176" s="130"/>
      <c r="S1176" s="130"/>
      <c r="T1176" s="130"/>
    </row>
    <row r="1177">
      <c r="A1177" s="18" t="s">
        <v>71</v>
      </c>
      <c r="B1177" s="116">
        <v>2304.0</v>
      </c>
      <c r="C1177" s="140">
        <v>2304.0</v>
      </c>
      <c r="D1177" s="57" t="str">
        <f>IF(   ISERROR(OFFSET(PADRON!B$2,MATCH(C:C,PADRON!A$2:A1405,0)-1,0,1,1) )  ,  ,    OFFSET(PADRON!B$2,MATCH(C:C,PADRON!A$2:A1405,0)-1,0,1,1))</f>
        <v>BACCHIEGA, JOSE PEDRO</v>
      </c>
      <c r="E1177" s="58">
        <v>45778.0</v>
      </c>
      <c r="F1177" s="145">
        <v>45870.0</v>
      </c>
      <c r="G1177" s="59" t="s">
        <v>39</v>
      </c>
      <c r="H1177" s="60">
        <f>IF( ISERROR( OFFSET(   'Cuadro tarifario'!D$2  , MATCH(CONCATENATE(                 IF(F1177&gt;Mes,OFFSET(NroCT!B$17, MATCH($F1177,NroCT!$A$18:$A1405,0),0,1,1),Periodovigente)                                                                                                                     ,A1177) ,'Cuadro tarifario'!A$2:A1405,0) -1 , 0 , 1 , 1) )   , 0  ,   OFFSET(   'Cuadro tarifario'!D$2  , MATCH(CONCATENATE( IF(F1177&gt;Mes,OFFSET(NroCT!B$17, MATCH($F1177,NroCT!$A$18:$A1405,0),0,1,1),Periodovigente) ,A1177) ,'Cuadro tarifario'!A$2:A1405,0) -1 , 0 , 1 , 1))</f>
        <v>11000</v>
      </c>
      <c r="I1177" s="61">
        <f t="shared" si="252"/>
        <v>3</v>
      </c>
      <c r="J1177" s="60">
        <f t="shared" si="305"/>
        <v>33000</v>
      </c>
      <c r="K1177" s="62">
        <f>IF(  AND(N1177&gt;0,I1177=0)          ,N1177 ,                         IF(  IF( F1177 ,  DAYS360(DATE(YEAR(F1177),MONTH(F1177),1),Mes)/30  ,  DAYS360(DATE(YEAR(E1177),MONTH(E1177),1),Mes)/30  )  &gt;  0 , IF(F1177,   DAYS360(DATE(YEAR(F1177),MONTH(F1177),1),Mes)/30  ,  DAYS360(DATE(YEAR(E1177),MONTH(E1177),1),Mes)/30) , 0)       )</f>
        <v>0</v>
      </c>
      <c r="L1177" s="63">
        <f t="shared" si="253"/>
        <v>0</v>
      </c>
      <c r="M1177" s="162"/>
      <c r="N1177" s="97">
        <f>IF( ISERROR(OFFSET(SECUESTRADOS!D$1,MATCH(B1177,SECUESTRADOS!A$2:A1405,0),0)) ,0 ,  OFFSET(SECUESTRADOS!D$1,MATCH(B1177,SECUESTRADOS!A$2:A1405,0),0)  )</f>
        <v>0</v>
      </c>
      <c r="O1177" s="98"/>
      <c r="P1177" s="99" t="str">
        <f t="shared" si="238"/>
        <v>.socio</v>
      </c>
      <c r="Q1177" s="99" t="str">
        <f t="shared" si="304"/>
        <v>#REF!</v>
      </c>
      <c r="R1177" s="130"/>
      <c r="S1177" s="130"/>
      <c r="T1177" s="130"/>
    </row>
    <row r="1178">
      <c r="A1178" s="18" t="s">
        <v>38</v>
      </c>
      <c r="B1178" s="116">
        <v>2304.0</v>
      </c>
      <c r="C1178" s="140">
        <v>2304.0</v>
      </c>
      <c r="D1178" s="57" t="str">
        <f>IF(   ISERROR(OFFSET(PADRON!B$2,MATCH(C:C,PADRON!A$2:A1405,0)-1,0,1,1) )  ,  ,    OFFSET(PADRON!B$2,MATCH(C:C,PADRON!A$2:A1405,0)-1,0,1,1))</f>
        <v>BACCHIEGA, JOSE PEDRO</v>
      </c>
      <c r="E1178" s="58">
        <v>45778.0</v>
      </c>
      <c r="F1178" s="145">
        <v>45870.0</v>
      </c>
      <c r="G1178" s="59" t="s">
        <v>39</v>
      </c>
      <c r="H1178" s="60">
        <f>IF( ISERROR( OFFSET(   'Cuadro tarifario'!D$2  , MATCH(CONCATENATE(                 IF(F1178&gt;Mes,OFFSET(NroCT!B$17, MATCH($F1178,NroCT!$A$18:$A1405,0),0,1,1),Periodovigente)                                                                                                                     ,A1178) ,'Cuadro tarifario'!A$2:A1405,0) -1 , 0 , 1 , 1) )   , 0  ,   OFFSET(   'Cuadro tarifario'!D$2  , MATCH(CONCATENATE( IF(F1178&gt;Mes,OFFSET(NroCT!B$17, MATCH($F1178,NroCT!$A$18:$A1405,0),0,1,1),Periodovigente) ,A1178) ,'Cuadro tarifario'!A$2:A1405,0) -1 , 0 , 1 , 1))</f>
        <v>9000</v>
      </c>
      <c r="I1178" s="61">
        <f t="shared" si="252"/>
        <v>3</v>
      </c>
      <c r="J1178" s="60">
        <f t="shared" si="305"/>
        <v>27000</v>
      </c>
      <c r="K1178" s="62">
        <f>IF(  AND(N1178&gt;0,I1178=0)          ,N1178 ,                         IF(  IF( F1178 ,  DAYS360(DATE(YEAR(F1178),MONTH(F1178),1),Mes)/30  ,  DAYS360(DATE(YEAR(E1178),MONTH(E1178),1),Mes)/30  )  &gt;  0 , IF(F1178,   DAYS360(DATE(YEAR(F1178),MONTH(F1178),1),Mes)/30  ,  DAYS360(DATE(YEAR(E1178),MONTH(E1178),1),Mes)/30) , 0)       )</f>
        <v>0</v>
      </c>
      <c r="L1178" s="63">
        <f t="shared" si="253"/>
        <v>0</v>
      </c>
      <c r="M1178" s="162"/>
      <c r="N1178" s="97">
        <f>IF( ISERROR(OFFSET(SECUESTRADOS!D$1,MATCH(B1178,SECUESTRADOS!A$2:A1405,0),0)) ,0 ,  OFFSET(SECUESTRADOS!D$1,MATCH(B1178,SECUESTRADOS!A$2:A1405,0),0)  )</f>
        <v>0</v>
      </c>
      <c r="O1178" s="98"/>
      <c r="P1178" s="99" t="str">
        <f t="shared" si="238"/>
        <v>Bono canon</v>
      </c>
      <c r="Q1178" s="99" t="str">
        <f t="shared" si="304"/>
        <v>#REF!</v>
      </c>
      <c r="R1178" s="130"/>
      <c r="S1178" s="130"/>
      <c r="T1178" s="130"/>
    </row>
    <row r="1179">
      <c r="A1179" s="18" t="s">
        <v>48</v>
      </c>
      <c r="B1179" s="116" t="s">
        <v>464</v>
      </c>
      <c r="C1179" s="140">
        <v>2304.0</v>
      </c>
      <c r="D1179" s="57" t="str">
        <f>IF(   ISERROR(OFFSET(PADRON!B$2,MATCH(C:C,PADRON!A$2:A1405,0)-1,0,1,1) )  ,  ,    OFFSET(PADRON!B$2,MATCH(C:C,PADRON!A$2:A1405,0)-1,0,1,1))</f>
        <v>BACCHIEGA, JOSE PEDRO</v>
      </c>
      <c r="E1179" s="58">
        <v>45778.0</v>
      </c>
      <c r="F1179" s="145">
        <v>45870.0</v>
      </c>
      <c r="G1179" s="59" t="s">
        <v>39</v>
      </c>
      <c r="H1179" s="60">
        <f>IF( ISERROR( OFFSET(   'Cuadro tarifario'!D$2  , MATCH(CONCATENATE(                 IF(F1179&gt;Mes,OFFSET(NroCT!B$17, MATCH($F1179,NroCT!$A$18:$A1405,0),0,1,1),Periodovigente)                                                                                                                     ,A1179) ,'Cuadro tarifario'!A$2:A1405,0) -1 , 0 , 1 , 1) )   , 0  ,   OFFSET(   'Cuadro tarifario'!D$2  , MATCH(CONCATENATE( IF(F1179&gt;Mes,OFFSET(NroCT!B$17, MATCH($F1179,NroCT!$A$18:$A1405,0),0,1,1),Periodovigente) ,A1179) ,'Cuadro tarifario'!A$2:A1405,0) -1 , 0 , 1 , 1))</f>
        <v>12000</v>
      </c>
      <c r="I1179" s="61">
        <f t="shared" si="252"/>
        <v>3</v>
      </c>
      <c r="J1179" s="60">
        <f t="shared" si="305"/>
        <v>36000</v>
      </c>
      <c r="K1179" s="62">
        <f>IF(  AND(N1179&gt;0,I1179=0)          ,N1179 ,                         IF(  IF( F1179 ,  DAYS360(DATE(YEAR(F1179),MONTH(F1179),1),Mes)/30  ,  DAYS360(DATE(YEAR(E1179),MONTH(E1179),1),Mes)/30  )  &gt;  0 , IF(F1179,   DAYS360(DATE(YEAR(F1179),MONTH(F1179),1),Mes)/30  ,  DAYS360(DATE(YEAR(E1179),MONTH(E1179),1),Mes)/30) , 0)       )</f>
        <v>0</v>
      </c>
      <c r="L1179" s="63">
        <f t="shared" si="253"/>
        <v>0</v>
      </c>
      <c r="M1179" s="162"/>
      <c r="N1179" s="97">
        <f>IF( ISERROR(OFFSET(SECUESTRADOS!D$1,MATCH(B1179,SECUESTRADOS!A$2:A1405,0),0)) ,0 ,  OFFSET(SECUESTRADOS!D$1,MATCH(B1179,SECUESTRADOS!A$2:A1405,0),0)  )</f>
        <v>0</v>
      </c>
      <c r="O1179" s="98"/>
      <c r="P1179" s="99" t="str">
        <f t="shared" si="238"/>
        <v>velero</v>
      </c>
      <c r="Q1179" s="99" t="str">
        <f t="shared" si="304"/>
        <v>#REF!</v>
      </c>
      <c r="R1179" s="130"/>
      <c r="S1179" s="130"/>
      <c r="T1179" s="130"/>
    </row>
    <row r="1180">
      <c r="A1180" s="18" t="s">
        <v>71</v>
      </c>
      <c r="B1180" s="116">
        <v>2305.0</v>
      </c>
      <c r="C1180" s="140">
        <v>2305.0</v>
      </c>
      <c r="D1180" s="57" t="str">
        <f>IF(   ISERROR(OFFSET(PADRON!B$2,MATCH(C:C,PADRON!A$2:A1405,0)-1,0,1,1) )  ,  ,    OFFSET(PADRON!B$2,MATCH(C:C,PADRON!A$2:A1405,0)-1,0,1,1))</f>
        <v>ELLERO, SEBASTIAN</v>
      </c>
      <c r="E1180" s="58">
        <v>45809.0</v>
      </c>
      <c r="F1180" s="145">
        <v>45870.0</v>
      </c>
      <c r="G1180" s="59" t="s">
        <v>39</v>
      </c>
      <c r="H1180" s="60">
        <f>IF( ISERROR( OFFSET(   'Cuadro tarifario'!D$2  , MATCH(CONCATENATE(                 IF(F1180&gt;Mes,OFFSET(NroCT!B$17, MATCH($F1180,NroCT!$A$18:$A1405,0),0,1,1),Periodovigente)                                                                                                                     ,A1180) ,'Cuadro tarifario'!A$2:A1405,0) -1 , 0 , 1 , 1) )   , 0  ,   OFFSET(   'Cuadro tarifario'!D$2  , MATCH(CONCATENATE( IF(F1180&gt;Mes,OFFSET(NroCT!B$17, MATCH($F1180,NroCT!$A$18:$A1405,0),0,1,1),Periodovigente) ,A1180) ,'Cuadro tarifario'!A$2:A1405,0) -1 , 0 , 1 , 1))</f>
        <v>11000</v>
      </c>
      <c r="I1180" s="61">
        <f t="shared" si="252"/>
        <v>2</v>
      </c>
      <c r="J1180" s="60">
        <f t="shared" si="305"/>
        <v>22000</v>
      </c>
      <c r="K1180" s="62">
        <f>IF(  AND(N1180&gt;0,I1180=0)          ,N1180 ,                         IF(  IF( F1180 ,  DAYS360(DATE(YEAR(F1180),MONTH(F1180),1),Mes)/30  ,  DAYS360(DATE(YEAR(E1180),MONTH(E1180),1),Mes)/30  )  &gt;  0 , IF(F1180,   DAYS360(DATE(YEAR(F1180),MONTH(F1180),1),Mes)/30  ,  DAYS360(DATE(YEAR(E1180),MONTH(E1180),1),Mes)/30) , 0)       )</f>
        <v>0</v>
      </c>
      <c r="L1180" s="63">
        <f t="shared" si="253"/>
        <v>0</v>
      </c>
      <c r="M1180" s="162"/>
      <c r="N1180" s="97">
        <f>IF( ISERROR(OFFSET(SECUESTRADOS!D$1,MATCH(B1180,SECUESTRADOS!A$2:A1405,0),0)) ,0 ,  OFFSET(SECUESTRADOS!D$1,MATCH(B1180,SECUESTRADOS!A$2:A1405,0),0)  )</f>
        <v>0</v>
      </c>
      <c r="O1180" s="98"/>
      <c r="P1180" s="99" t="str">
        <f t="shared" si="238"/>
        <v>.socio</v>
      </c>
      <c r="Q1180" s="99" t="str">
        <f t="shared" si="304"/>
        <v>#REF!</v>
      </c>
      <c r="R1180" s="130"/>
      <c r="S1180" s="130"/>
      <c r="T1180" s="130"/>
    </row>
    <row r="1181">
      <c r="A1181" s="18" t="s">
        <v>38</v>
      </c>
      <c r="B1181" s="116">
        <v>2305.0</v>
      </c>
      <c r="C1181" s="140">
        <v>2305.0</v>
      </c>
      <c r="D1181" s="57" t="str">
        <f>IF(   ISERROR(OFFSET(PADRON!B$2,MATCH(C:C,PADRON!A$2:A1405,0)-1,0,1,1) )  ,  ,    OFFSET(PADRON!B$2,MATCH(C:C,PADRON!A$2:A1405,0)-1,0,1,1))</f>
        <v>ELLERO, SEBASTIAN</v>
      </c>
      <c r="E1181" s="58">
        <v>45809.0</v>
      </c>
      <c r="F1181" s="145">
        <v>45870.0</v>
      </c>
      <c r="G1181" s="59" t="s">
        <v>39</v>
      </c>
      <c r="H1181" s="60">
        <f>IF( ISERROR( OFFSET(   'Cuadro tarifario'!D$2  , MATCH(CONCATENATE(                 IF(F1181&gt;Mes,OFFSET(NroCT!B$17, MATCH($F1181,NroCT!$A$18:$A1405,0),0,1,1),Periodovigente)                                                                                                                     ,A1181) ,'Cuadro tarifario'!A$2:A1405,0) -1 , 0 , 1 , 1) )   , 0  ,   OFFSET(   'Cuadro tarifario'!D$2  , MATCH(CONCATENATE( IF(F1181&gt;Mes,OFFSET(NroCT!B$17, MATCH($F1181,NroCT!$A$18:$A1405,0),0,1,1),Periodovigente) ,A1181) ,'Cuadro tarifario'!A$2:A1405,0) -1 , 0 , 1 , 1))</f>
        <v>9000</v>
      </c>
      <c r="I1181" s="61">
        <f t="shared" si="252"/>
        <v>2</v>
      </c>
      <c r="J1181" s="60">
        <f t="shared" si="305"/>
        <v>18000</v>
      </c>
      <c r="K1181" s="62">
        <f>IF(  AND(N1181&gt;0,I1181=0)          ,N1181 ,                         IF(  IF( F1181 ,  DAYS360(DATE(YEAR(F1181),MONTH(F1181),1),Mes)/30  ,  DAYS360(DATE(YEAR(E1181),MONTH(E1181),1),Mes)/30  )  &gt;  0 , IF(F1181,   DAYS360(DATE(YEAR(F1181),MONTH(F1181),1),Mes)/30  ,  DAYS360(DATE(YEAR(E1181),MONTH(E1181),1),Mes)/30) , 0)       )</f>
        <v>0</v>
      </c>
      <c r="L1181" s="63">
        <f t="shared" si="253"/>
        <v>0</v>
      </c>
      <c r="M1181" s="162"/>
      <c r="N1181" s="97">
        <f>IF( ISERROR(OFFSET(SECUESTRADOS!D$1,MATCH(B1181,SECUESTRADOS!A$2:A1405,0),0)) ,0 ,  OFFSET(SECUESTRADOS!D$1,MATCH(B1181,SECUESTRADOS!A$2:A1405,0),0)  )</f>
        <v>0</v>
      </c>
      <c r="O1181" s="98"/>
      <c r="P1181" s="99" t="str">
        <f t="shared" si="238"/>
        <v>Bono canon</v>
      </c>
      <c r="Q1181" s="99" t="str">
        <f t="shared" si="304"/>
        <v>#REF!</v>
      </c>
      <c r="R1181" s="130"/>
      <c r="S1181" s="130"/>
      <c r="T1181" s="130"/>
    </row>
    <row r="1182">
      <c r="A1182" s="18" t="s">
        <v>71</v>
      </c>
      <c r="B1182" s="116">
        <v>2306.0</v>
      </c>
      <c r="C1182" s="140">
        <v>2306.0</v>
      </c>
      <c r="D1182" s="57" t="str">
        <f>IF(   ISERROR(OFFSET(PADRON!B$2,MATCH(C:C,PADRON!A$2:A1405,0)-1,0,1,1) )  ,  ,    OFFSET(PADRON!B$2,MATCH(C:C,PADRON!A$2:A1405,0)-1,0,1,1))</f>
        <v>ETCHEVERS, CATALINA</v>
      </c>
      <c r="E1182" s="58">
        <v>45839.0</v>
      </c>
      <c r="F1182" s="145">
        <v>45870.0</v>
      </c>
      <c r="G1182" s="59" t="s">
        <v>39</v>
      </c>
      <c r="H1182" s="60">
        <f>IF( ISERROR( OFFSET(   'Cuadro tarifario'!D$2  , MATCH(CONCATENATE(                 IF(F1182&gt;Mes,OFFSET(NroCT!B$17, MATCH($F1182,NroCT!$A$18:$A1405,0),0,1,1),Periodovigente)                                                                                                                     ,A1182) ,'Cuadro tarifario'!A$2:A1405,0) -1 , 0 , 1 , 1) )   , 0  ,   OFFSET(   'Cuadro tarifario'!D$2  , MATCH(CONCATENATE( IF(F1182&gt;Mes,OFFSET(NroCT!B$17, MATCH($F1182,NroCT!$A$18:$A1405,0),0,1,1),Periodovigente) ,A1182) ,'Cuadro tarifario'!A$2:A1405,0) -1 , 0 , 1 , 1))</f>
        <v>11000</v>
      </c>
      <c r="I1182" s="61">
        <f t="shared" si="252"/>
        <v>1</v>
      </c>
      <c r="J1182" s="60">
        <f t="shared" si="305"/>
        <v>11000</v>
      </c>
      <c r="K1182" s="62">
        <f>IF(  AND(N1182&gt;0,I1182=0)          ,N1182 ,                         IF(  IF( F1182 ,  DAYS360(DATE(YEAR(F1182),MONTH(F1182),1),Mes)/30  ,  DAYS360(DATE(YEAR(E1182),MONTH(E1182),1),Mes)/30  )  &gt;  0 , IF(F1182,   DAYS360(DATE(YEAR(F1182),MONTH(F1182),1),Mes)/30  ,  DAYS360(DATE(YEAR(E1182),MONTH(E1182),1),Mes)/30) , 0)       )</f>
        <v>0</v>
      </c>
      <c r="L1182" s="63">
        <f t="shared" si="253"/>
        <v>0</v>
      </c>
      <c r="M1182" s="162"/>
      <c r="N1182" s="97">
        <f>IF( ISERROR(OFFSET(SECUESTRADOS!D$1,MATCH(B1182,SECUESTRADOS!A$2:A1405,0),0)) ,0 ,  OFFSET(SECUESTRADOS!D$1,MATCH(B1182,SECUESTRADOS!A$2:A1405,0),0)  )</f>
        <v>0</v>
      </c>
      <c r="O1182" s="98"/>
      <c r="P1182" s="99" t="str">
        <f t="shared" si="238"/>
        <v>.socio</v>
      </c>
      <c r="Q1182" s="99" t="str">
        <f t="shared" si="304"/>
        <v>#REF!</v>
      </c>
      <c r="R1182" s="130"/>
      <c r="S1182" s="130"/>
      <c r="T1182" s="130"/>
    </row>
    <row r="1183">
      <c r="A1183" s="18" t="s">
        <v>38</v>
      </c>
      <c r="B1183" s="116">
        <v>2306.0</v>
      </c>
      <c r="C1183" s="140">
        <v>2306.0</v>
      </c>
      <c r="D1183" s="57" t="str">
        <f>IF(   ISERROR(OFFSET(PADRON!B$2,MATCH(C:C,PADRON!A$2:A1405,0)-1,0,1,1) )  ,  ,    OFFSET(PADRON!B$2,MATCH(C:C,PADRON!A$2:A1405,0)-1,0,1,1))</f>
        <v>ETCHEVERS, CATALINA</v>
      </c>
      <c r="E1183" s="58">
        <v>45839.0</v>
      </c>
      <c r="F1183" s="145">
        <v>45870.0</v>
      </c>
      <c r="G1183" s="59" t="s">
        <v>39</v>
      </c>
      <c r="H1183" s="60">
        <f>IF( ISERROR( OFFSET(   'Cuadro tarifario'!D$2  , MATCH(CONCATENATE(                 IF(F1183&gt;Mes,OFFSET(NroCT!B$17, MATCH($F1183,NroCT!$A$18:$A1405,0),0,1,1),Periodovigente)                                                                                                                     ,A1183) ,'Cuadro tarifario'!A$2:A1405,0) -1 , 0 , 1 , 1) )   , 0  ,   OFFSET(   'Cuadro tarifario'!D$2  , MATCH(CONCATENATE( IF(F1183&gt;Mes,OFFSET(NroCT!B$17, MATCH($F1183,NroCT!$A$18:$A1405,0),0,1,1),Periodovigente) ,A1183) ,'Cuadro tarifario'!A$2:A1405,0) -1 , 0 , 1 , 1))</f>
        <v>9000</v>
      </c>
      <c r="I1183" s="61">
        <f t="shared" si="252"/>
        <v>1</v>
      </c>
      <c r="J1183" s="60">
        <f t="shared" si="305"/>
        <v>9000</v>
      </c>
      <c r="K1183" s="62">
        <f>IF(  AND(N1183&gt;0,I1183=0)          ,N1183 ,                         IF(  IF( F1183 ,  DAYS360(DATE(YEAR(F1183),MONTH(F1183),1),Mes)/30  ,  DAYS360(DATE(YEAR(E1183),MONTH(E1183),1),Mes)/30  )  &gt;  0 , IF(F1183,   DAYS360(DATE(YEAR(F1183),MONTH(F1183),1),Mes)/30  ,  DAYS360(DATE(YEAR(E1183),MONTH(E1183),1),Mes)/30) , 0)       )</f>
        <v>0</v>
      </c>
      <c r="L1183" s="63">
        <f t="shared" si="253"/>
        <v>0</v>
      </c>
      <c r="M1183" s="162"/>
      <c r="N1183" s="97">
        <f>IF( ISERROR(OFFSET(SECUESTRADOS!D$1,MATCH(B1183,SECUESTRADOS!A$2:A1405,0),0)) ,0 ,  OFFSET(SECUESTRADOS!D$1,MATCH(B1183,SECUESTRADOS!A$2:A1405,0),0)  )</f>
        <v>0</v>
      </c>
      <c r="O1183" s="98"/>
      <c r="P1183" s="99" t="str">
        <f t="shared" si="238"/>
        <v>Bono canon</v>
      </c>
      <c r="Q1183" s="99" t="str">
        <f t="shared" si="304"/>
        <v>#REF!</v>
      </c>
      <c r="R1183" s="130"/>
      <c r="S1183" s="130"/>
      <c r="T1183" s="130"/>
    </row>
    <row r="1184">
      <c r="A1184" s="18" t="s">
        <v>71</v>
      </c>
      <c r="B1184" s="116">
        <v>2307.0</v>
      </c>
      <c r="C1184" s="140">
        <v>2307.0</v>
      </c>
      <c r="D1184" s="57" t="str">
        <f>IF(   ISERROR(OFFSET(PADRON!B$2,MATCH(C:C,PADRON!A$2:A1405,0)-1,0,1,1) )  ,  ,    OFFSET(PADRON!B$2,MATCH(C:C,PADRON!A$2:A1405,0)-1,0,1,1))</f>
        <v>DEL MONTE, GASTON</v>
      </c>
      <c r="E1184" s="58">
        <v>45809.0</v>
      </c>
      <c r="F1184" s="145">
        <v>45870.0</v>
      </c>
      <c r="G1184" s="59" t="s">
        <v>39</v>
      </c>
      <c r="H1184" s="60">
        <f>IF( ISERROR( OFFSET(   'Cuadro tarifario'!D$2  , MATCH(CONCATENATE(                 IF(F1184&gt;Mes,OFFSET(NroCT!B$17, MATCH($F1184,NroCT!$A$18:$A1405,0),0,1,1),Periodovigente)                                                                                                                     ,A1184) ,'Cuadro tarifario'!A$2:A1405,0) -1 , 0 , 1 , 1) )   , 0  ,   OFFSET(   'Cuadro tarifario'!D$2  , MATCH(CONCATENATE( IF(F1184&gt;Mes,OFFSET(NroCT!B$17, MATCH($F1184,NroCT!$A$18:$A1405,0),0,1,1),Periodovigente) ,A1184) ,'Cuadro tarifario'!A$2:A1405,0) -1 , 0 , 1 , 1))</f>
        <v>11000</v>
      </c>
      <c r="I1184" s="61">
        <f t="shared" si="252"/>
        <v>2</v>
      </c>
      <c r="J1184" s="60">
        <f t="shared" si="305"/>
        <v>22000</v>
      </c>
      <c r="K1184" s="62">
        <f>IF(  AND(N1184&gt;0,I1184=0)          ,N1184 ,                         IF(  IF( F1184 ,  DAYS360(DATE(YEAR(F1184),MONTH(F1184),1),Mes)/30  ,  DAYS360(DATE(YEAR(E1184),MONTH(E1184),1),Mes)/30  )  &gt;  0 , IF(F1184,   DAYS360(DATE(YEAR(F1184),MONTH(F1184),1),Mes)/30  ,  DAYS360(DATE(YEAR(E1184),MONTH(E1184),1),Mes)/30) , 0)       )</f>
        <v>0</v>
      </c>
      <c r="L1184" s="63">
        <f t="shared" si="253"/>
        <v>0</v>
      </c>
      <c r="M1184" s="162"/>
      <c r="N1184" s="97">
        <f>IF( ISERROR(OFFSET(SECUESTRADOS!D$1,MATCH(B1184,SECUESTRADOS!A$2:A1405,0),0)) ,0 ,  OFFSET(SECUESTRADOS!D$1,MATCH(B1184,SECUESTRADOS!A$2:A1405,0),0)  )</f>
        <v>0</v>
      </c>
      <c r="O1184" s="98"/>
      <c r="P1184" s="99" t="str">
        <f t="shared" si="238"/>
        <v>.socio</v>
      </c>
      <c r="Q1184" s="99" t="str">
        <f t="shared" si="304"/>
        <v>#REF!</v>
      </c>
      <c r="R1184" s="130"/>
      <c r="S1184" s="130"/>
      <c r="T1184" s="130"/>
    </row>
    <row r="1185">
      <c r="A1185" s="18" t="s">
        <v>38</v>
      </c>
      <c r="B1185" s="116">
        <v>2307.0</v>
      </c>
      <c r="C1185" s="140">
        <v>2307.0</v>
      </c>
      <c r="D1185" s="57" t="str">
        <f>IF(   ISERROR(OFFSET(PADRON!B$2,MATCH(C:C,PADRON!A$2:A1405,0)-1,0,1,1) )  ,  ,    OFFSET(PADRON!B$2,MATCH(C:C,PADRON!A$2:A1405,0)-1,0,1,1))</f>
        <v>DEL MONTE, GASTON</v>
      </c>
      <c r="E1185" s="58">
        <v>45809.0</v>
      </c>
      <c r="F1185" s="145">
        <v>45870.0</v>
      </c>
      <c r="G1185" s="59" t="s">
        <v>39</v>
      </c>
      <c r="H1185" s="60">
        <f>IF( ISERROR( OFFSET(   'Cuadro tarifario'!D$2  , MATCH(CONCATENATE(                 IF(F1185&gt;Mes,OFFSET(NroCT!B$17, MATCH($F1185,NroCT!$A$18:$A1405,0),0,1,1),Periodovigente)                                                                                                                     ,A1185) ,'Cuadro tarifario'!A$2:A1405,0) -1 , 0 , 1 , 1) )   , 0  ,   OFFSET(   'Cuadro tarifario'!D$2  , MATCH(CONCATENATE( IF(F1185&gt;Mes,OFFSET(NroCT!B$17, MATCH($F1185,NroCT!$A$18:$A1405,0),0,1,1),Periodovigente) ,A1185) ,'Cuadro tarifario'!A$2:A1405,0) -1 , 0 , 1 , 1))</f>
        <v>9000</v>
      </c>
      <c r="I1185" s="61">
        <f t="shared" si="252"/>
        <v>2</v>
      </c>
      <c r="J1185" s="60">
        <f t="shared" si="305"/>
        <v>18000</v>
      </c>
      <c r="K1185" s="62">
        <f>IF(  AND(N1185&gt;0,I1185=0)          ,N1185 ,                         IF(  IF( F1185 ,  DAYS360(DATE(YEAR(F1185),MONTH(F1185),1),Mes)/30  ,  DAYS360(DATE(YEAR(E1185),MONTH(E1185),1),Mes)/30  )  &gt;  0 , IF(F1185,   DAYS360(DATE(YEAR(F1185),MONTH(F1185),1),Mes)/30  ,  DAYS360(DATE(YEAR(E1185),MONTH(E1185),1),Mes)/30) , 0)       )</f>
        <v>0</v>
      </c>
      <c r="L1185" s="63">
        <f t="shared" si="253"/>
        <v>0</v>
      </c>
      <c r="M1185" s="162"/>
      <c r="N1185" s="97">
        <f>IF( ISERROR(OFFSET(SECUESTRADOS!D$1,MATCH(B1185,SECUESTRADOS!A$2:A1405,0),0)) ,0 ,  OFFSET(SECUESTRADOS!D$1,MATCH(B1185,SECUESTRADOS!A$2:A1405,0),0)  )</f>
        <v>0</v>
      </c>
      <c r="O1185" s="98"/>
      <c r="P1185" s="99" t="str">
        <f t="shared" si="238"/>
        <v>Bono canon</v>
      </c>
      <c r="Q1185" s="99" t="str">
        <f t="shared" si="304"/>
        <v>#REF!</v>
      </c>
      <c r="R1185" s="130"/>
      <c r="S1185" s="130"/>
      <c r="T1185" s="130"/>
    </row>
    <row r="1186">
      <c r="A1186" s="18" t="s">
        <v>40</v>
      </c>
      <c r="B1186" s="116" t="s">
        <v>465</v>
      </c>
      <c r="C1186" s="140">
        <v>2307.0</v>
      </c>
      <c r="D1186" s="57" t="str">
        <f>IF(   ISERROR(OFFSET(PADRON!B$2,MATCH(C:C,PADRON!A$2:A1405,0)-1,0,1,1) )  ,  ,    OFFSET(PADRON!B$2,MATCH(C:C,PADRON!A$2:A1405,0)-1,0,1,1))</f>
        <v>DEL MONTE, GASTON</v>
      </c>
      <c r="E1186" s="58">
        <v>45748.0</v>
      </c>
      <c r="F1186" s="145">
        <v>45870.0</v>
      </c>
      <c r="G1186" s="59" t="s">
        <v>39</v>
      </c>
      <c r="H1186" s="60">
        <f>IF( ISERROR( OFFSET(   'Cuadro tarifario'!D$2  , MATCH(CONCATENATE(                 IF(F1186&gt;Mes,OFFSET(NroCT!B$17, MATCH($F1186,NroCT!$A$18:$A1405,0),0,1,1),Periodovigente)                                                                                                                     ,A1186) ,'Cuadro tarifario'!A$2:A1405,0) -1 , 0 , 1 , 1) )   , 0  ,   OFFSET(   'Cuadro tarifario'!D$2  , MATCH(CONCATENATE( IF(F1186&gt;Mes,OFFSET(NroCT!B$17, MATCH($F1186,NroCT!$A$18:$A1405,0),0,1,1),Periodovigente) ,A1186) ,'Cuadro tarifario'!A$2:A1405,0) -1 , 0 , 1 , 1))</f>
        <v>12000</v>
      </c>
      <c r="I1186" s="61">
        <f t="shared" si="252"/>
        <v>4</v>
      </c>
      <c r="J1186" s="60">
        <f t="shared" si="305"/>
        <v>48000</v>
      </c>
      <c r="K1186" s="62">
        <f>IF(  AND(N1186&gt;0,I1186=0)          ,N1186 ,                         IF(  IF( F1186 ,  DAYS360(DATE(YEAR(F1186),MONTH(F1186),1),Mes)/30  ,  DAYS360(DATE(YEAR(E1186),MONTH(E1186),1),Mes)/30  )  &gt;  0 , IF(F1186,   DAYS360(DATE(YEAR(F1186),MONTH(F1186),1),Mes)/30  ,  DAYS360(DATE(YEAR(E1186),MONTH(E1186),1),Mes)/30) , 0)       )</f>
        <v>0</v>
      </c>
      <c r="L1186" s="63">
        <f t="shared" si="253"/>
        <v>0</v>
      </c>
      <c r="M1186" s="162"/>
      <c r="N1186" s="97">
        <f>IF( ISERROR(OFFSET(SECUESTRADOS!D$1,MATCH(B1186,SECUESTRADOS!A$2:A1405,0),0)) ,0 ,  OFFSET(SECUESTRADOS!D$1,MATCH(B1186,SECUESTRADOS!A$2:A1405,0),0)  )</f>
        <v>0</v>
      </c>
      <c r="O1186" s="98"/>
      <c r="P1186" s="99" t="str">
        <f t="shared" si="238"/>
        <v>cuna windsurf</v>
      </c>
      <c r="Q1186" s="99" t="str">
        <f t="shared" si="304"/>
        <v>#REF!</v>
      </c>
      <c r="R1186" s="130"/>
      <c r="S1186" s="130"/>
      <c r="T1186" s="130"/>
    </row>
    <row r="1187">
      <c r="A1187" s="18" t="s">
        <v>71</v>
      </c>
      <c r="B1187" s="116">
        <v>2308.0</v>
      </c>
      <c r="C1187" s="140">
        <v>2308.0</v>
      </c>
      <c r="D1187" s="57" t="str">
        <f>IF(   ISERROR(OFFSET(PADRON!B$2,MATCH(C:C,PADRON!A$2:A1405,0)-1,0,1,1) )  ,  ,    OFFSET(PADRON!B$2,MATCH(C:C,PADRON!A$2:A1405,0)-1,0,1,1))</f>
        <v>BROLESE, FLORENCIA</v>
      </c>
      <c r="E1187" s="58">
        <v>45839.0</v>
      </c>
      <c r="F1187" s="145">
        <v>45870.0</v>
      </c>
      <c r="G1187" s="59" t="s">
        <v>39</v>
      </c>
      <c r="H1187" s="60">
        <f>IF( ISERROR( OFFSET(   'Cuadro tarifario'!D$2  , MATCH(CONCATENATE(                 IF(F1187&gt;Mes,OFFSET(NroCT!B$17, MATCH($F1187,NroCT!$A$18:$A1405,0),0,1,1),Periodovigente)                                                                                                                     ,A1187) ,'Cuadro tarifario'!A$2:A1405,0) -1 , 0 , 1 , 1) )   , 0  ,   OFFSET(   'Cuadro tarifario'!D$2  , MATCH(CONCATENATE( IF(F1187&gt;Mes,OFFSET(NroCT!B$17, MATCH($F1187,NroCT!$A$18:$A1405,0),0,1,1),Periodovigente) ,A1187) ,'Cuadro tarifario'!A$2:A1405,0) -1 , 0 , 1 , 1))</f>
        <v>11000</v>
      </c>
      <c r="I1187" s="61">
        <f t="shared" si="252"/>
        <v>1</v>
      </c>
      <c r="J1187" s="60">
        <f t="shared" si="305"/>
        <v>11000</v>
      </c>
      <c r="K1187" s="62">
        <f>IF(  AND(N1187&gt;0,I1187=0)          ,N1187 ,                         IF(  IF( F1187 ,  DAYS360(DATE(YEAR(F1187),MONTH(F1187),1),Mes)/30  ,  DAYS360(DATE(YEAR(E1187),MONTH(E1187),1),Mes)/30  )  &gt;  0 , IF(F1187,   DAYS360(DATE(YEAR(F1187),MONTH(F1187),1),Mes)/30  ,  DAYS360(DATE(YEAR(E1187),MONTH(E1187),1),Mes)/30) , 0)       )</f>
        <v>0</v>
      </c>
      <c r="L1187" s="63">
        <f t="shared" si="253"/>
        <v>0</v>
      </c>
      <c r="M1187" s="162"/>
      <c r="N1187" s="97">
        <f>IF( ISERROR(OFFSET(SECUESTRADOS!D$1,MATCH(B1187,SECUESTRADOS!A$2:A1405,0),0)) ,0 ,  OFFSET(SECUESTRADOS!D$1,MATCH(B1187,SECUESTRADOS!A$2:A1405,0),0)  )</f>
        <v>0</v>
      </c>
      <c r="O1187" s="98"/>
      <c r="P1187" s="99" t="str">
        <f t="shared" si="238"/>
        <v>.socio</v>
      </c>
      <c r="Q1187" s="99" t="str">
        <f t="shared" si="304"/>
        <v>#REF!</v>
      </c>
      <c r="R1187" s="130"/>
      <c r="S1187" s="130"/>
      <c r="T1187" s="130"/>
    </row>
    <row r="1188">
      <c r="A1188" s="18" t="s">
        <v>38</v>
      </c>
      <c r="B1188" s="116">
        <v>2308.0</v>
      </c>
      <c r="C1188" s="140">
        <v>2308.0</v>
      </c>
      <c r="D1188" s="57" t="str">
        <f>IF(   ISERROR(OFFSET(PADRON!B$2,MATCH(C:C,PADRON!A$2:A1405,0)-1,0,1,1) )  ,  ,    OFFSET(PADRON!B$2,MATCH(C:C,PADRON!A$2:A1405,0)-1,0,1,1))</f>
        <v>BROLESE, FLORENCIA</v>
      </c>
      <c r="E1188" s="58">
        <v>45839.0</v>
      </c>
      <c r="F1188" s="145">
        <v>45870.0</v>
      </c>
      <c r="G1188" s="59" t="s">
        <v>39</v>
      </c>
      <c r="H1188" s="60">
        <f>IF( ISERROR( OFFSET(   'Cuadro tarifario'!D$2  , MATCH(CONCATENATE(                 IF(F1188&gt;Mes,OFFSET(NroCT!B$17, MATCH($F1188,NroCT!$A$18:$A1405,0),0,1,1),Periodovigente)                                                                                                                     ,A1188) ,'Cuadro tarifario'!A$2:A1405,0) -1 , 0 , 1 , 1) )   , 0  ,   OFFSET(   'Cuadro tarifario'!D$2  , MATCH(CONCATENATE( IF(F1188&gt;Mes,OFFSET(NroCT!B$17, MATCH($F1188,NroCT!$A$18:$A1405,0),0,1,1),Periodovigente) ,A1188) ,'Cuadro tarifario'!A$2:A1405,0) -1 , 0 , 1 , 1))</f>
        <v>9000</v>
      </c>
      <c r="I1188" s="61">
        <f t="shared" si="252"/>
        <v>1</v>
      </c>
      <c r="J1188" s="60">
        <f t="shared" si="305"/>
        <v>9000</v>
      </c>
      <c r="K1188" s="62">
        <f>IF(  AND(N1188&gt;0,I1188=0)          ,N1188 ,                         IF(  IF( F1188 ,  DAYS360(DATE(YEAR(F1188),MONTH(F1188),1),Mes)/30  ,  DAYS360(DATE(YEAR(E1188),MONTH(E1188),1),Mes)/30  )  &gt;  0 , IF(F1188,   DAYS360(DATE(YEAR(F1188),MONTH(F1188),1),Mes)/30  ,  DAYS360(DATE(YEAR(E1188),MONTH(E1188),1),Mes)/30) , 0)       )</f>
        <v>0</v>
      </c>
      <c r="L1188" s="63">
        <f t="shared" si="253"/>
        <v>0</v>
      </c>
      <c r="M1188" s="162"/>
      <c r="N1188" s="97">
        <f>IF( ISERROR(OFFSET(SECUESTRADOS!D$1,MATCH(B1188,SECUESTRADOS!A$2:A1405,0),0)) ,0 ,  OFFSET(SECUESTRADOS!D$1,MATCH(B1188,SECUESTRADOS!A$2:A1405,0),0)  )</f>
        <v>0</v>
      </c>
      <c r="O1188" s="98"/>
      <c r="P1188" s="99" t="str">
        <f t="shared" si="238"/>
        <v>Bono canon</v>
      </c>
      <c r="Q1188" s="99" t="str">
        <f t="shared" si="304"/>
        <v>#REF!</v>
      </c>
      <c r="R1188" s="130"/>
      <c r="S1188" s="130"/>
      <c r="T1188" s="130"/>
    </row>
    <row r="1189">
      <c r="A1189" s="18" t="s">
        <v>71</v>
      </c>
      <c r="B1189" s="116">
        <v>2309.0</v>
      </c>
      <c r="C1189" s="140">
        <v>2309.0</v>
      </c>
      <c r="D1189" s="57" t="str">
        <f>IF(   ISERROR(OFFSET(PADRON!B$2,MATCH(C:C,PADRON!A$2:A1405,0)-1,0,1,1) )  ,  ,    OFFSET(PADRON!B$2,MATCH(C:C,PADRON!A$2:A1405,0)-1,0,1,1))</f>
        <v>ALVAREZ, LAURA BEATRIZ</v>
      </c>
      <c r="E1189" s="58">
        <v>45839.0</v>
      </c>
      <c r="F1189" s="145">
        <v>45870.0</v>
      </c>
      <c r="G1189" s="59" t="s">
        <v>39</v>
      </c>
      <c r="H1189" s="60">
        <f>IF( ISERROR( OFFSET(   'Cuadro tarifario'!D$2  , MATCH(CONCATENATE(                 IF(F1189&gt;Mes,OFFSET(NroCT!B$17, MATCH($F1189,NroCT!$A$18:$A1405,0),0,1,1),Periodovigente)                                                                                                                     ,A1189) ,'Cuadro tarifario'!A$2:A1405,0) -1 , 0 , 1 , 1) )   , 0  ,   OFFSET(   'Cuadro tarifario'!D$2  , MATCH(CONCATENATE( IF(F1189&gt;Mes,OFFSET(NroCT!B$17, MATCH($F1189,NroCT!$A$18:$A1405,0),0,1,1),Periodovigente) ,A1189) ,'Cuadro tarifario'!A$2:A1405,0) -1 , 0 , 1 , 1))</f>
        <v>11000</v>
      </c>
      <c r="I1189" s="61">
        <f t="shared" si="252"/>
        <v>1</v>
      </c>
      <c r="J1189" s="60">
        <f t="shared" si="305"/>
        <v>11000</v>
      </c>
      <c r="K1189" s="62">
        <f>IF(  AND(N1189&gt;0,I1189=0)          ,N1189 ,                         IF(  IF( F1189 ,  DAYS360(DATE(YEAR(F1189),MONTH(F1189),1),Mes)/30  ,  DAYS360(DATE(YEAR(E1189),MONTH(E1189),1),Mes)/30  )  &gt;  0 , IF(F1189,   DAYS360(DATE(YEAR(F1189),MONTH(F1189),1),Mes)/30  ,  DAYS360(DATE(YEAR(E1189),MONTH(E1189),1),Mes)/30) , 0)       )</f>
        <v>0</v>
      </c>
      <c r="L1189" s="63">
        <f t="shared" si="253"/>
        <v>0</v>
      </c>
      <c r="M1189" s="162"/>
      <c r="N1189" s="97">
        <f>IF( ISERROR(OFFSET(SECUESTRADOS!D$1,MATCH(B1189,SECUESTRADOS!A$2:A1405,0),0)) ,0 ,  OFFSET(SECUESTRADOS!D$1,MATCH(B1189,SECUESTRADOS!A$2:A1405,0),0)  )</f>
        <v>0</v>
      </c>
      <c r="O1189" s="98"/>
      <c r="P1189" s="99" t="str">
        <f t="shared" si="238"/>
        <v>.socio</v>
      </c>
      <c r="Q1189" s="99" t="str">
        <f t="shared" si="304"/>
        <v>#REF!</v>
      </c>
      <c r="R1189" s="130"/>
      <c r="S1189" s="130"/>
      <c r="T1189" s="130"/>
    </row>
    <row r="1190">
      <c r="A1190" s="18" t="s">
        <v>38</v>
      </c>
      <c r="B1190" s="116">
        <v>2309.0</v>
      </c>
      <c r="C1190" s="140">
        <v>2309.0</v>
      </c>
      <c r="D1190" s="57" t="str">
        <f>IF(   ISERROR(OFFSET(PADRON!B$2,MATCH(C:C,PADRON!A$2:A1405,0)-1,0,1,1) )  ,  ,    OFFSET(PADRON!B$2,MATCH(C:C,PADRON!A$2:A1405,0)-1,0,1,1))</f>
        <v>ALVAREZ, LAURA BEATRIZ</v>
      </c>
      <c r="E1190" s="58">
        <v>45839.0</v>
      </c>
      <c r="F1190" s="145">
        <v>45870.0</v>
      </c>
      <c r="G1190" s="59" t="s">
        <v>39</v>
      </c>
      <c r="H1190" s="60">
        <f>IF( ISERROR( OFFSET(   'Cuadro tarifario'!D$2  , MATCH(CONCATENATE(                 IF(F1190&gt;Mes,OFFSET(NroCT!B$17, MATCH($F1190,NroCT!$A$18:$A1405,0),0,1,1),Periodovigente)                                                                                                                     ,A1190) ,'Cuadro tarifario'!A$2:A1405,0) -1 , 0 , 1 , 1) )   , 0  ,   OFFSET(   'Cuadro tarifario'!D$2  , MATCH(CONCATENATE( IF(F1190&gt;Mes,OFFSET(NroCT!B$17, MATCH($F1190,NroCT!$A$18:$A1405,0),0,1,1),Periodovigente) ,A1190) ,'Cuadro tarifario'!A$2:A1405,0) -1 , 0 , 1 , 1))</f>
        <v>9000</v>
      </c>
      <c r="I1190" s="61">
        <f t="shared" si="252"/>
        <v>1</v>
      </c>
      <c r="J1190" s="60">
        <f t="shared" si="305"/>
        <v>9000</v>
      </c>
      <c r="K1190" s="62">
        <f>IF(  AND(N1190&gt;0,I1190=0)          ,N1190 ,                         IF(  IF( F1190 ,  DAYS360(DATE(YEAR(F1190),MONTH(F1190),1),Mes)/30  ,  DAYS360(DATE(YEAR(E1190),MONTH(E1190),1),Mes)/30  )  &gt;  0 , IF(F1190,   DAYS360(DATE(YEAR(F1190),MONTH(F1190),1),Mes)/30  ,  DAYS360(DATE(YEAR(E1190),MONTH(E1190),1),Mes)/30) , 0)       )</f>
        <v>0</v>
      </c>
      <c r="L1190" s="63">
        <f t="shared" si="253"/>
        <v>0</v>
      </c>
      <c r="M1190" s="162"/>
      <c r="N1190" s="97">
        <f>IF( ISERROR(OFFSET(SECUESTRADOS!D$1,MATCH(B1190,SECUESTRADOS!A$2:A1405,0),0)) ,0 ,  OFFSET(SECUESTRADOS!D$1,MATCH(B1190,SECUESTRADOS!A$2:A1405,0),0)  )</f>
        <v>0</v>
      </c>
      <c r="O1190" s="98"/>
      <c r="P1190" s="99" t="str">
        <f t="shared" si="238"/>
        <v>Bono canon</v>
      </c>
      <c r="Q1190" s="99" t="str">
        <f t="shared" si="304"/>
        <v>#REF!</v>
      </c>
      <c r="R1190" s="130"/>
      <c r="S1190" s="130"/>
      <c r="T1190" s="130"/>
    </row>
    <row r="1191">
      <c r="A1191" s="18" t="s">
        <v>38</v>
      </c>
      <c r="B1191" s="116">
        <v>2310.0</v>
      </c>
      <c r="C1191" s="140">
        <v>2310.0</v>
      </c>
      <c r="D1191" s="57" t="str">
        <f>IF(   ISERROR(OFFSET(PADRON!B$2,MATCH(C:C,PADRON!A$2:A1405,0)-1,0,1,1) )  ,  ,    OFFSET(PADRON!B$2,MATCH(C:C,PADRON!A$2:A1405,0)-1,0,1,1))</f>
        <v>SANTILLAN, IGNACIO</v>
      </c>
      <c r="E1191" s="58">
        <v>45839.0</v>
      </c>
      <c r="F1191" s="145"/>
      <c r="G1191" s="59" t="s">
        <v>39</v>
      </c>
      <c r="H1191" s="60">
        <f>IF( ISERROR( OFFSET(   'Cuadro tarifario'!D$2  , MATCH(CONCATENATE(                 IF(F1191&gt;Mes,OFFSET(NroCT!B$17, MATCH($F1191,NroCT!$A$18:$A1405,0),0,1,1),Periodovigente)                                                                                                                     ,A1191) ,'Cuadro tarifario'!A$2:A1405,0) -1 , 0 , 1 , 1) )   , 0  ,   OFFSET(   'Cuadro tarifario'!D$2  , MATCH(CONCATENATE( IF(F1191&gt;Mes,OFFSET(NroCT!B$17, MATCH($F1191,NroCT!$A$18:$A1405,0),0,1,1),Periodovigente) ,A1191) ,'Cuadro tarifario'!A$2:A1405,0) -1 , 0 , 1 , 1))</f>
        <v>9000</v>
      </c>
      <c r="I1191" s="61">
        <f t="shared" si="252"/>
        <v>0</v>
      </c>
      <c r="J1191" s="60">
        <f t="shared" si="305"/>
        <v>0</v>
      </c>
      <c r="K1191" s="62">
        <f>IF(  AND(N1191&gt;0,I1191=0)          ,N1191 ,                         IF(  IF( F1191 ,  DAYS360(DATE(YEAR(F1191),MONTH(F1191),1),Mes)/30  ,  DAYS360(DATE(YEAR(E1191),MONTH(E1191),1),Mes)/30  )  &gt;  0 , IF(F1191,   DAYS360(DATE(YEAR(F1191),MONTH(F1191),1),Mes)/30  ,  DAYS360(DATE(YEAR(E1191),MONTH(E1191),1),Mes)/30) , 0)       )</f>
        <v>1</v>
      </c>
      <c r="L1191" s="63">
        <f t="shared" si="253"/>
        <v>9000</v>
      </c>
      <c r="M1191" s="162"/>
      <c r="N1191" s="97">
        <f>IF( ISERROR(OFFSET(SECUESTRADOS!D$1,MATCH(B1191,SECUESTRADOS!A$2:A1405,0),0)) ,0 ,  OFFSET(SECUESTRADOS!D$1,MATCH(B1191,SECUESTRADOS!A$2:A1405,0),0)  )</f>
        <v>0</v>
      </c>
      <c r="O1191" s="98"/>
      <c r="P1191" s="99" t="b">
        <f t="shared" si="238"/>
        <v>0</v>
      </c>
      <c r="Q1191" s="99" t="str">
        <f t="shared" si="304"/>
        <v>#REF!</v>
      </c>
      <c r="R1191" s="130"/>
      <c r="S1191" s="130"/>
      <c r="T1191" s="130"/>
    </row>
    <row r="1192">
      <c r="A1192" s="18" t="s">
        <v>71</v>
      </c>
      <c r="B1192" s="116">
        <v>2310.0</v>
      </c>
      <c r="C1192" s="140">
        <v>2310.0</v>
      </c>
      <c r="D1192" s="57" t="str">
        <f>IF(   ISERROR(OFFSET(PADRON!B$2,MATCH(C:C,PADRON!A$2:A1405,0)-1,0,1,1) )  ,  ,    OFFSET(PADRON!B$2,MATCH(C:C,PADRON!A$2:A1405,0)-1,0,1,1))</f>
        <v>SANTILLAN, IGNACIO</v>
      </c>
      <c r="E1192" s="58">
        <v>45839.0</v>
      </c>
      <c r="F1192" s="145"/>
      <c r="G1192" s="59" t="s">
        <v>39</v>
      </c>
      <c r="H1192" s="60">
        <f>IF( ISERROR( OFFSET(   'Cuadro tarifario'!D$2  , MATCH(CONCATENATE(                 IF(F1192&gt;Mes,OFFSET(NroCT!B$17, MATCH($F1192,NroCT!$A$18:$A1405,0),0,1,1),Periodovigente)                                                                                                                     ,A1192) ,'Cuadro tarifario'!A$2:A1405,0) -1 , 0 , 1 , 1) )   , 0  ,   OFFSET(   'Cuadro tarifario'!D$2  , MATCH(CONCATENATE( IF(F1192&gt;Mes,OFFSET(NroCT!B$17, MATCH($F1192,NroCT!$A$18:$A1405,0),0,1,1),Periodovigente) ,A1192) ,'Cuadro tarifario'!A$2:A1405,0) -1 , 0 , 1 , 1))</f>
        <v>11000</v>
      </c>
      <c r="I1192" s="61">
        <f t="shared" si="252"/>
        <v>0</v>
      </c>
      <c r="J1192" s="60">
        <f t="shared" si="305"/>
        <v>0</v>
      </c>
      <c r="K1192" s="62">
        <f>IF(  AND(N1192&gt;0,I1192=0)          ,N1192 ,                         IF(  IF( F1192 ,  DAYS360(DATE(YEAR(F1192),MONTH(F1192),1),Mes)/30  ,  DAYS360(DATE(YEAR(E1192),MONTH(E1192),1),Mes)/30  )  &gt;  0 , IF(F1192,   DAYS360(DATE(YEAR(F1192),MONTH(F1192),1),Mes)/30  ,  DAYS360(DATE(YEAR(E1192),MONTH(E1192),1),Mes)/30) , 0)       )</f>
        <v>1</v>
      </c>
      <c r="L1192" s="63">
        <f t="shared" si="253"/>
        <v>11000</v>
      </c>
      <c r="M1192" s="162"/>
      <c r="N1192" s="97">
        <f>IF( ISERROR(OFFSET(SECUESTRADOS!D$1,MATCH(B1192,SECUESTRADOS!A$2:A1405,0),0)) ,0 ,  OFFSET(SECUESTRADOS!D$1,MATCH(B1192,SECUESTRADOS!A$2:A1405,0),0)  )</f>
        <v>0</v>
      </c>
      <c r="O1192" s="98"/>
      <c r="P1192" s="99" t="b">
        <f t="shared" si="238"/>
        <v>0</v>
      </c>
      <c r="Q1192" s="99" t="str">
        <f t="shared" si="304"/>
        <v>#REF!</v>
      </c>
      <c r="R1192" s="130"/>
      <c r="S1192" s="130"/>
      <c r="T1192" s="130"/>
    </row>
    <row r="1193">
      <c r="A1193" s="18" t="s">
        <v>71</v>
      </c>
      <c r="B1193" s="116">
        <v>2311.0</v>
      </c>
      <c r="C1193" s="140">
        <v>2311.0</v>
      </c>
      <c r="D1193" s="57" t="str">
        <f>IF(   ISERROR(OFFSET(PADRON!B$2,MATCH(C:C,PADRON!A$2:A1405,0)-1,0,1,1) )  ,  ,    OFFSET(PADRON!B$2,MATCH(C:C,PADRON!A$2:A1405,0)-1,0,1,1))</f>
        <v>SALOMON, LEONARDO</v>
      </c>
      <c r="E1193" s="58">
        <v>45778.0</v>
      </c>
      <c r="F1193" s="145"/>
      <c r="G1193" s="59" t="s">
        <v>39</v>
      </c>
      <c r="H1193" s="60">
        <f>IF( ISERROR( OFFSET(   'Cuadro tarifario'!D$2  , MATCH(CONCATENATE(                 IF(F1193&gt;Mes,OFFSET(NroCT!B$17, MATCH($F1193,NroCT!$A$18:$A1405,0),0,1,1),Periodovigente)                                                                                                                     ,A1193) ,'Cuadro tarifario'!A$2:A1405,0) -1 , 0 , 1 , 1) )   , 0  ,   OFFSET(   'Cuadro tarifario'!D$2  , MATCH(CONCATENATE( IF(F1193&gt;Mes,OFFSET(NroCT!B$17, MATCH($F1193,NroCT!$A$18:$A1405,0),0,1,1),Periodovigente) ,A1193) ,'Cuadro tarifario'!A$2:A1405,0) -1 , 0 , 1 , 1))</f>
        <v>11000</v>
      </c>
      <c r="I1193" s="61">
        <f t="shared" si="252"/>
        <v>0</v>
      </c>
      <c r="J1193" s="60">
        <f t="shared" si="305"/>
        <v>0</v>
      </c>
      <c r="K1193" s="62">
        <f>IF(  AND(N1193&gt;0,I1193=0)          ,N1193 ,                         IF(  IF( F1193 ,  DAYS360(DATE(YEAR(F1193),MONTH(F1193),1),Mes)/30  ,  DAYS360(DATE(YEAR(E1193),MONTH(E1193),1),Mes)/30  )  &gt;  0 , IF(F1193,   DAYS360(DATE(YEAR(F1193),MONTH(F1193),1),Mes)/30  ,  DAYS360(DATE(YEAR(E1193),MONTH(E1193),1),Mes)/30) , 0)       )</f>
        <v>3</v>
      </c>
      <c r="L1193" s="63">
        <f t="shared" si="253"/>
        <v>33000</v>
      </c>
      <c r="M1193" s="162"/>
      <c r="N1193" s="97">
        <f>IF( ISERROR(OFFSET(SECUESTRADOS!D$1,MATCH(B1193,SECUESTRADOS!A$2:A1405,0),0)) ,0 ,  OFFSET(SECUESTRADOS!D$1,MATCH(B1193,SECUESTRADOS!A$2:A1405,0),0)  )</f>
        <v>0</v>
      </c>
      <c r="O1193" s="98"/>
      <c r="P1193" s="99" t="b">
        <f t="shared" si="238"/>
        <v>0</v>
      </c>
      <c r="Q1193" s="99" t="str">
        <f t="shared" si="304"/>
        <v>#REF!</v>
      </c>
      <c r="R1193" s="130"/>
      <c r="S1193" s="130"/>
      <c r="T1193" s="130"/>
    </row>
    <row r="1194">
      <c r="A1194" s="18" t="s">
        <v>38</v>
      </c>
      <c r="B1194" s="116">
        <v>2311.0</v>
      </c>
      <c r="C1194" s="140">
        <v>2311.0</v>
      </c>
      <c r="D1194" s="57" t="str">
        <f>IF(   ISERROR(OFFSET(PADRON!B$2,MATCH(C:C,PADRON!A$2:A1405,0)-1,0,1,1) )  ,  ,    OFFSET(PADRON!B$2,MATCH(C:C,PADRON!A$2:A1405,0)-1,0,1,1))</f>
        <v>SALOMON, LEONARDO</v>
      </c>
      <c r="E1194" s="58">
        <v>45778.0</v>
      </c>
      <c r="F1194" s="145"/>
      <c r="G1194" s="59" t="s">
        <v>39</v>
      </c>
      <c r="H1194" s="60">
        <f>IF( ISERROR( OFFSET(   'Cuadro tarifario'!D$2  , MATCH(CONCATENATE(                 IF(F1194&gt;Mes,OFFSET(NroCT!B$17, MATCH($F1194,NroCT!$A$18:$A1405,0),0,1,1),Periodovigente)                                                                                                                     ,A1194) ,'Cuadro tarifario'!A$2:A1405,0) -1 , 0 , 1 , 1) )   , 0  ,   OFFSET(   'Cuadro tarifario'!D$2  , MATCH(CONCATENATE( IF(F1194&gt;Mes,OFFSET(NroCT!B$17, MATCH($F1194,NroCT!$A$18:$A1405,0),0,1,1),Periodovigente) ,A1194) ,'Cuadro tarifario'!A$2:A1405,0) -1 , 0 , 1 , 1))</f>
        <v>9000</v>
      </c>
      <c r="I1194" s="61">
        <f t="shared" si="252"/>
        <v>0</v>
      </c>
      <c r="J1194" s="60">
        <f t="shared" si="305"/>
        <v>0</v>
      </c>
      <c r="K1194" s="62">
        <f>IF(  AND(N1194&gt;0,I1194=0)          ,N1194 ,                         IF(  IF( F1194 ,  DAYS360(DATE(YEAR(F1194),MONTH(F1194),1),Mes)/30  ,  DAYS360(DATE(YEAR(E1194),MONTH(E1194),1),Mes)/30  )  &gt;  0 , IF(F1194,   DAYS360(DATE(YEAR(F1194),MONTH(F1194),1),Mes)/30  ,  DAYS360(DATE(YEAR(E1194),MONTH(E1194),1),Mes)/30) , 0)       )</f>
        <v>3</v>
      </c>
      <c r="L1194" s="63">
        <f t="shared" si="253"/>
        <v>27000</v>
      </c>
      <c r="M1194" s="162"/>
      <c r="N1194" s="97">
        <f>IF( ISERROR(OFFSET(SECUESTRADOS!D$1,MATCH(B1194,SECUESTRADOS!A$2:A1405,0),0)) ,0 ,  OFFSET(SECUESTRADOS!D$1,MATCH(B1194,SECUESTRADOS!A$2:A1405,0),0)  )</f>
        <v>0</v>
      </c>
      <c r="O1194" s="98"/>
      <c r="P1194" s="99" t="b">
        <f t="shared" si="238"/>
        <v>0</v>
      </c>
      <c r="Q1194" s="99" t="str">
        <f t="shared" si="304"/>
        <v>#REF!</v>
      </c>
      <c r="R1194" s="130"/>
      <c r="S1194" s="130"/>
      <c r="T1194" s="130"/>
    </row>
    <row r="1195">
      <c r="A1195" s="18" t="s">
        <v>71</v>
      </c>
      <c r="B1195" s="116">
        <v>2312.0</v>
      </c>
      <c r="C1195" s="140">
        <v>2312.0</v>
      </c>
      <c r="D1195" s="57" t="str">
        <f>IF(   ISERROR(OFFSET(PADRON!B$2,MATCH(C:C,PADRON!A$2:A1405,0)-1,0,1,1) )  ,  ,    OFFSET(PADRON!B$2,MATCH(C:C,PADRON!A$2:A1405,0)-1,0,1,1))</f>
        <v>OTERO,  MARINA LAURA</v>
      </c>
      <c r="E1195" s="58">
        <v>45839.0</v>
      </c>
      <c r="F1195" s="145"/>
      <c r="G1195" s="59" t="s">
        <v>39</v>
      </c>
      <c r="H1195" s="60">
        <f>IF( ISERROR( OFFSET(   'Cuadro tarifario'!D$2  , MATCH(CONCATENATE(                 IF(F1195&gt;Mes,OFFSET(NroCT!B$17, MATCH($F1195,NroCT!$A$18:$A1405,0),0,1,1),Periodovigente)                                                                                                                     ,A1195) ,'Cuadro tarifario'!A$2:A1405,0) -1 , 0 , 1 , 1) )   , 0  ,   OFFSET(   'Cuadro tarifario'!D$2  , MATCH(CONCATENATE( IF(F1195&gt;Mes,OFFSET(NroCT!B$17, MATCH($F1195,NroCT!$A$18:$A1405,0),0,1,1),Periodovigente) ,A1195) ,'Cuadro tarifario'!A$2:A1405,0) -1 , 0 , 1 , 1))</f>
        <v>11000</v>
      </c>
      <c r="I1195" s="61">
        <f t="shared" si="252"/>
        <v>0</v>
      </c>
      <c r="J1195" s="59" t="s">
        <v>154</v>
      </c>
      <c r="K1195" s="62">
        <f>IF(  AND(N1195&gt;0,I1195=0)          ,N1195 ,                         IF(  IF( F1195 ,  DAYS360(DATE(YEAR(F1195),MONTH(F1195),1),Mes)/30  ,  DAYS360(DATE(YEAR(E1195),MONTH(E1195),1),Mes)/30  )  &gt;  0 , IF(F1195,   DAYS360(DATE(YEAR(F1195),MONTH(F1195),1),Mes)/30  ,  DAYS360(DATE(YEAR(E1195),MONTH(E1195),1),Mes)/30) , 0)       )</f>
        <v>1</v>
      </c>
      <c r="L1195" s="63">
        <f t="shared" si="253"/>
        <v>11000</v>
      </c>
      <c r="M1195" s="162"/>
      <c r="N1195" s="97">
        <f>IF( ISERROR(OFFSET(SECUESTRADOS!D$1,MATCH(B1195,SECUESTRADOS!A$2:A1405,0),0)) ,0 ,  OFFSET(SECUESTRADOS!D$1,MATCH(B1195,SECUESTRADOS!A$2:A1405,0),0)  )</f>
        <v>0</v>
      </c>
      <c r="O1195" s="98"/>
      <c r="P1195" s="99" t="b">
        <f t="shared" si="238"/>
        <v>0</v>
      </c>
      <c r="Q1195" s="99" t="str">
        <f t="shared" si="304"/>
        <v>#REF!</v>
      </c>
      <c r="R1195" s="130"/>
      <c r="S1195" s="130"/>
      <c r="T1195" s="130"/>
    </row>
    <row r="1196">
      <c r="A1196" s="18" t="s">
        <v>38</v>
      </c>
      <c r="B1196" s="116">
        <v>2312.0</v>
      </c>
      <c r="C1196" s="140">
        <v>2312.0</v>
      </c>
      <c r="D1196" s="57" t="str">
        <f>IF(   ISERROR(OFFSET(PADRON!B$2,MATCH(C:C,PADRON!A$2:A1405,0)-1,0,1,1) )  ,  ,    OFFSET(PADRON!B$2,MATCH(C:C,PADRON!A$2:A1405,0)-1,0,1,1))</f>
        <v>OTERO,  MARINA LAURA</v>
      </c>
      <c r="E1196" s="58">
        <v>45839.0</v>
      </c>
      <c r="F1196" s="145"/>
      <c r="G1196" s="59" t="s">
        <v>39</v>
      </c>
      <c r="H1196" s="60">
        <f>IF( ISERROR( OFFSET(   'Cuadro tarifario'!D$2  , MATCH(CONCATENATE(                 IF(F1196&gt;Mes,OFFSET(NroCT!B$17, MATCH($F1196,NroCT!$A$18:$A1405,0),0,1,1),Periodovigente)                                                                                                                     ,A1196) ,'Cuadro tarifario'!A$2:A1405,0) -1 , 0 , 1 , 1) )   , 0  ,   OFFSET(   'Cuadro tarifario'!D$2  , MATCH(CONCATENATE( IF(F1196&gt;Mes,OFFSET(NroCT!B$17, MATCH($F1196,NroCT!$A$18:$A1405,0),0,1,1),Periodovigente) ,A1196) ,'Cuadro tarifario'!A$2:A1405,0) -1 , 0 , 1 , 1))</f>
        <v>9000</v>
      </c>
      <c r="I1196" s="61">
        <f t="shared" si="252"/>
        <v>0</v>
      </c>
      <c r="J1196" s="60">
        <f t="shared" ref="J1196:J1368" si="306">I1196*H1196</f>
        <v>0</v>
      </c>
      <c r="K1196" s="62">
        <f>IF(  AND(N1196&gt;0,I1196=0)          ,N1196 ,                         IF(  IF( F1196 ,  DAYS360(DATE(YEAR(F1196),MONTH(F1196),1),Mes)/30  ,  DAYS360(DATE(YEAR(E1196),MONTH(E1196),1),Mes)/30  )  &gt;  0 , IF(F1196,   DAYS360(DATE(YEAR(F1196),MONTH(F1196),1),Mes)/30  ,  DAYS360(DATE(YEAR(E1196),MONTH(E1196),1),Mes)/30) , 0)       )</f>
        <v>1</v>
      </c>
      <c r="L1196" s="63">
        <f t="shared" si="253"/>
        <v>9000</v>
      </c>
      <c r="M1196" s="162"/>
      <c r="N1196" s="97">
        <f>IF( ISERROR(OFFSET(SECUESTRADOS!D$1,MATCH(B1196,SECUESTRADOS!A$2:A1405,0),0)) ,0 ,  OFFSET(SECUESTRADOS!D$1,MATCH(B1196,SECUESTRADOS!A$2:A1405,0),0)  )</f>
        <v>0</v>
      </c>
      <c r="O1196" s="98"/>
      <c r="P1196" s="99" t="b">
        <f t="shared" si="238"/>
        <v>0</v>
      </c>
      <c r="Q1196" s="99" t="str">
        <f t="shared" si="304"/>
        <v>#REF!</v>
      </c>
      <c r="R1196" s="130"/>
      <c r="S1196" s="130"/>
      <c r="T1196" s="130"/>
    </row>
    <row r="1197">
      <c r="A1197" s="18" t="s">
        <v>82</v>
      </c>
      <c r="B1197" s="116" t="s">
        <v>466</v>
      </c>
      <c r="C1197" s="140">
        <v>2312.0</v>
      </c>
      <c r="D1197" s="57" t="str">
        <f>IF(   ISERROR(OFFSET(PADRON!B$2,MATCH(C:C,PADRON!A$2:A1405,0)-1,0,1,1) )  ,  ,    OFFSET(PADRON!B$2,MATCH(C:C,PADRON!A$2:A1405,0)-1,0,1,1))</f>
        <v>OTERO,  MARINA LAURA</v>
      </c>
      <c r="E1197" s="58">
        <v>45839.0</v>
      </c>
      <c r="F1197" s="145"/>
      <c r="G1197" s="59" t="s">
        <v>39</v>
      </c>
      <c r="H1197" s="60">
        <f>IF( ISERROR( OFFSET(   'Cuadro tarifario'!D$2  , MATCH(CONCATENATE(                 IF(F1197&gt;Mes,OFFSET(NroCT!B$17, MATCH($F1197,NroCT!$A$18:$A1405,0),0,1,1),Periodovigente)                                                                                                                     ,A1197) ,'Cuadro tarifario'!A$2:A1405,0) -1 , 0 , 1 , 1) )   , 0  ,   OFFSET(   'Cuadro tarifario'!D$2  , MATCH(CONCATENATE( IF(F1197&gt;Mes,OFFSET(NroCT!B$17, MATCH($F1197,NroCT!$A$18:$A1405,0),0,1,1),Periodovigente) ,A1197) ,'Cuadro tarifario'!A$2:A1405,0) -1 , 0 , 1 , 1))</f>
        <v>12000</v>
      </c>
      <c r="I1197" s="61">
        <f t="shared" si="252"/>
        <v>0</v>
      </c>
      <c r="J1197" s="60">
        <f t="shared" si="306"/>
        <v>0</v>
      </c>
      <c r="K1197" s="62">
        <f>IF(  AND(N1197&gt;0,I1197=0)          ,N1197 ,                         IF(  IF( F1197 ,  DAYS360(DATE(YEAR(F1197),MONTH(F1197),1),Mes)/30  ,  DAYS360(DATE(YEAR(E1197),MONTH(E1197),1),Mes)/30  )  &gt;  0 , IF(F1197,   DAYS360(DATE(YEAR(F1197),MONTH(F1197),1),Mes)/30  ,  DAYS360(DATE(YEAR(E1197),MONTH(E1197),1),Mes)/30) , 0)       )</f>
        <v>1</v>
      </c>
      <c r="L1197" s="63">
        <f t="shared" si="253"/>
        <v>12000</v>
      </c>
      <c r="M1197" s="162"/>
      <c r="N1197" s="97">
        <f>IF( ISERROR(OFFSET(SECUESTRADOS!D$1,MATCH(B1197,SECUESTRADOS!A$2:A1405,0),0)) ,0 ,  OFFSET(SECUESTRADOS!D$1,MATCH(B1197,SECUESTRADOS!A$2:A1405,0),0)  )</f>
        <v>0</v>
      </c>
      <c r="O1197" s="98"/>
      <c r="P1197" s="99" t="b">
        <f t="shared" si="238"/>
        <v>0</v>
      </c>
      <c r="Q1197" s="99" t="str">
        <f t="shared" si="304"/>
        <v>#REF!</v>
      </c>
      <c r="R1197" s="130"/>
      <c r="S1197" s="130"/>
      <c r="T1197" s="130"/>
    </row>
    <row r="1198">
      <c r="A1198" s="18" t="s">
        <v>71</v>
      </c>
      <c r="B1198" s="116">
        <v>2313.0</v>
      </c>
      <c r="C1198" s="140">
        <v>2313.0</v>
      </c>
      <c r="D1198" s="57" t="str">
        <f>IF(   ISERROR(OFFSET(PADRON!B$2,MATCH(C:C,PADRON!A$2:A1405,0)-1,0,1,1) )  ,  ,    OFFSET(PADRON!B$2,MATCH(C:C,PADRON!A$2:A1405,0)-1,0,1,1))</f>
        <v>JAUREGUI, EYLA</v>
      </c>
      <c r="E1198" s="58">
        <v>45778.0</v>
      </c>
      <c r="F1198" s="145"/>
      <c r="G1198" s="59" t="s">
        <v>39</v>
      </c>
      <c r="H1198" s="60">
        <f>IF( ISERROR( OFFSET(   'Cuadro tarifario'!D$2  , MATCH(CONCATENATE(                 IF(F1198&gt;Mes,OFFSET(NroCT!B$17, MATCH($F1198,NroCT!$A$18:$A1405,0),0,1,1),Periodovigente)                                                                                                                     ,A1198) ,'Cuadro tarifario'!A$2:A1405,0) -1 , 0 , 1 , 1) )   , 0  ,   OFFSET(   'Cuadro tarifario'!D$2  , MATCH(CONCATENATE( IF(F1198&gt;Mes,OFFSET(NroCT!B$17, MATCH($F1198,NroCT!$A$18:$A1405,0),0,1,1),Periodovigente) ,A1198) ,'Cuadro tarifario'!A$2:A1405,0) -1 , 0 , 1 , 1))</f>
        <v>11000</v>
      </c>
      <c r="I1198" s="61">
        <f t="shared" si="252"/>
        <v>0</v>
      </c>
      <c r="J1198" s="60">
        <f t="shared" si="306"/>
        <v>0</v>
      </c>
      <c r="K1198" s="62">
        <f>IF(  AND(N1198&gt;0,I1198=0)          ,N1198 ,                         IF(  IF( F1198 ,  DAYS360(DATE(YEAR(F1198),MONTH(F1198),1),Mes)/30  ,  DAYS360(DATE(YEAR(E1198),MONTH(E1198),1),Mes)/30  )  &gt;  0 , IF(F1198,   DAYS360(DATE(YEAR(F1198),MONTH(F1198),1),Mes)/30  ,  DAYS360(DATE(YEAR(E1198),MONTH(E1198),1),Mes)/30) , 0)       )</f>
        <v>3</v>
      </c>
      <c r="L1198" s="63">
        <f t="shared" si="253"/>
        <v>33000</v>
      </c>
      <c r="M1198" s="162"/>
      <c r="N1198" s="97">
        <f>IF( ISERROR(OFFSET(SECUESTRADOS!D$1,MATCH(B1198,SECUESTRADOS!A$2:A1405,0),0)) ,0 ,  OFFSET(SECUESTRADOS!D$1,MATCH(B1198,SECUESTRADOS!A$2:A1405,0),0)  )</f>
        <v>0</v>
      </c>
      <c r="O1198" s="98"/>
      <c r="P1198" s="99" t="b">
        <f t="shared" si="238"/>
        <v>0</v>
      </c>
      <c r="Q1198" s="99" t="str">
        <f t="shared" si="304"/>
        <v>#REF!</v>
      </c>
      <c r="R1198" s="130"/>
      <c r="S1198" s="130"/>
      <c r="T1198" s="130"/>
    </row>
    <row r="1199">
      <c r="A1199" s="18" t="s">
        <v>38</v>
      </c>
      <c r="B1199" s="116">
        <v>2313.0</v>
      </c>
      <c r="C1199" s="140">
        <v>2313.0</v>
      </c>
      <c r="D1199" s="57" t="str">
        <f>IF(   ISERROR(OFFSET(PADRON!B$2,MATCH(C:C,PADRON!A$2:A1405,0)-1,0,1,1) )  ,  ,    OFFSET(PADRON!B$2,MATCH(C:C,PADRON!A$2:A1405,0)-1,0,1,1))</f>
        <v>JAUREGUI, EYLA</v>
      </c>
      <c r="E1199" s="58">
        <v>45778.0</v>
      </c>
      <c r="F1199" s="145"/>
      <c r="G1199" s="59" t="s">
        <v>39</v>
      </c>
      <c r="H1199" s="60">
        <f>IF( ISERROR( OFFSET(   'Cuadro tarifario'!D$2  , MATCH(CONCATENATE(                 IF(F1199&gt;Mes,OFFSET(NroCT!B$17, MATCH($F1199,NroCT!$A$18:$A1405,0),0,1,1),Periodovigente)                                                                                                                     ,A1199) ,'Cuadro tarifario'!A$2:A1405,0) -1 , 0 , 1 , 1) )   , 0  ,   OFFSET(   'Cuadro tarifario'!D$2  , MATCH(CONCATENATE( IF(F1199&gt;Mes,OFFSET(NroCT!B$17, MATCH($F1199,NroCT!$A$18:$A1405,0),0,1,1),Periodovigente) ,A1199) ,'Cuadro tarifario'!A$2:A1405,0) -1 , 0 , 1 , 1))</f>
        <v>9000</v>
      </c>
      <c r="I1199" s="61">
        <f t="shared" si="252"/>
        <v>0</v>
      </c>
      <c r="J1199" s="60">
        <f t="shared" si="306"/>
        <v>0</v>
      </c>
      <c r="K1199" s="62">
        <f>IF(  AND(N1199&gt;0,I1199=0)          ,N1199 ,                         IF(  IF( F1199 ,  DAYS360(DATE(YEAR(F1199),MONTH(F1199),1),Mes)/30  ,  DAYS360(DATE(YEAR(E1199),MONTH(E1199),1),Mes)/30  )  &gt;  0 , IF(F1199,   DAYS360(DATE(YEAR(F1199),MONTH(F1199),1),Mes)/30  ,  DAYS360(DATE(YEAR(E1199),MONTH(E1199),1),Mes)/30) , 0)       )</f>
        <v>3</v>
      </c>
      <c r="L1199" s="63">
        <f t="shared" si="253"/>
        <v>27000</v>
      </c>
      <c r="M1199" s="162"/>
      <c r="N1199" s="97">
        <f>IF( ISERROR(OFFSET(SECUESTRADOS!D$1,MATCH(B1199,SECUESTRADOS!A$2:A1405,0),0)) ,0 ,  OFFSET(SECUESTRADOS!D$1,MATCH(B1199,SECUESTRADOS!A$2:A1405,0),0)  )</f>
        <v>0</v>
      </c>
      <c r="O1199" s="98"/>
      <c r="P1199" s="99" t="b">
        <f t="shared" si="238"/>
        <v>0</v>
      </c>
      <c r="Q1199" s="99" t="str">
        <f t="shared" si="304"/>
        <v>#REF!</v>
      </c>
      <c r="R1199" s="130"/>
      <c r="S1199" s="130"/>
      <c r="T1199" s="130"/>
    </row>
    <row r="1200">
      <c r="A1200" s="18" t="s">
        <v>71</v>
      </c>
      <c r="B1200" s="116">
        <v>2314.0</v>
      </c>
      <c r="C1200" s="140">
        <v>2314.0</v>
      </c>
      <c r="D1200" s="57" t="str">
        <f>IF(   ISERROR(OFFSET(PADRON!B$2,MATCH(C:C,PADRON!A$2:A1405,0)-1,0,1,1) )  ,  ,    OFFSET(PADRON!B$2,MATCH(C:C,PADRON!A$2:A1405,0)-1,0,1,1))</f>
        <v>PAIONE, DE FAVA, CLAUDIA</v>
      </c>
      <c r="E1200" s="58">
        <v>45839.0</v>
      </c>
      <c r="F1200" s="145">
        <v>45901.0</v>
      </c>
      <c r="G1200" s="59" t="s">
        <v>39</v>
      </c>
      <c r="H1200" s="60">
        <f>IF( ISERROR( OFFSET(   'Cuadro tarifario'!D$2  , MATCH(CONCATENATE(                 IF(F1200&gt;Mes,OFFSET(NroCT!B$17, MATCH($F1200,NroCT!$A$18:$A1405,0),0,1,1),Periodovigente)                                                                                                                     ,A1200) ,'Cuadro tarifario'!A$2:A1405,0) -1 , 0 , 1 , 1) )   , 0  ,   OFFSET(   'Cuadro tarifario'!D$2  , MATCH(CONCATENATE( IF(F1200&gt;Mes,OFFSET(NroCT!B$17, MATCH($F1200,NroCT!$A$18:$A1405,0),0,1,1),Periodovigente) ,A1200) ,'Cuadro tarifario'!A$2:A1405,0) -1 , 0 , 1 , 1))</f>
        <v>11000</v>
      </c>
      <c r="I1200" s="61">
        <f t="shared" si="252"/>
        <v>2</v>
      </c>
      <c r="J1200" s="60">
        <f t="shared" si="306"/>
        <v>22000</v>
      </c>
      <c r="K1200" s="62">
        <f>IF(  AND(N1200&gt;0,I1200=0)          ,N1200 ,                         IF(  IF( F1200 ,  DAYS360(DATE(YEAR(F1200),MONTH(F1200),1),Mes)/30  ,  DAYS360(DATE(YEAR(E1200),MONTH(E1200),1),Mes)/30  )  &gt;  0 , IF(F1200,   DAYS360(DATE(YEAR(F1200),MONTH(F1200),1),Mes)/30  ,  DAYS360(DATE(YEAR(E1200),MONTH(E1200),1),Mes)/30) , 0)       )</f>
        <v>0</v>
      </c>
      <c r="L1200" s="63">
        <f t="shared" si="253"/>
        <v>0</v>
      </c>
      <c r="M1200" s="162"/>
      <c r="N1200" s="97">
        <f>IF( ISERROR(OFFSET(SECUESTRADOS!D$1,MATCH(B1200,SECUESTRADOS!A$2:A1405,0),0)) ,0 ,  OFFSET(SECUESTRADOS!D$1,MATCH(B1200,SECUESTRADOS!A$2:A1405,0),0)  )</f>
        <v>0</v>
      </c>
      <c r="O1200" s="98"/>
      <c r="P1200" s="99" t="str">
        <f t="shared" si="238"/>
        <v>.socio</v>
      </c>
      <c r="Q1200" s="99" t="str">
        <f t="shared" si="304"/>
        <v>#REF!</v>
      </c>
      <c r="R1200" s="130"/>
      <c r="S1200" s="130"/>
      <c r="T1200" s="130"/>
    </row>
    <row r="1201">
      <c r="A1201" s="18" t="s">
        <v>38</v>
      </c>
      <c r="B1201" s="116">
        <v>2314.0</v>
      </c>
      <c r="C1201" s="140">
        <v>2314.0</v>
      </c>
      <c r="D1201" s="57" t="str">
        <f>IF(   ISERROR(OFFSET(PADRON!B$2,MATCH(C:C,PADRON!A$2:A1405,0)-1,0,1,1) )  ,  ,    OFFSET(PADRON!B$2,MATCH(C:C,PADRON!A$2:A1405,0)-1,0,1,1))</f>
        <v>PAIONE, DE FAVA, CLAUDIA</v>
      </c>
      <c r="E1201" s="58">
        <v>45839.0</v>
      </c>
      <c r="F1201" s="145">
        <v>45901.0</v>
      </c>
      <c r="G1201" s="59" t="s">
        <v>39</v>
      </c>
      <c r="H1201" s="60">
        <f>IF( ISERROR( OFFSET(   'Cuadro tarifario'!D$2  , MATCH(CONCATENATE(                 IF(F1201&gt;Mes,OFFSET(NroCT!B$17, MATCH($F1201,NroCT!$A$18:$A1405,0),0,1,1),Periodovigente)                                                                                                                     ,A1201) ,'Cuadro tarifario'!A$2:A1405,0) -1 , 0 , 1 , 1) )   , 0  ,   OFFSET(   'Cuadro tarifario'!D$2  , MATCH(CONCATENATE( IF(F1201&gt;Mes,OFFSET(NroCT!B$17, MATCH($F1201,NroCT!$A$18:$A1405,0),0,1,1),Periodovigente) ,A1201) ,'Cuadro tarifario'!A$2:A1405,0) -1 , 0 , 1 , 1))</f>
        <v>9000</v>
      </c>
      <c r="I1201" s="61">
        <f t="shared" si="252"/>
        <v>2</v>
      </c>
      <c r="J1201" s="60">
        <f t="shared" si="306"/>
        <v>18000</v>
      </c>
      <c r="K1201" s="62">
        <f>IF(  AND(N1201&gt;0,I1201=0)          ,N1201 ,                         IF(  IF( F1201 ,  DAYS360(DATE(YEAR(F1201),MONTH(F1201),1),Mes)/30  ,  DAYS360(DATE(YEAR(E1201),MONTH(E1201),1),Mes)/30  )  &gt;  0 , IF(F1201,   DAYS360(DATE(YEAR(F1201),MONTH(F1201),1),Mes)/30  ,  DAYS360(DATE(YEAR(E1201),MONTH(E1201),1),Mes)/30) , 0)       )</f>
        <v>0</v>
      </c>
      <c r="L1201" s="63">
        <f t="shared" si="253"/>
        <v>0</v>
      </c>
      <c r="M1201" s="162"/>
      <c r="N1201" s="97">
        <f>IF( ISERROR(OFFSET(SECUESTRADOS!D$1,MATCH(B1201,SECUESTRADOS!A$2:A1405,0),0)) ,0 ,  OFFSET(SECUESTRADOS!D$1,MATCH(B1201,SECUESTRADOS!A$2:A1405,0),0)  )</f>
        <v>0</v>
      </c>
      <c r="O1201" s="98"/>
      <c r="P1201" s="99" t="str">
        <f t="shared" si="238"/>
        <v>Bono canon</v>
      </c>
      <c r="Q1201" s="99" t="str">
        <f t="shared" si="304"/>
        <v>#REF!</v>
      </c>
      <c r="R1201" s="130"/>
      <c r="S1201" s="130"/>
      <c r="T1201" s="130"/>
    </row>
    <row r="1202">
      <c r="A1202" s="18" t="s">
        <v>71</v>
      </c>
      <c r="B1202" s="116">
        <v>2315.0</v>
      </c>
      <c r="C1202" s="140">
        <v>2315.0</v>
      </c>
      <c r="D1202" s="57" t="str">
        <f>IF(   ISERROR(OFFSET(PADRON!B$2,MATCH(C:C,PADRON!A$2:A1405,0)-1,0,1,1) )  ,  ,    OFFSET(PADRON!B$2,MATCH(C:C,PADRON!A$2:A1405,0)-1,0,1,1))</f>
        <v>DAVAGNINO, LUCIANO</v>
      </c>
      <c r="E1202" s="58">
        <v>45870.0</v>
      </c>
      <c r="F1202" s="145"/>
      <c r="G1202" s="59" t="s">
        <v>39</v>
      </c>
      <c r="H1202" s="60">
        <f>IF( ISERROR( OFFSET(   'Cuadro tarifario'!D$2  , MATCH(CONCATENATE(                 IF(F1202&gt;Mes,OFFSET(NroCT!B$17, MATCH($F1202,NroCT!$A$18:$A1405,0),0,1,1),Periodovigente)                                                                                                                     ,A1202) ,'Cuadro tarifario'!A$2:A1405,0) -1 , 0 , 1 , 1) )   , 0  ,   OFFSET(   'Cuadro tarifario'!D$2  , MATCH(CONCATENATE( IF(F1202&gt;Mes,OFFSET(NroCT!B$17, MATCH($F1202,NroCT!$A$18:$A1405,0),0,1,1),Periodovigente) ,A1202) ,'Cuadro tarifario'!A$2:A1405,0) -1 , 0 , 1 , 1))</f>
        <v>11000</v>
      </c>
      <c r="I1202" s="61">
        <f t="shared" si="252"/>
        <v>0</v>
      </c>
      <c r="J1202" s="60">
        <f t="shared" si="306"/>
        <v>0</v>
      </c>
      <c r="K1202" s="62">
        <f>IF(  AND(N1202&gt;0,I1202=0)          ,N1202 ,                         IF(  IF( F1202 ,  DAYS360(DATE(YEAR(F1202),MONTH(F1202),1),Mes)/30  ,  DAYS360(DATE(YEAR(E1202),MONTH(E1202),1),Mes)/30  )  &gt;  0 , IF(F1202,   DAYS360(DATE(YEAR(F1202),MONTH(F1202),1),Mes)/30  ,  DAYS360(DATE(YEAR(E1202),MONTH(E1202),1),Mes)/30) , 0)       )</f>
        <v>0</v>
      </c>
      <c r="L1202" s="63">
        <f t="shared" si="253"/>
        <v>0</v>
      </c>
      <c r="M1202" s="162"/>
      <c r="N1202" s="97">
        <f>IF( ISERROR(OFFSET(SECUESTRADOS!D$1,MATCH(B1202,SECUESTRADOS!A$2:A1405,0),0)) ,0 ,  OFFSET(SECUESTRADOS!D$1,MATCH(B1202,SECUESTRADOS!A$2:A1405,0),0)  )</f>
        <v>0</v>
      </c>
      <c r="O1202" s="98"/>
      <c r="P1202" s="99" t="b">
        <f t="shared" si="238"/>
        <v>0</v>
      </c>
      <c r="Q1202" s="99" t="str">
        <f t="shared" si="304"/>
        <v>#REF!</v>
      </c>
      <c r="R1202" s="130"/>
      <c r="S1202" s="130"/>
      <c r="T1202" s="130"/>
    </row>
    <row r="1203">
      <c r="A1203" s="18" t="s">
        <v>38</v>
      </c>
      <c r="B1203" s="116">
        <v>2315.0</v>
      </c>
      <c r="C1203" s="140">
        <v>2315.0</v>
      </c>
      <c r="D1203" s="57" t="str">
        <f>IF(   ISERROR(OFFSET(PADRON!B$2,MATCH(C:C,PADRON!A$2:A1405,0)-1,0,1,1) )  ,  ,    OFFSET(PADRON!B$2,MATCH(C:C,PADRON!A$2:A1405,0)-1,0,1,1))</f>
        <v>DAVAGNINO, LUCIANO</v>
      </c>
      <c r="E1203" s="58">
        <v>45870.0</v>
      </c>
      <c r="F1203" s="145"/>
      <c r="G1203" s="59" t="s">
        <v>39</v>
      </c>
      <c r="H1203" s="60">
        <f>IF( ISERROR( OFFSET(   'Cuadro tarifario'!D$2  , MATCH(CONCATENATE(                 IF(F1203&gt;Mes,OFFSET(NroCT!B$17, MATCH($F1203,NroCT!$A$18:$A1405,0),0,1,1),Periodovigente)                                                                                                                     ,A1203) ,'Cuadro tarifario'!A$2:A1405,0) -1 , 0 , 1 , 1) )   , 0  ,   OFFSET(   'Cuadro tarifario'!D$2  , MATCH(CONCATENATE( IF(F1203&gt;Mes,OFFSET(NroCT!B$17, MATCH($F1203,NroCT!$A$18:$A1405,0),0,1,1),Periodovigente) ,A1203) ,'Cuadro tarifario'!A$2:A1405,0) -1 , 0 , 1 , 1))</f>
        <v>9000</v>
      </c>
      <c r="I1203" s="61">
        <f t="shared" si="252"/>
        <v>0</v>
      </c>
      <c r="J1203" s="60">
        <f t="shared" si="306"/>
        <v>0</v>
      </c>
      <c r="K1203" s="62">
        <f>IF(  AND(N1203&gt;0,I1203=0)          ,N1203 ,                         IF(  IF( F1203 ,  DAYS360(DATE(YEAR(F1203),MONTH(F1203),1),Mes)/30  ,  DAYS360(DATE(YEAR(E1203),MONTH(E1203),1),Mes)/30  )  &gt;  0 , IF(F1203,   DAYS360(DATE(YEAR(F1203),MONTH(F1203),1),Mes)/30  ,  DAYS360(DATE(YEAR(E1203),MONTH(E1203),1),Mes)/30) , 0)       )</f>
        <v>0</v>
      </c>
      <c r="L1203" s="63">
        <f t="shared" si="253"/>
        <v>0</v>
      </c>
      <c r="M1203" s="162"/>
      <c r="N1203" s="97">
        <f>IF( ISERROR(OFFSET(SECUESTRADOS!D$1,MATCH(B1203,SECUESTRADOS!A$2:A1405,0),0)) ,0 ,  OFFSET(SECUESTRADOS!D$1,MATCH(B1203,SECUESTRADOS!A$2:A1405,0),0)  )</f>
        <v>0</v>
      </c>
      <c r="O1203" s="98"/>
      <c r="P1203" s="99" t="b">
        <f t="shared" si="238"/>
        <v>0</v>
      </c>
      <c r="Q1203" s="99" t="str">
        <f t="shared" si="304"/>
        <v>#REF!</v>
      </c>
      <c r="R1203" s="130"/>
      <c r="S1203" s="130"/>
      <c r="T1203" s="130"/>
    </row>
    <row r="1204">
      <c r="A1204" s="18" t="s">
        <v>40</v>
      </c>
      <c r="B1204" s="116" t="s">
        <v>467</v>
      </c>
      <c r="C1204" s="140">
        <v>2315.0</v>
      </c>
      <c r="D1204" s="57" t="str">
        <f>IF(   ISERROR(OFFSET(PADRON!B$2,MATCH(C:C,PADRON!A$2:A1405,0)-1,0,1,1) )  ,  ,    OFFSET(PADRON!B$2,MATCH(C:C,PADRON!A$2:A1405,0)-1,0,1,1))</f>
        <v>DAVAGNINO, LUCIANO</v>
      </c>
      <c r="E1204" s="58">
        <v>45870.0</v>
      </c>
      <c r="F1204" s="145"/>
      <c r="G1204" s="59" t="s">
        <v>39</v>
      </c>
      <c r="H1204" s="60">
        <f>IF( ISERROR( OFFSET(   'Cuadro tarifario'!D$2  , MATCH(CONCATENATE(                 IF(F1204&gt;Mes,OFFSET(NroCT!B$17, MATCH($F1204,NroCT!$A$18:$A1405,0),0,1,1),Periodovigente)                                                                                                                     ,A1204) ,'Cuadro tarifario'!A$2:A1405,0) -1 , 0 , 1 , 1) )   , 0  ,   OFFSET(   'Cuadro tarifario'!D$2  , MATCH(CONCATENATE( IF(F1204&gt;Mes,OFFSET(NroCT!B$17, MATCH($F1204,NroCT!$A$18:$A1405,0),0,1,1),Periodovigente) ,A1204) ,'Cuadro tarifario'!A$2:A1405,0) -1 , 0 , 1 , 1))</f>
        <v>12000</v>
      </c>
      <c r="I1204" s="61">
        <f t="shared" si="252"/>
        <v>0</v>
      </c>
      <c r="J1204" s="60">
        <f t="shared" si="306"/>
        <v>0</v>
      </c>
      <c r="K1204" s="62">
        <f>IF(  AND(N1204&gt;0,I1204=0)          ,N1204 ,                         IF(  IF( F1204 ,  DAYS360(DATE(YEAR(F1204),MONTH(F1204),1),Mes)/30  ,  DAYS360(DATE(YEAR(E1204),MONTH(E1204),1),Mes)/30  )  &gt;  0 , IF(F1204,   DAYS360(DATE(YEAR(F1204),MONTH(F1204),1),Mes)/30  ,  DAYS360(DATE(YEAR(E1204),MONTH(E1204),1),Mes)/30) , 0)       )</f>
        <v>0</v>
      </c>
      <c r="L1204" s="63">
        <f t="shared" si="253"/>
        <v>0</v>
      </c>
      <c r="M1204" s="162"/>
      <c r="N1204" s="97">
        <f>IF( ISERROR(OFFSET(SECUESTRADOS!D$1,MATCH(B1204,SECUESTRADOS!A$2:A1405,0),0)) ,0 ,  OFFSET(SECUESTRADOS!D$1,MATCH(B1204,SECUESTRADOS!A$2:A1405,0),0)  )</f>
        <v>0</v>
      </c>
      <c r="O1204" s="98"/>
      <c r="P1204" s="99" t="b">
        <f t="shared" si="238"/>
        <v>0</v>
      </c>
      <c r="Q1204" s="99" t="str">
        <f t="shared" si="304"/>
        <v>#REF!</v>
      </c>
      <c r="R1204" s="130"/>
      <c r="S1204" s="130"/>
      <c r="T1204" s="130"/>
    </row>
    <row r="1205">
      <c r="A1205" s="18" t="s">
        <v>42</v>
      </c>
      <c r="B1205" s="116" t="s">
        <v>468</v>
      </c>
      <c r="C1205" s="140">
        <v>2315.0</v>
      </c>
      <c r="D1205" s="57" t="str">
        <f>IF(   ISERROR(OFFSET(PADRON!B$2,MATCH(C:C,PADRON!A$2:A1405,0)-1,0,1,1) )  ,  ,    OFFSET(PADRON!B$2,MATCH(C:C,PADRON!A$2:A1405,0)-1,0,1,1))</f>
        <v>DAVAGNINO, LUCIANO</v>
      </c>
      <c r="E1205" s="58">
        <v>45992.0</v>
      </c>
      <c r="F1205" s="145"/>
      <c r="G1205" s="59" t="s">
        <v>39</v>
      </c>
      <c r="H1205" s="60">
        <f>IF( ISERROR( OFFSET(   'Cuadro tarifario'!D$2  , MATCH(CONCATENATE(                 IF(F1205&gt;Mes,OFFSET(NroCT!B$17, MATCH($F1205,NroCT!$A$18:$A1405,0),0,1,1),Periodovigente)                                                                                                                     ,A1205) ,'Cuadro tarifario'!A$2:A1405,0) -1 , 0 , 1 , 1) )   , 0  ,   OFFSET(   'Cuadro tarifario'!D$2  , MATCH(CONCATENATE( IF(F1205&gt;Mes,OFFSET(NroCT!B$17, MATCH($F1205,NroCT!$A$18:$A1405,0),0,1,1),Periodovigente) ,A1205) ,'Cuadro tarifario'!A$2:A1405,0) -1 , 0 , 1 , 1))</f>
        <v>4000</v>
      </c>
      <c r="I1205" s="61">
        <f t="shared" si="252"/>
        <v>0</v>
      </c>
      <c r="J1205" s="60">
        <f t="shared" si="306"/>
        <v>0</v>
      </c>
      <c r="K1205" s="62">
        <f>IF(  AND(N1205&gt;0,I1205=0)          ,N1205 ,                         IF(  IF( F1205 ,  DAYS360(DATE(YEAR(F1205),MONTH(F1205),1),Mes)/30  ,  DAYS360(DATE(YEAR(E1205),MONTH(E1205),1),Mes)/30  )  &gt;  0 , IF(F1205,   DAYS360(DATE(YEAR(F1205),MONTH(F1205),1),Mes)/30  ,  DAYS360(DATE(YEAR(E1205),MONTH(E1205),1),Mes)/30) , 0)       )</f>
        <v>0</v>
      </c>
      <c r="L1205" s="63">
        <f t="shared" si="253"/>
        <v>0</v>
      </c>
      <c r="M1205" s="162"/>
      <c r="N1205" s="97">
        <f>IF( ISERROR(OFFSET(SECUESTRADOS!D$1,MATCH(B1205,SECUESTRADOS!A$2:A1405,0),0)) ,0 ,  OFFSET(SECUESTRADOS!D$1,MATCH(B1205,SECUESTRADOS!A$2:A1405,0),0)  )</f>
        <v>0</v>
      </c>
      <c r="O1205" s="98"/>
      <c r="P1205" s="99" t="b">
        <f t="shared" si="238"/>
        <v>0</v>
      </c>
      <c r="Q1205" s="99" t="str">
        <f t="shared" si="304"/>
        <v>#REF!</v>
      </c>
      <c r="R1205" s="130"/>
      <c r="S1205" s="130"/>
      <c r="T1205" s="130"/>
    </row>
    <row r="1206">
      <c r="A1206" s="18" t="s">
        <v>71</v>
      </c>
      <c r="B1206" s="116">
        <v>2316.0</v>
      </c>
      <c r="C1206" s="140">
        <v>2316.0</v>
      </c>
      <c r="D1206" s="57" t="str">
        <f>IF(   ISERROR(OFFSET(PADRON!B$2,MATCH(C:C,PADRON!A$2:A1405,0)-1,0,1,1) )  ,  ,    OFFSET(PADRON!B$2,MATCH(C:C,PADRON!A$2:A1405,0)-1,0,1,1))</f>
        <v>DOLCE, PABLO</v>
      </c>
      <c r="E1206" s="58">
        <v>45809.0</v>
      </c>
      <c r="F1206" s="145">
        <v>45870.0</v>
      </c>
      <c r="G1206" s="59" t="s">
        <v>39</v>
      </c>
      <c r="H1206" s="60">
        <f>IF( ISERROR( OFFSET(   'Cuadro tarifario'!D$2  , MATCH(CONCATENATE(                 IF(F1206&gt;Mes,OFFSET(NroCT!B$17, MATCH($F1206,NroCT!$A$18:$A1405,0),0,1,1),Periodovigente)                                                                                                                     ,A1206) ,'Cuadro tarifario'!A$2:A1405,0) -1 , 0 , 1 , 1) )   , 0  ,   OFFSET(   'Cuadro tarifario'!D$2  , MATCH(CONCATENATE( IF(F1206&gt;Mes,OFFSET(NroCT!B$17, MATCH($F1206,NroCT!$A$18:$A1405,0),0,1,1),Periodovigente) ,A1206) ,'Cuadro tarifario'!A$2:A1405,0) -1 , 0 , 1 , 1))</f>
        <v>11000</v>
      </c>
      <c r="I1206" s="61">
        <f t="shared" si="252"/>
        <v>2</v>
      </c>
      <c r="J1206" s="60">
        <f t="shared" si="306"/>
        <v>22000</v>
      </c>
      <c r="K1206" s="62">
        <f>IF(  AND(N1206&gt;0,I1206=0)          ,N1206 ,                         IF(  IF( F1206 ,  DAYS360(DATE(YEAR(F1206),MONTH(F1206),1),Mes)/30  ,  DAYS360(DATE(YEAR(E1206),MONTH(E1206),1),Mes)/30  )  &gt;  0 , IF(F1206,   DAYS360(DATE(YEAR(F1206),MONTH(F1206),1),Mes)/30  ,  DAYS360(DATE(YEAR(E1206),MONTH(E1206),1),Mes)/30) , 0)       )</f>
        <v>0</v>
      </c>
      <c r="L1206" s="63">
        <f t="shared" si="253"/>
        <v>0</v>
      </c>
      <c r="M1206" s="162"/>
      <c r="N1206" s="97">
        <f>IF( ISERROR(OFFSET(SECUESTRADOS!D$1,MATCH(B1206,SECUESTRADOS!A$2:A1405,0),0)) ,0 ,  OFFSET(SECUESTRADOS!D$1,MATCH(B1206,SECUESTRADOS!A$2:A1405,0),0)  )</f>
        <v>0</v>
      </c>
      <c r="O1206" s="98"/>
      <c r="P1206" s="99" t="str">
        <f t="shared" si="238"/>
        <v>.socio</v>
      </c>
      <c r="Q1206" s="99" t="str">
        <f t="shared" si="304"/>
        <v>#REF!</v>
      </c>
      <c r="R1206" s="130"/>
      <c r="S1206" s="130"/>
      <c r="T1206" s="130"/>
    </row>
    <row r="1207">
      <c r="A1207" s="18" t="s">
        <v>38</v>
      </c>
      <c r="B1207" s="116">
        <v>2316.0</v>
      </c>
      <c r="C1207" s="140">
        <v>2316.0</v>
      </c>
      <c r="D1207" s="57" t="str">
        <f>IF(   ISERROR(OFFSET(PADRON!B$2,MATCH(C:C,PADRON!A$2:A1405,0)-1,0,1,1) )  ,  ,    OFFSET(PADRON!B$2,MATCH(C:C,PADRON!A$2:A1405,0)-1,0,1,1))</f>
        <v>DOLCE, PABLO</v>
      </c>
      <c r="E1207" s="58">
        <v>45809.0</v>
      </c>
      <c r="F1207" s="145">
        <v>45870.0</v>
      </c>
      <c r="G1207" s="59" t="s">
        <v>39</v>
      </c>
      <c r="H1207" s="60">
        <f>IF( ISERROR( OFFSET(   'Cuadro tarifario'!D$2  , MATCH(CONCATENATE(                 IF(F1207&gt;Mes,OFFSET(NroCT!B$17, MATCH($F1207,NroCT!$A$18:$A1405,0),0,1,1),Periodovigente)                                                                                                                     ,A1207) ,'Cuadro tarifario'!A$2:A1405,0) -1 , 0 , 1 , 1) )   , 0  ,   OFFSET(   'Cuadro tarifario'!D$2  , MATCH(CONCATENATE( IF(F1207&gt;Mes,OFFSET(NroCT!B$17, MATCH($F1207,NroCT!$A$18:$A1405,0),0,1,1),Periodovigente) ,A1207) ,'Cuadro tarifario'!A$2:A1405,0) -1 , 0 , 1 , 1))</f>
        <v>9000</v>
      </c>
      <c r="I1207" s="61">
        <f t="shared" si="252"/>
        <v>2</v>
      </c>
      <c r="J1207" s="60">
        <f t="shared" si="306"/>
        <v>18000</v>
      </c>
      <c r="K1207" s="62">
        <f>IF(  AND(N1207&gt;0,I1207=0)          ,N1207 ,                         IF(  IF( F1207 ,  DAYS360(DATE(YEAR(F1207),MONTH(F1207),1),Mes)/30  ,  DAYS360(DATE(YEAR(E1207),MONTH(E1207),1),Mes)/30  )  &gt;  0 , IF(F1207,   DAYS360(DATE(YEAR(F1207),MONTH(F1207),1),Mes)/30  ,  DAYS360(DATE(YEAR(E1207),MONTH(E1207),1),Mes)/30) , 0)       )</f>
        <v>0</v>
      </c>
      <c r="L1207" s="63">
        <f t="shared" si="253"/>
        <v>0</v>
      </c>
      <c r="M1207" s="162"/>
      <c r="N1207" s="97">
        <f>IF( ISERROR(OFFSET(SECUESTRADOS!D$1,MATCH(B1207,SECUESTRADOS!A$2:A1405,0),0)) ,0 ,  OFFSET(SECUESTRADOS!D$1,MATCH(B1207,SECUESTRADOS!A$2:A1405,0),0)  )</f>
        <v>0</v>
      </c>
      <c r="O1207" s="98"/>
      <c r="P1207" s="99" t="str">
        <f t="shared" si="238"/>
        <v>Bono canon</v>
      </c>
      <c r="Q1207" s="99" t="str">
        <f t="shared" si="304"/>
        <v>#REF!</v>
      </c>
      <c r="R1207" s="130"/>
      <c r="S1207" s="130"/>
      <c r="T1207" s="130"/>
    </row>
    <row r="1208">
      <c r="A1208" s="18" t="s">
        <v>40</v>
      </c>
      <c r="B1208" s="116" t="s">
        <v>469</v>
      </c>
      <c r="C1208" s="140">
        <v>2316.0</v>
      </c>
      <c r="D1208" s="57" t="str">
        <f>IF(   ISERROR(OFFSET(PADRON!B$2,MATCH(C:C,PADRON!A$2:A1405,0)-1,0,1,1) )  ,  ,    OFFSET(PADRON!B$2,MATCH(C:C,PADRON!A$2:A1405,0)-1,0,1,1))</f>
        <v>DOLCE, PABLO</v>
      </c>
      <c r="E1208" s="58">
        <v>45809.0</v>
      </c>
      <c r="F1208" s="145">
        <v>45870.0</v>
      </c>
      <c r="G1208" s="59" t="s">
        <v>39</v>
      </c>
      <c r="H1208" s="60">
        <f>IF( ISERROR( OFFSET(   'Cuadro tarifario'!D$2  , MATCH(CONCATENATE(                 IF(F1208&gt;Mes,OFFSET(NroCT!B$17, MATCH($F1208,NroCT!$A$18:$A1405,0),0,1,1),Periodovigente)                                                                                                                     ,A1208) ,'Cuadro tarifario'!A$2:A1405,0) -1 , 0 , 1 , 1) )   , 0  ,   OFFSET(   'Cuadro tarifario'!D$2  , MATCH(CONCATENATE( IF(F1208&gt;Mes,OFFSET(NroCT!B$17, MATCH($F1208,NroCT!$A$18:$A1405,0),0,1,1),Periodovigente) ,A1208) ,'Cuadro tarifario'!A$2:A1405,0) -1 , 0 , 1 , 1))</f>
        <v>12000</v>
      </c>
      <c r="I1208" s="61">
        <f t="shared" si="252"/>
        <v>2</v>
      </c>
      <c r="J1208" s="60">
        <f t="shared" si="306"/>
        <v>24000</v>
      </c>
      <c r="K1208" s="62">
        <f>IF(  AND(N1208&gt;0,I1208=0)          ,N1208 ,                         IF(  IF( F1208 ,  DAYS360(DATE(YEAR(F1208),MONTH(F1208),1),Mes)/30  ,  DAYS360(DATE(YEAR(E1208),MONTH(E1208),1),Mes)/30  )  &gt;  0 , IF(F1208,   DAYS360(DATE(YEAR(F1208),MONTH(F1208),1),Mes)/30  ,  DAYS360(DATE(YEAR(E1208),MONTH(E1208),1),Mes)/30) , 0)       )</f>
        <v>0</v>
      </c>
      <c r="L1208" s="63">
        <f t="shared" si="253"/>
        <v>0</v>
      </c>
      <c r="M1208" s="162"/>
      <c r="N1208" s="97">
        <f>IF( ISERROR(OFFSET(SECUESTRADOS!D$1,MATCH(B1208,SECUESTRADOS!A$2:A1405,0),0)) ,0 ,  OFFSET(SECUESTRADOS!D$1,MATCH(B1208,SECUESTRADOS!A$2:A1405,0),0)  )</f>
        <v>0</v>
      </c>
      <c r="O1208" s="98"/>
      <c r="P1208" s="99" t="str">
        <f t="shared" si="238"/>
        <v>cuna windsurf</v>
      </c>
      <c r="Q1208" s="99" t="str">
        <f t="shared" si="304"/>
        <v>#REF!</v>
      </c>
      <c r="R1208" s="130"/>
      <c r="S1208" s="130"/>
      <c r="T1208" s="130"/>
    </row>
    <row r="1209">
      <c r="A1209" s="18" t="s">
        <v>71</v>
      </c>
      <c r="B1209" s="116">
        <v>2317.0</v>
      </c>
      <c r="C1209" s="140">
        <v>2317.0</v>
      </c>
      <c r="D1209" s="57" t="str">
        <f>IF(   ISERROR(OFFSET(PADRON!B$2,MATCH(C:C,PADRON!A$2:A1405,0)-1,0,1,1) )  ,  ,    OFFSET(PADRON!B$2,MATCH(C:C,PADRON!A$2:A1405,0)-1,0,1,1))</f>
        <v>SANCHEZ, ARIEL</v>
      </c>
      <c r="E1209" s="58">
        <v>45839.0</v>
      </c>
      <c r="F1209" s="145">
        <v>45870.0</v>
      </c>
      <c r="G1209" s="59" t="s">
        <v>39</v>
      </c>
      <c r="H1209" s="60">
        <f>IF( ISERROR( OFFSET(   'Cuadro tarifario'!D$2  , MATCH(CONCATENATE(                 IF(F1209&gt;Mes,OFFSET(NroCT!B$17, MATCH($F1209,NroCT!$A$18:$A1405,0),0,1,1),Periodovigente)                                                                                                                     ,A1209) ,'Cuadro tarifario'!A$2:A1405,0) -1 , 0 , 1 , 1) )   , 0  ,   OFFSET(   'Cuadro tarifario'!D$2  , MATCH(CONCATENATE( IF(F1209&gt;Mes,OFFSET(NroCT!B$17, MATCH($F1209,NroCT!$A$18:$A1405,0),0,1,1),Periodovigente) ,A1209) ,'Cuadro tarifario'!A$2:A1405,0) -1 , 0 , 1 , 1))</f>
        <v>11000</v>
      </c>
      <c r="I1209" s="61">
        <f t="shared" si="252"/>
        <v>1</v>
      </c>
      <c r="J1209" s="60">
        <f t="shared" si="306"/>
        <v>11000</v>
      </c>
      <c r="K1209" s="62">
        <f>IF(  AND(N1209&gt;0,I1209=0)          ,N1209 ,                         IF(  IF( F1209 ,  DAYS360(DATE(YEAR(F1209),MONTH(F1209),1),Mes)/30  ,  DAYS360(DATE(YEAR(E1209),MONTH(E1209),1),Mes)/30  )  &gt;  0 , IF(F1209,   DAYS360(DATE(YEAR(F1209),MONTH(F1209),1),Mes)/30  ,  DAYS360(DATE(YEAR(E1209),MONTH(E1209),1),Mes)/30) , 0)       )</f>
        <v>0</v>
      </c>
      <c r="L1209" s="63">
        <f t="shared" si="253"/>
        <v>0</v>
      </c>
      <c r="M1209" s="162"/>
      <c r="N1209" s="97">
        <f>IF( ISERROR(OFFSET(SECUESTRADOS!D$1,MATCH(B1209,SECUESTRADOS!A$2:A1405,0),0)) ,0 ,  OFFSET(SECUESTRADOS!D$1,MATCH(B1209,SECUESTRADOS!A$2:A1405,0),0)  )</f>
        <v>0</v>
      </c>
      <c r="O1209" s="98"/>
      <c r="P1209" s="99" t="str">
        <f t="shared" si="238"/>
        <v>.socio</v>
      </c>
      <c r="Q1209" s="99" t="str">
        <f t="shared" si="304"/>
        <v>#REF!</v>
      </c>
      <c r="R1209" s="130"/>
      <c r="S1209" s="130"/>
      <c r="T1209" s="130"/>
    </row>
    <row r="1210">
      <c r="A1210" s="18" t="s">
        <v>38</v>
      </c>
      <c r="B1210" s="116">
        <v>2317.0</v>
      </c>
      <c r="C1210" s="140">
        <v>2317.0</v>
      </c>
      <c r="D1210" s="57" t="str">
        <f>IF(   ISERROR(OFFSET(PADRON!B$2,MATCH(C:C,PADRON!A$2:A1405,0)-1,0,1,1) )  ,  ,    OFFSET(PADRON!B$2,MATCH(C:C,PADRON!A$2:A1405,0)-1,0,1,1))</f>
        <v>SANCHEZ, ARIEL</v>
      </c>
      <c r="E1210" s="58">
        <v>45839.0</v>
      </c>
      <c r="F1210" s="145">
        <v>45870.0</v>
      </c>
      <c r="G1210" s="59" t="s">
        <v>39</v>
      </c>
      <c r="H1210" s="60">
        <f>IF( ISERROR( OFFSET(   'Cuadro tarifario'!D$2  , MATCH(CONCATENATE(                 IF(F1210&gt;Mes,OFFSET(NroCT!B$17, MATCH($F1210,NroCT!$A$18:$A1405,0),0,1,1),Periodovigente)                                                                                                                     ,A1210) ,'Cuadro tarifario'!A$2:A1405,0) -1 , 0 , 1 , 1) )   , 0  ,   OFFSET(   'Cuadro tarifario'!D$2  , MATCH(CONCATENATE( IF(F1210&gt;Mes,OFFSET(NroCT!B$17, MATCH($F1210,NroCT!$A$18:$A1405,0),0,1,1),Periodovigente) ,A1210) ,'Cuadro tarifario'!A$2:A1405,0) -1 , 0 , 1 , 1))</f>
        <v>9000</v>
      </c>
      <c r="I1210" s="61">
        <f t="shared" si="252"/>
        <v>1</v>
      </c>
      <c r="J1210" s="60">
        <f t="shared" si="306"/>
        <v>9000</v>
      </c>
      <c r="K1210" s="62">
        <f>IF(  AND(N1210&gt;0,I1210=0)          ,N1210 ,                         IF(  IF( F1210 ,  DAYS360(DATE(YEAR(F1210),MONTH(F1210),1),Mes)/30  ,  DAYS360(DATE(YEAR(E1210),MONTH(E1210),1),Mes)/30  )  &gt;  0 , IF(F1210,   DAYS360(DATE(YEAR(F1210),MONTH(F1210),1),Mes)/30  ,  DAYS360(DATE(YEAR(E1210),MONTH(E1210),1),Mes)/30) , 0)       )</f>
        <v>0</v>
      </c>
      <c r="L1210" s="63">
        <f t="shared" si="253"/>
        <v>0</v>
      </c>
      <c r="M1210" s="162"/>
      <c r="N1210" s="97">
        <f>IF( ISERROR(OFFSET(SECUESTRADOS!D$1,MATCH(B1210,SECUESTRADOS!A$2:A1405,0),0)) ,0 ,  OFFSET(SECUESTRADOS!D$1,MATCH(B1210,SECUESTRADOS!A$2:A1405,0),0)  )</f>
        <v>0</v>
      </c>
      <c r="O1210" s="98"/>
      <c r="P1210" s="99" t="str">
        <f t="shared" si="238"/>
        <v>Bono canon</v>
      </c>
      <c r="Q1210" s="99" t="str">
        <f t="shared" si="304"/>
        <v>#REF!</v>
      </c>
      <c r="R1210" s="130"/>
      <c r="S1210" s="130"/>
      <c r="T1210" s="130"/>
    </row>
    <row r="1211">
      <c r="A1211" s="18" t="s">
        <v>40</v>
      </c>
      <c r="B1211" s="116" t="s">
        <v>470</v>
      </c>
      <c r="C1211" s="140">
        <v>2317.0</v>
      </c>
      <c r="D1211" s="57" t="str">
        <f>IF(   ISERROR(OFFSET(PADRON!B$2,MATCH(C:C,PADRON!A$2:A1405,0)-1,0,1,1) )  ,  ,    OFFSET(PADRON!B$2,MATCH(C:C,PADRON!A$2:A1405,0)-1,0,1,1))</f>
        <v>SANCHEZ, ARIEL</v>
      </c>
      <c r="E1211" s="58">
        <v>45839.0</v>
      </c>
      <c r="F1211" s="145">
        <v>45870.0</v>
      </c>
      <c r="G1211" s="59" t="s">
        <v>39</v>
      </c>
      <c r="H1211" s="60">
        <f>IF( ISERROR( OFFSET(   'Cuadro tarifario'!D$2  , MATCH(CONCATENATE(                 IF(F1211&gt;Mes,OFFSET(NroCT!B$17, MATCH($F1211,NroCT!$A$18:$A1405,0),0,1,1),Periodovigente)                                                                                                                     ,A1211) ,'Cuadro tarifario'!A$2:A1405,0) -1 , 0 , 1 , 1) )   , 0  ,   OFFSET(   'Cuadro tarifario'!D$2  , MATCH(CONCATENATE( IF(F1211&gt;Mes,OFFSET(NroCT!B$17, MATCH($F1211,NroCT!$A$18:$A1405,0),0,1,1),Periodovigente) ,A1211) ,'Cuadro tarifario'!A$2:A1405,0) -1 , 0 , 1 , 1))</f>
        <v>12000</v>
      </c>
      <c r="I1211" s="61">
        <f t="shared" si="252"/>
        <v>1</v>
      </c>
      <c r="J1211" s="60">
        <f t="shared" si="306"/>
        <v>12000</v>
      </c>
      <c r="K1211" s="62">
        <f>IF(  AND(N1211&gt;0,I1211=0)          ,N1211 ,                         IF(  IF( F1211 ,  DAYS360(DATE(YEAR(F1211),MONTH(F1211),1),Mes)/30  ,  DAYS360(DATE(YEAR(E1211),MONTH(E1211),1),Mes)/30  )  &gt;  0 , IF(F1211,   DAYS360(DATE(YEAR(F1211),MONTH(F1211),1),Mes)/30  ,  DAYS360(DATE(YEAR(E1211),MONTH(E1211),1),Mes)/30) , 0)       )</f>
        <v>0</v>
      </c>
      <c r="L1211" s="63">
        <f t="shared" si="253"/>
        <v>0</v>
      </c>
      <c r="M1211" s="162"/>
      <c r="N1211" s="97">
        <f>IF( ISERROR(OFFSET(SECUESTRADOS!D$1,MATCH(B1211,SECUESTRADOS!A$2:A1405,0),0)) ,0 ,  OFFSET(SECUESTRADOS!D$1,MATCH(B1211,SECUESTRADOS!A$2:A1405,0),0)  )</f>
        <v>0</v>
      </c>
      <c r="O1211" s="98"/>
      <c r="P1211" s="99" t="str">
        <f t="shared" si="238"/>
        <v>cuna windsurf</v>
      </c>
      <c r="Q1211" s="99" t="str">
        <f t="shared" si="304"/>
        <v>#REF!</v>
      </c>
      <c r="R1211" s="130"/>
      <c r="S1211" s="130"/>
      <c r="T1211" s="130"/>
    </row>
    <row r="1212">
      <c r="A1212" s="18" t="s">
        <v>71</v>
      </c>
      <c r="B1212" s="116">
        <v>2318.0</v>
      </c>
      <c r="C1212" s="140">
        <v>2318.0</v>
      </c>
      <c r="D1212" s="57" t="str">
        <f>IF(   ISERROR(OFFSET(PADRON!B$2,MATCH(C:C,PADRON!A$2:A1405,0)-1,0,1,1) )  ,  ,    OFFSET(PADRON!B$2,MATCH(C:C,PADRON!A$2:A1405,0)-1,0,1,1))</f>
        <v>PAGNANELLI,GUSTAVO</v>
      </c>
      <c r="E1212" s="58">
        <v>45839.0</v>
      </c>
      <c r="F1212" s="145">
        <v>45870.0</v>
      </c>
      <c r="G1212" s="59" t="s">
        <v>56</v>
      </c>
      <c r="H1212" s="60">
        <f>IF( ISERROR( OFFSET(   'Cuadro tarifario'!D$2  , MATCH(CONCATENATE(                 IF(F1212&gt;Mes,OFFSET(NroCT!B$17, MATCH($F1212,NroCT!$A$18:$A1405,0),0,1,1),Periodovigente)                                                                                                                     ,A1212) ,'Cuadro tarifario'!A$2:A1405,0) -1 , 0 , 1 , 1) )   , 0  ,   OFFSET(   'Cuadro tarifario'!D$2  , MATCH(CONCATENATE( IF(F1212&gt;Mes,OFFSET(NroCT!B$17, MATCH($F1212,NroCT!$A$18:$A1405,0),0,1,1),Periodovigente) ,A1212) ,'Cuadro tarifario'!A$2:A1405,0) -1 , 0 , 1 , 1))</f>
        <v>11000</v>
      </c>
      <c r="I1212" s="61">
        <f t="shared" si="252"/>
        <v>1</v>
      </c>
      <c r="J1212" s="60">
        <f t="shared" si="306"/>
        <v>11000</v>
      </c>
      <c r="K1212" s="62">
        <f>IF(  AND(N1212&gt;0,I1212=0)          ,N1212 ,                         IF(  IF( F1212 ,  DAYS360(DATE(YEAR(F1212),MONTH(F1212),1),Mes)/30  ,  DAYS360(DATE(YEAR(E1212),MONTH(E1212),1),Mes)/30  )  &gt;  0 , IF(F1212,   DAYS360(DATE(YEAR(F1212),MONTH(F1212),1),Mes)/30  ,  DAYS360(DATE(YEAR(E1212),MONTH(E1212),1),Mes)/30) , 0)       )</f>
        <v>0</v>
      </c>
      <c r="L1212" s="63">
        <f t="shared" si="253"/>
        <v>0</v>
      </c>
      <c r="M1212" s="162"/>
      <c r="N1212" s="97">
        <f>IF( ISERROR(OFFSET(SECUESTRADOS!D$1,MATCH(B1212,SECUESTRADOS!A$2:A1405,0),0)) ,0 ,  OFFSET(SECUESTRADOS!D$1,MATCH(B1212,SECUESTRADOS!A$2:A1405,0),0)  )</f>
        <v>0</v>
      </c>
      <c r="O1212" s="98"/>
      <c r="P1212" s="99" t="str">
        <f t="shared" si="238"/>
        <v>.socio</v>
      </c>
      <c r="Q1212" s="99" t="str">
        <f t="shared" si="304"/>
        <v>#REF!</v>
      </c>
      <c r="R1212" s="130"/>
      <c r="S1212" s="130"/>
      <c r="T1212" s="130"/>
    </row>
    <row r="1213">
      <c r="A1213" s="18" t="s">
        <v>38</v>
      </c>
      <c r="B1213" s="116">
        <v>2318.0</v>
      </c>
      <c r="C1213" s="140">
        <v>2318.0</v>
      </c>
      <c r="D1213" s="57" t="str">
        <f>IF(   ISERROR(OFFSET(PADRON!B$2,MATCH(C:C,PADRON!A$2:A1405,0)-1,0,1,1) )  ,  ,    OFFSET(PADRON!B$2,MATCH(C:C,PADRON!A$2:A1405,0)-1,0,1,1))</f>
        <v>PAGNANELLI,GUSTAVO</v>
      </c>
      <c r="E1213" s="58">
        <v>45839.0</v>
      </c>
      <c r="F1213" s="145">
        <v>45870.0</v>
      </c>
      <c r="G1213" s="59" t="s">
        <v>56</v>
      </c>
      <c r="H1213" s="60">
        <f>IF( ISERROR( OFFSET(   'Cuadro tarifario'!D$2  , MATCH(CONCATENATE(                 IF(F1213&gt;Mes,OFFSET(NroCT!B$17, MATCH($F1213,NroCT!$A$18:$A1405,0),0,1,1),Periodovigente)                                                                                                                     ,A1213) ,'Cuadro tarifario'!A$2:A1405,0) -1 , 0 , 1 , 1) )   , 0  ,   OFFSET(   'Cuadro tarifario'!D$2  , MATCH(CONCATENATE( IF(F1213&gt;Mes,OFFSET(NroCT!B$17, MATCH($F1213,NroCT!$A$18:$A1405,0),0,1,1),Periodovigente) ,A1213) ,'Cuadro tarifario'!A$2:A1405,0) -1 , 0 , 1 , 1))</f>
        <v>9000</v>
      </c>
      <c r="I1213" s="61">
        <f t="shared" si="252"/>
        <v>1</v>
      </c>
      <c r="J1213" s="60">
        <f t="shared" si="306"/>
        <v>9000</v>
      </c>
      <c r="K1213" s="62">
        <f>IF(  AND(N1213&gt;0,I1213=0)          ,N1213 ,                         IF(  IF( F1213 ,  DAYS360(DATE(YEAR(F1213),MONTH(F1213),1),Mes)/30  ,  DAYS360(DATE(YEAR(E1213),MONTH(E1213),1),Mes)/30  )  &gt;  0 , IF(F1213,   DAYS360(DATE(YEAR(F1213),MONTH(F1213),1),Mes)/30  ,  DAYS360(DATE(YEAR(E1213),MONTH(E1213),1),Mes)/30) , 0)       )</f>
        <v>0</v>
      </c>
      <c r="L1213" s="63">
        <f t="shared" si="253"/>
        <v>0</v>
      </c>
      <c r="M1213" s="162"/>
      <c r="N1213" s="97">
        <f>IF( ISERROR(OFFSET(SECUESTRADOS!D$1,MATCH(B1213,SECUESTRADOS!A$2:A1405,0),0)) ,0 ,  OFFSET(SECUESTRADOS!D$1,MATCH(B1213,SECUESTRADOS!A$2:A1405,0),0)  )</f>
        <v>0</v>
      </c>
      <c r="O1213" s="98"/>
      <c r="P1213" s="99" t="str">
        <f t="shared" si="238"/>
        <v>Bono canon</v>
      </c>
      <c r="Q1213" s="99" t="str">
        <f t="shared" si="304"/>
        <v>#REF!</v>
      </c>
      <c r="R1213" s="130"/>
      <c r="S1213" s="130"/>
      <c r="T1213" s="130"/>
    </row>
    <row r="1214">
      <c r="A1214" s="18" t="s">
        <v>71</v>
      </c>
      <c r="B1214" s="116">
        <v>2319.0</v>
      </c>
      <c r="C1214" s="140">
        <v>2319.0</v>
      </c>
      <c r="D1214" s="57" t="str">
        <f>IF(   ISERROR(OFFSET(PADRON!B$2,MATCH(C:C,PADRON!A$2:A1405,0)-1,0,1,1) )  ,  ,    OFFSET(PADRON!B$2,MATCH(C:C,PADRON!A$2:A1405,0)-1,0,1,1))</f>
        <v>GALCERAN, VIRGINIA EDITH</v>
      </c>
      <c r="E1214" s="58">
        <v>45839.0</v>
      </c>
      <c r="F1214" s="145">
        <v>45870.0</v>
      </c>
      <c r="G1214" s="59" t="s">
        <v>39</v>
      </c>
      <c r="H1214" s="60">
        <f>IF( ISERROR( OFFSET(   'Cuadro tarifario'!D$2  , MATCH(CONCATENATE(                 IF(F1214&gt;Mes,OFFSET(NroCT!B$17, MATCH($F1214,NroCT!$A$18:$A1405,0),0,1,1),Periodovigente)                                                                                                                     ,A1214) ,'Cuadro tarifario'!A$2:A1405,0) -1 , 0 , 1 , 1) )   , 0  ,   OFFSET(   'Cuadro tarifario'!D$2  , MATCH(CONCATENATE( IF(F1214&gt;Mes,OFFSET(NroCT!B$17, MATCH($F1214,NroCT!$A$18:$A1405,0),0,1,1),Periodovigente) ,A1214) ,'Cuadro tarifario'!A$2:A1405,0) -1 , 0 , 1 , 1))</f>
        <v>11000</v>
      </c>
      <c r="I1214" s="61">
        <f t="shared" si="252"/>
        <v>1</v>
      </c>
      <c r="J1214" s="60">
        <f t="shared" si="306"/>
        <v>11000</v>
      </c>
      <c r="K1214" s="62">
        <f>IF(  AND(N1214&gt;0,I1214=0)          ,N1214 ,                         IF(  IF( F1214 ,  DAYS360(DATE(YEAR(F1214),MONTH(F1214),1),Mes)/30  ,  DAYS360(DATE(YEAR(E1214),MONTH(E1214),1),Mes)/30  )  &gt;  0 , IF(F1214,   DAYS360(DATE(YEAR(F1214),MONTH(F1214),1),Mes)/30  ,  DAYS360(DATE(YEAR(E1214),MONTH(E1214),1),Mes)/30) , 0)       )</f>
        <v>0</v>
      </c>
      <c r="L1214" s="63">
        <f t="shared" si="253"/>
        <v>0</v>
      </c>
      <c r="M1214" s="162"/>
      <c r="N1214" s="97">
        <f>IF( ISERROR(OFFSET(SECUESTRADOS!D$1,MATCH(B1214,SECUESTRADOS!A$2:A1405,0),0)) ,0 ,  OFFSET(SECUESTRADOS!D$1,MATCH(B1214,SECUESTRADOS!A$2:A1405,0),0)  )</f>
        <v>0</v>
      </c>
      <c r="O1214" s="98"/>
      <c r="P1214" s="99" t="str">
        <f t="shared" si="238"/>
        <v>.socio</v>
      </c>
      <c r="Q1214" s="99" t="str">
        <f t="shared" si="304"/>
        <v>#REF!</v>
      </c>
      <c r="R1214" s="130"/>
      <c r="S1214" s="130"/>
      <c r="T1214" s="130"/>
    </row>
    <row r="1215">
      <c r="A1215" s="18" t="s">
        <v>38</v>
      </c>
      <c r="B1215" s="116">
        <v>2319.0</v>
      </c>
      <c r="C1215" s="140">
        <v>2319.0</v>
      </c>
      <c r="D1215" s="57" t="str">
        <f>IF(   ISERROR(OFFSET(PADRON!B$2,MATCH(C:C,PADRON!A$2:A1405,0)-1,0,1,1) )  ,  ,    OFFSET(PADRON!B$2,MATCH(C:C,PADRON!A$2:A1405,0)-1,0,1,1))</f>
        <v>GALCERAN, VIRGINIA EDITH</v>
      </c>
      <c r="E1215" s="58">
        <v>45839.0</v>
      </c>
      <c r="F1215" s="145">
        <v>45870.0</v>
      </c>
      <c r="G1215" s="59" t="s">
        <v>39</v>
      </c>
      <c r="H1215" s="60">
        <f>IF( ISERROR( OFFSET(   'Cuadro tarifario'!D$2  , MATCH(CONCATENATE(                 IF(F1215&gt;Mes,OFFSET(NroCT!B$17, MATCH($F1215,NroCT!$A$18:$A1405,0),0,1,1),Periodovigente)                                                                                                                     ,A1215) ,'Cuadro tarifario'!A$2:A1405,0) -1 , 0 , 1 , 1) )   , 0  ,   OFFSET(   'Cuadro tarifario'!D$2  , MATCH(CONCATENATE( IF(F1215&gt;Mes,OFFSET(NroCT!B$17, MATCH($F1215,NroCT!$A$18:$A1405,0),0,1,1),Periodovigente) ,A1215) ,'Cuadro tarifario'!A$2:A1405,0) -1 , 0 , 1 , 1))</f>
        <v>9000</v>
      </c>
      <c r="I1215" s="61">
        <f t="shared" si="252"/>
        <v>1</v>
      </c>
      <c r="J1215" s="60">
        <f t="shared" si="306"/>
        <v>9000</v>
      </c>
      <c r="K1215" s="62">
        <f>IF(  AND(N1215&gt;0,I1215=0)          ,N1215 ,                         IF(  IF( F1215 ,  DAYS360(DATE(YEAR(F1215),MONTH(F1215),1),Mes)/30  ,  DAYS360(DATE(YEAR(E1215),MONTH(E1215),1),Mes)/30  )  &gt;  0 , IF(F1215,   DAYS360(DATE(YEAR(F1215),MONTH(F1215),1),Mes)/30  ,  DAYS360(DATE(YEAR(E1215),MONTH(E1215),1),Mes)/30) , 0)       )</f>
        <v>0</v>
      </c>
      <c r="L1215" s="63">
        <f t="shared" si="253"/>
        <v>0</v>
      </c>
      <c r="M1215" s="162"/>
      <c r="N1215" s="97">
        <f>IF( ISERROR(OFFSET(SECUESTRADOS!D$1,MATCH(B1215,SECUESTRADOS!A$2:A1405,0),0)) ,0 ,  OFFSET(SECUESTRADOS!D$1,MATCH(B1215,SECUESTRADOS!A$2:A1405,0),0)  )</f>
        <v>0</v>
      </c>
      <c r="O1215" s="98"/>
      <c r="P1215" s="99" t="str">
        <f t="shared" si="238"/>
        <v>Bono canon</v>
      </c>
      <c r="Q1215" s="99" t="str">
        <f t="shared" si="304"/>
        <v>#REF!</v>
      </c>
      <c r="R1215" s="130"/>
      <c r="S1215" s="130"/>
      <c r="T1215" s="130"/>
    </row>
    <row r="1216">
      <c r="A1216" s="18" t="s">
        <v>82</v>
      </c>
      <c r="B1216" s="116" t="s">
        <v>471</v>
      </c>
      <c r="C1216" s="140">
        <v>2319.0</v>
      </c>
      <c r="D1216" s="57" t="str">
        <f>IF(   ISERROR(OFFSET(PADRON!B$2,MATCH(C:C,PADRON!A$2:A1405,0)-1,0,1,1) )  ,  ,    OFFSET(PADRON!B$2,MATCH(C:C,PADRON!A$2:A1405,0)-1,0,1,1))</f>
        <v>GALCERAN, VIRGINIA EDITH</v>
      </c>
      <c r="E1216" s="58">
        <v>45839.0</v>
      </c>
      <c r="F1216" s="145">
        <v>45870.0</v>
      </c>
      <c r="G1216" s="59" t="s">
        <v>39</v>
      </c>
      <c r="H1216" s="60">
        <f>IF( ISERROR( OFFSET(   'Cuadro tarifario'!D$2  , MATCH(CONCATENATE(                 IF(F1216&gt;Mes,OFFSET(NroCT!B$17, MATCH($F1216,NroCT!$A$18:$A1405,0),0,1,1),Periodovigente)                                                                                                                     ,A1216) ,'Cuadro tarifario'!A$2:A1405,0) -1 , 0 , 1 , 1) )   , 0  ,   OFFSET(   'Cuadro tarifario'!D$2  , MATCH(CONCATENATE( IF(F1216&gt;Mes,OFFSET(NroCT!B$17, MATCH($F1216,NroCT!$A$18:$A1405,0),0,1,1),Periodovigente) ,A1216) ,'Cuadro tarifario'!A$2:A1405,0) -1 , 0 , 1 , 1))</f>
        <v>12000</v>
      </c>
      <c r="I1216" s="61">
        <f t="shared" si="252"/>
        <v>1</v>
      </c>
      <c r="J1216" s="60">
        <f t="shared" si="306"/>
        <v>12000</v>
      </c>
      <c r="K1216" s="62">
        <f>IF(  AND(N1216&gt;0,I1216=0)          ,N1216 ,                         IF(  IF( F1216 ,  DAYS360(DATE(YEAR(F1216),MONTH(F1216),1),Mes)/30  ,  DAYS360(DATE(YEAR(E1216),MONTH(E1216),1),Mes)/30  )  &gt;  0 , IF(F1216,   DAYS360(DATE(YEAR(F1216),MONTH(F1216),1),Mes)/30  ,  DAYS360(DATE(YEAR(E1216),MONTH(E1216),1),Mes)/30) , 0)       )</f>
        <v>0</v>
      </c>
      <c r="L1216" s="63">
        <f t="shared" si="253"/>
        <v>0</v>
      </c>
      <c r="M1216" s="162"/>
      <c r="N1216" s="97">
        <f>IF( ISERROR(OFFSET(SECUESTRADOS!D$1,MATCH(B1216,SECUESTRADOS!A$2:A1405,0),0)) ,0 ,  OFFSET(SECUESTRADOS!D$1,MATCH(B1216,SECUESTRADOS!A$2:A1405,0),0)  )</f>
        <v>0</v>
      </c>
      <c r="O1216" s="98"/>
      <c r="P1216" s="99" t="str">
        <f t="shared" si="238"/>
        <v>cuna kayak</v>
      </c>
      <c r="Q1216" s="99" t="str">
        <f t="shared" si="304"/>
        <v>#REF!</v>
      </c>
      <c r="R1216" s="130"/>
      <c r="S1216" s="130"/>
      <c r="T1216" s="130"/>
    </row>
    <row r="1217">
      <c r="A1217" s="18" t="s">
        <v>71</v>
      </c>
      <c r="B1217" s="116">
        <v>2320.0</v>
      </c>
      <c r="C1217" s="140">
        <v>2320.0</v>
      </c>
      <c r="D1217" s="57" t="str">
        <f>IF(   ISERROR(OFFSET(PADRON!B$2,MATCH(C:C,PADRON!A$2:A1405,0)-1,0,1,1) )  ,  ,    OFFSET(PADRON!B$2,MATCH(C:C,PADRON!A$2:A1405,0)-1,0,1,1))</f>
        <v>PEREA, MARIANO</v>
      </c>
      <c r="E1217" s="58">
        <v>45839.0</v>
      </c>
      <c r="F1217" s="145">
        <v>45870.0</v>
      </c>
      <c r="G1217" s="59" t="s">
        <v>39</v>
      </c>
      <c r="H1217" s="60">
        <f>IF( ISERROR( OFFSET(   'Cuadro tarifario'!D$2  , MATCH(CONCATENATE(                 IF(F1217&gt;Mes,OFFSET(NroCT!B$17, MATCH($F1217,NroCT!$A$18:$A1405,0),0,1,1),Periodovigente)                                                                                                                     ,A1217) ,'Cuadro tarifario'!A$2:A1405,0) -1 , 0 , 1 , 1) )   , 0  ,   OFFSET(   'Cuadro tarifario'!D$2  , MATCH(CONCATENATE( IF(F1217&gt;Mes,OFFSET(NroCT!B$17, MATCH($F1217,NroCT!$A$18:$A1405,0),0,1,1),Periodovigente) ,A1217) ,'Cuadro tarifario'!A$2:A1405,0) -1 , 0 , 1 , 1))</f>
        <v>11000</v>
      </c>
      <c r="I1217" s="61">
        <f t="shared" si="252"/>
        <v>1</v>
      </c>
      <c r="J1217" s="60">
        <f t="shared" si="306"/>
        <v>11000</v>
      </c>
      <c r="K1217" s="62">
        <f>IF(  AND(N1217&gt;0,I1217=0)          ,N1217 ,                         IF(  IF( F1217 ,  DAYS360(DATE(YEAR(F1217),MONTH(F1217),1),Mes)/30  ,  DAYS360(DATE(YEAR(E1217),MONTH(E1217),1),Mes)/30  )  &gt;  0 , IF(F1217,   DAYS360(DATE(YEAR(F1217),MONTH(F1217),1),Mes)/30  ,  DAYS360(DATE(YEAR(E1217),MONTH(E1217),1),Mes)/30) , 0)       )</f>
        <v>0</v>
      </c>
      <c r="L1217" s="63">
        <f t="shared" si="253"/>
        <v>0</v>
      </c>
      <c r="M1217" s="162"/>
      <c r="N1217" s="97">
        <f>IF( ISERROR(OFFSET(SECUESTRADOS!D$1,MATCH(B1217,SECUESTRADOS!A$2:A1405,0),0)) ,0 ,  OFFSET(SECUESTRADOS!D$1,MATCH(B1217,SECUESTRADOS!A$2:A1405,0),0)  )</f>
        <v>0</v>
      </c>
      <c r="O1217" s="98"/>
      <c r="P1217" s="99" t="str">
        <f t="shared" si="238"/>
        <v>.socio</v>
      </c>
      <c r="Q1217" s="99" t="str">
        <f t="shared" si="304"/>
        <v>#REF!</v>
      </c>
      <c r="R1217" s="130"/>
      <c r="S1217" s="130"/>
      <c r="T1217" s="130"/>
    </row>
    <row r="1218">
      <c r="A1218" s="18" t="s">
        <v>38</v>
      </c>
      <c r="B1218" s="116">
        <v>2320.0</v>
      </c>
      <c r="C1218" s="140">
        <v>2320.0</v>
      </c>
      <c r="D1218" s="57" t="str">
        <f>IF(   ISERROR(OFFSET(PADRON!B$2,MATCH(C:C,PADRON!A$2:A1405,0)-1,0,1,1) )  ,  ,    OFFSET(PADRON!B$2,MATCH(C:C,PADRON!A$2:A1405,0)-1,0,1,1))</f>
        <v>PEREA, MARIANO</v>
      </c>
      <c r="E1218" s="58">
        <v>45839.0</v>
      </c>
      <c r="F1218" s="145">
        <v>45870.0</v>
      </c>
      <c r="G1218" s="59" t="s">
        <v>39</v>
      </c>
      <c r="H1218" s="60">
        <f>IF( ISERROR( OFFSET(   'Cuadro tarifario'!D$2  , MATCH(CONCATENATE(                 IF(F1218&gt;Mes,OFFSET(NroCT!B$17, MATCH($F1218,NroCT!$A$18:$A1405,0),0,1,1),Periodovigente)                                                                                                                     ,A1218) ,'Cuadro tarifario'!A$2:A1405,0) -1 , 0 , 1 , 1) )   , 0  ,   OFFSET(   'Cuadro tarifario'!D$2  , MATCH(CONCATENATE( IF(F1218&gt;Mes,OFFSET(NroCT!B$17, MATCH($F1218,NroCT!$A$18:$A1405,0),0,1,1),Periodovigente) ,A1218) ,'Cuadro tarifario'!A$2:A1405,0) -1 , 0 , 1 , 1))</f>
        <v>9000</v>
      </c>
      <c r="I1218" s="61">
        <f t="shared" si="252"/>
        <v>1</v>
      </c>
      <c r="J1218" s="60">
        <f t="shared" si="306"/>
        <v>9000</v>
      </c>
      <c r="K1218" s="62">
        <f>IF(  AND(N1218&gt;0,I1218=0)          ,N1218 ,                         IF(  IF( F1218 ,  DAYS360(DATE(YEAR(F1218),MONTH(F1218),1),Mes)/30  ,  DAYS360(DATE(YEAR(E1218),MONTH(E1218),1),Mes)/30  )  &gt;  0 , IF(F1218,   DAYS360(DATE(YEAR(F1218),MONTH(F1218),1),Mes)/30  ,  DAYS360(DATE(YEAR(E1218),MONTH(E1218),1),Mes)/30) , 0)       )</f>
        <v>0</v>
      </c>
      <c r="L1218" s="63">
        <f t="shared" si="253"/>
        <v>0</v>
      </c>
      <c r="M1218" s="162"/>
      <c r="N1218" s="97">
        <f>IF( ISERROR(OFFSET(SECUESTRADOS!D$1,MATCH(B1218,SECUESTRADOS!A$2:A1405,0),0)) ,0 ,  OFFSET(SECUESTRADOS!D$1,MATCH(B1218,SECUESTRADOS!A$2:A1405,0),0)  )</f>
        <v>0</v>
      </c>
      <c r="O1218" s="98"/>
      <c r="P1218" s="99" t="str">
        <f t="shared" si="238"/>
        <v>Bono canon</v>
      </c>
      <c r="Q1218" s="99" t="str">
        <f t="shared" si="304"/>
        <v>#REF!</v>
      </c>
      <c r="R1218" s="130"/>
      <c r="S1218" s="130"/>
      <c r="T1218" s="130"/>
    </row>
    <row r="1219">
      <c r="A1219" s="18" t="s">
        <v>82</v>
      </c>
      <c r="B1219" s="116" t="s">
        <v>472</v>
      </c>
      <c r="C1219" s="140">
        <v>2320.0</v>
      </c>
      <c r="D1219" s="57" t="str">
        <f>IF(   ISERROR(OFFSET(PADRON!B$2,MATCH(C:C,PADRON!A$2:A1405,0)-1,0,1,1) )  ,  ,    OFFSET(PADRON!B$2,MATCH(C:C,PADRON!A$2:A1405,0)-1,0,1,1))</f>
        <v>PEREA, MARIANO</v>
      </c>
      <c r="E1219" s="58">
        <v>45839.0</v>
      </c>
      <c r="F1219" s="145">
        <v>45870.0</v>
      </c>
      <c r="G1219" s="59" t="s">
        <v>39</v>
      </c>
      <c r="H1219" s="60">
        <f>IF( ISERROR( OFFSET(   'Cuadro tarifario'!D$2  , MATCH(CONCATENATE(                 IF(F1219&gt;Mes,OFFSET(NroCT!B$17, MATCH($F1219,NroCT!$A$18:$A1405,0),0,1,1),Periodovigente)                                                                                                                     ,A1219) ,'Cuadro tarifario'!A$2:A1405,0) -1 , 0 , 1 , 1) )   , 0  ,   OFFSET(   'Cuadro tarifario'!D$2  , MATCH(CONCATENATE( IF(F1219&gt;Mes,OFFSET(NroCT!B$17, MATCH($F1219,NroCT!$A$18:$A1405,0),0,1,1),Periodovigente) ,A1219) ,'Cuadro tarifario'!A$2:A1405,0) -1 , 0 , 1 , 1))</f>
        <v>12000</v>
      </c>
      <c r="I1219" s="61">
        <f t="shared" si="252"/>
        <v>1</v>
      </c>
      <c r="J1219" s="60">
        <f t="shared" si="306"/>
        <v>12000</v>
      </c>
      <c r="K1219" s="62">
        <f>IF(  AND(N1219&gt;0,I1219=0)          ,N1219 ,                         IF(  IF( F1219 ,  DAYS360(DATE(YEAR(F1219),MONTH(F1219),1),Mes)/30  ,  DAYS360(DATE(YEAR(E1219),MONTH(E1219),1),Mes)/30  )  &gt;  0 , IF(F1219,   DAYS360(DATE(YEAR(F1219),MONTH(F1219),1),Mes)/30  ,  DAYS360(DATE(YEAR(E1219),MONTH(E1219),1),Mes)/30) , 0)       )</f>
        <v>0</v>
      </c>
      <c r="L1219" s="63">
        <f t="shared" si="253"/>
        <v>0</v>
      </c>
      <c r="M1219" s="162"/>
      <c r="N1219" s="97">
        <f>IF( ISERROR(OFFSET(SECUESTRADOS!D$1,MATCH(B1219,SECUESTRADOS!A$2:A1405,0),0)) ,0 ,  OFFSET(SECUESTRADOS!D$1,MATCH(B1219,SECUESTRADOS!A$2:A1405,0),0)  )</f>
        <v>0</v>
      </c>
      <c r="O1219" s="98"/>
      <c r="P1219" s="99" t="str">
        <f t="shared" si="238"/>
        <v>cuna kayak</v>
      </c>
      <c r="Q1219" s="99" t="str">
        <f t="shared" si="304"/>
        <v>#REF!</v>
      </c>
      <c r="R1219" s="130"/>
      <c r="S1219" s="130"/>
      <c r="T1219" s="130"/>
    </row>
    <row r="1220">
      <c r="A1220" s="18" t="s">
        <v>71</v>
      </c>
      <c r="B1220" s="116">
        <v>2321.0</v>
      </c>
      <c r="C1220" s="140">
        <v>2321.0</v>
      </c>
      <c r="D1220" s="57" t="str">
        <f>IF(   ISERROR(OFFSET(PADRON!B$2,MATCH(C:C,PADRON!A$2:A1405,0)-1,0,1,1) )  ,  ,    OFFSET(PADRON!B$2,MATCH(C:C,PADRON!A$2:A1405,0)-1,0,1,1))</f>
        <v>NICOLOFF CHACANOFF, SEBASTIAN</v>
      </c>
      <c r="E1220" s="58">
        <v>45809.0</v>
      </c>
      <c r="F1220" s="145">
        <v>45870.0</v>
      </c>
      <c r="G1220" s="59" t="s">
        <v>39</v>
      </c>
      <c r="H1220" s="60">
        <f>IF( ISERROR( OFFSET(   'Cuadro tarifario'!D$2  , MATCH(CONCATENATE(                 IF(F1220&gt;Mes,OFFSET(NroCT!B$17, MATCH($F1220,NroCT!$A$18:$A1405,0),0,1,1),Periodovigente)                                                                                                                     ,A1220) ,'Cuadro tarifario'!A$2:A1405,0) -1 , 0 , 1 , 1) )   , 0  ,   OFFSET(   'Cuadro tarifario'!D$2  , MATCH(CONCATENATE( IF(F1220&gt;Mes,OFFSET(NroCT!B$17, MATCH($F1220,NroCT!$A$18:$A1405,0),0,1,1),Periodovigente) ,A1220) ,'Cuadro tarifario'!A$2:A1405,0) -1 , 0 , 1 , 1))</f>
        <v>11000</v>
      </c>
      <c r="I1220" s="61">
        <f t="shared" si="252"/>
        <v>2</v>
      </c>
      <c r="J1220" s="60">
        <f t="shared" si="306"/>
        <v>22000</v>
      </c>
      <c r="K1220" s="62">
        <f>IF(  AND(N1220&gt;0,I1220=0)          ,N1220 ,                         IF(  IF( F1220 ,  DAYS360(DATE(YEAR(F1220),MONTH(F1220),1),Mes)/30  ,  DAYS360(DATE(YEAR(E1220),MONTH(E1220),1),Mes)/30  )  &gt;  0 , IF(F1220,   DAYS360(DATE(YEAR(F1220),MONTH(F1220),1),Mes)/30  ,  DAYS360(DATE(YEAR(E1220),MONTH(E1220),1),Mes)/30) , 0)       )</f>
        <v>0</v>
      </c>
      <c r="L1220" s="63">
        <f t="shared" si="253"/>
        <v>0</v>
      </c>
      <c r="M1220" s="162"/>
      <c r="N1220" s="97">
        <f>IF( ISERROR(OFFSET(SECUESTRADOS!D$1,MATCH(B1220,SECUESTRADOS!A$2:A1405,0),0)) ,0 ,  OFFSET(SECUESTRADOS!D$1,MATCH(B1220,SECUESTRADOS!A$2:A1405,0),0)  )</f>
        <v>0</v>
      </c>
      <c r="O1220" s="98"/>
      <c r="P1220" s="99" t="str">
        <f t="shared" si="238"/>
        <v>.socio</v>
      </c>
      <c r="Q1220" s="99" t="str">
        <f t="shared" si="304"/>
        <v>#REF!</v>
      </c>
      <c r="R1220" s="130"/>
      <c r="S1220" s="130"/>
      <c r="T1220" s="130"/>
    </row>
    <row r="1221">
      <c r="A1221" s="18" t="s">
        <v>38</v>
      </c>
      <c r="B1221" s="116">
        <v>2321.0</v>
      </c>
      <c r="C1221" s="140">
        <v>2321.0</v>
      </c>
      <c r="D1221" s="57" t="str">
        <f>IF(   ISERROR(OFFSET(PADRON!B$2,MATCH(C:C,PADRON!A$2:A1405,0)-1,0,1,1) )  ,  ,    OFFSET(PADRON!B$2,MATCH(C:C,PADRON!A$2:A1405,0)-1,0,1,1))</f>
        <v>NICOLOFF CHACANOFF, SEBASTIAN</v>
      </c>
      <c r="E1221" s="58">
        <v>45809.0</v>
      </c>
      <c r="F1221" s="145">
        <v>45870.0</v>
      </c>
      <c r="G1221" s="59" t="s">
        <v>39</v>
      </c>
      <c r="H1221" s="60">
        <f>IF( ISERROR( OFFSET(   'Cuadro tarifario'!D$2  , MATCH(CONCATENATE(                 IF(F1221&gt;Mes,OFFSET(NroCT!B$17, MATCH($F1221,NroCT!$A$18:$A1405,0),0,1,1),Periodovigente)                                                                                                                     ,A1221) ,'Cuadro tarifario'!A$2:A1405,0) -1 , 0 , 1 , 1) )   , 0  ,   OFFSET(   'Cuadro tarifario'!D$2  , MATCH(CONCATENATE( IF(F1221&gt;Mes,OFFSET(NroCT!B$17, MATCH($F1221,NroCT!$A$18:$A1405,0),0,1,1),Periodovigente) ,A1221) ,'Cuadro tarifario'!A$2:A1405,0) -1 , 0 , 1 , 1))</f>
        <v>9000</v>
      </c>
      <c r="I1221" s="61">
        <f t="shared" si="252"/>
        <v>2</v>
      </c>
      <c r="J1221" s="60">
        <f t="shared" si="306"/>
        <v>18000</v>
      </c>
      <c r="K1221" s="62">
        <f>IF(  AND(N1221&gt;0,I1221=0)          ,N1221 ,                         IF(  IF( F1221 ,  DAYS360(DATE(YEAR(F1221),MONTH(F1221),1),Mes)/30  ,  DAYS360(DATE(YEAR(E1221),MONTH(E1221),1),Mes)/30  )  &gt;  0 , IF(F1221,   DAYS360(DATE(YEAR(F1221),MONTH(F1221),1),Mes)/30  ,  DAYS360(DATE(YEAR(E1221),MONTH(E1221),1),Mes)/30) , 0)       )</f>
        <v>0</v>
      </c>
      <c r="L1221" s="63">
        <f t="shared" si="253"/>
        <v>0</v>
      </c>
      <c r="M1221" s="162"/>
      <c r="N1221" s="97">
        <f>IF( ISERROR(OFFSET(SECUESTRADOS!D$1,MATCH(B1221,SECUESTRADOS!A$2:A1405,0),0)) ,0 ,  OFFSET(SECUESTRADOS!D$1,MATCH(B1221,SECUESTRADOS!A$2:A1405,0),0)  )</f>
        <v>0</v>
      </c>
      <c r="O1221" s="98"/>
      <c r="P1221" s="99" t="str">
        <f t="shared" si="238"/>
        <v>Bono canon</v>
      </c>
      <c r="Q1221" s="99" t="str">
        <f t="shared" si="304"/>
        <v>#REF!</v>
      </c>
      <c r="R1221" s="130"/>
      <c r="S1221" s="130"/>
      <c r="T1221" s="130"/>
    </row>
    <row r="1222">
      <c r="A1222" s="18" t="s">
        <v>40</v>
      </c>
      <c r="B1222" s="116" t="s">
        <v>473</v>
      </c>
      <c r="C1222" s="140">
        <v>2321.0</v>
      </c>
      <c r="D1222" s="57" t="str">
        <f>IF(   ISERROR(OFFSET(PADRON!B$2,MATCH(C:C,PADRON!A$2:A1405,0)-1,0,1,1) )  ,  ,    OFFSET(PADRON!B$2,MATCH(C:C,PADRON!A$2:A1405,0)-1,0,1,1))</f>
        <v>NICOLOFF CHACANOFF, SEBASTIAN</v>
      </c>
      <c r="E1222" s="58">
        <v>45809.0</v>
      </c>
      <c r="F1222" s="145">
        <v>45870.0</v>
      </c>
      <c r="G1222" s="59" t="s">
        <v>39</v>
      </c>
      <c r="H1222" s="60">
        <f>IF( ISERROR( OFFSET(   'Cuadro tarifario'!D$2  , MATCH(CONCATENATE(                 IF(F1222&gt;Mes,OFFSET(NroCT!B$17, MATCH($F1222,NroCT!$A$18:$A1405,0),0,1,1),Periodovigente)                                                                                                                     ,A1222) ,'Cuadro tarifario'!A$2:A1405,0) -1 , 0 , 1 , 1) )   , 0  ,   OFFSET(   'Cuadro tarifario'!D$2  , MATCH(CONCATENATE( IF(F1222&gt;Mes,OFFSET(NroCT!B$17, MATCH($F1222,NroCT!$A$18:$A1405,0),0,1,1),Periodovigente) ,A1222) ,'Cuadro tarifario'!A$2:A1405,0) -1 , 0 , 1 , 1))</f>
        <v>12000</v>
      </c>
      <c r="I1222" s="61">
        <f t="shared" si="252"/>
        <v>2</v>
      </c>
      <c r="J1222" s="60">
        <f t="shared" si="306"/>
        <v>24000</v>
      </c>
      <c r="K1222" s="62">
        <f>IF(  AND(N1222&gt;0,I1222=0)          ,N1222 ,                         IF(  IF( F1222 ,  DAYS360(DATE(YEAR(F1222),MONTH(F1222),1),Mes)/30  ,  DAYS360(DATE(YEAR(E1222),MONTH(E1222),1),Mes)/30  )  &gt;  0 , IF(F1222,   DAYS360(DATE(YEAR(F1222),MONTH(F1222),1),Mes)/30  ,  DAYS360(DATE(YEAR(E1222),MONTH(E1222),1),Mes)/30) , 0)       )</f>
        <v>0</v>
      </c>
      <c r="L1222" s="63">
        <f t="shared" si="253"/>
        <v>0</v>
      </c>
      <c r="M1222" s="162"/>
      <c r="N1222" s="97">
        <f>IF( ISERROR(OFFSET(SECUESTRADOS!D$1,MATCH(B1222,SECUESTRADOS!A$2:A1405,0),0)) ,0 ,  OFFSET(SECUESTRADOS!D$1,MATCH(B1222,SECUESTRADOS!A$2:A1405,0),0)  )</f>
        <v>0</v>
      </c>
      <c r="O1222" s="98"/>
      <c r="P1222" s="99" t="str">
        <f t="shared" si="238"/>
        <v>cuna windsurf</v>
      </c>
      <c r="Q1222" s="99" t="str">
        <f t="shared" si="304"/>
        <v>#REF!</v>
      </c>
      <c r="R1222" s="130"/>
      <c r="S1222" s="130"/>
      <c r="T1222" s="130"/>
    </row>
    <row r="1223">
      <c r="A1223" s="18" t="s">
        <v>71</v>
      </c>
      <c r="B1223" s="116">
        <v>2322.0</v>
      </c>
      <c r="C1223" s="140">
        <v>2322.0</v>
      </c>
      <c r="D1223" s="57" t="str">
        <f>IF(   ISERROR(OFFSET(PADRON!B$2,MATCH(C:C,PADRON!A$2:A1405,0)-1,0,1,1) )  ,  ,    OFFSET(PADRON!B$2,MATCH(C:C,PADRON!A$2:A1405,0)-1,0,1,1))</f>
        <v>GUICHON, JULIA</v>
      </c>
      <c r="E1223" s="58">
        <v>45839.0</v>
      </c>
      <c r="F1223" s="145">
        <v>45870.0</v>
      </c>
      <c r="G1223" s="59" t="s">
        <v>39</v>
      </c>
      <c r="H1223" s="60">
        <f>IF( ISERROR( OFFSET(   'Cuadro tarifario'!D$2  , MATCH(CONCATENATE(                 IF(F1223&gt;Mes,OFFSET(NroCT!B$17, MATCH($F1223,NroCT!$A$18:$A1405,0),0,1,1),Periodovigente)                                                                                                                     ,A1223) ,'Cuadro tarifario'!A$2:A1405,0) -1 , 0 , 1 , 1) )   , 0  ,   OFFSET(   'Cuadro tarifario'!D$2  , MATCH(CONCATENATE( IF(F1223&gt;Mes,OFFSET(NroCT!B$17, MATCH($F1223,NroCT!$A$18:$A1405,0),0,1,1),Periodovigente) ,A1223) ,'Cuadro tarifario'!A$2:A1405,0) -1 , 0 , 1 , 1))</f>
        <v>11000</v>
      </c>
      <c r="I1223" s="61">
        <f t="shared" si="252"/>
        <v>1</v>
      </c>
      <c r="J1223" s="60">
        <f t="shared" si="306"/>
        <v>11000</v>
      </c>
      <c r="K1223" s="62">
        <f>IF(  AND(N1223&gt;0,I1223=0)          ,N1223 ,                         IF(  IF( F1223 ,  DAYS360(DATE(YEAR(F1223),MONTH(F1223),1),Mes)/30  ,  DAYS360(DATE(YEAR(E1223),MONTH(E1223),1),Mes)/30  )  &gt;  0 , IF(F1223,   DAYS360(DATE(YEAR(F1223),MONTH(F1223),1),Mes)/30  ,  DAYS360(DATE(YEAR(E1223),MONTH(E1223),1),Mes)/30) , 0)       )</f>
        <v>0</v>
      </c>
      <c r="L1223" s="63">
        <f t="shared" si="253"/>
        <v>0</v>
      </c>
      <c r="M1223" s="162"/>
      <c r="N1223" s="97">
        <f>IF( ISERROR(OFFSET(SECUESTRADOS!D$1,MATCH(B1223,SECUESTRADOS!A$2:A1405,0),0)) ,0 ,  OFFSET(SECUESTRADOS!D$1,MATCH(B1223,SECUESTRADOS!A$2:A1405,0),0)  )</f>
        <v>0</v>
      </c>
      <c r="O1223" s="98"/>
      <c r="P1223" s="99" t="str">
        <f t="shared" si="238"/>
        <v>.socio</v>
      </c>
      <c r="Q1223" s="99" t="str">
        <f t="shared" si="304"/>
        <v>#REF!</v>
      </c>
      <c r="R1223" s="130"/>
      <c r="S1223" s="130"/>
      <c r="T1223" s="130"/>
    </row>
    <row r="1224">
      <c r="A1224" s="18" t="s">
        <v>38</v>
      </c>
      <c r="B1224" s="116">
        <v>2322.0</v>
      </c>
      <c r="C1224" s="140">
        <v>2322.0</v>
      </c>
      <c r="D1224" s="57" t="str">
        <f>IF(   ISERROR(OFFSET(PADRON!B$2,MATCH(C:C,PADRON!A$2:A1405,0)-1,0,1,1) )  ,  ,    OFFSET(PADRON!B$2,MATCH(C:C,PADRON!A$2:A1405,0)-1,0,1,1))</f>
        <v>GUICHON, JULIA</v>
      </c>
      <c r="E1224" s="58">
        <v>45839.0</v>
      </c>
      <c r="F1224" s="145">
        <v>45870.0</v>
      </c>
      <c r="G1224" s="59" t="s">
        <v>39</v>
      </c>
      <c r="H1224" s="60">
        <f>IF( ISERROR( OFFSET(   'Cuadro tarifario'!D$2  , MATCH(CONCATENATE(                 IF(F1224&gt;Mes,OFFSET(NroCT!B$17, MATCH($F1224,NroCT!$A$18:$A1405,0),0,1,1),Periodovigente)                                                                                                                     ,A1224) ,'Cuadro tarifario'!A$2:A1405,0) -1 , 0 , 1 , 1) )   , 0  ,   OFFSET(   'Cuadro tarifario'!D$2  , MATCH(CONCATENATE( IF(F1224&gt;Mes,OFFSET(NroCT!B$17, MATCH($F1224,NroCT!$A$18:$A1405,0),0,1,1),Periodovigente) ,A1224) ,'Cuadro tarifario'!A$2:A1405,0) -1 , 0 , 1 , 1))</f>
        <v>9000</v>
      </c>
      <c r="I1224" s="61">
        <f t="shared" si="252"/>
        <v>1</v>
      </c>
      <c r="J1224" s="60">
        <f t="shared" si="306"/>
        <v>9000</v>
      </c>
      <c r="K1224" s="62">
        <f>IF(  AND(N1224&gt;0,I1224=0)          ,N1224 ,                         IF(  IF( F1224 ,  DAYS360(DATE(YEAR(F1224),MONTH(F1224),1),Mes)/30  ,  DAYS360(DATE(YEAR(E1224),MONTH(E1224),1),Mes)/30  )  &gt;  0 , IF(F1224,   DAYS360(DATE(YEAR(F1224),MONTH(F1224),1),Mes)/30  ,  DAYS360(DATE(YEAR(E1224),MONTH(E1224),1),Mes)/30) , 0)       )</f>
        <v>0</v>
      </c>
      <c r="L1224" s="63">
        <f t="shared" si="253"/>
        <v>0</v>
      </c>
      <c r="M1224" s="162"/>
      <c r="N1224" s="97">
        <f>IF( ISERROR(OFFSET(SECUESTRADOS!D$1,MATCH(B1224,SECUESTRADOS!A$2:A1405,0),0)) ,0 ,  OFFSET(SECUESTRADOS!D$1,MATCH(B1224,SECUESTRADOS!A$2:A1405,0),0)  )</f>
        <v>0</v>
      </c>
      <c r="O1224" s="98"/>
      <c r="P1224" s="99" t="str">
        <f t="shared" si="238"/>
        <v>Bono canon</v>
      </c>
      <c r="Q1224" s="99" t="str">
        <f t="shared" si="304"/>
        <v>#REF!</v>
      </c>
      <c r="R1224" s="130"/>
      <c r="S1224" s="130"/>
      <c r="T1224" s="130"/>
    </row>
    <row r="1225">
      <c r="A1225" s="18" t="s">
        <v>71</v>
      </c>
      <c r="B1225" s="116">
        <v>2323.0</v>
      </c>
      <c r="C1225" s="140">
        <v>2323.0</v>
      </c>
      <c r="D1225" s="57" t="str">
        <f>IF(   ISERROR(OFFSET(PADRON!B$2,MATCH(C:C,PADRON!A$2:A1405,0)-1,0,1,1) )  ,  ,    OFFSET(PADRON!B$2,MATCH(C:C,PADRON!A$2:A1405,0)-1,0,1,1))</f>
        <v>BADARACCO, MELISA</v>
      </c>
      <c r="E1225" s="58">
        <v>45809.0</v>
      </c>
      <c r="F1225" s="145">
        <v>45870.0</v>
      </c>
      <c r="G1225" s="59" t="s">
        <v>39</v>
      </c>
      <c r="H1225" s="60">
        <f>IF( ISERROR( OFFSET(   'Cuadro tarifario'!D$2  , MATCH(CONCATENATE(                 IF(F1225&gt;Mes,OFFSET(NroCT!B$17, MATCH($F1225,NroCT!$A$18:$A1405,0),0,1,1),Periodovigente)                                                                                                                     ,A1225) ,'Cuadro tarifario'!A$2:A1405,0) -1 , 0 , 1 , 1) )   , 0  ,   OFFSET(   'Cuadro tarifario'!D$2  , MATCH(CONCATENATE( IF(F1225&gt;Mes,OFFSET(NroCT!B$17, MATCH($F1225,NroCT!$A$18:$A1405,0),0,1,1),Periodovigente) ,A1225) ,'Cuadro tarifario'!A$2:A1405,0) -1 , 0 , 1 , 1))</f>
        <v>11000</v>
      </c>
      <c r="I1225" s="61">
        <f t="shared" si="252"/>
        <v>2</v>
      </c>
      <c r="J1225" s="60">
        <f t="shared" si="306"/>
        <v>22000</v>
      </c>
      <c r="K1225" s="62">
        <f>IF(  AND(N1225&gt;0,I1225=0)          ,N1225 ,                         IF(  IF( F1225 ,  DAYS360(DATE(YEAR(F1225),MONTH(F1225),1),Mes)/30  ,  DAYS360(DATE(YEAR(E1225),MONTH(E1225),1),Mes)/30  )  &gt;  0 , IF(F1225,   DAYS360(DATE(YEAR(F1225),MONTH(F1225),1),Mes)/30  ,  DAYS360(DATE(YEAR(E1225),MONTH(E1225),1),Mes)/30) , 0)       )</f>
        <v>0</v>
      </c>
      <c r="L1225" s="63">
        <f t="shared" si="253"/>
        <v>0</v>
      </c>
      <c r="M1225" s="162"/>
      <c r="N1225" s="97">
        <f>IF( ISERROR(OFFSET(SECUESTRADOS!D$1,MATCH(B1225,SECUESTRADOS!A$2:A1405,0),0)) ,0 ,  OFFSET(SECUESTRADOS!D$1,MATCH(B1225,SECUESTRADOS!A$2:A1405,0),0)  )</f>
        <v>0</v>
      </c>
      <c r="O1225" s="98"/>
      <c r="P1225" s="99" t="str">
        <f t="shared" si="238"/>
        <v>.socio</v>
      </c>
      <c r="Q1225" s="99" t="str">
        <f t="shared" si="304"/>
        <v>#REF!</v>
      </c>
      <c r="R1225" s="130"/>
      <c r="S1225" s="130"/>
      <c r="T1225" s="130"/>
    </row>
    <row r="1226">
      <c r="A1226" s="18" t="s">
        <v>38</v>
      </c>
      <c r="B1226" s="116">
        <v>2323.0</v>
      </c>
      <c r="C1226" s="140">
        <v>2323.0</v>
      </c>
      <c r="D1226" s="57" t="str">
        <f>IF(   ISERROR(OFFSET(PADRON!B$2,MATCH(C:C,PADRON!A$2:A1405,0)-1,0,1,1) )  ,  ,    OFFSET(PADRON!B$2,MATCH(C:C,PADRON!A$2:A1405,0)-1,0,1,1))</f>
        <v>BADARACCO, MELISA</v>
      </c>
      <c r="E1226" s="58">
        <v>45809.0</v>
      </c>
      <c r="F1226" s="145">
        <v>45870.0</v>
      </c>
      <c r="G1226" s="59" t="s">
        <v>39</v>
      </c>
      <c r="H1226" s="60">
        <f>IF( ISERROR( OFFSET(   'Cuadro tarifario'!D$2  , MATCH(CONCATENATE(                 IF(F1226&gt;Mes,OFFSET(NroCT!B$17, MATCH($F1226,NroCT!$A$18:$A1405,0),0,1,1),Periodovigente)                                                                                                                     ,A1226) ,'Cuadro tarifario'!A$2:A1405,0) -1 , 0 , 1 , 1) )   , 0  ,   OFFSET(   'Cuadro tarifario'!D$2  , MATCH(CONCATENATE( IF(F1226&gt;Mes,OFFSET(NroCT!B$17, MATCH($F1226,NroCT!$A$18:$A1405,0),0,1,1),Periodovigente) ,A1226) ,'Cuadro tarifario'!A$2:A1405,0) -1 , 0 , 1 , 1))</f>
        <v>9000</v>
      </c>
      <c r="I1226" s="61">
        <f t="shared" si="252"/>
        <v>2</v>
      </c>
      <c r="J1226" s="60">
        <f t="shared" si="306"/>
        <v>18000</v>
      </c>
      <c r="K1226" s="62">
        <f>IF(  AND(N1226&gt;0,I1226=0)          ,N1226 ,                         IF(  IF( F1226 ,  DAYS360(DATE(YEAR(F1226),MONTH(F1226),1),Mes)/30  ,  DAYS360(DATE(YEAR(E1226),MONTH(E1226),1),Mes)/30  )  &gt;  0 , IF(F1226,   DAYS360(DATE(YEAR(F1226),MONTH(F1226),1),Mes)/30  ,  DAYS360(DATE(YEAR(E1226),MONTH(E1226),1),Mes)/30) , 0)       )</f>
        <v>0</v>
      </c>
      <c r="L1226" s="63">
        <f t="shared" si="253"/>
        <v>0</v>
      </c>
      <c r="M1226" s="162"/>
      <c r="N1226" s="97">
        <f>IF( ISERROR(OFFSET(SECUESTRADOS!D$1,MATCH(B1226,SECUESTRADOS!A$2:A1405,0),0)) ,0 ,  OFFSET(SECUESTRADOS!D$1,MATCH(B1226,SECUESTRADOS!A$2:A1405,0),0)  )</f>
        <v>0</v>
      </c>
      <c r="O1226" s="98"/>
      <c r="P1226" s="99" t="str">
        <f t="shared" si="238"/>
        <v>Bono canon</v>
      </c>
      <c r="Q1226" s="99" t="str">
        <f t="shared" si="304"/>
        <v>#REF!</v>
      </c>
      <c r="R1226" s="130"/>
      <c r="S1226" s="130"/>
      <c r="T1226" s="130"/>
    </row>
    <row r="1227">
      <c r="A1227" s="18" t="s">
        <v>71</v>
      </c>
      <c r="B1227" s="116">
        <v>2324.0</v>
      </c>
      <c r="C1227" s="140">
        <v>2324.0</v>
      </c>
      <c r="D1227" s="57" t="str">
        <f>IF(   ISERROR(OFFSET(PADRON!B$2,MATCH(C:C,PADRON!A$2:A1405,0)-1,0,1,1) )  ,  ,    OFFSET(PADRON!B$2,MATCH(C:C,PADRON!A$2:A1405,0)-1,0,1,1))</f>
        <v>GONZALEZ, MARIA GABRIELA</v>
      </c>
      <c r="E1227" s="58">
        <v>45839.0</v>
      </c>
      <c r="F1227" s="145">
        <v>45870.0</v>
      </c>
      <c r="G1227" s="59" t="s">
        <v>39</v>
      </c>
      <c r="H1227" s="60">
        <f>IF( ISERROR( OFFSET(   'Cuadro tarifario'!D$2  , MATCH(CONCATENATE(                 IF(F1227&gt;Mes,OFFSET(NroCT!B$17, MATCH($F1227,NroCT!$A$18:$A1405,0),0,1,1),Periodovigente)                                                                                                                     ,A1227) ,'Cuadro tarifario'!A$2:A1405,0) -1 , 0 , 1 , 1) )   , 0  ,   OFFSET(   'Cuadro tarifario'!D$2  , MATCH(CONCATENATE( IF(F1227&gt;Mes,OFFSET(NroCT!B$17, MATCH($F1227,NroCT!$A$18:$A1405,0),0,1,1),Periodovigente) ,A1227) ,'Cuadro tarifario'!A$2:A1405,0) -1 , 0 , 1 , 1))</f>
        <v>11000</v>
      </c>
      <c r="I1227" s="61">
        <f t="shared" si="252"/>
        <v>1</v>
      </c>
      <c r="J1227" s="60">
        <f t="shared" si="306"/>
        <v>11000</v>
      </c>
      <c r="K1227" s="62">
        <f>IF(  AND(N1227&gt;0,I1227=0)          ,N1227 ,                         IF(  IF( F1227 ,  DAYS360(DATE(YEAR(F1227),MONTH(F1227),1),Mes)/30  ,  DAYS360(DATE(YEAR(E1227),MONTH(E1227),1),Mes)/30  )  &gt;  0 , IF(F1227,   DAYS360(DATE(YEAR(F1227),MONTH(F1227),1),Mes)/30  ,  DAYS360(DATE(YEAR(E1227),MONTH(E1227),1),Mes)/30) , 0)       )</f>
        <v>0</v>
      </c>
      <c r="L1227" s="63">
        <f t="shared" si="253"/>
        <v>0</v>
      </c>
      <c r="M1227" s="162"/>
      <c r="N1227" s="97">
        <f>IF( ISERROR(OFFSET(SECUESTRADOS!D$1,MATCH(B1227,SECUESTRADOS!A$2:A1405,0),0)) ,0 ,  OFFSET(SECUESTRADOS!D$1,MATCH(B1227,SECUESTRADOS!A$2:A1405,0),0)  )</f>
        <v>0</v>
      </c>
      <c r="O1227" s="98"/>
      <c r="P1227" s="99" t="str">
        <f t="shared" si="238"/>
        <v>.socio</v>
      </c>
      <c r="Q1227" s="99" t="str">
        <f t="shared" si="304"/>
        <v>#REF!</v>
      </c>
      <c r="R1227" s="130"/>
      <c r="S1227" s="130"/>
      <c r="T1227" s="130"/>
    </row>
    <row r="1228">
      <c r="A1228" s="18" t="s">
        <v>38</v>
      </c>
      <c r="B1228" s="116">
        <v>2324.0</v>
      </c>
      <c r="C1228" s="140">
        <v>2324.0</v>
      </c>
      <c r="D1228" s="57" t="str">
        <f>IF(   ISERROR(OFFSET(PADRON!B$2,MATCH(C:C,PADRON!A$2:A1405,0)-1,0,1,1) )  ,  ,    OFFSET(PADRON!B$2,MATCH(C:C,PADRON!A$2:A1405,0)-1,0,1,1))</f>
        <v>GONZALEZ, MARIA GABRIELA</v>
      </c>
      <c r="E1228" s="58">
        <v>45839.0</v>
      </c>
      <c r="F1228" s="145">
        <v>45870.0</v>
      </c>
      <c r="G1228" s="59" t="s">
        <v>39</v>
      </c>
      <c r="H1228" s="60">
        <f>IF( ISERROR( OFFSET(   'Cuadro tarifario'!D$2  , MATCH(CONCATENATE(                 IF(F1228&gt;Mes,OFFSET(NroCT!B$17, MATCH($F1228,NroCT!$A$18:$A1405,0),0,1,1),Periodovigente)                                                                                                                     ,A1228) ,'Cuadro tarifario'!A$2:A1405,0) -1 , 0 , 1 , 1) )   , 0  ,   OFFSET(   'Cuadro tarifario'!D$2  , MATCH(CONCATENATE( IF(F1228&gt;Mes,OFFSET(NroCT!B$17, MATCH($F1228,NroCT!$A$18:$A1405,0),0,1,1),Periodovigente) ,A1228) ,'Cuadro tarifario'!A$2:A1405,0) -1 , 0 , 1 , 1))</f>
        <v>9000</v>
      </c>
      <c r="I1228" s="61">
        <f t="shared" si="252"/>
        <v>1</v>
      </c>
      <c r="J1228" s="60">
        <f t="shared" si="306"/>
        <v>9000</v>
      </c>
      <c r="K1228" s="62">
        <f>IF(  AND(N1228&gt;0,I1228=0)          ,N1228 ,                         IF(  IF( F1228 ,  DAYS360(DATE(YEAR(F1228),MONTH(F1228),1),Mes)/30  ,  DAYS360(DATE(YEAR(E1228),MONTH(E1228),1),Mes)/30  )  &gt;  0 , IF(F1228,   DAYS360(DATE(YEAR(F1228),MONTH(F1228),1),Mes)/30  ,  DAYS360(DATE(YEAR(E1228),MONTH(E1228),1),Mes)/30) , 0)       )</f>
        <v>0</v>
      </c>
      <c r="L1228" s="63">
        <f t="shared" si="253"/>
        <v>0</v>
      </c>
      <c r="M1228" s="162"/>
      <c r="N1228" s="97">
        <f>IF( ISERROR(OFFSET(SECUESTRADOS!D$1,MATCH(B1228,SECUESTRADOS!A$2:A1405,0),0)) ,0 ,  OFFSET(SECUESTRADOS!D$1,MATCH(B1228,SECUESTRADOS!A$2:A1405,0),0)  )</f>
        <v>0</v>
      </c>
      <c r="O1228" s="98"/>
      <c r="P1228" s="99" t="str">
        <f t="shared" si="238"/>
        <v>Bono canon</v>
      </c>
      <c r="Q1228" s="99" t="str">
        <f t="shared" si="304"/>
        <v>#REF!</v>
      </c>
      <c r="R1228" s="130"/>
      <c r="S1228" s="130"/>
      <c r="T1228" s="130"/>
    </row>
    <row r="1229">
      <c r="A1229" s="18" t="s">
        <v>82</v>
      </c>
      <c r="B1229" s="116" t="s">
        <v>474</v>
      </c>
      <c r="C1229" s="140">
        <v>2324.0</v>
      </c>
      <c r="D1229" s="57" t="str">
        <f>IF(   ISERROR(OFFSET(PADRON!B$2,MATCH(C:C,PADRON!A$2:A1405,0)-1,0,1,1) )  ,  ,    OFFSET(PADRON!B$2,MATCH(C:C,PADRON!A$2:A1405,0)-1,0,1,1))</f>
        <v>GONZALEZ, MARIA GABRIELA</v>
      </c>
      <c r="E1229" s="58">
        <v>45839.0</v>
      </c>
      <c r="F1229" s="145">
        <v>45870.0</v>
      </c>
      <c r="G1229" s="59" t="s">
        <v>39</v>
      </c>
      <c r="H1229" s="60">
        <f>IF( ISERROR( OFFSET(   'Cuadro tarifario'!D$2  , MATCH(CONCATENATE(                 IF(F1229&gt;Mes,OFFSET(NroCT!B$17, MATCH($F1229,NroCT!$A$18:$A1405,0),0,1,1),Periodovigente)                                                                                                                     ,A1229) ,'Cuadro tarifario'!A$2:A1405,0) -1 , 0 , 1 , 1) )   , 0  ,   OFFSET(   'Cuadro tarifario'!D$2  , MATCH(CONCATENATE( IF(F1229&gt;Mes,OFFSET(NroCT!B$17, MATCH($F1229,NroCT!$A$18:$A1405,0),0,1,1),Periodovigente) ,A1229) ,'Cuadro tarifario'!A$2:A1405,0) -1 , 0 , 1 , 1))</f>
        <v>12000</v>
      </c>
      <c r="I1229" s="61">
        <f t="shared" si="252"/>
        <v>1</v>
      </c>
      <c r="J1229" s="60">
        <f t="shared" si="306"/>
        <v>12000</v>
      </c>
      <c r="K1229" s="62">
        <f>IF(  AND(N1229&gt;0,I1229=0)          ,N1229 ,                         IF(  IF( F1229 ,  DAYS360(DATE(YEAR(F1229),MONTH(F1229),1),Mes)/30  ,  DAYS360(DATE(YEAR(E1229),MONTH(E1229),1),Mes)/30  )  &gt;  0 , IF(F1229,   DAYS360(DATE(YEAR(F1229),MONTH(F1229),1),Mes)/30  ,  DAYS360(DATE(YEAR(E1229),MONTH(E1229),1),Mes)/30) , 0)       )</f>
        <v>0</v>
      </c>
      <c r="L1229" s="63">
        <f t="shared" si="253"/>
        <v>0</v>
      </c>
      <c r="M1229" s="162"/>
      <c r="N1229" s="97">
        <f>IF( ISERROR(OFFSET(SECUESTRADOS!D$1,MATCH(B1229,SECUESTRADOS!A$2:A1405,0),0)) ,0 ,  OFFSET(SECUESTRADOS!D$1,MATCH(B1229,SECUESTRADOS!A$2:A1405,0),0)  )</f>
        <v>0</v>
      </c>
      <c r="O1229" s="98"/>
      <c r="P1229" s="99" t="str">
        <f t="shared" si="238"/>
        <v>cuna kayak</v>
      </c>
      <c r="Q1229" s="99" t="str">
        <f t="shared" si="304"/>
        <v>#REF!</v>
      </c>
      <c r="R1229" s="130"/>
      <c r="S1229" s="130"/>
      <c r="T1229" s="130"/>
    </row>
    <row r="1230">
      <c r="A1230" s="18" t="s">
        <v>71</v>
      </c>
      <c r="B1230" s="116">
        <v>2325.0</v>
      </c>
      <c r="C1230" s="140">
        <v>2325.0</v>
      </c>
      <c r="D1230" s="57" t="str">
        <f>IF(   ISERROR(OFFSET(PADRON!B$2,MATCH(C:C,PADRON!A$2:A1405,0)-1,0,1,1) )  ,  ,    OFFSET(PADRON!B$2,MATCH(C:C,PADRON!A$2:A1405,0)-1,0,1,1))</f>
        <v>ALZOGARAY, CATALINA</v>
      </c>
      <c r="E1230" s="58">
        <v>45839.0</v>
      </c>
      <c r="F1230" s="145">
        <v>45870.0</v>
      </c>
      <c r="G1230" s="59" t="s">
        <v>39</v>
      </c>
      <c r="H1230" s="60">
        <f>IF( ISERROR( OFFSET(   'Cuadro tarifario'!D$2  , MATCH(CONCATENATE(                 IF(F1230&gt;Mes,OFFSET(NroCT!B$17, MATCH($F1230,NroCT!$A$18:$A1405,0),0,1,1),Periodovigente)                                                                                                                     ,A1230) ,'Cuadro tarifario'!A$2:A1405,0) -1 , 0 , 1 , 1) )   , 0  ,   OFFSET(   'Cuadro tarifario'!D$2  , MATCH(CONCATENATE( IF(F1230&gt;Mes,OFFSET(NroCT!B$17, MATCH($F1230,NroCT!$A$18:$A1405,0),0,1,1),Periodovigente) ,A1230) ,'Cuadro tarifario'!A$2:A1405,0) -1 , 0 , 1 , 1))</f>
        <v>11000</v>
      </c>
      <c r="I1230" s="61">
        <f t="shared" si="252"/>
        <v>1</v>
      </c>
      <c r="J1230" s="60">
        <f t="shared" si="306"/>
        <v>11000</v>
      </c>
      <c r="K1230" s="62">
        <f>IF(  AND(N1230&gt;0,I1230=0)          ,N1230 ,                         IF(  IF( F1230 ,  DAYS360(DATE(YEAR(F1230),MONTH(F1230),1),Mes)/30  ,  DAYS360(DATE(YEAR(E1230),MONTH(E1230),1),Mes)/30  )  &gt;  0 , IF(F1230,   DAYS360(DATE(YEAR(F1230),MONTH(F1230),1),Mes)/30  ,  DAYS360(DATE(YEAR(E1230),MONTH(E1230),1),Mes)/30) , 0)       )</f>
        <v>0</v>
      </c>
      <c r="L1230" s="63">
        <f t="shared" si="253"/>
        <v>0</v>
      </c>
      <c r="M1230" s="162"/>
      <c r="N1230" s="97">
        <f>IF( ISERROR(OFFSET(SECUESTRADOS!D$1,MATCH(B1230,SECUESTRADOS!A$2:A1405,0),0)) ,0 ,  OFFSET(SECUESTRADOS!D$1,MATCH(B1230,SECUESTRADOS!A$2:A1405,0),0)  )</f>
        <v>0</v>
      </c>
      <c r="O1230" s="98"/>
      <c r="P1230" s="99" t="str">
        <f t="shared" si="238"/>
        <v>.socio</v>
      </c>
      <c r="Q1230" s="99" t="str">
        <f t="shared" si="304"/>
        <v>#REF!</v>
      </c>
      <c r="R1230" s="130"/>
      <c r="S1230" s="130"/>
      <c r="T1230" s="130"/>
    </row>
    <row r="1231">
      <c r="A1231" s="18" t="s">
        <v>38</v>
      </c>
      <c r="B1231" s="116">
        <v>2325.0</v>
      </c>
      <c r="C1231" s="140">
        <v>2325.0</v>
      </c>
      <c r="D1231" s="57" t="str">
        <f>IF(   ISERROR(OFFSET(PADRON!B$2,MATCH(C:C,PADRON!A$2:A1405,0)-1,0,1,1) )  ,  ,    OFFSET(PADRON!B$2,MATCH(C:C,PADRON!A$2:A1405,0)-1,0,1,1))</f>
        <v>ALZOGARAY, CATALINA</v>
      </c>
      <c r="E1231" s="58">
        <v>45839.0</v>
      </c>
      <c r="F1231" s="145">
        <v>45870.0</v>
      </c>
      <c r="G1231" s="59" t="s">
        <v>39</v>
      </c>
      <c r="H1231" s="60">
        <f>IF( ISERROR( OFFSET(   'Cuadro tarifario'!D$2  , MATCH(CONCATENATE(                 IF(F1231&gt;Mes,OFFSET(NroCT!B$17, MATCH($F1231,NroCT!$A$18:$A1405,0),0,1,1),Periodovigente)                                                                                                                     ,A1231) ,'Cuadro tarifario'!A$2:A1405,0) -1 , 0 , 1 , 1) )   , 0  ,   OFFSET(   'Cuadro tarifario'!D$2  , MATCH(CONCATENATE( IF(F1231&gt;Mes,OFFSET(NroCT!B$17, MATCH($F1231,NroCT!$A$18:$A1405,0),0,1,1),Periodovigente) ,A1231) ,'Cuadro tarifario'!A$2:A1405,0) -1 , 0 , 1 , 1))</f>
        <v>9000</v>
      </c>
      <c r="I1231" s="61">
        <f t="shared" si="252"/>
        <v>1</v>
      </c>
      <c r="J1231" s="60">
        <f t="shared" si="306"/>
        <v>9000</v>
      </c>
      <c r="K1231" s="62">
        <f>IF(  AND(N1231&gt;0,I1231=0)          ,N1231 ,                         IF(  IF( F1231 ,  DAYS360(DATE(YEAR(F1231),MONTH(F1231),1),Mes)/30  ,  DAYS360(DATE(YEAR(E1231),MONTH(E1231),1),Mes)/30  )  &gt;  0 , IF(F1231,   DAYS360(DATE(YEAR(F1231),MONTH(F1231),1),Mes)/30  ,  DAYS360(DATE(YEAR(E1231),MONTH(E1231),1),Mes)/30) , 0)       )</f>
        <v>0</v>
      </c>
      <c r="L1231" s="63">
        <f t="shared" si="253"/>
        <v>0</v>
      </c>
      <c r="M1231" s="162"/>
      <c r="N1231" s="97">
        <f>IF( ISERROR(OFFSET(SECUESTRADOS!D$1,MATCH(B1231,SECUESTRADOS!A$2:A1405,0),0)) ,0 ,  OFFSET(SECUESTRADOS!D$1,MATCH(B1231,SECUESTRADOS!A$2:A1405,0),0)  )</f>
        <v>0</v>
      </c>
      <c r="O1231" s="98"/>
      <c r="P1231" s="99" t="str">
        <f t="shared" si="238"/>
        <v>Bono canon</v>
      </c>
      <c r="Q1231" s="99" t="str">
        <f t="shared" si="304"/>
        <v>#REF!</v>
      </c>
      <c r="R1231" s="130"/>
      <c r="S1231" s="130"/>
      <c r="T1231" s="130"/>
    </row>
    <row r="1232">
      <c r="A1232" s="18" t="s">
        <v>71</v>
      </c>
      <c r="B1232" s="116">
        <v>2326.0</v>
      </c>
      <c r="C1232" s="140">
        <v>2326.0</v>
      </c>
      <c r="D1232" s="57" t="str">
        <f>IF(   ISERROR(OFFSET(PADRON!B$2,MATCH(C:C,PADRON!A$2:A1405,0)-1,0,1,1) )  ,  ,    OFFSET(PADRON!B$2,MATCH(C:C,PADRON!A$2:A1405,0)-1,0,1,1))</f>
        <v>SOTO, LEANDRO</v>
      </c>
      <c r="E1232" s="58">
        <v>45839.0</v>
      </c>
      <c r="F1232" s="145">
        <v>45870.0</v>
      </c>
      <c r="G1232" s="59" t="s">
        <v>39</v>
      </c>
      <c r="H1232" s="60">
        <f>IF( ISERROR( OFFSET(   'Cuadro tarifario'!D$2  , MATCH(CONCATENATE(                 IF(F1232&gt;Mes,OFFSET(NroCT!B$17, MATCH($F1232,NroCT!$A$18:$A1405,0),0,1,1),Periodovigente)                                                                                                                     ,A1232) ,'Cuadro tarifario'!A$2:A1405,0) -1 , 0 , 1 , 1) )   , 0  ,   OFFSET(   'Cuadro tarifario'!D$2  , MATCH(CONCATENATE( IF(F1232&gt;Mes,OFFSET(NroCT!B$17, MATCH($F1232,NroCT!$A$18:$A1405,0),0,1,1),Periodovigente) ,A1232) ,'Cuadro tarifario'!A$2:A1405,0) -1 , 0 , 1 , 1))</f>
        <v>11000</v>
      </c>
      <c r="I1232" s="61">
        <f t="shared" si="252"/>
        <v>1</v>
      </c>
      <c r="J1232" s="60">
        <f t="shared" si="306"/>
        <v>11000</v>
      </c>
      <c r="K1232" s="62">
        <f>IF(  AND(N1232&gt;0,I1232=0)          ,N1232 ,                         IF(  IF( F1232 ,  DAYS360(DATE(YEAR(F1232),MONTH(F1232),1),Mes)/30  ,  DAYS360(DATE(YEAR(E1232),MONTH(E1232),1),Mes)/30  )  &gt;  0 , IF(F1232,   DAYS360(DATE(YEAR(F1232),MONTH(F1232),1),Mes)/30  ,  DAYS360(DATE(YEAR(E1232),MONTH(E1232),1),Mes)/30) , 0)       )</f>
        <v>0</v>
      </c>
      <c r="L1232" s="63">
        <f t="shared" si="253"/>
        <v>0</v>
      </c>
      <c r="M1232" s="162"/>
      <c r="N1232" s="97">
        <f>IF( ISERROR(OFFSET(SECUESTRADOS!D$1,MATCH(B1232,SECUESTRADOS!A$2:A1405,0),0)) ,0 ,  OFFSET(SECUESTRADOS!D$1,MATCH(B1232,SECUESTRADOS!A$2:A1405,0),0)  )</f>
        <v>0</v>
      </c>
      <c r="O1232" s="98"/>
      <c r="P1232" s="99" t="str">
        <f t="shared" si="238"/>
        <v>.socio</v>
      </c>
      <c r="Q1232" s="99" t="str">
        <f t="shared" si="304"/>
        <v>#REF!</v>
      </c>
      <c r="R1232" s="130"/>
      <c r="S1232" s="130"/>
      <c r="T1232" s="130"/>
    </row>
    <row r="1233">
      <c r="A1233" s="18" t="s">
        <v>38</v>
      </c>
      <c r="B1233" s="116">
        <v>2326.0</v>
      </c>
      <c r="C1233" s="140">
        <v>2326.0</v>
      </c>
      <c r="D1233" s="57" t="str">
        <f>IF(   ISERROR(OFFSET(PADRON!B$2,MATCH(C:C,PADRON!A$2:A1405,0)-1,0,1,1) )  ,  ,    OFFSET(PADRON!B$2,MATCH(C:C,PADRON!A$2:A1405,0)-1,0,1,1))</f>
        <v>SOTO, LEANDRO</v>
      </c>
      <c r="E1233" s="58">
        <v>45839.0</v>
      </c>
      <c r="F1233" s="145">
        <v>45870.0</v>
      </c>
      <c r="G1233" s="59" t="s">
        <v>39</v>
      </c>
      <c r="H1233" s="60">
        <f>IF( ISERROR( OFFSET(   'Cuadro tarifario'!D$2  , MATCH(CONCATENATE(                 IF(F1233&gt;Mes,OFFSET(NroCT!B$17, MATCH($F1233,NroCT!$A$18:$A1405,0),0,1,1),Periodovigente)                                                                                                                     ,A1233) ,'Cuadro tarifario'!A$2:A1405,0) -1 , 0 , 1 , 1) )   , 0  ,   OFFSET(   'Cuadro tarifario'!D$2  , MATCH(CONCATENATE( IF(F1233&gt;Mes,OFFSET(NroCT!B$17, MATCH($F1233,NroCT!$A$18:$A1405,0),0,1,1),Periodovigente) ,A1233) ,'Cuadro tarifario'!A$2:A1405,0) -1 , 0 , 1 , 1))</f>
        <v>9000</v>
      </c>
      <c r="I1233" s="61">
        <f t="shared" si="252"/>
        <v>1</v>
      </c>
      <c r="J1233" s="60">
        <f t="shared" si="306"/>
        <v>9000</v>
      </c>
      <c r="K1233" s="62">
        <f>IF(  AND(N1233&gt;0,I1233=0)          ,N1233 ,                         IF(  IF( F1233 ,  DAYS360(DATE(YEAR(F1233),MONTH(F1233),1),Mes)/30  ,  DAYS360(DATE(YEAR(E1233),MONTH(E1233),1),Mes)/30  )  &gt;  0 , IF(F1233,   DAYS360(DATE(YEAR(F1233),MONTH(F1233),1),Mes)/30  ,  DAYS360(DATE(YEAR(E1233),MONTH(E1233),1),Mes)/30) , 0)       )</f>
        <v>0</v>
      </c>
      <c r="L1233" s="63">
        <f t="shared" si="253"/>
        <v>0</v>
      </c>
      <c r="M1233" s="162"/>
      <c r="N1233" s="97">
        <f>IF( ISERROR(OFFSET(SECUESTRADOS!D$1,MATCH(B1233,SECUESTRADOS!A$2:A1405,0),0)) ,0 ,  OFFSET(SECUESTRADOS!D$1,MATCH(B1233,SECUESTRADOS!A$2:A1405,0),0)  )</f>
        <v>0</v>
      </c>
      <c r="O1233" s="98"/>
      <c r="P1233" s="99" t="str">
        <f t="shared" si="238"/>
        <v>Bono canon</v>
      </c>
      <c r="Q1233" s="99" t="str">
        <f t="shared" si="304"/>
        <v>#REF!</v>
      </c>
      <c r="R1233" s="130"/>
      <c r="S1233" s="130"/>
      <c r="T1233" s="130"/>
    </row>
    <row r="1234">
      <c r="A1234" s="18" t="s">
        <v>71</v>
      </c>
      <c r="B1234" s="116">
        <v>2327.0</v>
      </c>
      <c r="C1234" s="140">
        <v>2327.0</v>
      </c>
      <c r="D1234" s="57" t="str">
        <f>IF(   ISERROR(OFFSET(PADRON!B$2,MATCH(C:C,PADRON!A$2:A1405,0)-1,0,1,1) )  ,  ,    OFFSET(PADRON!B$2,MATCH(C:C,PADRON!A$2:A1405,0)-1,0,1,1))</f>
        <v>IANNUZZI, MATILDE</v>
      </c>
      <c r="E1234" s="58">
        <v>45839.0</v>
      </c>
      <c r="F1234" s="145">
        <v>45870.0</v>
      </c>
      <c r="G1234" s="59" t="s">
        <v>39</v>
      </c>
      <c r="H1234" s="60">
        <f>IF( ISERROR( OFFSET(   'Cuadro tarifario'!D$2  , MATCH(CONCATENATE(                 IF(F1234&gt;Mes,OFFSET(NroCT!B$17, MATCH($F1234,NroCT!$A$18:$A1405,0),0,1,1),Periodovigente)                                                                                                                     ,A1234) ,'Cuadro tarifario'!A$2:A1405,0) -1 , 0 , 1 , 1) )   , 0  ,   OFFSET(   'Cuadro tarifario'!D$2  , MATCH(CONCATENATE( IF(F1234&gt;Mes,OFFSET(NroCT!B$17, MATCH($F1234,NroCT!$A$18:$A1405,0),0,1,1),Periodovigente) ,A1234) ,'Cuadro tarifario'!A$2:A1405,0) -1 , 0 , 1 , 1))</f>
        <v>11000</v>
      </c>
      <c r="I1234" s="61">
        <f t="shared" si="252"/>
        <v>1</v>
      </c>
      <c r="J1234" s="60">
        <f t="shared" si="306"/>
        <v>11000</v>
      </c>
      <c r="K1234" s="62">
        <f>IF(  AND(N1234&gt;0,I1234=0)          ,N1234 ,                         IF(  IF( F1234 ,  DAYS360(DATE(YEAR(F1234),MONTH(F1234),1),Mes)/30  ,  DAYS360(DATE(YEAR(E1234),MONTH(E1234),1),Mes)/30  )  &gt;  0 , IF(F1234,   DAYS360(DATE(YEAR(F1234),MONTH(F1234),1),Mes)/30  ,  DAYS360(DATE(YEAR(E1234),MONTH(E1234),1),Mes)/30) , 0)       )</f>
        <v>0</v>
      </c>
      <c r="L1234" s="63">
        <f t="shared" si="253"/>
        <v>0</v>
      </c>
      <c r="M1234" s="162"/>
      <c r="N1234" s="97">
        <f>IF( ISERROR(OFFSET(SECUESTRADOS!D$1,MATCH(B1234,SECUESTRADOS!A$2:A1405,0),0)) ,0 ,  OFFSET(SECUESTRADOS!D$1,MATCH(B1234,SECUESTRADOS!A$2:A1405,0),0)  )</f>
        <v>0</v>
      </c>
      <c r="O1234" s="98"/>
      <c r="P1234" s="99" t="str">
        <f t="shared" si="238"/>
        <v>.socio</v>
      </c>
      <c r="Q1234" s="99" t="str">
        <f t="shared" si="304"/>
        <v>#REF!</v>
      </c>
      <c r="R1234" s="130"/>
      <c r="S1234" s="130"/>
      <c r="T1234" s="130"/>
    </row>
    <row r="1235">
      <c r="A1235" s="18" t="s">
        <v>38</v>
      </c>
      <c r="B1235" s="116">
        <v>2327.0</v>
      </c>
      <c r="C1235" s="140">
        <v>2327.0</v>
      </c>
      <c r="D1235" s="57" t="str">
        <f>IF(   ISERROR(OFFSET(PADRON!B$2,MATCH(C:C,PADRON!A$2:A1405,0)-1,0,1,1) )  ,  ,    OFFSET(PADRON!B$2,MATCH(C:C,PADRON!A$2:A1405,0)-1,0,1,1))</f>
        <v>IANNUZZI, MATILDE</v>
      </c>
      <c r="E1235" s="58">
        <v>45839.0</v>
      </c>
      <c r="F1235" s="145">
        <v>45870.0</v>
      </c>
      <c r="G1235" s="59" t="s">
        <v>39</v>
      </c>
      <c r="H1235" s="60">
        <f>IF( ISERROR( OFFSET(   'Cuadro tarifario'!D$2  , MATCH(CONCATENATE(                 IF(F1235&gt;Mes,OFFSET(NroCT!B$17, MATCH($F1235,NroCT!$A$18:$A1405,0),0,1,1),Periodovigente)                                                                                                                     ,A1235) ,'Cuadro tarifario'!A$2:A1405,0) -1 , 0 , 1 , 1) )   , 0  ,   OFFSET(   'Cuadro tarifario'!D$2  , MATCH(CONCATENATE( IF(F1235&gt;Mes,OFFSET(NroCT!B$17, MATCH($F1235,NroCT!$A$18:$A1405,0),0,1,1),Periodovigente) ,A1235) ,'Cuadro tarifario'!A$2:A1405,0) -1 , 0 , 1 , 1))</f>
        <v>9000</v>
      </c>
      <c r="I1235" s="61">
        <f t="shared" si="252"/>
        <v>1</v>
      </c>
      <c r="J1235" s="60">
        <f t="shared" si="306"/>
        <v>9000</v>
      </c>
      <c r="K1235" s="62">
        <f>IF(  AND(N1235&gt;0,I1235=0)          ,N1235 ,                         IF(  IF( F1235 ,  DAYS360(DATE(YEAR(F1235),MONTH(F1235),1),Mes)/30  ,  DAYS360(DATE(YEAR(E1235),MONTH(E1235),1),Mes)/30  )  &gt;  0 , IF(F1235,   DAYS360(DATE(YEAR(F1235),MONTH(F1235),1),Mes)/30  ,  DAYS360(DATE(YEAR(E1235),MONTH(E1235),1),Mes)/30) , 0)       )</f>
        <v>0</v>
      </c>
      <c r="L1235" s="63">
        <f t="shared" si="253"/>
        <v>0</v>
      </c>
      <c r="M1235" s="162"/>
      <c r="N1235" s="97">
        <f>IF( ISERROR(OFFSET(SECUESTRADOS!D$1,MATCH(B1235,SECUESTRADOS!A$2:A1405,0),0)) ,0 ,  OFFSET(SECUESTRADOS!D$1,MATCH(B1235,SECUESTRADOS!A$2:A1405,0),0)  )</f>
        <v>0</v>
      </c>
      <c r="O1235" s="98"/>
      <c r="P1235" s="99" t="str">
        <f t="shared" si="238"/>
        <v>Bono canon</v>
      </c>
      <c r="Q1235" s="99" t="str">
        <f t="shared" si="304"/>
        <v>#REF!</v>
      </c>
      <c r="R1235" s="130"/>
      <c r="S1235" s="130"/>
      <c r="T1235" s="130"/>
    </row>
    <row r="1236">
      <c r="A1236" s="18" t="s">
        <v>82</v>
      </c>
      <c r="B1236" s="116" t="s">
        <v>475</v>
      </c>
      <c r="C1236" s="140">
        <v>2327.0</v>
      </c>
      <c r="D1236" s="57" t="str">
        <f>IF(   ISERROR(OFFSET(PADRON!B$2,MATCH(C:C,PADRON!A$2:A1405,0)-1,0,1,1) )  ,  ,    OFFSET(PADRON!B$2,MATCH(C:C,PADRON!A$2:A1405,0)-1,0,1,1))</f>
        <v>IANNUZZI, MATILDE</v>
      </c>
      <c r="E1236" s="58">
        <v>45839.0</v>
      </c>
      <c r="F1236" s="145">
        <v>45870.0</v>
      </c>
      <c r="G1236" s="59" t="s">
        <v>39</v>
      </c>
      <c r="H1236" s="60">
        <f>IF( ISERROR( OFFSET(   'Cuadro tarifario'!D$2  , MATCH(CONCATENATE(                 IF(F1236&gt;Mes,OFFSET(NroCT!B$17, MATCH($F1236,NroCT!$A$18:$A1405,0),0,1,1),Periodovigente)                                                                                                                     ,A1236) ,'Cuadro tarifario'!A$2:A1405,0) -1 , 0 , 1 , 1) )   , 0  ,   OFFSET(   'Cuadro tarifario'!D$2  , MATCH(CONCATENATE( IF(F1236&gt;Mes,OFFSET(NroCT!B$17, MATCH($F1236,NroCT!$A$18:$A1405,0),0,1,1),Periodovigente) ,A1236) ,'Cuadro tarifario'!A$2:A1405,0) -1 , 0 , 1 , 1))</f>
        <v>12000</v>
      </c>
      <c r="I1236" s="61">
        <f t="shared" si="252"/>
        <v>1</v>
      </c>
      <c r="J1236" s="60">
        <f t="shared" si="306"/>
        <v>12000</v>
      </c>
      <c r="K1236" s="62">
        <f>IF(  AND(N1236&gt;0,I1236=0)          ,N1236 ,                         IF(  IF( F1236 ,  DAYS360(DATE(YEAR(F1236),MONTH(F1236),1),Mes)/30  ,  DAYS360(DATE(YEAR(E1236),MONTH(E1236),1),Mes)/30  )  &gt;  0 , IF(F1236,   DAYS360(DATE(YEAR(F1236),MONTH(F1236),1),Mes)/30  ,  DAYS360(DATE(YEAR(E1236),MONTH(E1236),1),Mes)/30) , 0)       )</f>
        <v>0</v>
      </c>
      <c r="L1236" s="63">
        <f t="shared" si="253"/>
        <v>0</v>
      </c>
      <c r="M1236" s="162"/>
      <c r="N1236" s="97">
        <f>IF( ISERROR(OFFSET(SECUESTRADOS!D$1,MATCH(B1236,SECUESTRADOS!A$2:A1405,0),0)) ,0 ,  OFFSET(SECUESTRADOS!D$1,MATCH(B1236,SECUESTRADOS!A$2:A1405,0),0)  )</f>
        <v>0</v>
      </c>
      <c r="O1236" s="98"/>
      <c r="P1236" s="99" t="str">
        <f t="shared" si="238"/>
        <v>cuna kayak</v>
      </c>
      <c r="Q1236" s="99" t="str">
        <f t="shared" si="304"/>
        <v>#REF!</v>
      </c>
      <c r="R1236" s="130"/>
      <c r="S1236" s="130"/>
      <c r="T1236" s="130"/>
    </row>
    <row r="1237">
      <c r="A1237" s="18" t="s">
        <v>71</v>
      </c>
      <c r="B1237" s="116">
        <v>2328.0</v>
      </c>
      <c r="C1237" s="140">
        <v>2328.0</v>
      </c>
      <c r="D1237" s="57" t="str">
        <f>IF(   ISERROR(OFFSET(PADRON!B$2,MATCH(C:C,PADRON!A$2:A1405,0)-1,0,1,1) )  ,  ,    OFFSET(PADRON!B$2,MATCH(C:C,PADRON!A$2:A1405,0)-1,0,1,1))</f>
        <v>ALTEREIB, DIEGO</v>
      </c>
      <c r="E1237" s="58">
        <v>45839.0</v>
      </c>
      <c r="F1237" s="145">
        <v>45870.0</v>
      </c>
      <c r="G1237" s="59" t="s">
        <v>39</v>
      </c>
      <c r="H1237" s="60">
        <f>IF( ISERROR( OFFSET(   'Cuadro tarifario'!D$2  , MATCH(CONCATENATE(                 IF(F1237&gt;Mes,OFFSET(NroCT!B$17, MATCH($F1237,NroCT!$A$18:$A1405,0),0,1,1),Periodovigente)                                                                                                                     ,A1237) ,'Cuadro tarifario'!A$2:A1405,0) -1 , 0 , 1 , 1) )   , 0  ,   OFFSET(   'Cuadro tarifario'!D$2  , MATCH(CONCATENATE( IF(F1237&gt;Mes,OFFSET(NroCT!B$17, MATCH($F1237,NroCT!$A$18:$A1405,0),0,1,1),Periodovigente) ,A1237) ,'Cuadro tarifario'!A$2:A1405,0) -1 , 0 , 1 , 1))</f>
        <v>11000</v>
      </c>
      <c r="I1237" s="61">
        <f t="shared" si="252"/>
        <v>1</v>
      </c>
      <c r="J1237" s="60">
        <f t="shared" si="306"/>
        <v>11000</v>
      </c>
      <c r="K1237" s="62">
        <f>IF(  AND(N1237&gt;0,I1237=0)          ,N1237 ,                         IF(  IF( F1237 ,  DAYS360(DATE(YEAR(F1237),MONTH(F1237),1),Mes)/30  ,  DAYS360(DATE(YEAR(E1237),MONTH(E1237),1),Mes)/30  )  &gt;  0 , IF(F1237,   DAYS360(DATE(YEAR(F1237),MONTH(F1237),1),Mes)/30  ,  DAYS360(DATE(YEAR(E1237),MONTH(E1237),1),Mes)/30) , 0)       )</f>
        <v>0</v>
      </c>
      <c r="L1237" s="63">
        <f t="shared" si="253"/>
        <v>0</v>
      </c>
      <c r="M1237" s="162"/>
      <c r="N1237" s="97">
        <f>IF( ISERROR(OFFSET(SECUESTRADOS!D$1,MATCH(B1237,SECUESTRADOS!A$2:A1405,0),0)) ,0 ,  OFFSET(SECUESTRADOS!D$1,MATCH(B1237,SECUESTRADOS!A$2:A1405,0),0)  )</f>
        <v>0</v>
      </c>
      <c r="O1237" s="98"/>
      <c r="P1237" s="99" t="str">
        <f t="shared" si="238"/>
        <v>.socio</v>
      </c>
      <c r="Q1237" s="99" t="str">
        <f t="shared" si="304"/>
        <v>#REF!</v>
      </c>
      <c r="R1237" s="130"/>
      <c r="S1237" s="130"/>
      <c r="T1237" s="130"/>
    </row>
    <row r="1238">
      <c r="A1238" s="18" t="s">
        <v>38</v>
      </c>
      <c r="B1238" s="116">
        <v>2328.0</v>
      </c>
      <c r="C1238" s="140">
        <v>2328.0</v>
      </c>
      <c r="D1238" s="57" t="str">
        <f>IF(   ISERROR(OFFSET(PADRON!B$2,MATCH(C:C,PADRON!A$2:A1405,0)-1,0,1,1) )  ,  ,    OFFSET(PADRON!B$2,MATCH(C:C,PADRON!A$2:A1405,0)-1,0,1,1))</f>
        <v>ALTEREIB, DIEGO</v>
      </c>
      <c r="E1238" s="58">
        <v>45839.0</v>
      </c>
      <c r="F1238" s="145">
        <v>45870.0</v>
      </c>
      <c r="G1238" s="59" t="s">
        <v>39</v>
      </c>
      <c r="H1238" s="60">
        <f>IF( ISERROR( OFFSET(   'Cuadro tarifario'!D$2  , MATCH(CONCATENATE(                 IF(F1238&gt;Mes,OFFSET(NroCT!B$17, MATCH($F1238,NroCT!$A$18:$A1405,0),0,1,1),Periodovigente)                                                                                                                     ,A1238) ,'Cuadro tarifario'!A$2:A1405,0) -1 , 0 , 1 , 1) )   , 0  ,   OFFSET(   'Cuadro tarifario'!D$2  , MATCH(CONCATENATE( IF(F1238&gt;Mes,OFFSET(NroCT!B$17, MATCH($F1238,NroCT!$A$18:$A1405,0),0,1,1),Periodovigente) ,A1238) ,'Cuadro tarifario'!A$2:A1405,0) -1 , 0 , 1 , 1))</f>
        <v>9000</v>
      </c>
      <c r="I1238" s="61">
        <f t="shared" si="252"/>
        <v>1</v>
      </c>
      <c r="J1238" s="60">
        <f t="shared" si="306"/>
        <v>9000</v>
      </c>
      <c r="K1238" s="62">
        <f>IF(  AND(N1238&gt;0,I1238=0)          ,N1238 ,                         IF(  IF( F1238 ,  DAYS360(DATE(YEAR(F1238),MONTH(F1238),1),Mes)/30  ,  DAYS360(DATE(YEAR(E1238),MONTH(E1238),1),Mes)/30  )  &gt;  0 , IF(F1238,   DAYS360(DATE(YEAR(F1238),MONTH(F1238),1),Mes)/30  ,  DAYS360(DATE(YEAR(E1238),MONTH(E1238),1),Mes)/30) , 0)       )</f>
        <v>0</v>
      </c>
      <c r="L1238" s="63">
        <f t="shared" si="253"/>
        <v>0</v>
      </c>
      <c r="M1238" s="162"/>
      <c r="N1238" s="97">
        <f>IF( ISERROR(OFFSET(SECUESTRADOS!D$1,MATCH(B1238,SECUESTRADOS!A$2:A1405,0),0)) ,0 ,  OFFSET(SECUESTRADOS!D$1,MATCH(B1238,SECUESTRADOS!A$2:A1405,0),0)  )</f>
        <v>0</v>
      </c>
      <c r="O1238" s="98"/>
      <c r="P1238" s="99" t="str">
        <f t="shared" si="238"/>
        <v>Bono canon</v>
      </c>
      <c r="Q1238" s="99" t="str">
        <f t="shared" si="304"/>
        <v>#REF!</v>
      </c>
      <c r="R1238" s="130"/>
      <c r="S1238" s="130"/>
      <c r="T1238" s="130"/>
    </row>
    <row r="1239">
      <c r="A1239" s="18" t="s">
        <v>82</v>
      </c>
      <c r="B1239" s="116" t="s">
        <v>476</v>
      </c>
      <c r="C1239" s="140">
        <v>2328.0</v>
      </c>
      <c r="D1239" s="57" t="str">
        <f>IF(   ISERROR(OFFSET(PADRON!B$2,MATCH(C:C,PADRON!A$2:A1405,0)-1,0,1,1) )  ,  ,    OFFSET(PADRON!B$2,MATCH(C:C,PADRON!A$2:A1405,0)-1,0,1,1))</f>
        <v>ALTEREIB, DIEGO</v>
      </c>
      <c r="E1239" s="58">
        <v>45839.0</v>
      </c>
      <c r="F1239" s="145">
        <v>45870.0</v>
      </c>
      <c r="G1239" s="59" t="s">
        <v>39</v>
      </c>
      <c r="H1239" s="60">
        <f>IF( ISERROR( OFFSET(   'Cuadro tarifario'!D$2  , MATCH(CONCATENATE(                 IF(F1239&gt;Mes,OFFSET(NroCT!B$17, MATCH($F1239,NroCT!$A$18:$A1405,0),0,1,1),Periodovigente)                                                                                                                     ,A1239) ,'Cuadro tarifario'!A$2:A1405,0) -1 , 0 , 1 , 1) )   , 0  ,   OFFSET(   'Cuadro tarifario'!D$2  , MATCH(CONCATENATE( IF(F1239&gt;Mes,OFFSET(NroCT!B$17, MATCH($F1239,NroCT!$A$18:$A1405,0),0,1,1),Periodovigente) ,A1239) ,'Cuadro tarifario'!A$2:A1405,0) -1 , 0 , 1 , 1))</f>
        <v>12000</v>
      </c>
      <c r="I1239" s="61">
        <f t="shared" si="252"/>
        <v>1</v>
      </c>
      <c r="J1239" s="60">
        <f t="shared" si="306"/>
        <v>12000</v>
      </c>
      <c r="K1239" s="62">
        <f>IF(  AND(N1239&gt;0,I1239=0)          ,N1239 ,                         IF(  IF( F1239 ,  DAYS360(DATE(YEAR(F1239),MONTH(F1239),1),Mes)/30  ,  DAYS360(DATE(YEAR(E1239),MONTH(E1239),1),Mes)/30  )  &gt;  0 , IF(F1239,   DAYS360(DATE(YEAR(F1239),MONTH(F1239),1),Mes)/30  ,  DAYS360(DATE(YEAR(E1239),MONTH(E1239),1),Mes)/30) , 0)       )</f>
        <v>0</v>
      </c>
      <c r="L1239" s="63">
        <f t="shared" si="253"/>
        <v>0</v>
      </c>
      <c r="M1239" s="162"/>
      <c r="N1239" s="97">
        <f>IF( ISERROR(OFFSET(SECUESTRADOS!D$1,MATCH(B1239,SECUESTRADOS!A$2:A1405,0),0)) ,0 ,  OFFSET(SECUESTRADOS!D$1,MATCH(B1239,SECUESTRADOS!A$2:A1405,0),0)  )</f>
        <v>0</v>
      </c>
      <c r="O1239" s="98"/>
      <c r="P1239" s="99" t="str">
        <f t="shared" si="238"/>
        <v>cuna kayak</v>
      </c>
      <c r="Q1239" s="99" t="str">
        <f t="shared" si="304"/>
        <v>#REF!</v>
      </c>
      <c r="R1239" s="130"/>
      <c r="S1239" s="130"/>
      <c r="T1239" s="130"/>
    </row>
    <row r="1240">
      <c r="A1240" s="18" t="s">
        <v>71</v>
      </c>
      <c r="B1240" s="116">
        <v>2329.0</v>
      </c>
      <c r="C1240" s="140">
        <v>2329.0</v>
      </c>
      <c r="D1240" s="57" t="str">
        <f>IF(   ISERROR(OFFSET(PADRON!B$2,MATCH(C:C,PADRON!A$2:A1405,0)-1,0,1,1) )  ,  ,    OFFSET(PADRON!B$2,MATCH(C:C,PADRON!A$2:A1405,0)-1,0,1,1))</f>
        <v>MAIDANA, CLARA</v>
      </c>
      <c r="E1240" s="58">
        <v>45839.0</v>
      </c>
      <c r="F1240" s="145">
        <v>45870.0</v>
      </c>
      <c r="G1240" s="59" t="s">
        <v>39</v>
      </c>
      <c r="H1240" s="60">
        <f>IF( ISERROR( OFFSET(   'Cuadro tarifario'!D$2  , MATCH(CONCATENATE(                 IF(F1240&gt;Mes,OFFSET(NroCT!B$17, MATCH($F1240,NroCT!$A$18:$A1405,0),0,1,1),Periodovigente)                                                                                                                     ,A1240) ,'Cuadro tarifario'!A$2:A1405,0) -1 , 0 , 1 , 1) )   , 0  ,   OFFSET(   'Cuadro tarifario'!D$2  , MATCH(CONCATENATE( IF(F1240&gt;Mes,OFFSET(NroCT!B$17, MATCH($F1240,NroCT!$A$18:$A1405,0),0,1,1),Periodovigente) ,A1240) ,'Cuadro tarifario'!A$2:A1405,0) -1 , 0 , 1 , 1))</f>
        <v>11000</v>
      </c>
      <c r="I1240" s="61">
        <f t="shared" si="252"/>
        <v>1</v>
      </c>
      <c r="J1240" s="60">
        <f t="shared" si="306"/>
        <v>11000</v>
      </c>
      <c r="K1240" s="62">
        <f>IF(  AND(N1240&gt;0,I1240=0)          ,N1240 ,                         IF(  IF( F1240 ,  DAYS360(DATE(YEAR(F1240),MONTH(F1240),1),Mes)/30  ,  DAYS360(DATE(YEAR(E1240),MONTH(E1240),1),Mes)/30  )  &gt;  0 , IF(F1240,   DAYS360(DATE(YEAR(F1240),MONTH(F1240),1),Mes)/30  ,  DAYS360(DATE(YEAR(E1240),MONTH(E1240),1),Mes)/30) , 0)       )</f>
        <v>0</v>
      </c>
      <c r="L1240" s="63">
        <f t="shared" si="253"/>
        <v>0</v>
      </c>
      <c r="M1240" s="162"/>
      <c r="N1240" s="97">
        <f>IF( ISERROR(OFFSET(SECUESTRADOS!D$1,MATCH(B1240,SECUESTRADOS!A$2:A1405,0),0)) ,0 ,  OFFSET(SECUESTRADOS!D$1,MATCH(B1240,SECUESTRADOS!A$2:A1405,0),0)  )</f>
        <v>0</v>
      </c>
      <c r="O1240" s="98"/>
      <c r="P1240" s="99" t="str">
        <f t="shared" si="238"/>
        <v>.socio</v>
      </c>
      <c r="Q1240" s="99" t="str">
        <f t="shared" si="304"/>
        <v>#REF!</v>
      </c>
      <c r="R1240" s="130"/>
      <c r="S1240" s="130"/>
      <c r="T1240" s="130"/>
    </row>
    <row r="1241">
      <c r="A1241" s="18" t="s">
        <v>38</v>
      </c>
      <c r="B1241" s="116">
        <v>2329.0</v>
      </c>
      <c r="C1241" s="140">
        <v>2329.0</v>
      </c>
      <c r="D1241" s="57" t="str">
        <f>IF(   ISERROR(OFFSET(PADRON!B$2,MATCH(C:C,PADRON!A$2:A1405,0)-1,0,1,1) )  ,  ,    OFFSET(PADRON!B$2,MATCH(C:C,PADRON!A$2:A1405,0)-1,0,1,1))</f>
        <v>MAIDANA, CLARA</v>
      </c>
      <c r="E1241" s="58">
        <v>45839.0</v>
      </c>
      <c r="F1241" s="145">
        <v>45870.0</v>
      </c>
      <c r="G1241" s="59" t="s">
        <v>39</v>
      </c>
      <c r="H1241" s="60">
        <f>IF( ISERROR( OFFSET(   'Cuadro tarifario'!D$2  , MATCH(CONCATENATE(                 IF(F1241&gt;Mes,OFFSET(NroCT!B$17, MATCH($F1241,NroCT!$A$18:$A1405,0),0,1,1),Periodovigente)                                                                                                                     ,A1241) ,'Cuadro tarifario'!A$2:A1405,0) -1 , 0 , 1 , 1) )   , 0  ,   OFFSET(   'Cuadro tarifario'!D$2  , MATCH(CONCATENATE( IF(F1241&gt;Mes,OFFSET(NroCT!B$17, MATCH($F1241,NroCT!$A$18:$A1405,0),0,1,1),Periodovigente) ,A1241) ,'Cuadro tarifario'!A$2:A1405,0) -1 , 0 , 1 , 1))</f>
        <v>9000</v>
      </c>
      <c r="I1241" s="61">
        <f t="shared" si="252"/>
        <v>1</v>
      </c>
      <c r="J1241" s="60">
        <f t="shared" si="306"/>
        <v>9000</v>
      </c>
      <c r="K1241" s="62">
        <f>IF(  AND(N1241&gt;0,I1241=0)          ,N1241 ,                         IF(  IF( F1241 ,  DAYS360(DATE(YEAR(F1241),MONTH(F1241),1),Mes)/30  ,  DAYS360(DATE(YEAR(E1241),MONTH(E1241),1),Mes)/30  )  &gt;  0 , IF(F1241,   DAYS360(DATE(YEAR(F1241),MONTH(F1241),1),Mes)/30  ,  DAYS360(DATE(YEAR(E1241),MONTH(E1241),1),Mes)/30) , 0)       )</f>
        <v>0</v>
      </c>
      <c r="L1241" s="63">
        <f t="shared" si="253"/>
        <v>0</v>
      </c>
      <c r="M1241" s="162"/>
      <c r="N1241" s="97">
        <f>IF( ISERROR(OFFSET(SECUESTRADOS!D$1,MATCH(B1241,SECUESTRADOS!A$2:A1405,0),0)) ,0 ,  OFFSET(SECUESTRADOS!D$1,MATCH(B1241,SECUESTRADOS!A$2:A1405,0),0)  )</f>
        <v>0</v>
      </c>
      <c r="O1241" s="98"/>
      <c r="P1241" s="99" t="str">
        <f t="shared" si="238"/>
        <v>Bono canon</v>
      </c>
      <c r="Q1241" s="99" t="str">
        <f t="shared" si="304"/>
        <v>#REF!</v>
      </c>
      <c r="R1241" s="130"/>
      <c r="S1241" s="130"/>
      <c r="T1241" s="130"/>
    </row>
    <row r="1242">
      <c r="A1242" s="18" t="s">
        <v>40</v>
      </c>
      <c r="B1242" s="116" t="s">
        <v>477</v>
      </c>
      <c r="C1242" s="140">
        <v>2329.0</v>
      </c>
      <c r="D1242" s="57" t="str">
        <f>IF(   ISERROR(OFFSET(PADRON!B$2,MATCH(C:C,PADRON!A$2:A1405,0)-1,0,1,1) )  ,  ,    OFFSET(PADRON!B$2,MATCH(C:C,PADRON!A$2:A1405,0)-1,0,1,1))</f>
        <v>MAIDANA, CLARA</v>
      </c>
      <c r="E1242" s="58">
        <v>45839.0</v>
      </c>
      <c r="F1242" s="145">
        <v>45870.0</v>
      </c>
      <c r="G1242" s="59" t="s">
        <v>39</v>
      </c>
      <c r="H1242" s="60">
        <f>IF( ISERROR( OFFSET(   'Cuadro tarifario'!D$2  , MATCH(CONCATENATE(                 IF(F1242&gt;Mes,OFFSET(NroCT!B$17, MATCH($F1242,NroCT!$A$18:$A1405,0),0,1,1),Periodovigente)                                                                                                                     ,A1242) ,'Cuadro tarifario'!A$2:A1405,0) -1 , 0 , 1 , 1) )   , 0  ,   OFFSET(   'Cuadro tarifario'!D$2  , MATCH(CONCATENATE( IF(F1242&gt;Mes,OFFSET(NroCT!B$17, MATCH($F1242,NroCT!$A$18:$A1405,0),0,1,1),Periodovigente) ,A1242) ,'Cuadro tarifario'!A$2:A1405,0) -1 , 0 , 1 , 1))</f>
        <v>12000</v>
      </c>
      <c r="I1242" s="61">
        <f t="shared" si="252"/>
        <v>1</v>
      </c>
      <c r="J1242" s="60">
        <f t="shared" si="306"/>
        <v>12000</v>
      </c>
      <c r="K1242" s="62">
        <f>IF(  AND(N1242&gt;0,I1242=0)          ,N1242 ,                         IF(  IF( F1242 ,  DAYS360(DATE(YEAR(F1242),MONTH(F1242),1),Mes)/30  ,  DAYS360(DATE(YEAR(E1242),MONTH(E1242),1),Mes)/30  )  &gt;  0 , IF(F1242,   DAYS360(DATE(YEAR(F1242),MONTH(F1242),1),Mes)/30  ,  DAYS360(DATE(YEAR(E1242),MONTH(E1242),1),Mes)/30) , 0)       )</f>
        <v>0</v>
      </c>
      <c r="L1242" s="63">
        <f t="shared" si="253"/>
        <v>0</v>
      </c>
      <c r="M1242" s="162"/>
      <c r="N1242" s="97">
        <f>IF( ISERROR(OFFSET(SECUESTRADOS!D$1,MATCH(B1242,SECUESTRADOS!A$2:A1405,0),0)) ,0 ,  OFFSET(SECUESTRADOS!D$1,MATCH(B1242,SECUESTRADOS!A$2:A1405,0),0)  )</f>
        <v>0</v>
      </c>
      <c r="O1242" s="98"/>
      <c r="P1242" s="99" t="str">
        <f t="shared" si="238"/>
        <v>cuna windsurf</v>
      </c>
      <c r="Q1242" s="99" t="str">
        <f t="shared" si="304"/>
        <v>#REF!</v>
      </c>
      <c r="R1242" s="130"/>
      <c r="S1242" s="130"/>
      <c r="T1242" s="130"/>
    </row>
    <row r="1243">
      <c r="A1243" s="18" t="s">
        <v>71</v>
      </c>
      <c r="B1243" s="116">
        <v>2330.0</v>
      </c>
      <c r="C1243" s="140">
        <v>2330.0</v>
      </c>
      <c r="D1243" s="57" t="str">
        <f>IF(   ISERROR(OFFSET(PADRON!B$2,MATCH(C:C,PADRON!A$2:A1405,0)-1,0,1,1) )  ,  ,    OFFSET(PADRON!B$2,MATCH(C:C,PADRON!A$2:A1405,0)-1,0,1,1))</f>
        <v>FREIJO, MA. JOSE</v>
      </c>
      <c r="E1243" s="58">
        <v>45839.0</v>
      </c>
      <c r="F1243" s="145">
        <v>45870.0</v>
      </c>
      <c r="G1243" s="59" t="s">
        <v>39</v>
      </c>
      <c r="H1243" s="60">
        <f>IF( ISERROR( OFFSET(   'Cuadro tarifario'!D$2  , MATCH(CONCATENATE(                 IF(F1243&gt;Mes,OFFSET(NroCT!B$17, MATCH($F1243,NroCT!$A$18:$A1405,0),0,1,1),Periodovigente)                                                                                                                     ,A1243) ,'Cuadro tarifario'!A$2:A1405,0) -1 , 0 , 1 , 1) )   , 0  ,   OFFSET(   'Cuadro tarifario'!D$2  , MATCH(CONCATENATE( IF(F1243&gt;Mes,OFFSET(NroCT!B$17, MATCH($F1243,NroCT!$A$18:$A1405,0),0,1,1),Periodovigente) ,A1243) ,'Cuadro tarifario'!A$2:A1405,0) -1 , 0 , 1 , 1))</f>
        <v>11000</v>
      </c>
      <c r="I1243" s="61">
        <f t="shared" si="252"/>
        <v>1</v>
      </c>
      <c r="J1243" s="60">
        <f t="shared" si="306"/>
        <v>11000</v>
      </c>
      <c r="K1243" s="62">
        <f>IF(  AND(N1243&gt;0,I1243=0)          ,N1243 ,                         IF(  IF( F1243 ,  DAYS360(DATE(YEAR(F1243),MONTH(F1243),1),Mes)/30  ,  DAYS360(DATE(YEAR(E1243),MONTH(E1243),1),Mes)/30  )  &gt;  0 , IF(F1243,   DAYS360(DATE(YEAR(F1243),MONTH(F1243),1),Mes)/30  ,  DAYS360(DATE(YEAR(E1243),MONTH(E1243),1),Mes)/30) , 0)       )</f>
        <v>0</v>
      </c>
      <c r="L1243" s="63">
        <f t="shared" si="253"/>
        <v>0</v>
      </c>
      <c r="M1243" s="162"/>
      <c r="N1243" s="97">
        <f>IF( ISERROR(OFFSET(SECUESTRADOS!D$1,MATCH(B1243,SECUESTRADOS!A$2:A1405,0),0)) ,0 ,  OFFSET(SECUESTRADOS!D$1,MATCH(B1243,SECUESTRADOS!A$2:A1405,0),0)  )</f>
        <v>0</v>
      </c>
      <c r="O1243" s="98"/>
      <c r="P1243" s="99" t="str">
        <f t="shared" si="238"/>
        <v>.socio</v>
      </c>
      <c r="Q1243" s="99" t="str">
        <f t="shared" si="304"/>
        <v>#REF!</v>
      </c>
      <c r="R1243" s="130"/>
      <c r="S1243" s="130"/>
      <c r="T1243" s="130"/>
    </row>
    <row r="1244">
      <c r="A1244" s="18" t="s">
        <v>38</v>
      </c>
      <c r="B1244" s="116">
        <v>2330.0</v>
      </c>
      <c r="C1244" s="140">
        <v>2330.0</v>
      </c>
      <c r="D1244" s="57" t="str">
        <f>IF(   ISERROR(OFFSET(PADRON!B$2,MATCH(C:C,PADRON!A$2:A1405,0)-1,0,1,1) )  ,  ,    OFFSET(PADRON!B$2,MATCH(C:C,PADRON!A$2:A1405,0)-1,0,1,1))</f>
        <v>FREIJO, MA. JOSE</v>
      </c>
      <c r="E1244" s="58">
        <v>45839.0</v>
      </c>
      <c r="F1244" s="145">
        <v>45870.0</v>
      </c>
      <c r="G1244" s="59" t="s">
        <v>39</v>
      </c>
      <c r="H1244" s="60">
        <f>IF( ISERROR( OFFSET(   'Cuadro tarifario'!D$2  , MATCH(CONCATENATE(                 IF(F1244&gt;Mes,OFFSET(NroCT!B$17, MATCH($F1244,NroCT!$A$18:$A1405,0),0,1,1),Periodovigente)                                                                                                                     ,A1244) ,'Cuadro tarifario'!A$2:A1405,0) -1 , 0 , 1 , 1) )   , 0  ,   OFFSET(   'Cuadro tarifario'!D$2  , MATCH(CONCATENATE( IF(F1244&gt;Mes,OFFSET(NroCT!B$17, MATCH($F1244,NroCT!$A$18:$A1405,0),0,1,1),Periodovigente) ,A1244) ,'Cuadro tarifario'!A$2:A1405,0) -1 , 0 , 1 , 1))</f>
        <v>9000</v>
      </c>
      <c r="I1244" s="61">
        <f t="shared" si="252"/>
        <v>1</v>
      </c>
      <c r="J1244" s="60">
        <f t="shared" si="306"/>
        <v>9000</v>
      </c>
      <c r="K1244" s="62">
        <f>IF(  AND(N1244&gt;0,I1244=0)          ,N1244 ,                         IF(  IF( F1244 ,  DAYS360(DATE(YEAR(F1244),MONTH(F1244),1),Mes)/30  ,  DAYS360(DATE(YEAR(E1244),MONTH(E1244),1),Mes)/30  )  &gt;  0 , IF(F1244,   DAYS360(DATE(YEAR(F1244),MONTH(F1244),1),Mes)/30  ,  DAYS360(DATE(YEAR(E1244),MONTH(E1244),1),Mes)/30) , 0)       )</f>
        <v>0</v>
      </c>
      <c r="L1244" s="63">
        <f t="shared" si="253"/>
        <v>0</v>
      </c>
      <c r="M1244" s="162"/>
      <c r="N1244" s="97">
        <f>IF( ISERROR(OFFSET(SECUESTRADOS!D$1,MATCH(B1244,SECUESTRADOS!A$2:A1405,0),0)) ,0 ,  OFFSET(SECUESTRADOS!D$1,MATCH(B1244,SECUESTRADOS!A$2:A1405,0),0)  )</f>
        <v>0</v>
      </c>
      <c r="O1244" s="98"/>
      <c r="P1244" s="99" t="str">
        <f t="shared" si="238"/>
        <v>Bono canon</v>
      </c>
      <c r="Q1244" s="99" t="str">
        <f t="shared" si="304"/>
        <v>#REF!</v>
      </c>
      <c r="R1244" s="130"/>
      <c r="S1244" s="130"/>
      <c r="T1244" s="130"/>
    </row>
    <row r="1245">
      <c r="A1245" s="18" t="s">
        <v>71</v>
      </c>
      <c r="B1245" s="116">
        <v>2331.0</v>
      </c>
      <c r="C1245" s="140">
        <v>2331.0</v>
      </c>
      <c r="D1245" s="57" t="str">
        <f>IF(   ISERROR(OFFSET(PADRON!B$2,MATCH(C:C,PADRON!A$2:A1405,0)-1,0,1,1) )  ,  ,    OFFSET(PADRON!B$2,MATCH(C:C,PADRON!A$2:A1405,0)-1,0,1,1))</f>
        <v>BASOALTO, ROY</v>
      </c>
      <c r="E1245" s="58">
        <v>45839.0</v>
      </c>
      <c r="F1245" s="145">
        <v>45870.0</v>
      </c>
      <c r="G1245" s="59" t="s">
        <v>39</v>
      </c>
      <c r="H1245" s="60">
        <f>IF( ISERROR( OFFSET(   'Cuadro tarifario'!D$2  , MATCH(CONCATENATE(                 IF(F1245&gt;Mes,OFFSET(NroCT!B$17, MATCH($F1245,NroCT!$A$18:$A1405,0),0,1,1),Periodovigente)                                                                                                                     ,A1245) ,'Cuadro tarifario'!A$2:A1405,0) -1 , 0 , 1 , 1) )   , 0  ,   OFFSET(   'Cuadro tarifario'!D$2  , MATCH(CONCATENATE( IF(F1245&gt;Mes,OFFSET(NroCT!B$17, MATCH($F1245,NroCT!$A$18:$A1405,0),0,1,1),Periodovigente) ,A1245) ,'Cuadro tarifario'!A$2:A1405,0) -1 , 0 , 1 , 1))</f>
        <v>11000</v>
      </c>
      <c r="I1245" s="61">
        <f t="shared" si="252"/>
        <v>1</v>
      </c>
      <c r="J1245" s="60">
        <f t="shared" si="306"/>
        <v>11000</v>
      </c>
      <c r="K1245" s="62">
        <f>IF(  AND(N1245&gt;0,I1245=0)          ,N1245 ,                         IF(  IF( F1245 ,  DAYS360(DATE(YEAR(F1245),MONTH(F1245),1),Mes)/30  ,  DAYS360(DATE(YEAR(E1245),MONTH(E1245),1),Mes)/30  )  &gt;  0 , IF(F1245,   DAYS360(DATE(YEAR(F1245),MONTH(F1245),1),Mes)/30  ,  DAYS360(DATE(YEAR(E1245),MONTH(E1245),1),Mes)/30) , 0)       )</f>
        <v>0</v>
      </c>
      <c r="L1245" s="63">
        <f t="shared" si="253"/>
        <v>0</v>
      </c>
      <c r="M1245" s="162"/>
      <c r="N1245" s="97">
        <f>IF( ISERROR(OFFSET(SECUESTRADOS!D$1,MATCH(B1245,SECUESTRADOS!A$2:A1405,0),0)) ,0 ,  OFFSET(SECUESTRADOS!D$1,MATCH(B1245,SECUESTRADOS!A$2:A1405,0),0)  )</f>
        <v>0</v>
      </c>
      <c r="O1245" s="98"/>
      <c r="P1245" s="99" t="str">
        <f t="shared" si="238"/>
        <v>.socio</v>
      </c>
      <c r="Q1245" s="99" t="str">
        <f t="shared" si="304"/>
        <v>#REF!</v>
      </c>
      <c r="R1245" s="130"/>
      <c r="S1245" s="130"/>
      <c r="T1245" s="130"/>
    </row>
    <row r="1246">
      <c r="A1246" s="18" t="s">
        <v>38</v>
      </c>
      <c r="B1246" s="116">
        <v>2331.0</v>
      </c>
      <c r="C1246" s="140">
        <v>2331.0</v>
      </c>
      <c r="D1246" s="57" t="str">
        <f>IF(   ISERROR(OFFSET(PADRON!B$2,MATCH(C:C,PADRON!A$2:A1405,0)-1,0,1,1) )  ,  ,    OFFSET(PADRON!B$2,MATCH(C:C,PADRON!A$2:A1405,0)-1,0,1,1))</f>
        <v>BASOALTO, ROY</v>
      </c>
      <c r="E1246" s="58">
        <v>45839.0</v>
      </c>
      <c r="F1246" s="145">
        <v>45870.0</v>
      </c>
      <c r="G1246" s="59" t="s">
        <v>39</v>
      </c>
      <c r="H1246" s="60">
        <f>IF( ISERROR( OFFSET(   'Cuadro tarifario'!D$2  , MATCH(CONCATENATE(                 IF(F1246&gt;Mes,OFFSET(NroCT!B$17, MATCH($F1246,NroCT!$A$18:$A1405,0),0,1,1),Periodovigente)                                                                                                                     ,A1246) ,'Cuadro tarifario'!A$2:A1405,0) -1 , 0 , 1 , 1) )   , 0  ,   OFFSET(   'Cuadro tarifario'!D$2  , MATCH(CONCATENATE( IF(F1246&gt;Mes,OFFSET(NroCT!B$17, MATCH($F1246,NroCT!$A$18:$A1405,0),0,1,1),Periodovigente) ,A1246) ,'Cuadro tarifario'!A$2:A1405,0) -1 , 0 , 1 , 1))</f>
        <v>9000</v>
      </c>
      <c r="I1246" s="61">
        <f t="shared" si="252"/>
        <v>1</v>
      </c>
      <c r="J1246" s="60">
        <f t="shared" si="306"/>
        <v>9000</v>
      </c>
      <c r="K1246" s="62">
        <f>IF(  AND(N1246&gt;0,I1246=0)          ,N1246 ,                         IF(  IF( F1246 ,  DAYS360(DATE(YEAR(F1246),MONTH(F1246),1),Mes)/30  ,  DAYS360(DATE(YEAR(E1246),MONTH(E1246),1),Mes)/30  )  &gt;  0 , IF(F1246,   DAYS360(DATE(YEAR(F1246),MONTH(F1246),1),Mes)/30  ,  DAYS360(DATE(YEAR(E1246),MONTH(E1246),1),Mes)/30) , 0)       )</f>
        <v>0</v>
      </c>
      <c r="L1246" s="63">
        <f t="shared" si="253"/>
        <v>0</v>
      </c>
      <c r="M1246" s="162"/>
      <c r="N1246" s="97">
        <f>IF( ISERROR(OFFSET(SECUESTRADOS!D$1,MATCH(B1246,SECUESTRADOS!A$2:A1405,0),0)) ,0 ,  OFFSET(SECUESTRADOS!D$1,MATCH(B1246,SECUESTRADOS!A$2:A1405,0),0)  )</f>
        <v>0</v>
      </c>
      <c r="O1246" s="98"/>
      <c r="P1246" s="99" t="str">
        <f t="shared" si="238"/>
        <v>Bono canon</v>
      </c>
      <c r="Q1246" s="99" t="str">
        <f t="shared" si="304"/>
        <v>#REF!</v>
      </c>
      <c r="R1246" s="130"/>
      <c r="S1246" s="130"/>
      <c r="T1246" s="130"/>
    </row>
    <row r="1247">
      <c r="A1247" s="18" t="s">
        <v>71</v>
      </c>
      <c r="B1247" s="116">
        <v>2332.0</v>
      </c>
      <c r="C1247" s="140">
        <v>2332.0</v>
      </c>
      <c r="D1247" s="57" t="str">
        <f>IF(   ISERROR(OFFSET(PADRON!B$2,MATCH(C:C,PADRON!A$2:A1405,0)-1,0,1,1) )  ,  ,    OFFSET(PADRON!B$2,MATCH(C:C,PADRON!A$2:A1405,0)-1,0,1,1))</f>
        <v>ALONSO, GASTON GABRIEL</v>
      </c>
      <c r="E1247" s="58">
        <v>45839.0</v>
      </c>
      <c r="F1247" s="145">
        <v>45870.0</v>
      </c>
      <c r="G1247" s="59" t="s">
        <v>39</v>
      </c>
      <c r="H1247" s="60">
        <f>IF( ISERROR( OFFSET(   'Cuadro tarifario'!D$2  , MATCH(CONCATENATE(                 IF(F1247&gt;Mes,OFFSET(NroCT!B$17, MATCH($F1247,NroCT!$A$18:$A1405,0),0,1,1),Periodovigente)                                                                                                                     ,A1247) ,'Cuadro tarifario'!A$2:A1405,0) -1 , 0 , 1 , 1) )   , 0  ,   OFFSET(   'Cuadro tarifario'!D$2  , MATCH(CONCATENATE( IF(F1247&gt;Mes,OFFSET(NroCT!B$17, MATCH($F1247,NroCT!$A$18:$A1405,0),0,1,1),Periodovigente) ,A1247) ,'Cuadro tarifario'!A$2:A1405,0) -1 , 0 , 1 , 1))</f>
        <v>11000</v>
      </c>
      <c r="I1247" s="61">
        <f t="shared" si="252"/>
        <v>1</v>
      </c>
      <c r="J1247" s="60">
        <f t="shared" si="306"/>
        <v>11000</v>
      </c>
      <c r="K1247" s="62">
        <f>IF(  AND(N1247&gt;0,I1247=0)          ,N1247 ,                         IF(  IF( F1247 ,  DAYS360(DATE(YEAR(F1247),MONTH(F1247),1),Mes)/30  ,  DAYS360(DATE(YEAR(E1247),MONTH(E1247),1),Mes)/30  )  &gt;  0 , IF(F1247,   DAYS360(DATE(YEAR(F1247),MONTH(F1247),1),Mes)/30  ,  DAYS360(DATE(YEAR(E1247),MONTH(E1247),1),Mes)/30) , 0)       )</f>
        <v>0</v>
      </c>
      <c r="L1247" s="63">
        <f t="shared" si="253"/>
        <v>0</v>
      </c>
      <c r="M1247" s="162"/>
      <c r="N1247" s="97">
        <f>IF( ISERROR(OFFSET(SECUESTRADOS!D$1,MATCH(B1247,SECUESTRADOS!A$2:A1405,0),0)) ,0 ,  OFFSET(SECUESTRADOS!D$1,MATCH(B1247,SECUESTRADOS!A$2:A1405,0),0)  )</f>
        <v>0</v>
      </c>
      <c r="O1247" s="98"/>
      <c r="P1247" s="99" t="str">
        <f t="shared" si="238"/>
        <v>.socio</v>
      </c>
      <c r="Q1247" s="99" t="str">
        <f t="shared" si="304"/>
        <v>#REF!</v>
      </c>
      <c r="R1247" s="130"/>
      <c r="S1247" s="130"/>
      <c r="T1247" s="130"/>
    </row>
    <row r="1248">
      <c r="A1248" s="18" t="s">
        <v>38</v>
      </c>
      <c r="B1248" s="116">
        <v>2332.0</v>
      </c>
      <c r="C1248" s="140">
        <v>2332.0</v>
      </c>
      <c r="D1248" s="57" t="str">
        <f>IF(   ISERROR(OFFSET(PADRON!B$2,MATCH(C:C,PADRON!A$2:A1405,0)-1,0,1,1) )  ,  ,    OFFSET(PADRON!B$2,MATCH(C:C,PADRON!A$2:A1405,0)-1,0,1,1))</f>
        <v>ALONSO, GASTON GABRIEL</v>
      </c>
      <c r="E1248" s="58">
        <v>45839.0</v>
      </c>
      <c r="F1248" s="145">
        <v>45870.0</v>
      </c>
      <c r="G1248" s="59" t="s">
        <v>39</v>
      </c>
      <c r="H1248" s="60">
        <f>IF( ISERROR( OFFSET(   'Cuadro tarifario'!D$2  , MATCH(CONCATENATE(                 IF(F1248&gt;Mes,OFFSET(NroCT!B$17, MATCH($F1248,NroCT!$A$18:$A1405,0),0,1,1),Periodovigente)                                                                                                                     ,A1248) ,'Cuadro tarifario'!A$2:A1405,0) -1 , 0 , 1 , 1) )   , 0  ,   OFFSET(   'Cuadro tarifario'!D$2  , MATCH(CONCATENATE( IF(F1248&gt;Mes,OFFSET(NroCT!B$17, MATCH($F1248,NroCT!$A$18:$A1405,0),0,1,1),Periodovigente) ,A1248) ,'Cuadro tarifario'!A$2:A1405,0) -1 , 0 , 1 , 1))</f>
        <v>9000</v>
      </c>
      <c r="I1248" s="61">
        <f t="shared" si="252"/>
        <v>1</v>
      </c>
      <c r="J1248" s="60">
        <f t="shared" si="306"/>
        <v>9000</v>
      </c>
      <c r="K1248" s="62">
        <f>IF(  AND(N1248&gt;0,I1248=0)          ,N1248 ,                         IF(  IF( F1248 ,  DAYS360(DATE(YEAR(F1248),MONTH(F1248),1),Mes)/30  ,  DAYS360(DATE(YEAR(E1248),MONTH(E1248),1),Mes)/30  )  &gt;  0 , IF(F1248,   DAYS360(DATE(YEAR(F1248),MONTH(F1248),1),Mes)/30  ,  DAYS360(DATE(YEAR(E1248),MONTH(E1248),1),Mes)/30) , 0)       )</f>
        <v>0</v>
      </c>
      <c r="L1248" s="63">
        <f t="shared" si="253"/>
        <v>0</v>
      </c>
      <c r="M1248" s="162"/>
      <c r="N1248" s="97">
        <f>IF( ISERROR(OFFSET(SECUESTRADOS!D$1,MATCH(B1248,SECUESTRADOS!A$2:A1405,0),0)) ,0 ,  OFFSET(SECUESTRADOS!D$1,MATCH(B1248,SECUESTRADOS!A$2:A1405,0),0)  )</f>
        <v>0</v>
      </c>
      <c r="O1248" s="98"/>
      <c r="P1248" s="99" t="str">
        <f t="shared" si="238"/>
        <v>Bono canon</v>
      </c>
      <c r="Q1248" s="99" t="str">
        <f t="shared" si="304"/>
        <v>#REF!</v>
      </c>
      <c r="R1248" s="130"/>
      <c r="S1248" s="130"/>
      <c r="T1248" s="130"/>
    </row>
    <row r="1249">
      <c r="A1249" s="18" t="s">
        <v>50</v>
      </c>
      <c r="B1249" s="116" t="s">
        <v>478</v>
      </c>
      <c r="C1249" s="140">
        <v>2332.0</v>
      </c>
      <c r="D1249" s="57" t="str">
        <f>IF(   ISERROR(OFFSET(PADRON!B$2,MATCH(C:C,PADRON!A$2:A1405,0)-1,0,1,1) )  ,  ,    OFFSET(PADRON!B$2,MATCH(C:C,PADRON!A$2:A1405,0)-1,0,1,1))</f>
        <v>ALONSO, GASTON GABRIEL</v>
      </c>
      <c r="E1249" s="58">
        <v>45992.0</v>
      </c>
      <c r="F1249" s="145"/>
      <c r="G1249" s="59" t="s">
        <v>39</v>
      </c>
      <c r="H1249" s="60">
        <f>IF( ISERROR( OFFSET(   'Cuadro tarifario'!D$2  , MATCH(CONCATENATE(                 IF(F1249&gt;Mes,OFFSET(NroCT!B$17, MATCH($F1249,NroCT!$A$18:$A1405,0),0,1,1),Periodovigente)                                                                                                                     ,A1249) ,'Cuadro tarifario'!A$2:A1405,0) -1 , 0 , 1 , 1) )   , 0  ,   OFFSET(   'Cuadro tarifario'!D$2  , MATCH(CONCATENATE( IF(F1249&gt;Mes,OFFSET(NroCT!B$17, MATCH($F1249,NroCT!$A$18:$A1405,0),0,1,1),Periodovigente) ,A1249) ,'Cuadro tarifario'!A$2:A1405,0) -1 , 0 , 1 , 1))</f>
        <v>3600</v>
      </c>
      <c r="I1249" s="61">
        <f t="shared" si="252"/>
        <v>0</v>
      </c>
      <c r="J1249" s="60">
        <f t="shared" si="306"/>
        <v>0</v>
      </c>
      <c r="K1249" s="62">
        <f>IF(  AND(N1249&gt;0,I1249=0)          ,N1249 ,                         IF(  IF( F1249 ,  DAYS360(DATE(YEAR(F1249),MONTH(F1249),1),Mes)/30  ,  DAYS360(DATE(YEAR(E1249),MONTH(E1249),1),Mes)/30  )  &gt;  0 , IF(F1249,   DAYS360(DATE(YEAR(F1249),MONTH(F1249),1),Mes)/30  ,  DAYS360(DATE(YEAR(E1249),MONTH(E1249),1),Mes)/30) , 0)       )</f>
        <v>0</v>
      </c>
      <c r="L1249" s="63">
        <f t="shared" si="253"/>
        <v>0</v>
      </c>
      <c r="M1249" s="162"/>
      <c r="N1249" s="97">
        <f>IF( ISERROR(OFFSET(SECUESTRADOS!D$1,MATCH(B1249,SECUESTRADOS!A$2:A1405,0),0)) ,0 ,  OFFSET(SECUESTRADOS!D$1,MATCH(B1249,SECUESTRADOS!A$2:A1405,0),0)  )</f>
        <v>0</v>
      </c>
      <c r="O1249" s="98"/>
      <c r="P1249" s="99" t="b">
        <f t="shared" si="238"/>
        <v>0</v>
      </c>
      <c r="Q1249" s="99" t="str">
        <f t="shared" si="304"/>
        <v>#REF!</v>
      </c>
      <c r="R1249" s="130"/>
      <c r="S1249" s="130"/>
      <c r="T1249" s="130"/>
    </row>
    <row r="1250">
      <c r="A1250" s="18" t="s">
        <v>71</v>
      </c>
      <c r="B1250" s="116">
        <v>2333.0</v>
      </c>
      <c r="C1250" s="140">
        <v>2333.0</v>
      </c>
      <c r="D1250" s="57" t="str">
        <f>IF(   ISERROR(OFFSET(PADRON!B$2,MATCH(C:C,PADRON!A$2:A1405,0)-1,0,1,1) )  ,  ,    OFFSET(PADRON!B$2,MATCH(C:C,PADRON!A$2:A1405,0)-1,0,1,1))</f>
        <v>BARRIOS, BETIANA</v>
      </c>
      <c r="E1250" s="58">
        <v>45839.0</v>
      </c>
      <c r="F1250" s="145">
        <v>45870.0</v>
      </c>
      <c r="G1250" s="59" t="s">
        <v>39</v>
      </c>
      <c r="H1250" s="60">
        <f>IF( ISERROR( OFFSET(   'Cuadro tarifario'!D$2  , MATCH(CONCATENATE(                 IF(F1250&gt;Mes,OFFSET(NroCT!B$17, MATCH($F1250,NroCT!$A$18:$A1405,0),0,1,1),Periodovigente)                                                                                                                     ,A1250) ,'Cuadro tarifario'!A$2:A1405,0) -1 , 0 , 1 , 1) )   , 0  ,   OFFSET(   'Cuadro tarifario'!D$2  , MATCH(CONCATENATE( IF(F1250&gt;Mes,OFFSET(NroCT!B$17, MATCH($F1250,NroCT!$A$18:$A1405,0),0,1,1),Periodovigente) ,A1250) ,'Cuadro tarifario'!A$2:A1405,0) -1 , 0 , 1 , 1))</f>
        <v>11000</v>
      </c>
      <c r="I1250" s="61">
        <f t="shared" si="252"/>
        <v>1</v>
      </c>
      <c r="J1250" s="60">
        <f t="shared" si="306"/>
        <v>11000</v>
      </c>
      <c r="K1250" s="62">
        <f>IF(  AND(N1250&gt;0,I1250=0)          ,N1250 ,                         IF(  IF( F1250 ,  DAYS360(DATE(YEAR(F1250),MONTH(F1250),1),Mes)/30  ,  DAYS360(DATE(YEAR(E1250),MONTH(E1250),1),Mes)/30  )  &gt;  0 , IF(F1250,   DAYS360(DATE(YEAR(F1250),MONTH(F1250),1),Mes)/30  ,  DAYS360(DATE(YEAR(E1250),MONTH(E1250),1),Mes)/30) , 0)       )</f>
        <v>0</v>
      </c>
      <c r="L1250" s="63">
        <f t="shared" si="253"/>
        <v>0</v>
      </c>
      <c r="M1250" s="162"/>
      <c r="N1250" s="97">
        <f>IF( ISERROR(OFFSET(SECUESTRADOS!D$1,MATCH(B1250,SECUESTRADOS!A$2:A1405,0),0)) ,0 ,  OFFSET(SECUESTRADOS!D$1,MATCH(B1250,SECUESTRADOS!A$2:A1405,0),0)  )</f>
        <v>0</v>
      </c>
      <c r="O1250" s="98"/>
      <c r="P1250" s="99" t="str">
        <f t="shared" si="238"/>
        <v>.socio</v>
      </c>
      <c r="Q1250" s="99" t="str">
        <f t="shared" si="304"/>
        <v>#REF!</v>
      </c>
      <c r="R1250" s="130"/>
      <c r="S1250" s="130"/>
      <c r="T1250" s="130"/>
    </row>
    <row r="1251">
      <c r="A1251" s="18" t="s">
        <v>38</v>
      </c>
      <c r="B1251" s="116">
        <v>2333.0</v>
      </c>
      <c r="C1251" s="140">
        <v>2333.0</v>
      </c>
      <c r="D1251" s="57" t="str">
        <f>IF(   ISERROR(OFFSET(PADRON!B$2,MATCH(C:C,PADRON!A$2:A1405,0)-1,0,1,1) )  ,  ,    OFFSET(PADRON!B$2,MATCH(C:C,PADRON!A$2:A1405,0)-1,0,1,1))</f>
        <v>BARRIOS, BETIANA</v>
      </c>
      <c r="E1251" s="58">
        <v>45839.0</v>
      </c>
      <c r="F1251" s="145">
        <v>45870.0</v>
      </c>
      <c r="G1251" s="59" t="s">
        <v>39</v>
      </c>
      <c r="H1251" s="60">
        <f>IF( ISERROR( OFFSET(   'Cuadro tarifario'!D$2  , MATCH(CONCATENATE(                 IF(F1251&gt;Mes,OFFSET(NroCT!B$17, MATCH($F1251,NroCT!$A$18:$A1405,0),0,1,1),Periodovigente)                                                                                                                     ,A1251) ,'Cuadro tarifario'!A$2:A1405,0) -1 , 0 , 1 , 1) )   , 0  ,   OFFSET(   'Cuadro tarifario'!D$2  , MATCH(CONCATENATE( IF(F1251&gt;Mes,OFFSET(NroCT!B$17, MATCH($F1251,NroCT!$A$18:$A1405,0),0,1,1),Periodovigente) ,A1251) ,'Cuadro tarifario'!A$2:A1405,0) -1 , 0 , 1 , 1))</f>
        <v>9000</v>
      </c>
      <c r="I1251" s="61">
        <f t="shared" si="252"/>
        <v>1</v>
      </c>
      <c r="J1251" s="60">
        <f t="shared" si="306"/>
        <v>9000</v>
      </c>
      <c r="K1251" s="62">
        <f>IF(  AND(N1251&gt;0,I1251=0)          ,N1251 ,                         IF(  IF( F1251 ,  DAYS360(DATE(YEAR(F1251),MONTH(F1251),1),Mes)/30  ,  DAYS360(DATE(YEAR(E1251),MONTH(E1251),1),Mes)/30  )  &gt;  0 , IF(F1251,   DAYS360(DATE(YEAR(F1251),MONTH(F1251),1),Mes)/30  ,  DAYS360(DATE(YEAR(E1251),MONTH(E1251),1),Mes)/30) , 0)       )</f>
        <v>0</v>
      </c>
      <c r="L1251" s="63">
        <f t="shared" si="253"/>
        <v>0</v>
      </c>
      <c r="M1251" s="162"/>
      <c r="N1251" s="97">
        <f>IF( ISERROR(OFFSET(SECUESTRADOS!D$1,MATCH(B1251,SECUESTRADOS!A$2:A1405,0),0)) ,0 ,  OFFSET(SECUESTRADOS!D$1,MATCH(B1251,SECUESTRADOS!A$2:A1405,0),0)  )</f>
        <v>0</v>
      </c>
      <c r="O1251" s="98"/>
      <c r="P1251" s="99" t="str">
        <f t="shared" si="238"/>
        <v>Bono canon</v>
      </c>
      <c r="Q1251" s="99" t="str">
        <f t="shared" si="304"/>
        <v>#REF!</v>
      </c>
      <c r="R1251" s="130"/>
      <c r="S1251" s="130"/>
      <c r="T1251" s="130"/>
    </row>
    <row r="1252">
      <c r="A1252" s="18" t="s">
        <v>71</v>
      </c>
      <c r="B1252" s="116">
        <v>2334.0</v>
      </c>
      <c r="C1252" s="140">
        <v>2334.0</v>
      </c>
      <c r="D1252" s="57" t="str">
        <f>IF(   ISERROR(OFFSET(PADRON!B$2,MATCH(C:C,PADRON!A$2:A1405,0)-1,0,1,1) )  ,  ,    OFFSET(PADRON!B$2,MATCH(C:C,PADRON!A$2:A1405,0)-1,0,1,1))</f>
        <v>ALONSO, MORENA</v>
      </c>
      <c r="E1252" s="58">
        <v>45839.0</v>
      </c>
      <c r="F1252" s="145">
        <v>45870.0</v>
      </c>
      <c r="G1252" s="59" t="s">
        <v>39</v>
      </c>
      <c r="H1252" s="60">
        <f>IF( ISERROR( OFFSET(   'Cuadro tarifario'!D$2  , MATCH(CONCATENATE(                 IF(F1252&gt;Mes,OFFSET(NroCT!B$17, MATCH($F1252,NroCT!$A$18:$A1405,0),0,1,1),Periodovigente)                                                                                                                     ,A1252) ,'Cuadro tarifario'!A$2:A1405,0) -1 , 0 , 1 , 1) )   , 0  ,   OFFSET(   'Cuadro tarifario'!D$2  , MATCH(CONCATENATE( IF(F1252&gt;Mes,OFFSET(NroCT!B$17, MATCH($F1252,NroCT!$A$18:$A1405,0),0,1,1),Periodovigente) ,A1252) ,'Cuadro tarifario'!A$2:A1405,0) -1 , 0 , 1 , 1))</f>
        <v>11000</v>
      </c>
      <c r="I1252" s="61">
        <f t="shared" si="252"/>
        <v>1</v>
      </c>
      <c r="J1252" s="60">
        <f t="shared" si="306"/>
        <v>11000</v>
      </c>
      <c r="K1252" s="62">
        <f>IF(  AND(N1252&gt;0,I1252=0)          ,N1252 ,                         IF(  IF( F1252 ,  DAYS360(DATE(YEAR(F1252),MONTH(F1252),1),Mes)/30  ,  DAYS360(DATE(YEAR(E1252),MONTH(E1252),1),Mes)/30  )  &gt;  0 , IF(F1252,   DAYS360(DATE(YEAR(F1252),MONTH(F1252),1),Mes)/30  ,  DAYS360(DATE(YEAR(E1252),MONTH(E1252),1),Mes)/30) , 0)       )</f>
        <v>0</v>
      </c>
      <c r="L1252" s="63">
        <f t="shared" si="253"/>
        <v>0</v>
      </c>
      <c r="M1252" s="162"/>
      <c r="N1252" s="97">
        <f>IF( ISERROR(OFFSET(SECUESTRADOS!D$1,MATCH(B1252,SECUESTRADOS!A$2:A1405,0),0)) ,0 ,  OFFSET(SECUESTRADOS!D$1,MATCH(B1252,SECUESTRADOS!A$2:A1405,0),0)  )</f>
        <v>0</v>
      </c>
      <c r="O1252" s="98"/>
      <c r="P1252" s="99" t="str">
        <f t="shared" si="238"/>
        <v>.socio</v>
      </c>
      <c r="Q1252" s="99" t="str">
        <f t="shared" si="304"/>
        <v>#REF!</v>
      </c>
      <c r="R1252" s="130"/>
      <c r="S1252" s="130"/>
      <c r="T1252" s="130"/>
    </row>
    <row r="1253">
      <c r="A1253" s="18" t="s">
        <v>38</v>
      </c>
      <c r="B1253" s="116">
        <v>2334.0</v>
      </c>
      <c r="C1253" s="140">
        <v>2334.0</v>
      </c>
      <c r="D1253" s="57" t="str">
        <f>IF(   ISERROR(OFFSET(PADRON!B$2,MATCH(C:C,PADRON!A$2:A1405,0)-1,0,1,1) )  ,  ,    OFFSET(PADRON!B$2,MATCH(C:C,PADRON!A$2:A1405,0)-1,0,1,1))</f>
        <v>ALONSO, MORENA</v>
      </c>
      <c r="E1253" s="58">
        <v>45839.0</v>
      </c>
      <c r="F1253" s="145">
        <v>45870.0</v>
      </c>
      <c r="G1253" s="59" t="s">
        <v>39</v>
      </c>
      <c r="H1253" s="60">
        <f>IF( ISERROR( OFFSET(   'Cuadro tarifario'!D$2  , MATCH(CONCATENATE(                 IF(F1253&gt;Mes,OFFSET(NroCT!B$17, MATCH($F1253,NroCT!$A$18:$A1405,0),0,1,1),Periodovigente)                                                                                                                     ,A1253) ,'Cuadro tarifario'!A$2:A1405,0) -1 , 0 , 1 , 1) )   , 0  ,   OFFSET(   'Cuadro tarifario'!D$2  , MATCH(CONCATENATE( IF(F1253&gt;Mes,OFFSET(NroCT!B$17, MATCH($F1253,NroCT!$A$18:$A1405,0),0,1,1),Periodovigente) ,A1253) ,'Cuadro tarifario'!A$2:A1405,0) -1 , 0 , 1 , 1))</f>
        <v>9000</v>
      </c>
      <c r="I1253" s="61">
        <f t="shared" si="252"/>
        <v>1</v>
      </c>
      <c r="J1253" s="60">
        <f t="shared" si="306"/>
        <v>9000</v>
      </c>
      <c r="K1253" s="62">
        <f>IF(  AND(N1253&gt;0,I1253=0)          ,N1253 ,                         IF(  IF( F1253 ,  DAYS360(DATE(YEAR(F1253),MONTH(F1253),1),Mes)/30  ,  DAYS360(DATE(YEAR(E1253),MONTH(E1253),1),Mes)/30  )  &gt;  0 , IF(F1253,   DAYS360(DATE(YEAR(F1253),MONTH(F1253),1),Mes)/30  ,  DAYS360(DATE(YEAR(E1253),MONTH(E1253),1),Mes)/30) , 0)       )</f>
        <v>0</v>
      </c>
      <c r="L1253" s="63">
        <f t="shared" si="253"/>
        <v>0</v>
      </c>
      <c r="M1253" s="162"/>
      <c r="N1253" s="97">
        <f>IF( ISERROR(OFFSET(SECUESTRADOS!D$1,MATCH(B1253,SECUESTRADOS!A$2:A1405,0),0)) ,0 ,  OFFSET(SECUESTRADOS!D$1,MATCH(B1253,SECUESTRADOS!A$2:A1405,0),0)  )</f>
        <v>0</v>
      </c>
      <c r="O1253" s="98"/>
      <c r="P1253" s="99" t="str">
        <f t="shared" si="238"/>
        <v>Bono canon</v>
      </c>
      <c r="Q1253" s="99" t="str">
        <f t="shared" si="304"/>
        <v>#REF!</v>
      </c>
      <c r="R1253" s="130"/>
      <c r="S1253" s="130"/>
      <c r="T1253" s="130"/>
    </row>
    <row r="1254">
      <c r="A1254" s="18" t="s">
        <v>71</v>
      </c>
      <c r="B1254" s="116">
        <v>2335.0</v>
      </c>
      <c r="C1254" s="140">
        <v>2335.0</v>
      </c>
      <c r="D1254" s="57" t="str">
        <f>IF(   ISERROR(OFFSET(PADRON!B$2,MATCH(C:C,PADRON!A$2:A1405,0)-1,0,1,1) )  ,  ,    OFFSET(PADRON!B$2,MATCH(C:C,PADRON!A$2:A1405,0)-1,0,1,1))</f>
        <v>KAIP, GERARDO</v>
      </c>
      <c r="E1254" s="58">
        <v>45839.0</v>
      </c>
      <c r="F1254" s="145">
        <v>45870.0</v>
      </c>
      <c r="G1254" s="59" t="s">
        <v>39</v>
      </c>
      <c r="H1254" s="60">
        <f>IF( ISERROR( OFFSET(   'Cuadro tarifario'!D$2  , MATCH(CONCATENATE(                 IF(F1254&gt;Mes,OFFSET(NroCT!B$17, MATCH($F1254,NroCT!$A$18:$A1405,0),0,1,1),Periodovigente)                                                                                                                     ,A1254) ,'Cuadro tarifario'!A$2:A1405,0) -1 , 0 , 1 , 1) )   , 0  ,   OFFSET(   'Cuadro tarifario'!D$2  , MATCH(CONCATENATE( IF(F1254&gt;Mes,OFFSET(NroCT!B$17, MATCH($F1254,NroCT!$A$18:$A1405,0),0,1,1),Periodovigente) ,A1254) ,'Cuadro tarifario'!A$2:A1405,0) -1 , 0 , 1 , 1))</f>
        <v>11000</v>
      </c>
      <c r="I1254" s="61">
        <f t="shared" si="252"/>
        <v>1</v>
      </c>
      <c r="J1254" s="60">
        <f t="shared" si="306"/>
        <v>11000</v>
      </c>
      <c r="K1254" s="62">
        <f>IF(  AND(N1254&gt;0,I1254=0)          ,N1254 ,                         IF(  IF( F1254 ,  DAYS360(DATE(YEAR(F1254),MONTH(F1254),1),Mes)/30  ,  DAYS360(DATE(YEAR(E1254),MONTH(E1254),1),Mes)/30  )  &gt;  0 , IF(F1254,   DAYS360(DATE(YEAR(F1254),MONTH(F1254),1),Mes)/30  ,  DAYS360(DATE(YEAR(E1254),MONTH(E1254),1),Mes)/30) , 0)       )</f>
        <v>0</v>
      </c>
      <c r="L1254" s="63">
        <f t="shared" si="253"/>
        <v>0</v>
      </c>
      <c r="M1254" s="162"/>
      <c r="N1254" s="97">
        <f>IF( ISERROR(OFFSET(SECUESTRADOS!D$1,MATCH(B1254,SECUESTRADOS!A$2:A1405,0),0)) ,0 ,  OFFSET(SECUESTRADOS!D$1,MATCH(B1254,SECUESTRADOS!A$2:A1405,0),0)  )</f>
        <v>0</v>
      </c>
      <c r="O1254" s="98"/>
      <c r="P1254" s="99" t="str">
        <f t="shared" si="238"/>
        <v>.socio</v>
      </c>
      <c r="Q1254" s="99" t="str">
        <f t="shared" si="304"/>
        <v>#REF!</v>
      </c>
      <c r="R1254" s="130"/>
      <c r="S1254" s="130"/>
      <c r="T1254" s="130"/>
    </row>
    <row r="1255">
      <c r="A1255" s="18" t="s">
        <v>38</v>
      </c>
      <c r="B1255" s="116">
        <v>2335.0</v>
      </c>
      <c r="C1255" s="140">
        <v>2335.0</v>
      </c>
      <c r="D1255" s="57" t="str">
        <f>IF(   ISERROR(OFFSET(PADRON!B$2,MATCH(C:C,PADRON!A$2:A1405,0)-1,0,1,1) )  ,  ,    OFFSET(PADRON!B$2,MATCH(C:C,PADRON!A$2:A1405,0)-1,0,1,1))</f>
        <v>KAIP, GERARDO</v>
      </c>
      <c r="E1255" s="58">
        <v>45839.0</v>
      </c>
      <c r="F1255" s="145">
        <v>45870.0</v>
      </c>
      <c r="G1255" s="59" t="s">
        <v>39</v>
      </c>
      <c r="H1255" s="60">
        <f>IF( ISERROR( OFFSET(   'Cuadro tarifario'!D$2  , MATCH(CONCATENATE(                 IF(F1255&gt;Mes,OFFSET(NroCT!B$17, MATCH($F1255,NroCT!$A$18:$A1405,0),0,1,1),Periodovigente)                                                                                                                     ,A1255) ,'Cuadro tarifario'!A$2:A1405,0) -1 , 0 , 1 , 1) )   , 0  ,   OFFSET(   'Cuadro tarifario'!D$2  , MATCH(CONCATENATE( IF(F1255&gt;Mes,OFFSET(NroCT!B$17, MATCH($F1255,NroCT!$A$18:$A1405,0),0,1,1),Periodovigente) ,A1255) ,'Cuadro tarifario'!A$2:A1405,0) -1 , 0 , 1 , 1))</f>
        <v>9000</v>
      </c>
      <c r="I1255" s="61">
        <f t="shared" si="252"/>
        <v>1</v>
      </c>
      <c r="J1255" s="60">
        <f t="shared" si="306"/>
        <v>9000</v>
      </c>
      <c r="K1255" s="62">
        <f>IF(  AND(N1255&gt;0,I1255=0)          ,N1255 ,                         IF(  IF( F1255 ,  DAYS360(DATE(YEAR(F1255),MONTH(F1255),1),Mes)/30  ,  DAYS360(DATE(YEAR(E1255),MONTH(E1255),1),Mes)/30  )  &gt;  0 , IF(F1255,   DAYS360(DATE(YEAR(F1255),MONTH(F1255),1),Mes)/30  ,  DAYS360(DATE(YEAR(E1255),MONTH(E1255),1),Mes)/30) , 0)       )</f>
        <v>0</v>
      </c>
      <c r="L1255" s="63">
        <f t="shared" si="253"/>
        <v>0</v>
      </c>
      <c r="M1255" s="162"/>
      <c r="N1255" s="97">
        <f>IF( ISERROR(OFFSET(SECUESTRADOS!D$1,MATCH(B1255,SECUESTRADOS!A$2:A1405,0),0)) ,0 ,  OFFSET(SECUESTRADOS!D$1,MATCH(B1255,SECUESTRADOS!A$2:A1405,0),0)  )</f>
        <v>0</v>
      </c>
      <c r="O1255" s="98"/>
      <c r="P1255" s="99" t="str">
        <f t="shared" si="238"/>
        <v>Bono canon</v>
      </c>
      <c r="Q1255" s="99" t="str">
        <f t="shared" si="304"/>
        <v>#REF!</v>
      </c>
      <c r="R1255" s="130"/>
      <c r="S1255" s="130"/>
      <c r="T1255" s="130"/>
    </row>
    <row r="1256">
      <c r="A1256" s="18" t="s">
        <v>71</v>
      </c>
      <c r="B1256" s="116">
        <v>2337.0</v>
      </c>
      <c r="C1256" s="140">
        <v>2337.0</v>
      </c>
      <c r="D1256" s="57" t="str">
        <f>IF(   ISERROR(OFFSET(PADRON!B$2,MATCH(C:C,PADRON!A$2:A1405,0)-1,0,1,1) )  ,  ,    OFFSET(PADRON!B$2,MATCH(C:C,PADRON!A$2:A1405,0)-1,0,1,1))</f>
        <v>QUINTANA, GUSTAVO</v>
      </c>
      <c r="E1256" s="58">
        <v>45870.0</v>
      </c>
      <c r="F1256" s="145"/>
      <c r="G1256" s="59" t="s">
        <v>39</v>
      </c>
      <c r="H1256" s="60">
        <f>IF( ISERROR( OFFSET(   'Cuadro tarifario'!D$2  , MATCH(CONCATENATE(                 IF(F1256&gt;Mes,OFFSET(NroCT!B$17, MATCH($F1256,NroCT!$A$18:$A1405,0),0,1,1),Periodovigente)                                                                                                                     ,A1256) ,'Cuadro tarifario'!A$2:A1405,0) -1 , 0 , 1 , 1) )   , 0  ,   OFFSET(   'Cuadro tarifario'!D$2  , MATCH(CONCATENATE( IF(F1256&gt;Mes,OFFSET(NroCT!B$17, MATCH($F1256,NroCT!$A$18:$A1405,0),0,1,1),Periodovigente) ,A1256) ,'Cuadro tarifario'!A$2:A1405,0) -1 , 0 , 1 , 1))</f>
        <v>11000</v>
      </c>
      <c r="I1256" s="61">
        <f t="shared" si="252"/>
        <v>0</v>
      </c>
      <c r="J1256" s="60">
        <f t="shared" si="306"/>
        <v>0</v>
      </c>
      <c r="K1256" s="62">
        <f>IF(  AND(N1256&gt;0,I1256=0)          ,N1256 ,                         IF(  IF( F1256 ,  DAYS360(DATE(YEAR(F1256),MONTH(F1256),1),Mes)/30  ,  DAYS360(DATE(YEAR(E1256),MONTH(E1256),1),Mes)/30  )  &gt;  0 , IF(F1256,   DAYS360(DATE(YEAR(F1256),MONTH(F1256),1),Mes)/30  ,  DAYS360(DATE(YEAR(E1256),MONTH(E1256),1),Mes)/30) , 0)       )</f>
        <v>0</v>
      </c>
      <c r="L1256" s="63">
        <f t="shared" si="253"/>
        <v>0</v>
      </c>
      <c r="M1256" s="162"/>
      <c r="N1256" s="97">
        <f>IF( ISERROR(OFFSET(SECUESTRADOS!D$1,MATCH(B1256,SECUESTRADOS!A$2:A1405,0),0)) ,0 ,  OFFSET(SECUESTRADOS!D$1,MATCH(B1256,SECUESTRADOS!A$2:A1405,0),0)  )</f>
        <v>0</v>
      </c>
      <c r="O1256" s="98"/>
      <c r="P1256" s="99" t="b">
        <f t="shared" si="238"/>
        <v>0</v>
      </c>
      <c r="Q1256" s="99" t="str">
        <f t="shared" si="304"/>
        <v>#REF!</v>
      </c>
      <c r="R1256" s="130"/>
      <c r="S1256" s="130"/>
      <c r="T1256" s="130"/>
    </row>
    <row r="1257">
      <c r="A1257" s="18" t="s">
        <v>38</v>
      </c>
      <c r="B1257" s="116">
        <v>2337.0</v>
      </c>
      <c r="C1257" s="140">
        <v>2337.0</v>
      </c>
      <c r="D1257" s="57" t="str">
        <f>IF(   ISERROR(OFFSET(PADRON!B$2,MATCH(C:C,PADRON!A$2:A1405,0)-1,0,1,1) )  ,  ,    OFFSET(PADRON!B$2,MATCH(C:C,PADRON!A$2:A1405,0)-1,0,1,1))</f>
        <v>QUINTANA, GUSTAVO</v>
      </c>
      <c r="E1257" s="58">
        <v>45870.0</v>
      </c>
      <c r="F1257" s="145"/>
      <c r="G1257" s="59" t="s">
        <v>39</v>
      </c>
      <c r="H1257" s="60">
        <f>IF( ISERROR( OFFSET(   'Cuadro tarifario'!D$2  , MATCH(CONCATENATE(                 IF(F1257&gt;Mes,OFFSET(NroCT!B$17, MATCH($F1257,NroCT!$A$18:$A1405,0),0,1,1),Periodovigente)                                                                                                                     ,A1257) ,'Cuadro tarifario'!A$2:A1405,0) -1 , 0 , 1 , 1) )   , 0  ,   OFFSET(   'Cuadro tarifario'!D$2  , MATCH(CONCATENATE( IF(F1257&gt;Mes,OFFSET(NroCT!B$17, MATCH($F1257,NroCT!$A$18:$A1405,0),0,1,1),Periodovigente) ,A1257) ,'Cuadro tarifario'!A$2:A1405,0) -1 , 0 , 1 , 1))</f>
        <v>9000</v>
      </c>
      <c r="I1257" s="61">
        <f t="shared" si="252"/>
        <v>0</v>
      </c>
      <c r="J1257" s="60">
        <f t="shared" si="306"/>
        <v>0</v>
      </c>
      <c r="K1257" s="62">
        <f>IF(  AND(N1257&gt;0,I1257=0)          ,N1257 ,                         IF(  IF( F1257 ,  DAYS360(DATE(YEAR(F1257),MONTH(F1257),1),Mes)/30  ,  DAYS360(DATE(YEAR(E1257),MONTH(E1257),1),Mes)/30  )  &gt;  0 , IF(F1257,   DAYS360(DATE(YEAR(F1257),MONTH(F1257),1),Mes)/30  ,  DAYS360(DATE(YEAR(E1257),MONTH(E1257),1),Mes)/30) , 0)       )</f>
        <v>0</v>
      </c>
      <c r="L1257" s="63">
        <f t="shared" si="253"/>
        <v>0</v>
      </c>
      <c r="M1257" s="162"/>
      <c r="N1257" s="97">
        <f>IF( ISERROR(OFFSET(SECUESTRADOS!D$1,MATCH(B1257,SECUESTRADOS!A$2:A1405,0),0)) ,0 ,  OFFSET(SECUESTRADOS!D$1,MATCH(B1257,SECUESTRADOS!A$2:A1405,0),0)  )</f>
        <v>0</v>
      </c>
      <c r="O1257" s="98"/>
      <c r="P1257" s="99" t="b">
        <f t="shared" si="238"/>
        <v>0</v>
      </c>
      <c r="Q1257" s="99" t="str">
        <f t="shared" si="304"/>
        <v>#REF!</v>
      </c>
      <c r="R1257" s="130"/>
      <c r="S1257" s="130"/>
      <c r="T1257" s="130"/>
    </row>
    <row r="1258">
      <c r="A1258" s="18" t="s">
        <v>71</v>
      </c>
      <c r="B1258" s="116">
        <v>2338.0</v>
      </c>
      <c r="C1258" s="140">
        <v>2338.0</v>
      </c>
      <c r="D1258" s="57" t="str">
        <f>IF(   ISERROR(OFFSET(PADRON!B$2,MATCH(C:C,PADRON!A$2:A1405,0)-1,0,1,1) )  ,  ,    OFFSET(PADRON!B$2,MATCH(C:C,PADRON!A$2:A1405,0)-1,0,1,1))</f>
        <v>CABRAL, DANTE</v>
      </c>
      <c r="E1258" s="58">
        <v>45839.0</v>
      </c>
      <c r="F1258" s="145">
        <v>45870.0</v>
      </c>
      <c r="G1258" s="59" t="s">
        <v>39</v>
      </c>
      <c r="H1258" s="60">
        <f>IF( ISERROR( OFFSET(   'Cuadro tarifario'!D$2  , MATCH(CONCATENATE(                 IF(F1258&gt;Mes,OFFSET(NroCT!B$17, MATCH($F1258,NroCT!$A$18:$A1405,0),0,1,1),Periodovigente)                                                                                                                     ,A1258) ,'Cuadro tarifario'!A$2:A1405,0) -1 , 0 , 1 , 1) )   , 0  ,   OFFSET(   'Cuadro tarifario'!D$2  , MATCH(CONCATENATE( IF(F1258&gt;Mes,OFFSET(NroCT!B$17, MATCH($F1258,NroCT!$A$18:$A1405,0),0,1,1),Periodovigente) ,A1258) ,'Cuadro tarifario'!A$2:A1405,0) -1 , 0 , 1 , 1))</f>
        <v>11000</v>
      </c>
      <c r="I1258" s="61">
        <f t="shared" si="252"/>
        <v>1</v>
      </c>
      <c r="J1258" s="60">
        <f t="shared" si="306"/>
        <v>11000</v>
      </c>
      <c r="K1258" s="62">
        <f>IF(  AND(N1258&gt;0,I1258=0)          ,N1258 ,                         IF(  IF( F1258 ,  DAYS360(DATE(YEAR(F1258),MONTH(F1258),1),Mes)/30  ,  DAYS360(DATE(YEAR(E1258),MONTH(E1258),1),Mes)/30  )  &gt;  0 , IF(F1258,   DAYS360(DATE(YEAR(F1258),MONTH(F1258),1),Mes)/30  ,  DAYS360(DATE(YEAR(E1258),MONTH(E1258),1),Mes)/30) , 0)       )</f>
        <v>0</v>
      </c>
      <c r="L1258" s="63">
        <f t="shared" si="253"/>
        <v>0</v>
      </c>
      <c r="M1258" s="162"/>
      <c r="N1258" s="97">
        <f>IF( ISERROR(OFFSET(SECUESTRADOS!D$1,MATCH(B1258,SECUESTRADOS!A$2:A1405,0),0)) ,0 ,  OFFSET(SECUESTRADOS!D$1,MATCH(B1258,SECUESTRADOS!A$2:A1405,0),0)  )</f>
        <v>0</v>
      </c>
      <c r="O1258" s="98"/>
      <c r="P1258" s="99" t="str">
        <f t="shared" si="238"/>
        <v>.socio</v>
      </c>
      <c r="Q1258" s="99" t="str">
        <f t="shared" si="304"/>
        <v>#REF!</v>
      </c>
      <c r="R1258" s="130"/>
      <c r="S1258" s="130"/>
      <c r="T1258" s="130"/>
    </row>
    <row r="1259">
      <c r="A1259" s="18" t="s">
        <v>38</v>
      </c>
      <c r="B1259" s="116">
        <v>2338.0</v>
      </c>
      <c r="C1259" s="140">
        <v>2338.0</v>
      </c>
      <c r="D1259" s="57" t="str">
        <f>IF(   ISERROR(OFFSET(PADRON!B$2,MATCH(C:C,PADRON!A$2:A1405,0)-1,0,1,1) )  ,  ,    OFFSET(PADRON!B$2,MATCH(C:C,PADRON!A$2:A1405,0)-1,0,1,1))</f>
        <v>CABRAL, DANTE</v>
      </c>
      <c r="E1259" s="58">
        <v>45839.0</v>
      </c>
      <c r="F1259" s="145">
        <v>45870.0</v>
      </c>
      <c r="G1259" s="59" t="s">
        <v>39</v>
      </c>
      <c r="H1259" s="60">
        <f>IF( ISERROR( OFFSET(   'Cuadro tarifario'!D$2  , MATCH(CONCATENATE(                 IF(F1259&gt;Mes,OFFSET(NroCT!B$17, MATCH($F1259,NroCT!$A$18:$A1405,0),0,1,1),Periodovigente)                                                                                                                     ,A1259) ,'Cuadro tarifario'!A$2:A1405,0) -1 , 0 , 1 , 1) )   , 0  ,   OFFSET(   'Cuadro tarifario'!D$2  , MATCH(CONCATENATE( IF(F1259&gt;Mes,OFFSET(NroCT!B$17, MATCH($F1259,NroCT!$A$18:$A1405,0),0,1,1),Periodovigente) ,A1259) ,'Cuadro tarifario'!A$2:A1405,0) -1 , 0 , 1 , 1))</f>
        <v>9000</v>
      </c>
      <c r="I1259" s="61">
        <f t="shared" si="252"/>
        <v>1</v>
      </c>
      <c r="J1259" s="60">
        <f t="shared" si="306"/>
        <v>9000</v>
      </c>
      <c r="K1259" s="62">
        <f>IF(  AND(N1259&gt;0,I1259=0)          ,N1259 ,                         IF(  IF( F1259 ,  DAYS360(DATE(YEAR(F1259),MONTH(F1259),1),Mes)/30  ,  DAYS360(DATE(YEAR(E1259),MONTH(E1259),1),Mes)/30  )  &gt;  0 , IF(F1259,   DAYS360(DATE(YEAR(F1259),MONTH(F1259),1),Mes)/30  ,  DAYS360(DATE(YEAR(E1259),MONTH(E1259),1),Mes)/30) , 0)       )</f>
        <v>0</v>
      </c>
      <c r="L1259" s="63">
        <f t="shared" si="253"/>
        <v>0</v>
      </c>
      <c r="M1259" s="162"/>
      <c r="N1259" s="97">
        <f>IF( ISERROR(OFFSET(SECUESTRADOS!D$1,MATCH(B1259,SECUESTRADOS!A$2:A1405,0),0)) ,0 ,  OFFSET(SECUESTRADOS!D$1,MATCH(B1259,SECUESTRADOS!A$2:A1405,0),0)  )</f>
        <v>0</v>
      </c>
      <c r="O1259" s="98"/>
      <c r="P1259" s="99" t="str">
        <f t="shared" si="238"/>
        <v>Bono canon</v>
      </c>
      <c r="Q1259" s="99" t="str">
        <f t="shared" si="304"/>
        <v>#REF!</v>
      </c>
      <c r="R1259" s="130"/>
      <c r="S1259" s="130"/>
      <c r="T1259" s="130"/>
    </row>
    <row r="1260">
      <c r="A1260" s="18" t="s">
        <v>82</v>
      </c>
      <c r="B1260" s="116" t="s">
        <v>479</v>
      </c>
      <c r="C1260" s="140">
        <v>2338.0</v>
      </c>
      <c r="D1260" s="57" t="str">
        <f>IF(   ISERROR(OFFSET(PADRON!B$2,MATCH(C:C,PADRON!A$2:A1405,0)-1,0,1,1) )  ,  ,    OFFSET(PADRON!B$2,MATCH(C:C,PADRON!A$2:A1405,0)-1,0,1,1))</f>
        <v>CABRAL, DANTE</v>
      </c>
      <c r="E1260" s="58">
        <v>45839.0</v>
      </c>
      <c r="F1260" s="145">
        <v>45870.0</v>
      </c>
      <c r="G1260" s="59" t="s">
        <v>39</v>
      </c>
      <c r="H1260" s="60">
        <f>IF( ISERROR( OFFSET(   'Cuadro tarifario'!D$2  , MATCH(CONCATENATE(                 IF(F1260&gt;Mes,OFFSET(NroCT!B$17, MATCH($F1260,NroCT!$A$18:$A1405,0),0,1,1),Periodovigente)                                                                                                                     ,A1260) ,'Cuadro tarifario'!A$2:A1405,0) -1 , 0 , 1 , 1) )   , 0  ,   OFFSET(   'Cuadro tarifario'!D$2  , MATCH(CONCATENATE( IF(F1260&gt;Mes,OFFSET(NroCT!B$17, MATCH($F1260,NroCT!$A$18:$A1405,0),0,1,1),Periodovigente) ,A1260) ,'Cuadro tarifario'!A$2:A1405,0) -1 , 0 , 1 , 1))</f>
        <v>12000</v>
      </c>
      <c r="I1260" s="61">
        <f t="shared" si="252"/>
        <v>1</v>
      </c>
      <c r="J1260" s="60">
        <f t="shared" si="306"/>
        <v>12000</v>
      </c>
      <c r="K1260" s="62">
        <f>IF(  AND(N1260&gt;0,I1260=0)          ,N1260 ,                         IF(  IF( F1260 ,  DAYS360(DATE(YEAR(F1260),MONTH(F1260),1),Mes)/30  ,  DAYS360(DATE(YEAR(E1260),MONTH(E1260),1),Mes)/30  )  &gt;  0 , IF(F1260,   DAYS360(DATE(YEAR(F1260),MONTH(F1260),1),Mes)/30  ,  DAYS360(DATE(YEAR(E1260),MONTH(E1260),1),Mes)/30) , 0)       )</f>
        <v>0</v>
      </c>
      <c r="L1260" s="63">
        <f t="shared" si="253"/>
        <v>0</v>
      </c>
      <c r="M1260" s="162"/>
      <c r="N1260" s="97">
        <f>IF( ISERROR(OFFSET(SECUESTRADOS!D$1,MATCH(B1260,SECUESTRADOS!A$2:A1405,0),0)) ,0 ,  OFFSET(SECUESTRADOS!D$1,MATCH(B1260,SECUESTRADOS!A$2:A1405,0),0)  )</f>
        <v>0</v>
      </c>
      <c r="O1260" s="98"/>
      <c r="P1260" s="99" t="str">
        <f t="shared" si="238"/>
        <v>cuna kayak</v>
      </c>
      <c r="Q1260" s="99" t="str">
        <f t="shared" si="304"/>
        <v>#REF!</v>
      </c>
      <c r="R1260" s="130"/>
      <c r="S1260" s="130"/>
      <c r="T1260" s="130"/>
    </row>
    <row r="1261">
      <c r="A1261" s="18" t="s">
        <v>82</v>
      </c>
      <c r="B1261" s="116" t="s">
        <v>480</v>
      </c>
      <c r="C1261" s="140">
        <v>2338.0</v>
      </c>
      <c r="D1261" s="57" t="str">
        <f>IF(   ISERROR(OFFSET(PADRON!B$2,MATCH(C:C,PADRON!A$2:A1405,0)-1,0,1,1) )  ,  ,    OFFSET(PADRON!B$2,MATCH(C:C,PADRON!A$2:A1405,0)-1,0,1,1))</f>
        <v>CABRAL, DANTE</v>
      </c>
      <c r="E1261" s="58">
        <v>45839.0</v>
      </c>
      <c r="F1261" s="145"/>
      <c r="G1261" s="59" t="s">
        <v>39</v>
      </c>
      <c r="H1261" s="60">
        <f>IF( ISERROR( OFFSET(   'Cuadro tarifario'!D$2  , MATCH(CONCATENATE(                 IF(F1261&gt;Mes,OFFSET(NroCT!B$17, MATCH($F1261,NroCT!$A$18:$A1405,0),0,1,1),Periodovigente)                                                                                                                     ,A1261) ,'Cuadro tarifario'!A$2:A1405,0) -1 , 0 , 1 , 1) )   , 0  ,   OFFSET(   'Cuadro tarifario'!D$2  , MATCH(CONCATENATE( IF(F1261&gt;Mes,OFFSET(NroCT!B$17, MATCH($F1261,NroCT!$A$18:$A1405,0),0,1,1),Periodovigente) ,A1261) ,'Cuadro tarifario'!A$2:A1405,0) -1 , 0 , 1 , 1))</f>
        <v>12000</v>
      </c>
      <c r="I1261" s="61">
        <f t="shared" si="252"/>
        <v>0</v>
      </c>
      <c r="J1261" s="60">
        <f t="shared" si="306"/>
        <v>0</v>
      </c>
      <c r="K1261" s="62">
        <f>IF(  AND(N1261&gt;0,I1261=0)          ,N1261 ,                         IF(  IF( F1261 ,  DAYS360(DATE(YEAR(F1261),MONTH(F1261),1),Mes)/30  ,  DAYS360(DATE(YEAR(E1261),MONTH(E1261),1),Mes)/30  )  &gt;  0 , IF(F1261,   DAYS360(DATE(YEAR(F1261),MONTH(F1261),1),Mes)/30  ,  DAYS360(DATE(YEAR(E1261),MONTH(E1261),1),Mes)/30) , 0)       )</f>
        <v>1</v>
      </c>
      <c r="L1261" s="63">
        <f t="shared" si="253"/>
        <v>12000</v>
      </c>
      <c r="M1261" s="162"/>
      <c r="N1261" s="97">
        <f>IF( ISERROR(OFFSET(SECUESTRADOS!D$1,MATCH(B1261,SECUESTRADOS!A$2:A1405,0),0)) ,0 ,  OFFSET(SECUESTRADOS!D$1,MATCH(B1261,SECUESTRADOS!A$2:A1405,0),0)  )</f>
        <v>0</v>
      </c>
      <c r="O1261" s="98"/>
      <c r="P1261" s="99" t="b">
        <f t="shared" si="238"/>
        <v>0</v>
      </c>
      <c r="Q1261" s="99" t="str">
        <f t="shared" si="304"/>
        <v>#REF!</v>
      </c>
      <c r="R1261" s="130"/>
      <c r="S1261" s="130"/>
      <c r="T1261" s="130"/>
    </row>
    <row r="1262">
      <c r="A1262" s="18" t="s">
        <v>71</v>
      </c>
      <c r="B1262" s="116">
        <v>2339.0</v>
      </c>
      <c r="C1262" s="140">
        <v>2339.0</v>
      </c>
      <c r="D1262" s="57" t="str">
        <f>IF(   ISERROR(OFFSET(PADRON!B$2,MATCH(C:C,PADRON!A$2:A1405,0)-1,0,1,1) )  ,  ,    OFFSET(PADRON!B$2,MATCH(C:C,PADRON!A$2:A1405,0)-1,0,1,1))</f>
        <v>TORNO, LUCAS</v>
      </c>
      <c r="E1262" s="58">
        <v>45839.0</v>
      </c>
      <c r="F1262" s="145">
        <v>45962.0</v>
      </c>
      <c r="G1262" s="59" t="s">
        <v>39</v>
      </c>
      <c r="H1262" s="60">
        <f>IF( ISERROR( OFFSET(   'Cuadro tarifario'!D$2  , MATCH(CONCATENATE(                 IF(F1262&gt;Mes,OFFSET(NroCT!B$17, MATCH($F1262,NroCT!$A$18:$A1405,0),0,1,1),Periodovigente)                                                                                                                     ,A1262) ,'Cuadro tarifario'!A$2:A1405,0) -1 , 0 , 1 , 1) )   , 0  ,   OFFSET(   'Cuadro tarifario'!D$2  , MATCH(CONCATENATE( IF(F1262&gt;Mes,OFFSET(NroCT!B$17, MATCH($F1262,NroCT!$A$18:$A1405,0),0,1,1),Periodovigente) ,A1262) ,'Cuadro tarifario'!A$2:A1405,0) -1 , 0 , 1 , 1))</f>
        <v>11000</v>
      </c>
      <c r="I1262" s="61">
        <f t="shared" si="252"/>
        <v>4</v>
      </c>
      <c r="J1262" s="60">
        <f t="shared" si="306"/>
        <v>44000</v>
      </c>
      <c r="K1262" s="62">
        <f>IF(  AND(N1262&gt;0,I1262=0)          ,N1262 ,                         IF(  IF( F1262 ,  DAYS360(DATE(YEAR(F1262),MONTH(F1262),1),Mes)/30  ,  DAYS360(DATE(YEAR(E1262),MONTH(E1262),1),Mes)/30  )  &gt;  0 , IF(F1262,   DAYS360(DATE(YEAR(F1262),MONTH(F1262),1),Mes)/30  ,  DAYS360(DATE(YEAR(E1262),MONTH(E1262),1),Mes)/30) , 0)       )</f>
        <v>0</v>
      </c>
      <c r="L1262" s="63">
        <f t="shared" si="253"/>
        <v>0</v>
      </c>
      <c r="M1262" s="162"/>
      <c r="N1262" s="97">
        <f>IF( ISERROR(OFFSET(SECUESTRADOS!D$1,MATCH(B1262,SECUESTRADOS!A$2:A1405,0),0)) ,0 ,  OFFSET(SECUESTRADOS!D$1,MATCH(B1262,SECUESTRADOS!A$2:A1405,0),0)  )</f>
        <v>0</v>
      </c>
      <c r="O1262" s="98"/>
      <c r="P1262" s="99" t="str">
        <f t="shared" si="238"/>
        <v>.socio</v>
      </c>
      <c r="Q1262" s="99" t="str">
        <f t="shared" si="304"/>
        <v>#REF!</v>
      </c>
      <c r="R1262" s="130"/>
      <c r="S1262" s="130"/>
      <c r="T1262" s="130"/>
    </row>
    <row r="1263">
      <c r="A1263" s="18" t="s">
        <v>38</v>
      </c>
      <c r="B1263" s="116">
        <v>2339.0</v>
      </c>
      <c r="C1263" s="140">
        <v>2339.0</v>
      </c>
      <c r="D1263" s="57" t="str">
        <f>IF(   ISERROR(OFFSET(PADRON!B$2,MATCH(C:C,PADRON!A$2:A1405,0)-1,0,1,1) )  ,  ,    OFFSET(PADRON!B$2,MATCH(C:C,PADRON!A$2:A1405,0)-1,0,1,1))</f>
        <v>TORNO, LUCAS</v>
      </c>
      <c r="E1263" s="58">
        <v>45839.0</v>
      </c>
      <c r="F1263" s="145">
        <v>45962.0</v>
      </c>
      <c r="G1263" s="59" t="s">
        <v>39</v>
      </c>
      <c r="H1263" s="60">
        <f>IF( ISERROR( OFFSET(   'Cuadro tarifario'!D$2  , MATCH(CONCATENATE(                 IF(F1263&gt;Mes,OFFSET(NroCT!B$17, MATCH($F1263,NroCT!$A$18:$A1405,0),0,1,1),Periodovigente)                                                                                                                     ,A1263) ,'Cuadro tarifario'!A$2:A1405,0) -1 , 0 , 1 , 1) )   , 0  ,   OFFSET(   'Cuadro tarifario'!D$2  , MATCH(CONCATENATE( IF(F1263&gt;Mes,OFFSET(NroCT!B$17, MATCH($F1263,NroCT!$A$18:$A1405,0),0,1,1),Periodovigente) ,A1263) ,'Cuadro tarifario'!A$2:A1405,0) -1 , 0 , 1 , 1))</f>
        <v>9000</v>
      </c>
      <c r="I1263" s="61">
        <f t="shared" si="252"/>
        <v>4</v>
      </c>
      <c r="J1263" s="60">
        <f t="shared" si="306"/>
        <v>36000</v>
      </c>
      <c r="K1263" s="62">
        <f>IF(  AND(N1263&gt;0,I1263=0)          ,N1263 ,                         IF(  IF( F1263 ,  DAYS360(DATE(YEAR(F1263),MONTH(F1263),1),Mes)/30  ,  DAYS360(DATE(YEAR(E1263),MONTH(E1263),1),Mes)/30  )  &gt;  0 , IF(F1263,   DAYS360(DATE(YEAR(F1263),MONTH(F1263),1),Mes)/30  ,  DAYS360(DATE(YEAR(E1263),MONTH(E1263),1),Mes)/30) , 0)       )</f>
        <v>0</v>
      </c>
      <c r="L1263" s="63">
        <f t="shared" si="253"/>
        <v>0</v>
      </c>
      <c r="M1263" s="162"/>
      <c r="N1263" s="97">
        <f>IF( ISERROR(OFFSET(SECUESTRADOS!D$1,MATCH(B1263,SECUESTRADOS!A$2:A1405,0),0)) ,0 ,  OFFSET(SECUESTRADOS!D$1,MATCH(B1263,SECUESTRADOS!A$2:A1405,0),0)  )</f>
        <v>0</v>
      </c>
      <c r="O1263" s="98"/>
      <c r="P1263" s="99" t="str">
        <f t="shared" si="238"/>
        <v>Bono canon</v>
      </c>
      <c r="Q1263" s="99" t="str">
        <f t="shared" si="304"/>
        <v>#REF!</v>
      </c>
      <c r="R1263" s="130"/>
      <c r="S1263" s="130"/>
      <c r="T1263" s="130"/>
    </row>
    <row r="1264">
      <c r="A1264" s="18" t="s">
        <v>82</v>
      </c>
      <c r="B1264" s="116" t="s">
        <v>481</v>
      </c>
      <c r="C1264" s="140">
        <v>2339.0</v>
      </c>
      <c r="D1264" s="57" t="str">
        <f>IF(   ISERROR(OFFSET(PADRON!B$2,MATCH(C:C,PADRON!A$2:A1405,0)-1,0,1,1) )  ,  ,    OFFSET(PADRON!B$2,MATCH(C:C,PADRON!A$2:A1405,0)-1,0,1,1))</f>
        <v>TORNO, LUCAS</v>
      </c>
      <c r="E1264" s="58">
        <v>45839.0</v>
      </c>
      <c r="F1264" s="145">
        <v>45962.0</v>
      </c>
      <c r="G1264" s="59" t="s">
        <v>39</v>
      </c>
      <c r="H1264" s="60">
        <f>IF( ISERROR( OFFSET(   'Cuadro tarifario'!D$2  , MATCH(CONCATENATE(                 IF(F1264&gt;Mes,OFFSET(NroCT!B$17, MATCH($F1264,NroCT!$A$18:$A1405,0),0,1,1),Periodovigente)                                                                                                                     ,A1264) ,'Cuadro tarifario'!A$2:A1405,0) -1 , 0 , 1 , 1) )   , 0  ,   OFFSET(   'Cuadro tarifario'!D$2  , MATCH(CONCATENATE( IF(F1264&gt;Mes,OFFSET(NroCT!B$17, MATCH($F1264,NroCT!$A$18:$A1405,0),0,1,1),Periodovigente) ,A1264) ,'Cuadro tarifario'!A$2:A1405,0) -1 , 0 , 1 , 1))</f>
        <v>12000</v>
      </c>
      <c r="I1264" s="61">
        <f t="shared" si="252"/>
        <v>4</v>
      </c>
      <c r="J1264" s="60">
        <f t="shared" si="306"/>
        <v>48000</v>
      </c>
      <c r="K1264" s="62">
        <f>IF(  AND(N1264&gt;0,I1264=0)          ,N1264 ,                         IF(  IF( F1264 ,  DAYS360(DATE(YEAR(F1264),MONTH(F1264),1),Mes)/30  ,  DAYS360(DATE(YEAR(E1264),MONTH(E1264),1),Mes)/30  )  &gt;  0 , IF(F1264,   DAYS360(DATE(YEAR(F1264),MONTH(F1264),1),Mes)/30  ,  DAYS360(DATE(YEAR(E1264),MONTH(E1264),1),Mes)/30) , 0)       )</f>
        <v>0</v>
      </c>
      <c r="L1264" s="63">
        <f t="shared" si="253"/>
        <v>0</v>
      </c>
      <c r="M1264" s="162"/>
      <c r="N1264" s="97">
        <f>IF( ISERROR(OFFSET(SECUESTRADOS!D$1,MATCH(B1264,SECUESTRADOS!A$2:A1405,0),0)) ,0 ,  OFFSET(SECUESTRADOS!D$1,MATCH(B1264,SECUESTRADOS!A$2:A1405,0),0)  )</f>
        <v>0</v>
      </c>
      <c r="O1264" s="98"/>
      <c r="P1264" s="99" t="str">
        <f t="shared" si="238"/>
        <v>cuna kayak</v>
      </c>
      <c r="Q1264" s="99" t="str">
        <f t="shared" si="304"/>
        <v>#REF!</v>
      </c>
      <c r="R1264" s="130"/>
      <c r="S1264" s="130"/>
      <c r="T1264" s="130"/>
    </row>
    <row r="1265">
      <c r="A1265" s="18" t="s">
        <v>71</v>
      </c>
      <c r="B1265" s="116">
        <v>2340.0</v>
      </c>
      <c r="C1265" s="140">
        <v>2340.0</v>
      </c>
      <c r="D1265" s="57" t="str">
        <f>IF(   ISERROR(OFFSET(PADRON!B$2,MATCH(C:C,PADRON!A$2:A1405,0)-1,0,1,1) )  ,  ,    OFFSET(PADRON!B$2,MATCH(C:C,PADRON!A$2:A1405,0)-1,0,1,1))</f>
        <v>DIBIACE, ALEJANDRO</v>
      </c>
      <c r="E1265" s="58">
        <v>45839.0</v>
      </c>
      <c r="F1265" s="145">
        <v>45870.0</v>
      </c>
      <c r="G1265" s="59" t="s">
        <v>39</v>
      </c>
      <c r="H1265" s="60">
        <f>IF( ISERROR( OFFSET(   'Cuadro tarifario'!D$2  , MATCH(CONCATENATE(                 IF(F1265&gt;Mes,OFFSET(NroCT!B$17, MATCH($F1265,NroCT!$A$18:$A1405,0),0,1,1),Periodovigente)                                                                                                                     ,A1265) ,'Cuadro tarifario'!A$2:A1405,0) -1 , 0 , 1 , 1) )   , 0  ,   OFFSET(   'Cuadro tarifario'!D$2  , MATCH(CONCATENATE( IF(F1265&gt;Mes,OFFSET(NroCT!B$17, MATCH($F1265,NroCT!$A$18:$A1405,0),0,1,1),Periodovigente) ,A1265) ,'Cuadro tarifario'!A$2:A1405,0) -1 , 0 , 1 , 1))</f>
        <v>11000</v>
      </c>
      <c r="I1265" s="61">
        <f t="shared" si="252"/>
        <v>1</v>
      </c>
      <c r="J1265" s="60">
        <f t="shared" si="306"/>
        <v>11000</v>
      </c>
      <c r="K1265" s="62">
        <f>IF(  AND(N1265&gt;0,I1265=0)          ,N1265 ,                         IF(  IF( F1265 ,  DAYS360(DATE(YEAR(F1265),MONTH(F1265),1),Mes)/30  ,  DAYS360(DATE(YEAR(E1265),MONTH(E1265),1),Mes)/30  )  &gt;  0 , IF(F1265,   DAYS360(DATE(YEAR(F1265),MONTH(F1265),1),Mes)/30  ,  DAYS360(DATE(YEAR(E1265),MONTH(E1265),1),Mes)/30) , 0)       )</f>
        <v>0</v>
      </c>
      <c r="L1265" s="63">
        <f t="shared" si="253"/>
        <v>0</v>
      </c>
      <c r="M1265" s="162"/>
      <c r="N1265" s="97">
        <f>IF( ISERROR(OFFSET(SECUESTRADOS!D$1,MATCH(B1265,SECUESTRADOS!A$2:A1405,0),0)) ,0 ,  OFFSET(SECUESTRADOS!D$1,MATCH(B1265,SECUESTRADOS!A$2:A1405,0),0)  )</f>
        <v>0</v>
      </c>
      <c r="O1265" s="98"/>
      <c r="P1265" s="99" t="str">
        <f t="shared" si="238"/>
        <v>.socio</v>
      </c>
      <c r="Q1265" s="99" t="str">
        <f t="shared" si="304"/>
        <v>#REF!</v>
      </c>
      <c r="R1265" s="130"/>
      <c r="S1265" s="130"/>
      <c r="T1265" s="130"/>
    </row>
    <row r="1266">
      <c r="A1266" s="18" t="s">
        <v>38</v>
      </c>
      <c r="B1266" s="116">
        <v>2340.0</v>
      </c>
      <c r="C1266" s="140">
        <v>2340.0</v>
      </c>
      <c r="D1266" s="57" t="str">
        <f>IF(   ISERROR(OFFSET(PADRON!B$2,MATCH(C:C,PADRON!A$2:A1405,0)-1,0,1,1) )  ,  ,    OFFSET(PADRON!B$2,MATCH(C:C,PADRON!A$2:A1405,0)-1,0,1,1))</f>
        <v>DIBIACE, ALEJANDRO</v>
      </c>
      <c r="E1266" s="58">
        <v>45839.0</v>
      </c>
      <c r="F1266" s="145">
        <v>45870.0</v>
      </c>
      <c r="G1266" s="59" t="s">
        <v>39</v>
      </c>
      <c r="H1266" s="60">
        <f>IF( ISERROR( OFFSET(   'Cuadro tarifario'!D$2  , MATCH(CONCATENATE(                 IF(F1266&gt;Mes,OFFSET(NroCT!B$17, MATCH($F1266,NroCT!$A$18:$A1405,0),0,1,1),Periodovigente)                                                                                                                     ,A1266) ,'Cuadro tarifario'!A$2:A1405,0) -1 , 0 , 1 , 1) )   , 0  ,   OFFSET(   'Cuadro tarifario'!D$2  , MATCH(CONCATENATE( IF(F1266&gt;Mes,OFFSET(NroCT!B$17, MATCH($F1266,NroCT!$A$18:$A1405,0),0,1,1),Periodovigente) ,A1266) ,'Cuadro tarifario'!A$2:A1405,0) -1 , 0 , 1 , 1))</f>
        <v>9000</v>
      </c>
      <c r="I1266" s="61">
        <f t="shared" si="252"/>
        <v>1</v>
      </c>
      <c r="J1266" s="60">
        <f t="shared" si="306"/>
        <v>9000</v>
      </c>
      <c r="K1266" s="62">
        <f>IF(  AND(N1266&gt;0,I1266=0)          ,N1266 ,                         IF(  IF( F1266 ,  DAYS360(DATE(YEAR(F1266),MONTH(F1266),1),Mes)/30  ,  DAYS360(DATE(YEAR(E1266),MONTH(E1266),1),Mes)/30  )  &gt;  0 , IF(F1266,   DAYS360(DATE(YEAR(F1266),MONTH(F1266),1),Mes)/30  ,  DAYS360(DATE(YEAR(E1266),MONTH(E1266),1),Mes)/30) , 0)       )</f>
        <v>0</v>
      </c>
      <c r="L1266" s="63">
        <f t="shared" si="253"/>
        <v>0</v>
      </c>
      <c r="M1266" s="162"/>
      <c r="N1266" s="97">
        <f>IF( ISERROR(OFFSET(SECUESTRADOS!D$1,MATCH(B1266,SECUESTRADOS!A$2:A1405,0),0)) ,0 ,  OFFSET(SECUESTRADOS!D$1,MATCH(B1266,SECUESTRADOS!A$2:A1405,0),0)  )</f>
        <v>0</v>
      </c>
      <c r="O1266" s="98"/>
      <c r="P1266" s="99" t="str">
        <f t="shared" si="238"/>
        <v>Bono canon</v>
      </c>
      <c r="Q1266" s="99" t="str">
        <f t="shared" si="304"/>
        <v>#REF!</v>
      </c>
      <c r="R1266" s="130"/>
      <c r="S1266" s="130"/>
      <c r="T1266" s="130"/>
    </row>
    <row r="1267">
      <c r="A1267" s="18" t="s">
        <v>40</v>
      </c>
      <c r="B1267" s="116" t="s">
        <v>482</v>
      </c>
      <c r="C1267" s="140">
        <v>2340.0</v>
      </c>
      <c r="D1267" s="57" t="str">
        <f>IF(   ISERROR(OFFSET(PADRON!B$2,MATCH(C:C,PADRON!A$2:A1405,0)-1,0,1,1) )  ,  ,    OFFSET(PADRON!B$2,MATCH(C:C,PADRON!A$2:A1405,0)-1,0,1,1))</f>
        <v>DIBIACE, ALEJANDRO</v>
      </c>
      <c r="E1267" s="58">
        <v>45839.0</v>
      </c>
      <c r="F1267" s="145">
        <v>45870.0</v>
      </c>
      <c r="G1267" s="59" t="s">
        <v>39</v>
      </c>
      <c r="H1267" s="60">
        <f>IF( ISERROR( OFFSET(   'Cuadro tarifario'!D$2  , MATCH(CONCATENATE(                 IF(F1267&gt;Mes,OFFSET(NroCT!B$17, MATCH($F1267,NroCT!$A$18:$A1405,0),0,1,1),Periodovigente)                                                                                                                     ,A1267) ,'Cuadro tarifario'!A$2:A1405,0) -1 , 0 , 1 , 1) )   , 0  ,   OFFSET(   'Cuadro tarifario'!D$2  , MATCH(CONCATENATE( IF(F1267&gt;Mes,OFFSET(NroCT!B$17, MATCH($F1267,NroCT!$A$18:$A1405,0),0,1,1),Periodovigente) ,A1267) ,'Cuadro tarifario'!A$2:A1405,0) -1 , 0 , 1 , 1))</f>
        <v>12000</v>
      </c>
      <c r="I1267" s="61">
        <f t="shared" si="252"/>
        <v>1</v>
      </c>
      <c r="J1267" s="60">
        <f t="shared" si="306"/>
        <v>12000</v>
      </c>
      <c r="K1267" s="62">
        <f>IF(  AND(N1267&gt;0,I1267=0)          ,N1267 ,                         IF(  IF( F1267 ,  DAYS360(DATE(YEAR(F1267),MONTH(F1267),1),Mes)/30  ,  DAYS360(DATE(YEAR(E1267),MONTH(E1267),1),Mes)/30  )  &gt;  0 , IF(F1267,   DAYS360(DATE(YEAR(F1267),MONTH(F1267),1),Mes)/30  ,  DAYS360(DATE(YEAR(E1267),MONTH(E1267),1),Mes)/30) , 0)       )</f>
        <v>0</v>
      </c>
      <c r="L1267" s="63">
        <f t="shared" si="253"/>
        <v>0</v>
      </c>
      <c r="M1267" s="162"/>
      <c r="N1267" s="97">
        <f>IF( ISERROR(OFFSET(SECUESTRADOS!D$1,MATCH(B1267,SECUESTRADOS!A$2:A1405,0),0)) ,0 ,  OFFSET(SECUESTRADOS!D$1,MATCH(B1267,SECUESTRADOS!A$2:A1405,0),0)  )</f>
        <v>0</v>
      </c>
      <c r="O1267" s="98"/>
      <c r="P1267" s="99" t="str">
        <f t="shared" si="238"/>
        <v>cuna windsurf</v>
      </c>
      <c r="Q1267" s="99" t="str">
        <f t="shared" si="304"/>
        <v>#REF!</v>
      </c>
      <c r="R1267" s="130"/>
      <c r="S1267" s="130"/>
      <c r="T1267" s="130"/>
    </row>
    <row r="1268">
      <c r="A1268" s="18" t="s">
        <v>71</v>
      </c>
      <c r="B1268" s="116">
        <v>2341.0</v>
      </c>
      <c r="C1268" s="140">
        <v>2341.0</v>
      </c>
      <c r="D1268" s="57" t="str">
        <f>IF(   ISERROR(OFFSET(PADRON!B$2,MATCH(C:C,PADRON!A$2:A1405,0)-1,0,1,1) )  ,  ,    OFFSET(PADRON!B$2,MATCH(C:C,PADRON!A$2:A1405,0)-1,0,1,1))</f>
        <v>BARRIOS, JUAN MANUEL</v>
      </c>
      <c r="E1268" s="58">
        <v>45870.0</v>
      </c>
      <c r="F1268" s="145"/>
      <c r="G1268" s="59" t="s">
        <v>39</v>
      </c>
      <c r="H1268" s="60">
        <f>IF( ISERROR( OFFSET(   'Cuadro tarifario'!D$2  , MATCH(CONCATENATE(                 IF(F1268&gt;Mes,OFFSET(NroCT!B$17, MATCH($F1268,NroCT!$A$18:$A1405,0),0,1,1),Periodovigente)                                                                                                                     ,A1268) ,'Cuadro tarifario'!A$2:A1405,0) -1 , 0 , 1 , 1) )   , 0  ,   OFFSET(   'Cuadro tarifario'!D$2  , MATCH(CONCATENATE( IF(F1268&gt;Mes,OFFSET(NroCT!B$17, MATCH($F1268,NroCT!$A$18:$A1405,0),0,1,1),Periodovigente) ,A1268) ,'Cuadro tarifario'!A$2:A1405,0) -1 , 0 , 1 , 1))</f>
        <v>11000</v>
      </c>
      <c r="I1268" s="61">
        <f t="shared" si="252"/>
        <v>0</v>
      </c>
      <c r="J1268" s="60">
        <f t="shared" si="306"/>
        <v>0</v>
      </c>
      <c r="K1268" s="62">
        <f>IF(  AND(N1268&gt;0,I1268=0)          ,N1268 ,                         IF(  IF( F1268 ,  DAYS360(DATE(YEAR(F1268),MONTH(F1268),1),Mes)/30  ,  DAYS360(DATE(YEAR(E1268),MONTH(E1268),1),Mes)/30  )  &gt;  0 , IF(F1268,   DAYS360(DATE(YEAR(F1268),MONTH(F1268),1),Mes)/30  ,  DAYS360(DATE(YEAR(E1268),MONTH(E1268),1),Mes)/30) , 0)       )</f>
        <v>0</v>
      </c>
      <c r="L1268" s="63">
        <f t="shared" si="253"/>
        <v>0</v>
      </c>
      <c r="M1268" s="162"/>
      <c r="N1268" s="97">
        <f>IF( ISERROR(OFFSET(SECUESTRADOS!D$1,MATCH(B1268,SECUESTRADOS!A$2:A1405,0),0)) ,0 ,  OFFSET(SECUESTRADOS!D$1,MATCH(B1268,SECUESTRADOS!A$2:A1405,0),0)  )</f>
        <v>0</v>
      </c>
      <c r="O1268" s="98"/>
      <c r="P1268" s="99" t="b">
        <f t="shared" si="238"/>
        <v>0</v>
      </c>
      <c r="Q1268" s="99" t="str">
        <f t="shared" si="304"/>
        <v>#REF!</v>
      </c>
      <c r="R1268" s="130"/>
      <c r="S1268" s="130"/>
      <c r="T1268" s="130"/>
    </row>
    <row r="1269">
      <c r="A1269" s="18" t="s">
        <v>38</v>
      </c>
      <c r="B1269" s="116">
        <v>2341.0</v>
      </c>
      <c r="C1269" s="140">
        <v>2341.0</v>
      </c>
      <c r="D1269" s="57" t="str">
        <f>IF(   ISERROR(OFFSET(PADRON!B$2,MATCH(C:C,PADRON!A$2:A1405,0)-1,0,1,1) )  ,  ,    OFFSET(PADRON!B$2,MATCH(C:C,PADRON!A$2:A1405,0)-1,0,1,1))</f>
        <v>BARRIOS, JUAN MANUEL</v>
      </c>
      <c r="E1269" s="58">
        <v>45870.0</v>
      </c>
      <c r="F1269" s="145"/>
      <c r="G1269" s="59" t="s">
        <v>39</v>
      </c>
      <c r="H1269" s="60">
        <f>IF( ISERROR( OFFSET(   'Cuadro tarifario'!D$2  , MATCH(CONCATENATE(                 IF(F1269&gt;Mes,OFFSET(NroCT!B$17, MATCH($F1269,NroCT!$A$18:$A1405,0),0,1,1),Periodovigente)                                                                                                                     ,A1269) ,'Cuadro tarifario'!A$2:A1405,0) -1 , 0 , 1 , 1) )   , 0  ,   OFFSET(   'Cuadro tarifario'!D$2  , MATCH(CONCATENATE( IF(F1269&gt;Mes,OFFSET(NroCT!B$17, MATCH($F1269,NroCT!$A$18:$A1405,0),0,1,1),Periodovigente) ,A1269) ,'Cuadro tarifario'!A$2:A1405,0) -1 , 0 , 1 , 1))</f>
        <v>9000</v>
      </c>
      <c r="I1269" s="61">
        <f t="shared" si="252"/>
        <v>0</v>
      </c>
      <c r="J1269" s="60">
        <f t="shared" si="306"/>
        <v>0</v>
      </c>
      <c r="K1269" s="62">
        <f>IF(  AND(N1269&gt;0,I1269=0)          ,N1269 ,                         IF(  IF( F1269 ,  DAYS360(DATE(YEAR(F1269),MONTH(F1269),1),Mes)/30  ,  DAYS360(DATE(YEAR(E1269),MONTH(E1269),1),Mes)/30  )  &gt;  0 , IF(F1269,   DAYS360(DATE(YEAR(F1269),MONTH(F1269),1),Mes)/30  ,  DAYS360(DATE(YEAR(E1269),MONTH(E1269),1),Mes)/30) , 0)       )</f>
        <v>0</v>
      </c>
      <c r="L1269" s="63">
        <f t="shared" si="253"/>
        <v>0</v>
      </c>
      <c r="M1269" s="162"/>
      <c r="N1269" s="97">
        <f>IF( ISERROR(OFFSET(SECUESTRADOS!D$1,MATCH(B1269,SECUESTRADOS!A$2:A1405,0),0)) ,0 ,  OFFSET(SECUESTRADOS!D$1,MATCH(B1269,SECUESTRADOS!A$2:A1405,0),0)  )</f>
        <v>0</v>
      </c>
      <c r="O1269" s="98"/>
      <c r="P1269" s="99" t="b">
        <f t="shared" si="238"/>
        <v>0</v>
      </c>
      <c r="Q1269" s="99" t="str">
        <f t="shared" si="304"/>
        <v>#REF!</v>
      </c>
      <c r="R1269" s="130"/>
      <c r="S1269" s="130"/>
      <c r="T1269" s="130"/>
    </row>
    <row r="1270">
      <c r="A1270" s="18" t="s">
        <v>71</v>
      </c>
      <c r="B1270" s="116">
        <v>2342.0</v>
      </c>
      <c r="C1270" s="140">
        <v>2342.0</v>
      </c>
      <c r="D1270" s="57" t="str">
        <f>IF(   ISERROR(OFFSET(PADRON!B$2,MATCH(C:C,PADRON!A$2:A1405,0)-1,0,1,1) )  ,  ,    OFFSET(PADRON!B$2,MATCH(C:C,PADRON!A$2:A1405,0)-1,0,1,1))</f>
        <v>PEREZ DAMIAN</v>
      </c>
      <c r="E1270" s="58">
        <v>45839.0</v>
      </c>
      <c r="F1270" s="145">
        <v>45870.0</v>
      </c>
      <c r="G1270" s="59" t="s">
        <v>39</v>
      </c>
      <c r="H1270" s="60">
        <f>IF( ISERROR( OFFSET(   'Cuadro tarifario'!D$2  , MATCH(CONCATENATE(                 IF(F1270&gt;Mes,OFFSET(NroCT!B$17, MATCH($F1270,NroCT!$A$18:$A1405,0),0,1,1),Periodovigente)                                                                                                                     ,A1270) ,'Cuadro tarifario'!A$2:A1405,0) -1 , 0 , 1 , 1) )   , 0  ,   OFFSET(   'Cuadro tarifario'!D$2  , MATCH(CONCATENATE( IF(F1270&gt;Mes,OFFSET(NroCT!B$17, MATCH($F1270,NroCT!$A$18:$A1405,0),0,1,1),Periodovigente) ,A1270) ,'Cuadro tarifario'!A$2:A1405,0) -1 , 0 , 1 , 1))</f>
        <v>11000</v>
      </c>
      <c r="I1270" s="61">
        <f t="shared" si="252"/>
        <v>1</v>
      </c>
      <c r="J1270" s="60">
        <f t="shared" si="306"/>
        <v>11000</v>
      </c>
      <c r="K1270" s="62">
        <f>IF(  AND(N1270&gt;0,I1270=0)          ,N1270 ,                         IF(  IF( F1270 ,  DAYS360(DATE(YEAR(F1270),MONTH(F1270),1),Mes)/30  ,  DAYS360(DATE(YEAR(E1270),MONTH(E1270),1),Mes)/30  )  &gt;  0 , IF(F1270,   DAYS360(DATE(YEAR(F1270),MONTH(F1270),1),Mes)/30  ,  DAYS360(DATE(YEAR(E1270),MONTH(E1270),1),Mes)/30) , 0)       )</f>
        <v>0</v>
      </c>
      <c r="L1270" s="63">
        <f t="shared" si="253"/>
        <v>0</v>
      </c>
      <c r="M1270" s="162"/>
      <c r="N1270" s="97">
        <f>IF( ISERROR(OFFSET(SECUESTRADOS!D$1,MATCH(B1270,SECUESTRADOS!A$2:A1405,0),0)) ,0 ,  OFFSET(SECUESTRADOS!D$1,MATCH(B1270,SECUESTRADOS!A$2:A1405,0),0)  )</f>
        <v>0</v>
      </c>
      <c r="O1270" s="98"/>
      <c r="P1270" s="99" t="str">
        <f t="shared" si="238"/>
        <v>.socio</v>
      </c>
      <c r="Q1270" s="99" t="str">
        <f t="shared" si="304"/>
        <v>#REF!</v>
      </c>
      <c r="R1270" s="130"/>
      <c r="S1270" s="130"/>
      <c r="T1270" s="130"/>
    </row>
    <row r="1271">
      <c r="A1271" s="18" t="s">
        <v>38</v>
      </c>
      <c r="B1271" s="116">
        <v>2342.0</v>
      </c>
      <c r="C1271" s="140">
        <v>2342.0</v>
      </c>
      <c r="D1271" s="57" t="str">
        <f>IF(   ISERROR(OFFSET(PADRON!B$2,MATCH(C:C,PADRON!A$2:A1405,0)-1,0,1,1) )  ,  ,    OFFSET(PADRON!B$2,MATCH(C:C,PADRON!A$2:A1405,0)-1,0,1,1))</f>
        <v>PEREZ DAMIAN</v>
      </c>
      <c r="E1271" s="58">
        <v>45839.0</v>
      </c>
      <c r="F1271" s="145">
        <v>45870.0</v>
      </c>
      <c r="G1271" s="59" t="s">
        <v>39</v>
      </c>
      <c r="H1271" s="60">
        <f>IF( ISERROR( OFFSET(   'Cuadro tarifario'!D$2  , MATCH(CONCATENATE(                 IF(F1271&gt;Mes,OFFSET(NroCT!B$17, MATCH($F1271,NroCT!$A$18:$A1405,0),0,1,1),Periodovigente)                                                                                                                     ,A1271) ,'Cuadro tarifario'!A$2:A1405,0) -1 , 0 , 1 , 1) )   , 0  ,   OFFSET(   'Cuadro tarifario'!D$2  , MATCH(CONCATENATE( IF(F1271&gt;Mes,OFFSET(NroCT!B$17, MATCH($F1271,NroCT!$A$18:$A1405,0),0,1,1),Periodovigente) ,A1271) ,'Cuadro tarifario'!A$2:A1405,0) -1 , 0 , 1 , 1))</f>
        <v>9000</v>
      </c>
      <c r="I1271" s="61">
        <f t="shared" si="252"/>
        <v>1</v>
      </c>
      <c r="J1271" s="60">
        <f t="shared" si="306"/>
        <v>9000</v>
      </c>
      <c r="K1271" s="62">
        <f>IF(  AND(N1271&gt;0,I1271=0)          ,N1271 ,                         IF(  IF( F1271 ,  DAYS360(DATE(YEAR(F1271),MONTH(F1271),1),Mes)/30  ,  DAYS360(DATE(YEAR(E1271),MONTH(E1271),1),Mes)/30  )  &gt;  0 , IF(F1271,   DAYS360(DATE(YEAR(F1271),MONTH(F1271),1),Mes)/30  ,  DAYS360(DATE(YEAR(E1271),MONTH(E1271),1),Mes)/30) , 0)       )</f>
        <v>0</v>
      </c>
      <c r="L1271" s="63">
        <f t="shared" si="253"/>
        <v>0</v>
      </c>
      <c r="M1271" s="162"/>
      <c r="N1271" s="97">
        <f>IF( ISERROR(OFFSET(SECUESTRADOS!D$1,MATCH(B1271,SECUESTRADOS!A$2:A1405,0),0)) ,0 ,  OFFSET(SECUESTRADOS!D$1,MATCH(B1271,SECUESTRADOS!A$2:A1405,0),0)  )</f>
        <v>0</v>
      </c>
      <c r="O1271" s="98"/>
      <c r="P1271" s="99" t="str">
        <f t="shared" si="238"/>
        <v>Bono canon</v>
      </c>
      <c r="Q1271" s="99" t="str">
        <f t="shared" si="304"/>
        <v>#REF!</v>
      </c>
      <c r="R1271" s="130"/>
      <c r="S1271" s="130"/>
      <c r="T1271" s="130"/>
    </row>
    <row r="1272">
      <c r="A1272" s="18" t="s">
        <v>71</v>
      </c>
      <c r="B1272" s="116">
        <v>2343.0</v>
      </c>
      <c r="C1272" s="140">
        <v>2343.0</v>
      </c>
      <c r="D1272" s="57" t="str">
        <f>IF(   ISERROR(OFFSET(PADRON!B$2,MATCH(C:C,PADRON!A$2:A1405,0)-1,0,1,1) )  ,  ,    OFFSET(PADRON!B$2,MATCH(C:C,PADRON!A$2:A1405,0)-1,0,1,1))</f>
        <v>CIBIARA, JORGELINA</v>
      </c>
      <c r="E1272" s="58">
        <v>45839.0</v>
      </c>
      <c r="F1272" s="145"/>
      <c r="G1272" s="59" t="s">
        <v>39</v>
      </c>
      <c r="H1272" s="60">
        <f>IF( ISERROR( OFFSET(   'Cuadro tarifario'!D$2  , MATCH(CONCATENATE(                 IF(F1272&gt;Mes,OFFSET(NroCT!B$17, MATCH($F1272,NroCT!$A$18:$A1405,0),0,1,1),Periodovigente)                                                                                                                     ,A1272) ,'Cuadro tarifario'!A$2:A1405,0) -1 , 0 , 1 , 1) )   , 0  ,   OFFSET(   'Cuadro tarifario'!D$2  , MATCH(CONCATENATE( IF(F1272&gt;Mes,OFFSET(NroCT!B$17, MATCH($F1272,NroCT!$A$18:$A1405,0),0,1,1),Periodovigente) ,A1272) ,'Cuadro tarifario'!A$2:A1405,0) -1 , 0 , 1 , 1))</f>
        <v>11000</v>
      </c>
      <c r="I1272" s="61">
        <f t="shared" si="252"/>
        <v>0</v>
      </c>
      <c r="J1272" s="60">
        <f t="shared" si="306"/>
        <v>0</v>
      </c>
      <c r="K1272" s="62">
        <f>IF(  AND(N1272&gt;0,I1272=0)          ,N1272 ,                         IF(  IF( F1272 ,  DAYS360(DATE(YEAR(F1272),MONTH(F1272),1),Mes)/30  ,  DAYS360(DATE(YEAR(E1272),MONTH(E1272),1),Mes)/30  )  &gt;  0 , IF(F1272,   DAYS360(DATE(YEAR(F1272),MONTH(F1272),1),Mes)/30  ,  DAYS360(DATE(YEAR(E1272),MONTH(E1272),1),Mes)/30) , 0)       )</f>
        <v>1</v>
      </c>
      <c r="L1272" s="63">
        <f t="shared" si="253"/>
        <v>11000</v>
      </c>
      <c r="M1272" s="162"/>
      <c r="N1272" s="97">
        <f>IF( ISERROR(OFFSET(SECUESTRADOS!D$1,MATCH(B1272,SECUESTRADOS!A$2:A1405,0),0)) ,0 ,  OFFSET(SECUESTRADOS!D$1,MATCH(B1272,SECUESTRADOS!A$2:A1405,0),0)  )</f>
        <v>0</v>
      </c>
      <c r="O1272" s="98"/>
      <c r="P1272" s="99" t="b">
        <f t="shared" si="238"/>
        <v>0</v>
      </c>
      <c r="Q1272" s="99" t="str">
        <f t="shared" si="304"/>
        <v>#REF!</v>
      </c>
      <c r="R1272" s="130"/>
      <c r="S1272" s="130"/>
      <c r="T1272" s="130"/>
    </row>
    <row r="1273">
      <c r="A1273" s="18" t="s">
        <v>38</v>
      </c>
      <c r="B1273" s="116">
        <v>2343.0</v>
      </c>
      <c r="C1273" s="140">
        <v>2343.0</v>
      </c>
      <c r="D1273" s="57" t="str">
        <f>IF(   ISERROR(OFFSET(PADRON!B$2,MATCH(C:C,PADRON!A$2:A1405,0)-1,0,1,1) )  ,  ,    OFFSET(PADRON!B$2,MATCH(C:C,PADRON!A$2:A1405,0)-1,0,1,1))</f>
        <v>CIBIARA, JORGELINA</v>
      </c>
      <c r="E1273" s="58">
        <v>45839.0</v>
      </c>
      <c r="F1273" s="145"/>
      <c r="G1273" s="59" t="s">
        <v>39</v>
      </c>
      <c r="H1273" s="60">
        <f>IF( ISERROR( OFFSET(   'Cuadro tarifario'!D$2  , MATCH(CONCATENATE(                 IF(F1273&gt;Mes,OFFSET(NroCT!B$17, MATCH($F1273,NroCT!$A$18:$A1405,0),0,1,1),Periodovigente)                                                                                                                     ,A1273) ,'Cuadro tarifario'!A$2:A1405,0) -1 , 0 , 1 , 1) )   , 0  ,   OFFSET(   'Cuadro tarifario'!D$2  , MATCH(CONCATENATE( IF(F1273&gt;Mes,OFFSET(NroCT!B$17, MATCH($F1273,NroCT!$A$18:$A1405,0),0,1,1),Periodovigente) ,A1273) ,'Cuadro tarifario'!A$2:A1405,0) -1 , 0 , 1 , 1))</f>
        <v>9000</v>
      </c>
      <c r="I1273" s="61">
        <f t="shared" si="252"/>
        <v>0</v>
      </c>
      <c r="J1273" s="60">
        <f t="shared" si="306"/>
        <v>0</v>
      </c>
      <c r="K1273" s="62">
        <f>IF(  AND(N1273&gt;0,I1273=0)          ,N1273 ,                         IF(  IF( F1273 ,  DAYS360(DATE(YEAR(F1273),MONTH(F1273),1),Mes)/30  ,  DAYS360(DATE(YEAR(E1273),MONTH(E1273),1),Mes)/30  )  &gt;  0 , IF(F1273,   DAYS360(DATE(YEAR(F1273),MONTH(F1273),1),Mes)/30  ,  DAYS360(DATE(YEAR(E1273),MONTH(E1273),1),Mes)/30) , 0)       )</f>
        <v>1</v>
      </c>
      <c r="L1273" s="63">
        <f t="shared" si="253"/>
        <v>9000</v>
      </c>
      <c r="M1273" s="162"/>
      <c r="N1273" s="97">
        <f>IF( ISERROR(OFFSET(SECUESTRADOS!D$1,MATCH(B1273,SECUESTRADOS!A$2:A1405,0),0)) ,0 ,  OFFSET(SECUESTRADOS!D$1,MATCH(B1273,SECUESTRADOS!A$2:A1405,0),0)  )</f>
        <v>0</v>
      </c>
      <c r="O1273" s="98"/>
      <c r="P1273" s="99" t="b">
        <f t="shared" si="238"/>
        <v>0</v>
      </c>
      <c r="Q1273" s="99" t="str">
        <f t="shared" si="304"/>
        <v>#REF!</v>
      </c>
      <c r="R1273" s="130"/>
      <c r="S1273" s="130"/>
      <c r="T1273" s="130"/>
    </row>
    <row r="1274">
      <c r="A1274" s="18" t="s">
        <v>40</v>
      </c>
      <c r="B1274" s="116" t="s">
        <v>483</v>
      </c>
      <c r="C1274" s="140">
        <v>2343.0</v>
      </c>
      <c r="D1274" s="57" t="str">
        <f>IF(   ISERROR(OFFSET(PADRON!B$2,MATCH(C:C,PADRON!A$2:A1405,0)-1,0,1,1) )  ,  ,    OFFSET(PADRON!B$2,MATCH(C:C,PADRON!A$2:A1405,0)-1,0,1,1))</f>
        <v>CIBIARA, JORGELINA</v>
      </c>
      <c r="E1274" s="58">
        <v>45839.0</v>
      </c>
      <c r="F1274" s="145"/>
      <c r="G1274" s="59" t="s">
        <v>39</v>
      </c>
      <c r="H1274" s="60">
        <f>IF( ISERROR( OFFSET(   'Cuadro tarifario'!D$2  , MATCH(CONCATENATE(                 IF(F1274&gt;Mes,OFFSET(NroCT!B$17, MATCH($F1274,NroCT!$A$18:$A1405,0),0,1,1),Periodovigente)                                                                                                                     ,A1274) ,'Cuadro tarifario'!A$2:A1405,0) -1 , 0 , 1 , 1) )   , 0  ,   OFFSET(   'Cuadro tarifario'!D$2  , MATCH(CONCATENATE( IF(F1274&gt;Mes,OFFSET(NroCT!B$17, MATCH($F1274,NroCT!$A$18:$A1405,0),0,1,1),Periodovigente) ,A1274) ,'Cuadro tarifario'!A$2:A1405,0) -1 , 0 , 1 , 1))</f>
        <v>12000</v>
      </c>
      <c r="I1274" s="61">
        <f t="shared" si="252"/>
        <v>0</v>
      </c>
      <c r="J1274" s="60">
        <f t="shared" si="306"/>
        <v>0</v>
      </c>
      <c r="K1274" s="62">
        <f>IF(  AND(N1274&gt;0,I1274=0)          ,N1274 ,                         IF(  IF( F1274 ,  DAYS360(DATE(YEAR(F1274),MONTH(F1274),1),Mes)/30  ,  DAYS360(DATE(YEAR(E1274),MONTH(E1274),1),Mes)/30  )  &gt;  0 , IF(F1274,   DAYS360(DATE(YEAR(F1274),MONTH(F1274),1),Mes)/30  ,  DAYS360(DATE(YEAR(E1274),MONTH(E1274),1),Mes)/30) , 0)       )</f>
        <v>1</v>
      </c>
      <c r="L1274" s="63">
        <f t="shared" si="253"/>
        <v>12000</v>
      </c>
      <c r="M1274" s="162"/>
      <c r="N1274" s="97">
        <f>IF( ISERROR(OFFSET(SECUESTRADOS!D$1,MATCH(B1274,SECUESTRADOS!A$2:A1405,0),0)) ,0 ,  OFFSET(SECUESTRADOS!D$1,MATCH(B1274,SECUESTRADOS!A$2:A1405,0),0)  )</f>
        <v>0</v>
      </c>
      <c r="O1274" s="98"/>
      <c r="P1274" s="99" t="b">
        <f t="shared" si="238"/>
        <v>0</v>
      </c>
      <c r="Q1274" s="99" t="str">
        <f t="shared" si="304"/>
        <v>#REF!</v>
      </c>
      <c r="R1274" s="130"/>
      <c r="S1274" s="130"/>
      <c r="T1274" s="130"/>
    </row>
    <row r="1275">
      <c r="A1275" s="18" t="s">
        <v>71</v>
      </c>
      <c r="B1275" s="116">
        <v>2344.0</v>
      </c>
      <c r="C1275" s="140">
        <v>2344.0</v>
      </c>
      <c r="D1275" s="57" t="str">
        <f>IF(   ISERROR(OFFSET(PADRON!B$2,MATCH(C:C,PADRON!A$2:A1405,0)-1,0,1,1) )  ,  ,    OFFSET(PADRON!B$2,MATCH(C:C,PADRON!A$2:A1405,0)-1,0,1,1))</f>
        <v>SANTILLAN, SOLEDAD</v>
      </c>
      <c r="E1275" s="58">
        <v>45839.0</v>
      </c>
      <c r="F1275" s="145">
        <v>45870.0</v>
      </c>
      <c r="G1275" s="59" t="s">
        <v>39</v>
      </c>
      <c r="H1275" s="60">
        <f>IF( ISERROR( OFFSET(   'Cuadro tarifario'!D$2  , MATCH(CONCATENATE(                 IF(F1275&gt;Mes,OFFSET(NroCT!B$17, MATCH($F1275,NroCT!$A$18:$A1405,0),0,1,1),Periodovigente)                                                                                                                     ,A1275) ,'Cuadro tarifario'!A$2:A1405,0) -1 , 0 , 1 , 1) )   , 0  ,   OFFSET(   'Cuadro tarifario'!D$2  , MATCH(CONCATENATE( IF(F1275&gt;Mes,OFFSET(NroCT!B$17, MATCH($F1275,NroCT!$A$18:$A1405,0),0,1,1),Periodovigente) ,A1275) ,'Cuadro tarifario'!A$2:A1405,0) -1 , 0 , 1 , 1))</f>
        <v>11000</v>
      </c>
      <c r="I1275" s="61">
        <f t="shared" si="252"/>
        <v>1</v>
      </c>
      <c r="J1275" s="60">
        <f t="shared" si="306"/>
        <v>11000</v>
      </c>
      <c r="K1275" s="62">
        <f>IF(  AND(N1275&gt;0,I1275=0)          ,N1275 ,                         IF(  IF( F1275 ,  DAYS360(DATE(YEAR(F1275),MONTH(F1275),1),Mes)/30  ,  DAYS360(DATE(YEAR(E1275),MONTH(E1275),1),Mes)/30  )  &gt;  0 , IF(F1275,   DAYS360(DATE(YEAR(F1275),MONTH(F1275),1),Mes)/30  ,  DAYS360(DATE(YEAR(E1275),MONTH(E1275),1),Mes)/30) , 0)       )</f>
        <v>0</v>
      </c>
      <c r="L1275" s="63">
        <f t="shared" si="253"/>
        <v>0</v>
      </c>
      <c r="M1275" s="162"/>
      <c r="N1275" s="97">
        <f>IF( ISERROR(OFFSET(SECUESTRADOS!D$1,MATCH(B1275,SECUESTRADOS!A$2:A1405,0),0)) ,0 ,  OFFSET(SECUESTRADOS!D$1,MATCH(B1275,SECUESTRADOS!A$2:A1405,0),0)  )</f>
        <v>0</v>
      </c>
      <c r="O1275" s="98"/>
      <c r="P1275" s="99" t="str">
        <f t="shared" si="238"/>
        <v>.socio</v>
      </c>
      <c r="Q1275" s="99" t="str">
        <f t="shared" si="304"/>
        <v>#REF!</v>
      </c>
      <c r="R1275" s="130"/>
      <c r="S1275" s="130"/>
      <c r="T1275" s="130"/>
    </row>
    <row r="1276">
      <c r="A1276" s="18" t="s">
        <v>38</v>
      </c>
      <c r="B1276" s="116">
        <v>2344.0</v>
      </c>
      <c r="C1276" s="140">
        <v>2344.0</v>
      </c>
      <c r="D1276" s="57" t="str">
        <f>IF(   ISERROR(OFFSET(PADRON!B$2,MATCH(C:C,PADRON!A$2:A1405,0)-1,0,1,1) )  ,  ,    OFFSET(PADRON!B$2,MATCH(C:C,PADRON!A$2:A1405,0)-1,0,1,1))</f>
        <v>SANTILLAN, SOLEDAD</v>
      </c>
      <c r="E1276" s="58">
        <v>45839.0</v>
      </c>
      <c r="F1276" s="145">
        <v>45870.0</v>
      </c>
      <c r="G1276" s="59" t="s">
        <v>39</v>
      </c>
      <c r="H1276" s="60">
        <f>IF( ISERROR( OFFSET(   'Cuadro tarifario'!D$2  , MATCH(CONCATENATE(                 IF(F1276&gt;Mes,OFFSET(NroCT!B$17, MATCH($F1276,NroCT!$A$18:$A1405,0),0,1,1),Periodovigente)                                                                                                                     ,A1276) ,'Cuadro tarifario'!A$2:A1405,0) -1 , 0 , 1 , 1) )   , 0  ,   OFFSET(   'Cuadro tarifario'!D$2  , MATCH(CONCATENATE( IF(F1276&gt;Mes,OFFSET(NroCT!B$17, MATCH($F1276,NroCT!$A$18:$A1405,0),0,1,1),Periodovigente) ,A1276) ,'Cuadro tarifario'!A$2:A1405,0) -1 , 0 , 1 , 1))</f>
        <v>9000</v>
      </c>
      <c r="I1276" s="61">
        <f t="shared" si="252"/>
        <v>1</v>
      </c>
      <c r="J1276" s="60">
        <f t="shared" si="306"/>
        <v>9000</v>
      </c>
      <c r="K1276" s="62">
        <f>IF(  AND(N1276&gt;0,I1276=0)          ,N1276 ,                         IF(  IF( F1276 ,  DAYS360(DATE(YEAR(F1276),MONTH(F1276),1),Mes)/30  ,  DAYS360(DATE(YEAR(E1276),MONTH(E1276),1),Mes)/30  )  &gt;  0 , IF(F1276,   DAYS360(DATE(YEAR(F1276),MONTH(F1276),1),Mes)/30  ,  DAYS360(DATE(YEAR(E1276),MONTH(E1276),1),Mes)/30) , 0)       )</f>
        <v>0</v>
      </c>
      <c r="L1276" s="63">
        <f t="shared" si="253"/>
        <v>0</v>
      </c>
      <c r="M1276" s="162"/>
      <c r="N1276" s="97">
        <f>IF( ISERROR(OFFSET(SECUESTRADOS!D$1,MATCH(B1276,SECUESTRADOS!A$2:A1405,0),0)) ,0 ,  OFFSET(SECUESTRADOS!D$1,MATCH(B1276,SECUESTRADOS!A$2:A1405,0),0)  )</f>
        <v>0</v>
      </c>
      <c r="O1276" s="98"/>
      <c r="P1276" s="99" t="str">
        <f t="shared" si="238"/>
        <v>Bono canon</v>
      </c>
      <c r="Q1276" s="99" t="str">
        <f t="shared" si="304"/>
        <v>#REF!</v>
      </c>
      <c r="R1276" s="130"/>
      <c r="S1276" s="130"/>
      <c r="T1276" s="130"/>
    </row>
    <row r="1277">
      <c r="A1277" s="18" t="s">
        <v>71</v>
      </c>
      <c r="B1277" s="116">
        <v>2345.0</v>
      </c>
      <c r="C1277" s="140">
        <v>2345.0</v>
      </c>
      <c r="D1277" s="57" t="str">
        <f>IF(   ISERROR(OFFSET(PADRON!B$2,MATCH(C:C,PADRON!A$2:A1405,0)-1,0,1,1) )  ,  ,    OFFSET(PADRON!B$2,MATCH(C:C,PADRON!A$2:A1405,0)-1,0,1,1))</f>
        <v>D´AGOSTINO, SILVANA</v>
      </c>
      <c r="E1277" s="58">
        <v>45839.0</v>
      </c>
      <c r="F1277" s="145">
        <v>45870.0</v>
      </c>
      <c r="G1277" s="59" t="s">
        <v>39</v>
      </c>
      <c r="H1277" s="60">
        <f>IF( ISERROR( OFFSET(   'Cuadro tarifario'!D$2  , MATCH(CONCATENATE(                 IF(F1277&gt;Mes,OFFSET(NroCT!B$17, MATCH($F1277,NroCT!$A$18:$A1405,0),0,1,1),Periodovigente)                                                                                                                     ,A1277) ,'Cuadro tarifario'!A$2:A1405,0) -1 , 0 , 1 , 1) )   , 0  ,   OFFSET(   'Cuadro tarifario'!D$2  , MATCH(CONCATENATE( IF(F1277&gt;Mes,OFFSET(NroCT!B$17, MATCH($F1277,NroCT!$A$18:$A1405,0),0,1,1),Periodovigente) ,A1277) ,'Cuadro tarifario'!A$2:A1405,0) -1 , 0 , 1 , 1))</f>
        <v>11000</v>
      </c>
      <c r="I1277" s="61">
        <f t="shared" si="252"/>
        <v>1</v>
      </c>
      <c r="J1277" s="60">
        <f t="shared" si="306"/>
        <v>11000</v>
      </c>
      <c r="K1277" s="62">
        <f>IF(  AND(N1277&gt;0,I1277=0)          ,N1277 ,                         IF(  IF( F1277 ,  DAYS360(DATE(YEAR(F1277),MONTH(F1277),1),Mes)/30  ,  DAYS360(DATE(YEAR(E1277),MONTH(E1277),1),Mes)/30  )  &gt;  0 , IF(F1277,   DAYS360(DATE(YEAR(F1277),MONTH(F1277),1),Mes)/30  ,  DAYS360(DATE(YEAR(E1277),MONTH(E1277),1),Mes)/30) , 0)       )</f>
        <v>0</v>
      </c>
      <c r="L1277" s="63">
        <f t="shared" si="253"/>
        <v>0</v>
      </c>
      <c r="M1277" s="162"/>
      <c r="N1277" s="97">
        <f>IF( ISERROR(OFFSET(SECUESTRADOS!D$1,MATCH(B1277,SECUESTRADOS!A$2:A1405,0),0)) ,0 ,  OFFSET(SECUESTRADOS!D$1,MATCH(B1277,SECUESTRADOS!A$2:A1405,0),0)  )</f>
        <v>0</v>
      </c>
      <c r="O1277" s="98"/>
      <c r="P1277" s="99" t="str">
        <f t="shared" si="238"/>
        <v>.socio</v>
      </c>
      <c r="Q1277" s="99" t="str">
        <f t="shared" si="304"/>
        <v>#REF!</v>
      </c>
      <c r="R1277" s="130"/>
      <c r="S1277" s="130"/>
      <c r="T1277" s="130"/>
    </row>
    <row r="1278">
      <c r="A1278" s="18" t="s">
        <v>38</v>
      </c>
      <c r="B1278" s="116">
        <v>2345.0</v>
      </c>
      <c r="C1278" s="140">
        <v>2345.0</v>
      </c>
      <c r="D1278" s="57" t="str">
        <f>IF(   ISERROR(OFFSET(PADRON!B$2,MATCH(C:C,PADRON!A$2:A1405,0)-1,0,1,1) )  ,  ,    OFFSET(PADRON!B$2,MATCH(C:C,PADRON!A$2:A1405,0)-1,0,1,1))</f>
        <v>D´AGOSTINO, SILVANA</v>
      </c>
      <c r="E1278" s="58">
        <v>45839.0</v>
      </c>
      <c r="F1278" s="145">
        <v>45870.0</v>
      </c>
      <c r="G1278" s="59" t="s">
        <v>39</v>
      </c>
      <c r="H1278" s="60">
        <f>IF( ISERROR( OFFSET(   'Cuadro tarifario'!D$2  , MATCH(CONCATENATE(                 IF(F1278&gt;Mes,OFFSET(NroCT!B$17, MATCH($F1278,NroCT!$A$18:$A1405,0),0,1,1),Periodovigente)                                                                                                                     ,A1278) ,'Cuadro tarifario'!A$2:A1405,0) -1 , 0 , 1 , 1) )   , 0  ,   OFFSET(   'Cuadro tarifario'!D$2  , MATCH(CONCATENATE( IF(F1278&gt;Mes,OFFSET(NroCT!B$17, MATCH($F1278,NroCT!$A$18:$A1405,0),0,1,1),Periodovigente) ,A1278) ,'Cuadro tarifario'!A$2:A1405,0) -1 , 0 , 1 , 1))</f>
        <v>9000</v>
      </c>
      <c r="I1278" s="61">
        <f t="shared" si="252"/>
        <v>1</v>
      </c>
      <c r="J1278" s="60">
        <f t="shared" si="306"/>
        <v>9000</v>
      </c>
      <c r="K1278" s="62">
        <f>IF(  AND(N1278&gt;0,I1278=0)          ,N1278 ,                         IF(  IF( F1278 ,  DAYS360(DATE(YEAR(F1278),MONTH(F1278),1),Mes)/30  ,  DAYS360(DATE(YEAR(E1278),MONTH(E1278),1),Mes)/30  )  &gt;  0 , IF(F1278,   DAYS360(DATE(YEAR(F1278),MONTH(F1278),1),Mes)/30  ,  DAYS360(DATE(YEAR(E1278),MONTH(E1278),1),Mes)/30) , 0)       )</f>
        <v>0</v>
      </c>
      <c r="L1278" s="63">
        <f t="shared" si="253"/>
        <v>0</v>
      </c>
      <c r="M1278" s="162"/>
      <c r="N1278" s="97">
        <f>IF( ISERROR(OFFSET(SECUESTRADOS!D$1,MATCH(B1278,SECUESTRADOS!A$2:A1405,0),0)) ,0 ,  OFFSET(SECUESTRADOS!D$1,MATCH(B1278,SECUESTRADOS!A$2:A1405,0),0)  )</f>
        <v>0</v>
      </c>
      <c r="O1278" s="98"/>
      <c r="P1278" s="99" t="str">
        <f t="shared" si="238"/>
        <v>Bono canon</v>
      </c>
      <c r="Q1278" s="99" t="str">
        <f t="shared" si="304"/>
        <v>#REF!</v>
      </c>
      <c r="R1278" s="130"/>
      <c r="S1278" s="130"/>
      <c r="T1278" s="130"/>
    </row>
    <row r="1279">
      <c r="A1279" s="18" t="s">
        <v>40</v>
      </c>
      <c r="B1279" s="116" t="s">
        <v>484</v>
      </c>
      <c r="C1279" s="140">
        <v>2345.0</v>
      </c>
      <c r="D1279" s="57" t="str">
        <f>IF(   ISERROR(OFFSET(PADRON!B$2,MATCH(C:C,PADRON!A$2:A1405,0)-1,0,1,1) )  ,  ,    OFFSET(PADRON!B$2,MATCH(C:C,PADRON!A$2:A1405,0)-1,0,1,1))</f>
        <v>D´AGOSTINO, SILVANA</v>
      </c>
      <c r="E1279" s="58">
        <v>45839.0</v>
      </c>
      <c r="F1279" s="145">
        <v>45870.0</v>
      </c>
      <c r="G1279" s="59" t="s">
        <v>39</v>
      </c>
      <c r="H1279" s="60">
        <f>IF( ISERROR( OFFSET(   'Cuadro tarifario'!D$2  , MATCH(CONCATENATE(                 IF(F1279&gt;Mes,OFFSET(NroCT!B$17, MATCH($F1279,NroCT!$A$18:$A1405,0),0,1,1),Periodovigente)                                                                                                                     ,A1279) ,'Cuadro tarifario'!A$2:A1405,0) -1 , 0 , 1 , 1) )   , 0  ,   OFFSET(   'Cuadro tarifario'!D$2  , MATCH(CONCATENATE( IF(F1279&gt;Mes,OFFSET(NroCT!B$17, MATCH($F1279,NroCT!$A$18:$A1405,0),0,1,1),Periodovigente) ,A1279) ,'Cuadro tarifario'!A$2:A1405,0) -1 , 0 , 1 , 1))</f>
        <v>12000</v>
      </c>
      <c r="I1279" s="61">
        <f t="shared" si="252"/>
        <v>1</v>
      </c>
      <c r="J1279" s="60">
        <f t="shared" si="306"/>
        <v>12000</v>
      </c>
      <c r="K1279" s="62">
        <f>IF(  AND(N1279&gt;0,I1279=0)          ,N1279 ,                         IF(  IF( F1279 ,  DAYS360(DATE(YEAR(F1279),MONTH(F1279),1),Mes)/30  ,  DAYS360(DATE(YEAR(E1279),MONTH(E1279),1),Mes)/30  )  &gt;  0 , IF(F1279,   DAYS360(DATE(YEAR(F1279),MONTH(F1279),1),Mes)/30  ,  DAYS360(DATE(YEAR(E1279),MONTH(E1279),1),Mes)/30) , 0)       )</f>
        <v>0</v>
      </c>
      <c r="L1279" s="63">
        <f t="shared" si="253"/>
        <v>0</v>
      </c>
      <c r="M1279" s="162"/>
      <c r="N1279" s="97">
        <f>IF( ISERROR(OFFSET(SECUESTRADOS!D$1,MATCH(B1279,SECUESTRADOS!A$2:A1405,0),0)) ,0 ,  OFFSET(SECUESTRADOS!D$1,MATCH(B1279,SECUESTRADOS!A$2:A1405,0),0)  )</f>
        <v>0</v>
      </c>
      <c r="O1279" s="98"/>
      <c r="P1279" s="99" t="str">
        <f t="shared" si="238"/>
        <v>cuna windsurf</v>
      </c>
      <c r="Q1279" s="99" t="str">
        <f t="shared" si="304"/>
        <v>#REF!</v>
      </c>
      <c r="R1279" s="130"/>
      <c r="S1279" s="130"/>
      <c r="T1279" s="130"/>
    </row>
    <row r="1280">
      <c r="A1280" s="18" t="s">
        <v>71</v>
      </c>
      <c r="B1280" s="116">
        <v>2346.0</v>
      </c>
      <c r="C1280" s="140">
        <v>2346.0</v>
      </c>
      <c r="D1280" s="57" t="str">
        <f>IF(   ISERROR(OFFSET(PADRON!B$2,MATCH(C:C,PADRON!A$2:A1405,0)-1,0,1,1) )  ,  ,    OFFSET(PADRON!B$2,MATCH(C:C,PADRON!A$2:A1405,0)-1,0,1,1))</f>
        <v>SOJA, ESTEBAN</v>
      </c>
      <c r="E1280" s="58">
        <v>45839.0</v>
      </c>
      <c r="F1280" s="145">
        <v>45870.0</v>
      </c>
      <c r="G1280" s="59" t="s">
        <v>39</v>
      </c>
      <c r="H1280" s="60">
        <f>IF( ISERROR( OFFSET(   'Cuadro tarifario'!D$2  , MATCH(CONCATENATE(                 IF(F1280&gt;Mes,OFFSET(NroCT!B$17, MATCH($F1280,NroCT!$A$18:$A1405,0),0,1,1),Periodovigente)                                                                                                                     ,A1280) ,'Cuadro tarifario'!A$2:A1405,0) -1 , 0 , 1 , 1) )   , 0  ,   OFFSET(   'Cuadro tarifario'!D$2  , MATCH(CONCATENATE( IF(F1280&gt;Mes,OFFSET(NroCT!B$17, MATCH($F1280,NroCT!$A$18:$A1405,0),0,1,1),Periodovigente) ,A1280) ,'Cuadro tarifario'!A$2:A1405,0) -1 , 0 , 1 , 1))</f>
        <v>11000</v>
      </c>
      <c r="I1280" s="61">
        <f t="shared" si="252"/>
        <v>1</v>
      </c>
      <c r="J1280" s="60">
        <f t="shared" si="306"/>
        <v>11000</v>
      </c>
      <c r="K1280" s="62">
        <f>IF(  AND(N1280&gt;0,I1280=0)          ,N1280 ,                         IF(  IF( F1280 ,  DAYS360(DATE(YEAR(F1280),MONTH(F1280),1),Mes)/30  ,  DAYS360(DATE(YEAR(E1280),MONTH(E1280),1),Mes)/30  )  &gt;  0 , IF(F1280,   DAYS360(DATE(YEAR(F1280),MONTH(F1280),1),Mes)/30  ,  DAYS360(DATE(YEAR(E1280),MONTH(E1280),1),Mes)/30) , 0)       )</f>
        <v>0</v>
      </c>
      <c r="L1280" s="63">
        <f t="shared" si="253"/>
        <v>0</v>
      </c>
      <c r="M1280" s="162"/>
      <c r="N1280" s="97">
        <f>IF( ISERROR(OFFSET(SECUESTRADOS!D$1,MATCH(B1280,SECUESTRADOS!A$2:A1405,0),0)) ,0 ,  OFFSET(SECUESTRADOS!D$1,MATCH(B1280,SECUESTRADOS!A$2:A1405,0),0)  )</f>
        <v>0</v>
      </c>
      <c r="O1280" s="98"/>
      <c r="P1280" s="99" t="str">
        <f t="shared" si="238"/>
        <v>.socio</v>
      </c>
      <c r="Q1280" s="99" t="str">
        <f t="shared" si="304"/>
        <v>#REF!</v>
      </c>
      <c r="R1280" s="130"/>
      <c r="S1280" s="130"/>
      <c r="T1280" s="130"/>
    </row>
    <row r="1281">
      <c r="A1281" s="18" t="s">
        <v>38</v>
      </c>
      <c r="B1281" s="116">
        <v>2346.0</v>
      </c>
      <c r="C1281" s="140">
        <v>2346.0</v>
      </c>
      <c r="D1281" s="57" t="str">
        <f>IF(   ISERROR(OFFSET(PADRON!B$2,MATCH(C:C,PADRON!A$2:A1405,0)-1,0,1,1) )  ,  ,    OFFSET(PADRON!B$2,MATCH(C:C,PADRON!A$2:A1405,0)-1,0,1,1))</f>
        <v>SOJA, ESTEBAN</v>
      </c>
      <c r="E1281" s="58">
        <v>45839.0</v>
      </c>
      <c r="F1281" s="145">
        <v>45870.0</v>
      </c>
      <c r="G1281" s="59" t="s">
        <v>39</v>
      </c>
      <c r="H1281" s="60">
        <f>IF( ISERROR( OFFSET(   'Cuadro tarifario'!D$2  , MATCH(CONCATENATE(                 IF(F1281&gt;Mes,OFFSET(NroCT!B$17, MATCH($F1281,NroCT!$A$18:$A1405,0),0,1,1),Periodovigente)                                                                                                                     ,A1281) ,'Cuadro tarifario'!A$2:A1405,0) -1 , 0 , 1 , 1) )   , 0  ,   OFFSET(   'Cuadro tarifario'!D$2  , MATCH(CONCATENATE( IF(F1281&gt;Mes,OFFSET(NroCT!B$17, MATCH($F1281,NroCT!$A$18:$A1405,0),0,1,1),Periodovigente) ,A1281) ,'Cuadro tarifario'!A$2:A1405,0) -1 , 0 , 1 , 1))</f>
        <v>9000</v>
      </c>
      <c r="I1281" s="61">
        <f t="shared" si="252"/>
        <v>1</v>
      </c>
      <c r="J1281" s="60">
        <f t="shared" si="306"/>
        <v>9000</v>
      </c>
      <c r="K1281" s="62">
        <f>IF(  AND(N1281&gt;0,I1281=0)          ,N1281 ,                         IF(  IF( F1281 ,  DAYS360(DATE(YEAR(F1281),MONTH(F1281),1),Mes)/30  ,  DAYS360(DATE(YEAR(E1281),MONTH(E1281),1),Mes)/30  )  &gt;  0 , IF(F1281,   DAYS360(DATE(YEAR(F1281),MONTH(F1281),1),Mes)/30  ,  DAYS360(DATE(YEAR(E1281),MONTH(E1281),1),Mes)/30) , 0)       )</f>
        <v>0</v>
      </c>
      <c r="L1281" s="63">
        <f t="shared" si="253"/>
        <v>0</v>
      </c>
      <c r="M1281" s="162"/>
      <c r="N1281" s="97">
        <f>IF( ISERROR(OFFSET(SECUESTRADOS!D$1,MATCH(B1281,SECUESTRADOS!A$2:A1405,0),0)) ,0 ,  OFFSET(SECUESTRADOS!D$1,MATCH(B1281,SECUESTRADOS!A$2:A1405,0),0)  )</f>
        <v>0</v>
      </c>
      <c r="O1281" s="98"/>
      <c r="P1281" s="99" t="str">
        <f t="shared" si="238"/>
        <v>Bono canon</v>
      </c>
      <c r="Q1281" s="99" t="str">
        <f t="shared" si="304"/>
        <v>#REF!</v>
      </c>
      <c r="R1281" s="130"/>
      <c r="S1281" s="130"/>
      <c r="T1281" s="130"/>
    </row>
    <row r="1282">
      <c r="A1282" s="18" t="s">
        <v>71</v>
      </c>
      <c r="B1282" s="116">
        <v>2347.0</v>
      </c>
      <c r="C1282" s="140">
        <v>2347.0</v>
      </c>
      <c r="D1282" s="57" t="str">
        <f>IF(   ISERROR(OFFSET(PADRON!B$2,MATCH(C:C,PADRON!A$2:A1405,0)-1,0,1,1) )  ,  ,    OFFSET(PADRON!B$2,MATCH(C:C,PADRON!A$2:A1405,0)-1,0,1,1))</f>
        <v>PUGLIATTI, LEANDRO</v>
      </c>
      <c r="E1282" s="58">
        <v>45839.0</v>
      </c>
      <c r="F1282" s="145">
        <v>45870.0</v>
      </c>
      <c r="G1282" s="59" t="s">
        <v>39</v>
      </c>
      <c r="H1282" s="60">
        <f>IF( ISERROR( OFFSET(   'Cuadro tarifario'!D$2  , MATCH(CONCATENATE(                 IF(F1282&gt;Mes,OFFSET(NroCT!B$17, MATCH($F1282,NroCT!$A$18:$A1405,0),0,1,1),Periodovigente)                                                                                                                     ,A1282) ,'Cuadro tarifario'!A$2:A1405,0) -1 , 0 , 1 , 1) )   , 0  ,   OFFSET(   'Cuadro tarifario'!D$2  , MATCH(CONCATENATE( IF(F1282&gt;Mes,OFFSET(NroCT!B$17, MATCH($F1282,NroCT!$A$18:$A1405,0),0,1,1),Periodovigente) ,A1282) ,'Cuadro tarifario'!A$2:A1405,0) -1 , 0 , 1 , 1))</f>
        <v>11000</v>
      </c>
      <c r="I1282" s="61">
        <f t="shared" si="252"/>
        <v>1</v>
      </c>
      <c r="J1282" s="60">
        <f t="shared" si="306"/>
        <v>11000</v>
      </c>
      <c r="K1282" s="62">
        <f>IF(  AND(N1282&gt;0,I1282=0)          ,N1282 ,                         IF(  IF( F1282 ,  DAYS360(DATE(YEAR(F1282),MONTH(F1282),1),Mes)/30  ,  DAYS360(DATE(YEAR(E1282),MONTH(E1282),1),Mes)/30  )  &gt;  0 , IF(F1282,   DAYS360(DATE(YEAR(F1282),MONTH(F1282),1),Mes)/30  ,  DAYS360(DATE(YEAR(E1282),MONTH(E1282),1),Mes)/30) , 0)       )</f>
        <v>0</v>
      </c>
      <c r="L1282" s="63">
        <f t="shared" si="253"/>
        <v>0</v>
      </c>
      <c r="M1282" s="162"/>
      <c r="N1282" s="97">
        <f>IF( ISERROR(OFFSET(SECUESTRADOS!D$1,MATCH(B1282,SECUESTRADOS!A$2:A1405,0),0)) ,0 ,  OFFSET(SECUESTRADOS!D$1,MATCH(B1282,SECUESTRADOS!A$2:A1405,0),0)  )</f>
        <v>0</v>
      </c>
      <c r="O1282" s="98"/>
      <c r="P1282" s="99" t="str">
        <f t="shared" si="238"/>
        <v>.socio</v>
      </c>
      <c r="Q1282" s="99" t="str">
        <f t="shared" si="304"/>
        <v>#REF!</v>
      </c>
      <c r="R1282" s="130"/>
      <c r="S1282" s="130"/>
      <c r="T1282" s="130"/>
    </row>
    <row r="1283">
      <c r="A1283" s="18" t="s">
        <v>38</v>
      </c>
      <c r="B1283" s="116">
        <v>2347.0</v>
      </c>
      <c r="C1283" s="140">
        <v>2347.0</v>
      </c>
      <c r="D1283" s="57" t="str">
        <f>IF(   ISERROR(OFFSET(PADRON!B$2,MATCH(C:C,PADRON!A$2:A1405,0)-1,0,1,1) )  ,  ,    OFFSET(PADRON!B$2,MATCH(C:C,PADRON!A$2:A1405,0)-1,0,1,1))</f>
        <v>PUGLIATTI, LEANDRO</v>
      </c>
      <c r="E1283" s="58">
        <v>45839.0</v>
      </c>
      <c r="F1283" s="145">
        <v>45870.0</v>
      </c>
      <c r="G1283" s="59" t="s">
        <v>39</v>
      </c>
      <c r="H1283" s="60">
        <f>IF( ISERROR( OFFSET(   'Cuadro tarifario'!D$2  , MATCH(CONCATENATE(                 IF(F1283&gt;Mes,OFFSET(NroCT!B$17, MATCH($F1283,NroCT!$A$18:$A1405,0),0,1,1),Periodovigente)                                                                                                                     ,A1283) ,'Cuadro tarifario'!A$2:A1405,0) -1 , 0 , 1 , 1) )   , 0  ,   OFFSET(   'Cuadro tarifario'!D$2  , MATCH(CONCATENATE( IF(F1283&gt;Mes,OFFSET(NroCT!B$17, MATCH($F1283,NroCT!$A$18:$A1405,0),0,1,1),Periodovigente) ,A1283) ,'Cuadro tarifario'!A$2:A1405,0) -1 , 0 , 1 , 1))</f>
        <v>9000</v>
      </c>
      <c r="I1283" s="61">
        <f t="shared" si="252"/>
        <v>1</v>
      </c>
      <c r="J1283" s="60">
        <f t="shared" si="306"/>
        <v>9000</v>
      </c>
      <c r="K1283" s="62">
        <f>IF(  AND(N1283&gt;0,I1283=0)          ,N1283 ,                         IF(  IF( F1283 ,  DAYS360(DATE(YEAR(F1283),MONTH(F1283),1),Mes)/30  ,  DAYS360(DATE(YEAR(E1283),MONTH(E1283),1),Mes)/30  )  &gt;  0 , IF(F1283,   DAYS360(DATE(YEAR(F1283),MONTH(F1283),1),Mes)/30  ,  DAYS360(DATE(YEAR(E1283),MONTH(E1283),1),Mes)/30) , 0)       )</f>
        <v>0</v>
      </c>
      <c r="L1283" s="63">
        <f t="shared" si="253"/>
        <v>0</v>
      </c>
      <c r="M1283" s="162"/>
      <c r="N1283" s="97">
        <f>IF( ISERROR(OFFSET(SECUESTRADOS!D$1,MATCH(B1283,SECUESTRADOS!A$2:A1405,0),0)) ,0 ,  OFFSET(SECUESTRADOS!D$1,MATCH(B1283,SECUESTRADOS!A$2:A1405,0),0)  )</f>
        <v>0</v>
      </c>
      <c r="O1283" s="98"/>
      <c r="P1283" s="99" t="str">
        <f t="shared" si="238"/>
        <v>Bono canon</v>
      </c>
      <c r="Q1283" s="99" t="str">
        <f t="shared" si="304"/>
        <v>#REF!</v>
      </c>
      <c r="R1283" s="130"/>
      <c r="S1283" s="130"/>
      <c r="T1283" s="130"/>
    </row>
    <row r="1284">
      <c r="A1284" s="18" t="s">
        <v>71</v>
      </c>
      <c r="B1284" s="116">
        <v>2348.0</v>
      </c>
      <c r="C1284" s="140">
        <v>2348.0</v>
      </c>
      <c r="D1284" s="57" t="str">
        <f>IF(   ISERROR(OFFSET(PADRON!B$2,MATCH(C:C,PADRON!A$2:A1405,0)-1,0,1,1) )  ,  ,    OFFSET(PADRON!B$2,MATCH(C:C,PADRON!A$2:A1405,0)-1,0,1,1))</f>
        <v>GALHARRETBORDE, JAVIER</v>
      </c>
      <c r="E1284" s="58">
        <v>45870.0</v>
      </c>
      <c r="F1284" s="145">
        <v>45901.0</v>
      </c>
      <c r="G1284" s="59" t="s">
        <v>39</v>
      </c>
      <c r="H1284" s="60">
        <f>IF( ISERROR( OFFSET(   'Cuadro tarifario'!D$2  , MATCH(CONCATENATE(                 IF(F1284&gt;Mes,OFFSET(NroCT!B$17, MATCH($F1284,NroCT!$A$18:$A1405,0),0,1,1),Periodovigente)                                                                                                                     ,A1284) ,'Cuadro tarifario'!A$2:A1405,0) -1 , 0 , 1 , 1) )   , 0  ,   OFFSET(   'Cuadro tarifario'!D$2  , MATCH(CONCATENATE( IF(F1284&gt;Mes,OFFSET(NroCT!B$17, MATCH($F1284,NroCT!$A$18:$A1405,0),0,1,1),Periodovigente) ,A1284) ,'Cuadro tarifario'!A$2:A1405,0) -1 , 0 , 1 , 1))</f>
        <v>11000</v>
      </c>
      <c r="I1284" s="61">
        <f t="shared" si="252"/>
        <v>1</v>
      </c>
      <c r="J1284" s="60">
        <f t="shared" si="306"/>
        <v>11000</v>
      </c>
      <c r="K1284" s="62">
        <f>IF(  AND(N1284&gt;0,I1284=0)          ,N1284 ,                         IF(  IF( F1284 ,  DAYS360(DATE(YEAR(F1284),MONTH(F1284),1),Mes)/30  ,  DAYS360(DATE(YEAR(E1284),MONTH(E1284),1),Mes)/30  )  &gt;  0 , IF(F1284,   DAYS360(DATE(YEAR(F1284),MONTH(F1284),1),Mes)/30  ,  DAYS360(DATE(YEAR(E1284),MONTH(E1284),1),Mes)/30) , 0)       )</f>
        <v>0</v>
      </c>
      <c r="L1284" s="63">
        <f t="shared" si="253"/>
        <v>0</v>
      </c>
      <c r="M1284" s="162"/>
      <c r="N1284" s="97">
        <f>IF( ISERROR(OFFSET(SECUESTRADOS!D$1,MATCH(B1284,SECUESTRADOS!A$2:A1405,0),0)) ,0 ,  OFFSET(SECUESTRADOS!D$1,MATCH(B1284,SECUESTRADOS!A$2:A1405,0),0)  )</f>
        <v>0</v>
      </c>
      <c r="O1284" s="98"/>
      <c r="P1284" s="99" t="str">
        <f t="shared" si="238"/>
        <v>.socio</v>
      </c>
      <c r="Q1284" s="99" t="str">
        <f t="shared" si="304"/>
        <v>#REF!</v>
      </c>
      <c r="R1284" s="130"/>
      <c r="S1284" s="130"/>
      <c r="T1284" s="130"/>
    </row>
    <row r="1285">
      <c r="A1285" s="18" t="s">
        <v>38</v>
      </c>
      <c r="B1285" s="116">
        <v>2348.0</v>
      </c>
      <c r="C1285" s="140">
        <v>2348.0</v>
      </c>
      <c r="D1285" s="57" t="str">
        <f>IF(   ISERROR(OFFSET(PADRON!B$2,MATCH(C:C,PADRON!A$2:A1405,0)-1,0,1,1) )  ,  ,    OFFSET(PADRON!B$2,MATCH(C:C,PADRON!A$2:A1405,0)-1,0,1,1))</f>
        <v>GALHARRETBORDE, JAVIER</v>
      </c>
      <c r="E1285" s="58">
        <v>45870.0</v>
      </c>
      <c r="F1285" s="145">
        <v>45901.0</v>
      </c>
      <c r="G1285" s="59" t="s">
        <v>39</v>
      </c>
      <c r="H1285" s="60">
        <f>IF( ISERROR( OFFSET(   'Cuadro tarifario'!D$2  , MATCH(CONCATENATE(                 IF(F1285&gt;Mes,OFFSET(NroCT!B$17, MATCH($F1285,NroCT!$A$18:$A1405,0),0,1,1),Periodovigente)                                                                                                                     ,A1285) ,'Cuadro tarifario'!A$2:A1405,0) -1 , 0 , 1 , 1) )   , 0  ,   OFFSET(   'Cuadro tarifario'!D$2  , MATCH(CONCATENATE( IF(F1285&gt;Mes,OFFSET(NroCT!B$17, MATCH($F1285,NroCT!$A$18:$A1405,0),0,1,1),Periodovigente) ,A1285) ,'Cuadro tarifario'!A$2:A1405,0) -1 , 0 , 1 , 1))</f>
        <v>9000</v>
      </c>
      <c r="I1285" s="61">
        <f t="shared" si="252"/>
        <v>1</v>
      </c>
      <c r="J1285" s="60">
        <f t="shared" si="306"/>
        <v>9000</v>
      </c>
      <c r="K1285" s="62">
        <f>IF(  AND(N1285&gt;0,I1285=0)          ,N1285 ,                         IF(  IF( F1285 ,  DAYS360(DATE(YEAR(F1285),MONTH(F1285),1),Mes)/30  ,  DAYS360(DATE(YEAR(E1285),MONTH(E1285),1),Mes)/30  )  &gt;  0 , IF(F1285,   DAYS360(DATE(YEAR(F1285),MONTH(F1285),1),Mes)/30  ,  DAYS360(DATE(YEAR(E1285),MONTH(E1285),1),Mes)/30) , 0)       )</f>
        <v>0</v>
      </c>
      <c r="L1285" s="63">
        <f t="shared" si="253"/>
        <v>0</v>
      </c>
      <c r="M1285" s="162"/>
      <c r="N1285" s="97">
        <f>IF( ISERROR(OFFSET(SECUESTRADOS!D$1,MATCH(B1285,SECUESTRADOS!A$2:A1405,0),0)) ,0 ,  OFFSET(SECUESTRADOS!D$1,MATCH(B1285,SECUESTRADOS!A$2:A1405,0),0)  )</f>
        <v>0</v>
      </c>
      <c r="O1285" s="98"/>
      <c r="P1285" s="99" t="str">
        <f t="shared" si="238"/>
        <v>Bono canon</v>
      </c>
      <c r="Q1285" s="99" t="str">
        <f t="shared" si="304"/>
        <v>#REF!</v>
      </c>
      <c r="R1285" s="130"/>
      <c r="S1285" s="130"/>
      <c r="T1285" s="130"/>
    </row>
    <row r="1286">
      <c r="A1286" s="18" t="s">
        <v>71</v>
      </c>
      <c r="B1286" s="116">
        <v>2349.0</v>
      </c>
      <c r="C1286" s="140">
        <v>2349.0</v>
      </c>
      <c r="D1286" s="57" t="str">
        <f>IF(   ISERROR(OFFSET(PADRON!B$2,MATCH(C:C,PADRON!A$2:A1405,0)-1,0,1,1) )  ,  ,    OFFSET(PADRON!B$2,MATCH(C:C,PADRON!A$2:A1405,0)-1,0,1,1))</f>
        <v>TETTAMANTI, MILAGROS</v>
      </c>
      <c r="E1286" s="58">
        <v>45870.0</v>
      </c>
      <c r="F1286" s="145"/>
      <c r="G1286" s="59" t="s">
        <v>39</v>
      </c>
      <c r="H1286" s="60">
        <f>IF( ISERROR( OFFSET(   'Cuadro tarifario'!D$2  , MATCH(CONCATENATE(                 IF(F1286&gt;Mes,OFFSET(NroCT!B$17, MATCH($F1286,NroCT!$A$18:$A1405,0),0,1,1),Periodovigente)                                                                                                                     ,A1286) ,'Cuadro tarifario'!A$2:A1405,0) -1 , 0 , 1 , 1) )   , 0  ,   OFFSET(   'Cuadro tarifario'!D$2  , MATCH(CONCATENATE( IF(F1286&gt;Mes,OFFSET(NroCT!B$17, MATCH($F1286,NroCT!$A$18:$A1405,0),0,1,1),Periodovigente) ,A1286) ,'Cuadro tarifario'!A$2:A1405,0) -1 , 0 , 1 , 1))</f>
        <v>11000</v>
      </c>
      <c r="I1286" s="61">
        <f t="shared" si="252"/>
        <v>0</v>
      </c>
      <c r="J1286" s="60">
        <f t="shared" si="306"/>
        <v>0</v>
      </c>
      <c r="K1286" s="62">
        <f>IF(  AND(N1286&gt;0,I1286=0)          ,N1286 ,                         IF(  IF( F1286 ,  DAYS360(DATE(YEAR(F1286),MONTH(F1286),1),Mes)/30  ,  DAYS360(DATE(YEAR(E1286),MONTH(E1286),1),Mes)/30  )  &gt;  0 , IF(F1286,   DAYS360(DATE(YEAR(F1286),MONTH(F1286),1),Mes)/30  ,  DAYS360(DATE(YEAR(E1286),MONTH(E1286),1),Mes)/30) , 0)       )</f>
        <v>0</v>
      </c>
      <c r="L1286" s="63">
        <f t="shared" si="253"/>
        <v>0</v>
      </c>
      <c r="M1286" s="162"/>
      <c r="N1286" s="97">
        <f>IF( ISERROR(OFFSET(SECUESTRADOS!D$1,MATCH(B1286,SECUESTRADOS!A$2:A1405,0),0)) ,0 ,  OFFSET(SECUESTRADOS!D$1,MATCH(B1286,SECUESTRADOS!A$2:A1405,0),0)  )</f>
        <v>0</v>
      </c>
      <c r="O1286" s="98"/>
      <c r="P1286" s="99" t="b">
        <f t="shared" si="238"/>
        <v>0</v>
      </c>
      <c r="Q1286" s="99" t="str">
        <f t="shared" si="304"/>
        <v>#REF!</v>
      </c>
      <c r="R1286" s="130"/>
      <c r="S1286" s="130"/>
      <c r="T1286" s="130"/>
    </row>
    <row r="1287">
      <c r="A1287" s="18" t="s">
        <v>38</v>
      </c>
      <c r="B1287" s="116">
        <v>2349.0</v>
      </c>
      <c r="C1287" s="140">
        <v>2349.0</v>
      </c>
      <c r="D1287" s="57" t="str">
        <f>IF(   ISERROR(OFFSET(PADRON!B$2,MATCH(C:C,PADRON!A$2:A1405,0)-1,0,1,1) )  ,  ,    OFFSET(PADRON!B$2,MATCH(C:C,PADRON!A$2:A1405,0)-1,0,1,1))</f>
        <v>TETTAMANTI, MILAGROS</v>
      </c>
      <c r="E1287" s="58">
        <v>45870.0</v>
      </c>
      <c r="F1287" s="145"/>
      <c r="G1287" s="59" t="s">
        <v>39</v>
      </c>
      <c r="H1287" s="60">
        <f>IF( ISERROR( OFFSET(   'Cuadro tarifario'!D$2  , MATCH(CONCATENATE(                 IF(F1287&gt;Mes,OFFSET(NroCT!B$17, MATCH($F1287,NroCT!$A$18:$A1405,0),0,1,1),Periodovigente)                                                                                                                     ,A1287) ,'Cuadro tarifario'!A$2:A1405,0) -1 , 0 , 1 , 1) )   , 0  ,   OFFSET(   'Cuadro tarifario'!D$2  , MATCH(CONCATENATE( IF(F1287&gt;Mes,OFFSET(NroCT!B$17, MATCH($F1287,NroCT!$A$18:$A1405,0),0,1,1),Periodovigente) ,A1287) ,'Cuadro tarifario'!A$2:A1405,0) -1 , 0 , 1 , 1))</f>
        <v>9000</v>
      </c>
      <c r="I1287" s="61">
        <f t="shared" si="252"/>
        <v>0</v>
      </c>
      <c r="J1287" s="60">
        <f t="shared" si="306"/>
        <v>0</v>
      </c>
      <c r="K1287" s="62">
        <f>IF(  AND(N1287&gt;0,I1287=0)          ,N1287 ,                         IF(  IF( F1287 ,  DAYS360(DATE(YEAR(F1287),MONTH(F1287),1),Mes)/30  ,  DAYS360(DATE(YEAR(E1287),MONTH(E1287),1),Mes)/30  )  &gt;  0 , IF(F1287,   DAYS360(DATE(YEAR(F1287),MONTH(F1287),1),Mes)/30  ,  DAYS360(DATE(YEAR(E1287),MONTH(E1287),1),Mes)/30) , 0)       )</f>
        <v>0</v>
      </c>
      <c r="L1287" s="63">
        <f t="shared" si="253"/>
        <v>0</v>
      </c>
      <c r="M1287" s="162"/>
      <c r="N1287" s="97">
        <f>IF( ISERROR(OFFSET(SECUESTRADOS!D$1,MATCH(B1287,SECUESTRADOS!A$2:A1405,0),0)) ,0 ,  OFFSET(SECUESTRADOS!D$1,MATCH(B1287,SECUESTRADOS!A$2:A1405,0),0)  )</f>
        <v>0</v>
      </c>
      <c r="O1287" s="98"/>
      <c r="P1287" s="99" t="b">
        <f t="shared" si="238"/>
        <v>0</v>
      </c>
      <c r="Q1287" s="99" t="str">
        <f t="shared" si="304"/>
        <v>#REF!</v>
      </c>
      <c r="R1287" s="130"/>
      <c r="S1287" s="130"/>
      <c r="T1287" s="130"/>
    </row>
    <row r="1288">
      <c r="A1288" s="18" t="s">
        <v>71</v>
      </c>
      <c r="B1288" s="116">
        <v>2350.0</v>
      </c>
      <c r="C1288" s="140">
        <v>2350.0</v>
      </c>
      <c r="D1288" s="57" t="str">
        <f>IF(   ISERROR(OFFSET(PADRON!B$2,MATCH(C:C,PADRON!A$2:A1405,0)-1,0,1,1) )  ,  ,    OFFSET(PADRON!B$2,MATCH(C:C,PADRON!A$2:A1405,0)-1,0,1,1))</f>
        <v>PIETROMONACO, EZEQUIEL</v>
      </c>
      <c r="E1288" s="58">
        <v>45839.0</v>
      </c>
      <c r="F1288" s="145">
        <v>45870.0</v>
      </c>
      <c r="G1288" s="59" t="s">
        <v>39</v>
      </c>
      <c r="H1288" s="60">
        <f>IF( ISERROR( OFFSET(   'Cuadro tarifario'!D$2  , MATCH(CONCATENATE(                 IF(F1288&gt;Mes,OFFSET(NroCT!B$17, MATCH($F1288,NroCT!$A$18:$A1405,0),0,1,1),Periodovigente)                                                                                                                     ,A1288) ,'Cuadro tarifario'!A$2:A1405,0) -1 , 0 , 1 , 1) )   , 0  ,   OFFSET(   'Cuadro tarifario'!D$2  , MATCH(CONCATENATE( IF(F1288&gt;Mes,OFFSET(NroCT!B$17, MATCH($F1288,NroCT!$A$18:$A1405,0),0,1,1),Periodovigente) ,A1288) ,'Cuadro tarifario'!A$2:A1405,0) -1 , 0 , 1 , 1))</f>
        <v>11000</v>
      </c>
      <c r="I1288" s="61">
        <f t="shared" si="252"/>
        <v>1</v>
      </c>
      <c r="J1288" s="60">
        <f t="shared" si="306"/>
        <v>11000</v>
      </c>
      <c r="K1288" s="62">
        <f>IF(  AND(N1288&gt;0,I1288=0)          ,N1288 ,                         IF(  IF( F1288 ,  DAYS360(DATE(YEAR(F1288),MONTH(F1288),1),Mes)/30  ,  DAYS360(DATE(YEAR(E1288),MONTH(E1288),1),Mes)/30  )  &gt;  0 , IF(F1288,   DAYS360(DATE(YEAR(F1288),MONTH(F1288),1),Mes)/30  ,  DAYS360(DATE(YEAR(E1288),MONTH(E1288),1),Mes)/30) , 0)       )</f>
        <v>0</v>
      </c>
      <c r="L1288" s="63">
        <f t="shared" si="253"/>
        <v>0</v>
      </c>
      <c r="M1288" s="162"/>
      <c r="N1288" s="97">
        <f>IF( ISERROR(OFFSET(SECUESTRADOS!D$1,MATCH(B1288,SECUESTRADOS!A$2:A1405,0),0)) ,0 ,  OFFSET(SECUESTRADOS!D$1,MATCH(B1288,SECUESTRADOS!A$2:A1405,0),0)  )</f>
        <v>0</v>
      </c>
      <c r="O1288" s="98"/>
      <c r="P1288" s="99" t="str">
        <f t="shared" si="238"/>
        <v>.socio</v>
      </c>
      <c r="Q1288" s="99" t="str">
        <f t="shared" si="304"/>
        <v>#REF!</v>
      </c>
      <c r="R1288" s="130"/>
      <c r="S1288" s="130"/>
      <c r="T1288" s="130"/>
    </row>
    <row r="1289">
      <c r="A1289" s="18" t="s">
        <v>38</v>
      </c>
      <c r="B1289" s="116">
        <v>2350.0</v>
      </c>
      <c r="C1289" s="140">
        <v>2350.0</v>
      </c>
      <c r="D1289" s="57" t="str">
        <f>IF(   ISERROR(OFFSET(PADRON!B$2,MATCH(C:C,PADRON!A$2:A1405,0)-1,0,1,1) )  ,  ,    OFFSET(PADRON!B$2,MATCH(C:C,PADRON!A$2:A1405,0)-1,0,1,1))</f>
        <v>PIETROMONACO, EZEQUIEL</v>
      </c>
      <c r="E1289" s="58">
        <v>45839.0</v>
      </c>
      <c r="F1289" s="145">
        <v>45870.0</v>
      </c>
      <c r="G1289" s="59" t="s">
        <v>39</v>
      </c>
      <c r="H1289" s="60">
        <f>IF( ISERROR( OFFSET(   'Cuadro tarifario'!D$2  , MATCH(CONCATENATE(                 IF(F1289&gt;Mes,OFFSET(NroCT!B$17, MATCH($F1289,NroCT!$A$18:$A1405,0),0,1,1),Periodovigente)                                                                                                                     ,A1289) ,'Cuadro tarifario'!A$2:A1405,0) -1 , 0 , 1 , 1) )   , 0  ,   OFFSET(   'Cuadro tarifario'!D$2  , MATCH(CONCATENATE( IF(F1289&gt;Mes,OFFSET(NroCT!B$17, MATCH($F1289,NroCT!$A$18:$A1405,0),0,1,1),Periodovigente) ,A1289) ,'Cuadro tarifario'!A$2:A1405,0) -1 , 0 , 1 , 1))</f>
        <v>9000</v>
      </c>
      <c r="I1289" s="61">
        <f t="shared" si="252"/>
        <v>1</v>
      </c>
      <c r="J1289" s="60">
        <f t="shared" si="306"/>
        <v>9000</v>
      </c>
      <c r="K1289" s="62">
        <f>IF(  AND(N1289&gt;0,I1289=0)          ,N1289 ,                         IF(  IF( F1289 ,  DAYS360(DATE(YEAR(F1289),MONTH(F1289),1),Mes)/30  ,  DAYS360(DATE(YEAR(E1289),MONTH(E1289),1),Mes)/30  )  &gt;  0 , IF(F1289,   DAYS360(DATE(YEAR(F1289),MONTH(F1289),1),Mes)/30  ,  DAYS360(DATE(YEAR(E1289),MONTH(E1289),1),Mes)/30) , 0)       )</f>
        <v>0</v>
      </c>
      <c r="L1289" s="63">
        <f t="shared" si="253"/>
        <v>0</v>
      </c>
      <c r="M1289" s="162"/>
      <c r="N1289" s="97">
        <f>IF( ISERROR(OFFSET(SECUESTRADOS!D$1,MATCH(B1289,SECUESTRADOS!A$2:A1405,0),0)) ,0 ,  OFFSET(SECUESTRADOS!D$1,MATCH(B1289,SECUESTRADOS!A$2:A1405,0),0)  )</f>
        <v>0</v>
      </c>
      <c r="O1289" s="98"/>
      <c r="P1289" s="99" t="str">
        <f t="shared" si="238"/>
        <v>Bono canon</v>
      </c>
      <c r="Q1289" s="99" t="str">
        <f t="shared" si="304"/>
        <v>#REF!</v>
      </c>
      <c r="R1289" s="130"/>
      <c r="S1289" s="130"/>
      <c r="T1289" s="130"/>
    </row>
    <row r="1290">
      <c r="A1290" s="18" t="s">
        <v>71</v>
      </c>
      <c r="B1290" s="116">
        <v>2351.0</v>
      </c>
      <c r="C1290" s="140">
        <v>2351.0</v>
      </c>
      <c r="D1290" s="57" t="str">
        <f>IF(   ISERROR(OFFSET(PADRON!B$2,MATCH(C:C,PADRON!A$2:A1405,0)-1,0,1,1) )  ,  ,    OFFSET(PADRON!B$2,MATCH(C:C,PADRON!A$2:A1405,0)-1,0,1,1))</f>
        <v>ANE, SANTIAGO</v>
      </c>
      <c r="E1290" s="58">
        <v>45870.0</v>
      </c>
      <c r="F1290" s="145"/>
      <c r="G1290" s="59" t="s">
        <v>56</v>
      </c>
      <c r="H1290" s="60">
        <f>IF( ISERROR( OFFSET(   'Cuadro tarifario'!D$2  , MATCH(CONCATENATE(                 IF(F1290&gt;Mes,OFFSET(NroCT!B$17, MATCH($F1290,NroCT!$A$18:$A1405,0),0,1,1),Periodovigente)                                                                                                                     ,A1290) ,'Cuadro tarifario'!A$2:A1405,0) -1 , 0 , 1 , 1) )   , 0  ,   OFFSET(   'Cuadro tarifario'!D$2  , MATCH(CONCATENATE( IF(F1290&gt;Mes,OFFSET(NroCT!B$17, MATCH($F1290,NroCT!$A$18:$A1405,0),0,1,1),Periodovigente) ,A1290) ,'Cuadro tarifario'!A$2:A1405,0) -1 , 0 , 1 , 1))</f>
        <v>11000</v>
      </c>
      <c r="I1290" s="61">
        <f t="shared" si="252"/>
        <v>0</v>
      </c>
      <c r="J1290" s="60">
        <f t="shared" si="306"/>
        <v>0</v>
      </c>
      <c r="K1290" s="62">
        <f>IF(  AND(N1290&gt;0,I1290=0)          ,N1290 ,                         IF(  IF( F1290 ,  DAYS360(DATE(YEAR(F1290),MONTH(F1290),1),Mes)/30  ,  DAYS360(DATE(YEAR(E1290),MONTH(E1290),1),Mes)/30  )  &gt;  0 , IF(F1290,   DAYS360(DATE(YEAR(F1290),MONTH(F1290),1),Mes)/30  ,  DAYS360(DATE(YEAR(E1290),MONTH(E1290),1),Mes)/30) , 0)       )</f>
        <v>0</v>
      </c>
      <c r="L1290" s="63">
        <f t="shared" si="253"/>
        <v>0</v>
      </c>
      <c r="M1290" s="162"/>
      <c r="N1290" s="97">
        <f>IF( ISERROR(OFFSET(SECUESTRADOS!D$1,MATCH(B1290,SECUESTRADOS!A$2:A1405,0),0)) ,0 ,  OFFSET(SECUESTRADOS!D$1,MATCH(B1290,SECUESTRADOS!A$2:A1405,0),0)  )</f>
        <v>0</v>
      </c>
      <c r="O1290" s="98"/>
      <c r="P1290" s="99" t="b">
        <f t="shared" si="238"/>
        <v>0</v>
      </c>
      <c r="Q1290" s="99" t="str">
        <f t="shared" si="304"/>
        <v>#REF!</v>
      </c>
      <c r="R1290" s="130"/>
      <c r="S1290" s="130"/>
      <c r="T1290" s="130"/>
    </row>
    <row r="1291">
      <c r="A1291" s="18" t="s">
        <v>38</v>
      </c>
      <c r="B1291" s="116">
        <v>2351.0</v>
      </c>
      <c r="C1291" s="140">
        <v>2351.0</v>
      </c>
      <c r="D1291" s="57" t="str">
        <f>IF(   ISERROR(OFFSET(PADRON!B$2,MATCH(C:C,PADRON!A$2:A1405,0)-1,0,1,1) )  ,  ,    OFFSET(PADRON!B$2,MATCH(C:C,PADRON!A$2:A1405,0)-1,0,1,1))</f>
        <v>ANE, SANTIAGO</v>
      </c>
      <c r="E1291" s="58">
        <v>45870.0</v>
      </c>
      <c r="F1291" s="145"/>
      <c r="G1291" s="59" t="s">
        <v>56</v>
      </c>
      <c r="H1291" s="60">
        <f>IF( ISERROR( OFFSET(   'Cuadro tarifario'!D$2  , MATCH(CONCATENATE(                 IF(F1291&gt;Mes,OFFSET(NroCT!B$17, MATCH($F1291,NroCT!$A$18:$A1405,0),0,1,1),Periodovigente)                                                                                                                     ,A1291) ,'Cuadro tarifario'!A$2:A1405,0) -1 , 0 , 1 , 1) )   , 0  ,   OFFSET(   'Cuadro tarifario'!D$2  , MATCH(CONCATENATE( IF(F1291&gt;Mes,OFFSET(NroCT!B$17, MATCH($F1291,NroCT!$A$18:$A1405,0),0,1,1),Periodovigente) ,A1291) ,'Cuadro tarifario'!A$2:A1405,0) -1 , 0 , 1 , 1))</f>
        <v>9000</v>
      </c>
      <c r="I1291" s="61">
        <f t="shared" si="252"/>
        <v>0</v>
      </c>
      <c r="J1291" s="60">
        <f t="shared" si="306"/>
        <v>0</v>
      </c>
      <c r="K1291" s="62">
        <f>IF(  AND(N1291&gt;0,I1291=0)          ,N1291 ,                         IF(  IF( F1291 ,  DAYS360(DATE(YEAR(F1291),MONTH(F1291),1),Mes)/30  ,  DAYS360(DATE(YEAR(E1291),MONTH(E1291),1),Mes)/30  )  &gt;  0 , IF(F1291,   DAYS360(DATE(YEAR(F1291),MONTH(F1291),1),Mes)/30  ,  DAYS360(DATE(YEAR(E1291),MONTH(E1291),1),Mes)/30) , 0)       )</f>
        <v>0</v>
      </c>
      <c r="L1291" s="63">
        <f t="shared" si="253"/>
        <v>0</v>
      </c>
      <c r="M1291" s="162"/>
      <c r="N1291" s="97">
        <f>IF( ISERROR(OFFSET(SECUESTRADOS!D$1,MATCH(B1291,SECUESTRADOS!A$2:A1405,0),0)) ,0 ,  OFFSET(SECUESTRADOS!D$1,MATCH(B1291,SECUESTRADOS!A$2:A1405,0),0)  )</f>
        <v>0</v>
      </c>
      <c r="O1291" s="98"/>
      <c r="P1291" s="99" t="b">
        <f t="shared" si="238"/>
        <v>0</v>
      </c>
      <c r="Q1291" s="99" t="str">
        <f t="shared" si="304"/>
        <v>#REF!</v>
      </c>
      <c r="R1291" s="130"/>
      <c r="S1291" s="130"/>
      <c r="T1291" s="130"/>
    </row>
    <row r="1292">
      <c r="A1292" s="18" t="s">
        <v>71</v>
      </c>
      <c r="B1292" s="116">
        <v>2353.0</v>
      </c>
      <c r="C1292" s="140">
        <v>2353.0</v>
      </c>
      <c r="D1292" s="57" t="str">
        <f>IF(   ISERROR(OFFSET(PADRON!B$2,MATCH(C:C,PADRON!A$2:A1405,0)-1,0,1,1) )  ,  ,    OFFSET(PADRON!B$2,MATCH(C:C,PADRON!A$2:A1405,0)-1,0,1,1))</f>
        <v>TREJO, MATIAS</v>
      </c>
      <c r="E1292" s="58">
        <v>45839.0</v>
      </c>
      <c r="F1292" s="145">
        <v>45870.0</v>
      </c>
      <c r="G1292" s="59" t="s">
        <v>39</v>
      </c>
      <c r="H1292" s="60">
        <f>IF( ISERROR( OFFSET(   'Cuadro tarifario'!D$2  , MATCH(CONCATENATE(                 IF(F1292&gt;Mes,OFFSET(NroCT!B$17, MATCH($F1292,NroCT!$A$18:$A1405,0),0,1,1),Periodovigente)                                                                                                                     ,A1292) ,'Cuadro tarifario'!A$2:A1405,0) -1 , 0 , 1 , 1) )   , 0  ,   OFFSET(   'Cuadro tarifario'!D$2  , MATCH(CONCATENATE( IF(F1292&gt;Mes,OFFSET(NroCT!B$17, MATCH($F1292,NroCT!$A$18:$A1405,0),0,1,1),Periodovigente) ,A1292) ,'Cuadro tarifario'!A$2:A1405,0) -1 , 0 , 1 , 1))</f>
        <v>11000</v>
      </c>
      <c r="I1292" s="61">
        <f t="shared" si="252"/>
        <v>1</v>
      </c>
      <c r="J1292" s="60">
        <f t="shared" si="306"/>
        <v>11000</v>
      </c>
      <c r="K1292" s="62">
        <f>IF(  AND(N1292&gt;0,I1292=0)          ,N1292 ,                         IF(  IF( F1292 ,  DAYS360(DATE(YEAR(F1292),MONTH(F1292),1),Mes)/30  ,  DAYS360(DATE(YEAR(E1292),MONTH(E1292),1),Mes)/30  )  &gt;  0 , IF(F1292,   DAYS360(DATE(YEAR(F1292),MONTH(F1292),1),Mes)/30  ,  DAYS360(DATE(YEAR(E1292),MONTH(E1292),1),Mes)/30) , 0)       )</f>
        <v>0</v>
      </c>
      <c r="L1292" s="63">
        <f t="shared" si="253"/>
        <v>0</v>
      </c>
      <c r="M1292" s="162" t="s">
        <v>485</v>
      </c>
      <c r="N1292" s="97">
        <f>IF( ISERROR(OFFSET(SECUESTRADOS!D$1,MATCH(B1292,SECUESTRADOS!A$2:A1405,0),0)) ,0 ,  OFFSET(SECUESTRADOS!D$1,MATCH(B1292,SECUESTRADOS!A$2:A1405,0),0)  )</f>
        <v>0</v>
      </c>
      <c r="O1292" s="98"/>
      <c r="P1292" s="99" t="str">
        <f t="shared" si="238"/>
        <v>.socio</v>
      </c>
      <c r="Q1292" s="99" t="str">
        <f t="shared" si="304"/>
        <v>#REF!</v>
      </c>
      <c r="R1292" s="130"/>
      <c r="S1292" s="130"/>
      <c r="T1292" s="130"/>
    </row>
    <row r="1293">
      <c r="A1293" s="18" t="s">
        <v>38</v>
      </c>
      <c r="B1293" s="116">
        <v>2353.0</v>
      </c>
      <c r="C1293" s="140">
        <v>2353.0</v>
      </c>
      <c r="D1293" s="57" t="str">
        <f>IF(   ISERROR(OFFSET(PADRON!B$2,MATCH(C:C,PADRON!A$2:A1405,0)-1,0,1,1) )  ,  ,    OFFSET(PADRON!B$2,MATCH(C:C,PADRON!A$2:A1405,0)-1,0,1,1))</f>
        <v>TREJO, MATIAS</v>
      </c>
      <c r="E1293" s="58">
        <v>45839.0</v>
      </c>
      <c r="F1293" s="145">
        <v>45870.0</v>
      </c>
      <c r="G1293" s="59" t="s">
        <v>39</v>
      </c>
      <c r="H1293" s="60">
        <f>IF( ISERROR( OFFSET(   'Cuadro tarifario'!D$2  , MATCH(CONCATENATE(                 IF(F1293&gt;Mes,OFFSET(NroCT!B$17, MATCH($F1293,NroCT!$A$18:$A1405,0),0,1,1),Periodovigente)                                                                                                                     ,A1293) ,'Cuadro tarifario'!A$2:A1405,0) -1 , 0 , 1 , 1) )   , 0  ,   OFFSET(   'Cuadro tarifario'!D$2  , MATCH(CONCATENATE( IF(F1293&gt;Mes,OFFSET(NroCT!B$17, MATCH($F1293,NroCT!$A$18:$A1405,0),0,1,1),Periodovigente) ,A1293) ,'Cuadro tarifario'!A$2:A1405,0) -1 , 0 , 1 , 1))</f>
        <v>9000</v>
      </c>
      <c r="I1293" s="61">
        <f t="shared" si="252"/>
        <v>1</v>
      </c>
      <c r="J1293" s="60">
        <f t="shared" si="306"/>
        <v>9000</v>
      </c>
      <c r="K1293" s="62">
        <f>IF(  AND(N1293&gt;0,I1293=0)          ,N1293 ,                         IF(  IF( F1293 ,  DAYS360(DATE(YEAR(F1293),MONTH(F1293),1),Mes)/30  ,  DAYS360(DATE(YEAR(E1293),MONTH(E1293),1),Mes)/30  )  &gt;  0 , IF(F1293,   DAYS360(DATE(YEAR(F1293),MONTH(F1293),1),Mes)/30  ,  DAYS360(DATE(YEAR(E1293),MONTH(E1293),1),Mes)/30) , 0)       )</f>
        <v>0</v>
      </c>
      <c r="L1293" s="63">
        <f t="shared" si="253"/>
        <v>0</v>
      </c>
      <c r="M1293" s="162"/>
      <c r="N1293" s="97">
        <f>IF( ISERROR(OFFSET(SECUESTRADOS!D$1,MATCH(B1293,SECUESTRADOS!A$2:A1405,0),0)) ,0 ,  OFFSET(SECUESTRADOS!D$1,MATCH(B1293,SECUESTRADOS!A$2:A1405,0),0)  )</f>
        <v>0</v>
      </c>
      <c r="O1293" s="98"/>
      <c r="P1293" s="99" t="str">
        <f t="shared" si="238"/>
        <v>Bono canon</v>
      </c>
      <c r="Q1293" s="99" t="str">
        <f t="shared" si="304"/>
        <v>#REF!</v>
      </c>
      <c r="R1293" s="130"/>
      <c r="S1293" s="130"/>
      <c r="T1293" s="130"/>
    </row>
    <row r="1294">
      <c r="A1294" s="18" t="s">
        <v>71</v>
      </c>
      <c r="B1294" s="116">
        <v>2355.0</v>
      </c>
      <c r="C1294" s="140">
        <v>2355.0</v>
      </c>
      <c r="D1294" s="57" t="str">
        <f>IF(   ISERROR(OFFSET(PADRON!B$2,MATCH(C:C,PADRON!A$2:A1405,0)-1,0,1,1) )  ,  ,    OFFSET(PADRON!B$2,MATCH(C:C,PADRON!A$2:A1405,0)-1,0,1,1))</f>
        <v>SZAKOLA, MARIANO</v>
      </c>
      <c r="E1294" s="58">
        <v>45778.0</v>
      </c>
      <c r="F1294" s="145">
        <v>45870.0</v>
      </c>
      <c r="G1294" s="59" t="s">
        <v>39</v>
      </c>
      <c r="H1294" s="60">
        <f>IF( ISERROR( OFFSET(   'Cuadro tarifario'!D$2  , MATCH(CONCATENATE(                 IF(F1294&gt;Mes,OFFSET(NroCT!B$17, MATCH($F1294,NroCT!$A$18:$A1405,0),0,1,1),Periodovigente)                                                                                                                     ,A1294) ,'Cuadro tarifario'!A$2:A1405,0) -1 , 0 , 1 , 1) )   , 0  ,   OFFSET(   'Cuadro tarifario'!D$2  , MATCH(CONCATENATE( IF(F1294&gt;Mes,OFFSET(NroCT!B$17, MATCH($F1294,NroCT!$A$18:$A1405,0),0,1,1),Periodovigente) ,A1294) ,'Cuadro tarifario'!A$2:A1405,0) -1 , 0 , 1 , 1))</f>
        <v>11000</v>
      </c>
      <c r="I1294" s="61">
        <f t="shared" si="252"/>
        <v>3</v>
      </c>
      <c r="J1294" s="60">
        <f t="shared" si="306"/>
        <v>33000</v>
      </c>
      <c r="K1294" s="62">
        <f>IF(  AND(N1294&gt;0,I1294=0)          ,N1294 ,                         IF(  IF( F1294 ,  DAYS360(DATE(YEAR(F1294),MONTH(F1294),1),Mes)/30  ,  DAYS360(DATE(YEAR(E1294),MONTH(E1294),1),Mes)/30  )  &gt;  0 , IF(F1294,   DAYS360(DATE(YEAR(F1294),MONTH(F1294),1),Mes)/30  ,  DAYS360(DATE(YEAR(E1294),MONTH(E1294),1),Mes)/30) , 0)       )</f>
        <v>0</v>
      </c>
      <c r="L1294" s="63">
        <f t="shared" si="253"/>
        <v>0</v>
      </c>
      <c r="M1294" s="162" t="s">
        <v>485</v>
      </c>
      <c r="N1294" s="97">
        <f>IF( ISERROR(OFFSET(SECUESTRADOS!D$1,MATCH(B1294,SECUESTRADOS!A$2:A1405,0),0)) ,0 ,  OFFSET(SECUESTRADOS!D$1,MATCH(B1294,SECUESTRADOS!A$2:A1405,0),0)  )</f>
        <v>0</v>
      </c>
      <c r="O1294" s="98"/>
      <c r="P1294" s="99" t="str">
        <f t="shared" si="238"/>
        <v>.socio</v>
      </c>
      <c r="Q1294" s="99" t="str">
        <f t="shared" si="304"/>
        <v>#REF!</v>
      </c>
      <c r="R1294" s="130"/>
      <c r="S1294" s="130"/>
      <c r="T1294" s="130"/>
    </row>
    <row r="1295">
      <c r="A1295" s="18" t="s">
        <v>38</v>
      </c>
      <c r="B1295" s="116">
        <v>2355.0</v>
      </c>
      <c r="C1295" s="140">
        <v>2355.0</v>
      </c>
      <c r="D1295" s="57" t="str">
        <f>IF(   ISERROR(OFFSET(PADRON!B$2,MATCH(C:C,PADRON!A$2:A1405,0)-1,0,1,1) )  ,  ,    OFFSET(PADRON!B$2,MATCH(C:C,PADRON!A$2:A1405,0)-1,0,1,1))</f>
        <v>SZAKOLA, MARIANO</v>
      </c>
      <c r="E1295" s="58">
        <v>45778.0</v>
      </c>
      <c r="F1295" s="145">
        <v>45870.0</v>
      </c>
      <c r="G1295" s="59" t="s">
        <v>39</v>
      </c>
      <c r="H1295" s="60">
        <f>IF( ISERROR( OFFSET(   'Cuadro tarifario'!D$2  , MATCH(CONCATENATE(                 IF(F1295&gt;Mes,OFFSET(NroCT!B$17, MATCH($F1295,NroCT!$A$18:$A1405,0),0,1,1),Periodovigente)                                                                                                                     ,A1295) ,'Cuadro tarifario'!A$2:A1405,0) -1 , 0 , 1 , 1) )   , 0  ,   OFFSET(   'Cuadro tarifario'!D$2  , MATCH(CONCATENATE( IF(F1295&gt;Mes,OFFSET(NroCT!B$17, MATCH($F1295,NroCT!$A$18:$A1405,0),0,1,1),Periodovigente) ,A1295) ,'Cuadro tarifario'!A$2:A1405,0) -1 , 0 , 1 , 1))</f>
        <v>9000</v>
      </c>
      <c r="I1295" s="61">
        <f t="shared" si="252"/>
        <v>3</v>
      </c>
      <c r="J1295" s="60">
        <f t="shared" si="306"/>
        <v>27000</v>
      </c>
      <c r="K1295" s="62">
        <f>IF(  AND(N1295&gt;0,I1295=0)          ,N1295 ,                         IF(  IF( F1295 ,  DAYS360(DATE(YEAR(F1295),MONTH(F1295),1),Mes)/30  ,  DAYS360(DATE(YEAR(E1295),MONTH(E1295),1),Mes)/30  )  &gt;  0 , IF(F1295,   DAYS360(DATE(YEAR(F1295),MONTH(F1295),1),Mes)/30  ,  DAYS360(DATE(YEAR(E1295),MONTH(E1295),1),Mes)/30) , 0)       )</f>
        <v>0</v>
      </c>
      <c r="L1295" s="63">
        <f t="shared" si="253"/>
        <v>0</v>
      </c>
      <c r="M1295" s="162"/>
      <c r="N1295" s="97">
        <f>IF( ISERROR(OFFSET(SECUESTRADOS!D$1,MATCH(B1295,SECUESTRADOS!A$2:A1405,0),0)) ,0 ,  OFFSET(SECUESTRADOS!D$1,MATCH(B1295,SECUESTRADOS!A$2:A1405,0),0)  )</f>
        <v>0</v>
      </c>
      <c r="O1295" s="98"/>
      <c r="P1295" s="99" t="str">
        <f t="shared" si="238"/>
        <v>Bono canon</v>
      </c>
      <c r="Q1295" s="99" t="str">
        <f t="shared" si="304"/>
        <v>#REF!</v>
      </c>
      <c r="R1295" s="130"/>
      <c r="S1295" s="130"/>
      <c r="T1295" s="130"/>
    </row>
    <row r="1296">
      <c r="A1296" s="18" t="s">
        <v>71</v>
      </c>
      <c r="B1296" s="116">
        <v>2356.0</v>
      </c>
      <c r="C1296" s="140">
        <v>2356.0</v>
      </c>
      <c r="D1296" s="57" t="str">
        <f>IF(   ISERROR(OFFSET(PADRON!B$2,MATCH(C:C,PADRON!A$2:A1405,0)-1,0,1,1) )  ,  ,    OFFSET(PADRON!B$2,MATCH(C:C,PADRON!A$2:A1405,0)-1,0,1,1))</f>
        <v>BATTIATO, DIEGO</v>
      </c>
      <c r="E1296" s="58">
        <v>45809.0</v>
      </c>
      <c r="F1296" s="145"/>
      <c r="G1296" s="59" t="s">
        <v>39</v>
      </c>
      <c r="H1296" s="60">
        <f>IF( ISERROR( OFFSET(   'Cuadro tarifario'!D$2  , MATCH(CONCATENATE(                 IF(F1296&gt;Mes,OFFSET(NroCT!B$17, MATCH($F1296,NroCT!$A$18:$A1405,0),0,1,1),Periodovigente)                                                                                                                     ,A1296) ,'Cuadro tarifario'!A$2:A1405,0) -1 , 0 , 1 , 1) )   , 0  ,   OFFSET(   'Cuadro tarifario'!D$2  , MATCH(CONCATENATE( IF(F1296&gt;Mes,OFFSET(NroCT!B$17, MATCH($F1296,NroCT!$A$18:$A1405,0),0,1,1),Periodovigente) ,A1296) ,'Cuadro tarifario'!A$2:A1405,0) -1 , 0 , 1 , 1))</f>
        <v>11000</v>
      </c>
      <c r="I1296" s="61">
        <f t="shared" si="252"/>
        <v>0</v>
      </c>
      <c r="J1296" s="60">
        <f t="shared" si="306"/>
        <v>0</v>
      </c>
      <c r="K1296" s="62">
        <f>IF(  AND(N1296&gt;0,I1296=0)          ,N1296 ,                         IF(  IF( F1296 ,  DAYS360(DATE(YEAR(F1296),MONTH(F1296),1),Mes)/30  ,  DAYS360(DATE(YEAR(E1296),MONTH(E1296),1),Mes)/30  )  &gt;  0 , IF(F1296,   DAYS360(DATE(YEAR(F1296),MONTH(F1296),1),Mes)/30  ,  DAYS360(DATE(YEAR(E1296),MONTH(E1296),1),Mes)/30) , 0)       )</f>
        <v>2</v>
      </c>
      <c r="L1296" s="63">
        <f t="shared" si="253"/>
        <v>22000</v>
      </c>
      <c r="M1296" s="162" t="s">
        <v>485</v>
      </c>
      <c r="N1296" s="97">
        <f>IF( ISERROR(OFFSET(SECUESTRADOS!D$1,MATCH(B1296,SECUESTRADOS!A$2:A1405,0),0)) ,0 ,  OFFSET(SECUESTRADOS!D$1,MATCH(B1296,SECUESTRADOS!A$2:A1405,0),0)  )</f>
        <v>0</v>
      </c>
      <c r="O1296" s="98"/>
      <c r="P1296" s="99" t="b">
        <f t="shared" si="238"/>
        <v>0</v>
      </c>
      <c r="Q1296" s="99" t="str">
        <f t="shared" si="304"/>
        <v>#REF!</v>
      </c>
      <c r="R1296" s="130"/>
      <c r="S1296" s="130"/>
      <c r="T1296" s="130"/>
    </row>
    <row r="1297">
      <c r="A1297" s="18" t="s">
        <v>38</v>
      </c>
      <c r="B1297" s="116">
        <v>2356.0</v>
      </c>
      <c r="C1297" s="140">
        <v>2356.0</v>
      </c>
      <c r="D1297" s="57" t="str">
        <f>IF(   ISERROR(OFFSET(PADRON!B$2,MATCH(C:C,PADRON!A$2:A1405,0)-1,0,1,1) )  ,  ,    OFFSET(PADRON!B$2,MATCH(C:C,PADRON!A$2:A1405,0)-1,0,1,1))</f>
        <v>BATTIATO, DIEGO</v>
      </c>
      <c r="E1297" s="58">
        <v>45809.0</v>
      </c>
      <c r="F1297" s="145"/>
      <c r="G1297" s="59" t="s">
        <v>39</v>
      </c>
      <c r="H1297" s="60">
        <f>IF( ISERROR( OFFSET(   'Cuadro tarifario'!D$2  , MATCH(CONCATENATE(                 IF(F1297&gt;Mes,OFFSET(NroCT!B$17, MATCH($F1297,NroCT!$A$18:$A1405,0),0,1,1),Periodovigente)                                                                                                                     ,A1297) ,'Cuadro tarifario'!A$2:A1405,0) -1 , 0 , 1 , 1) )   , 0  ,   OFFSET(   'Cuadro tarifario'!D$2  , MATCH(CONCATENATE( IF(F1297&gt;Mes,OFFSET(NroCT!B$17, MATCH($F1297,NroCT!$A$18:$A1405,0),0,1,1),Periodovigente) ,A1297) ,'Cuadro tarifario'!A$2:A1405,0) -1 , 0 , 1 , 1))</f>
        <v>9000</v>
      </c>
      <c r="I1297" s="61">
        <f t="shared" si="252"/>
        <v>0</v>
      </c>
      <c r="J1297" s="60">
        <f t="shared" si="306"/>
        <v>0</v>
      </c>
      <c r="K1297" s="62">
        <f>IF(  AND(N1297&gt;0,I1297=0)          ,N1297 ,                         IF(  IF( F1297 ,  DAYS360(DATE(YEAR(F1297),MONTH(F1297),1),Mes)/30  ,  DAYS360(DATE(YEAR(E1297),MONTH(E1297),1),Mes)/30  )  &gt;  0 , IF(F1297,   DAYS360(DATE(YEAR(F1297),MONTH(F1297),1),Mes)/30  ,  DAYS360(DATE(YEAR(E1297),MONTH(E1297),1),Mes)/30) , 0)       )</f>
        <v>2</v>
      </c>
      <c r="L1297" s="63">
        <f t="shared" si="253"/>
        <v>18000</v>
      </c>
      <c r="M1297" s="162"/>
      <c r="N1297" s="97">
        <f>IF( ISERROR(OFFSET(SECUESTRADOS!D$1,MATCH(B1297,SECUESTRADOS!A$2:A1405,0),0)) ,0 ,  OFFSET(SECUESTRADOS!D$1,MATCH(B1297,SECUESTRADOS!A$2:A1405,0),0)  )</f>
        <v>0</v>
      </c>
      <c r="O1297" s="98"/>
      <c r="P1297" s="99" t="b">
        <f t="shared" si="238"/>
        <v>0</v>
      </c>
      <c r="Q1297" s="99" t="str">
        <f t="shared" si="304"/>
        <v>#REF!</v>
      </c>
      <c r="R1297" s="130"/>
      <c r="S1297" s="130"/>
      <c r="T1297" s="130"/>
    </row>
    <row r="1298">
      <c r="A1298" s="18" t="s">
        <v>71</v>
      </c>
      <c r="B1298" s="116">
        <v>2357.0</v>
      </c>
      <c r="C1298" s="140">
        <v>2357.0</v>
      </c>
      <c r="D1298" s="57" t="str">
        <f>IF(   ISERROR(OFFSET(PADRON!B$2,MATCH(C:C,PADRON!A$2:A1405,0)-1,0,1,1) )  ,  ,    OFFSET(PADRON!B$2,MATCH(C:C,PADRON!A$2:A1405,0)-1,0,1,1))</f>
        <v>LLUCH CASTELLI, CARLOS DAMIAN</v>
      </c>
      <c r="E1298" s="58">
        <v>45839.0</v>
      </c>
      <c r="F1298" s="145">
        <v>45870.0</v>
      </c>
      <c r="G1298" s="59" t="s">
        <v>39</v>
      </c>
      <c r="H1298" s="60">
        <f>IF( ISERROR( OFFSET(   'Cuadro tarifario'!D$2  , MATCH(CONCATENATE(                 IF(F1298&gt;Mes,OFFSET(NroCT!B$17, MATCH($F1298,NroCT!$A$18:$A1405,0),0,1,1),Periodovigente)                                                                                                                     ,A1298) ,'Cuadro tarifario'!A$2:A1405,0) -1 , 0 , 1 , 1) )   , 0  ,   OFFSET(   'Cuadro tarifario'!D$2  , MATCH(CONCATENATE( IF(F1298&gt;Mes,OFFSET(NroCT!B$17, MATCH($F1298,NroCT!$A$18:$A1405,0),0,1,1),Periodovigente) ,A1298) ,'Cuadro tarifario'!A$2:A1405,0) -1 , 0 , 1 , 1))</f>
        <v>11000</v>
      </c>
      <c r="I1298" s="61">
        <f t="shared" si="252"/>
        <v>1</v>
      </c>
      <c r="J1298" s="60">
        <f t="shared" si="306"/>
        <v>11000</v>
      </c>
      <c r="K1298" s="62">
        <f>IF(  AND(N1298&gt;0,I1298=0)          ,N1298 ,                         IF(  IF( F1298 ,  DAYS360(DATE(YEAR(F1298),MONTH(F1298),1),Mes)/30  ,  DAYS360(DATE(YEAR(E1298),MONTH(E1298),1),Mes)/30  )  &gt;  0 , IF(F1298,   DAYS360(DATE(YEAR(F1298),MONTH(F1298),1),Mes)/30  ,  DAYS360(DATE(YEAR(E1298),MONTH(E1298),1),Mes)/30) , 0)       )</f>
        <v>0</v>
      </c>
      <c r="L1298" s="63">
        <f t="shared" si="253"/>
        <v>0</v>
      </c>
      <c r="M1298" s="162" t="s">
        <v>485</v>
      </c>
      <c r="N1298" s="97">
        <f>IF( ISERROR(OFFSET(SECUESTRADOS!D$1,MATCH(B1298,SECUESTRADOS!A$2:A1405,0),0)) ,0 ,  OFFSET(SECUESTRADOS!D$1,MATCH(B1298,SECUESTRADOS!A$2:A1405,0),0)  )</f>
        <v>0</v>
      </c>
      <c r="O1298" s="98"/>
      <c r="P1298" s="99" t="str">
        <f t="shared" si="238"/>
        <v>.socio</v>
      </c>
      <c r="Q1298" s="99" t="str">
        <f t="shared" si="304"/>
        <v>#REF!</v>
      </c>
      <c r="R1298" s="130"/>
      <c r="S1298" s="130"/>
      <c r="T1298" s="130"/>
    </row>
    <row r="1299">
      <c r="A1299" s="18" t="s">
        <v>38</v>
      </c>
      <c r="B1299" s="116">
        <v>2357.0</v>
      </c>
      <c r="C1299" s="140">
        <v>2357.0</v>
      </c>
      <c r="D1299" s="57" t="str">
        <f>IF(   ISERROR(OFFSET(PADRON!B$2,MATCH(C:C,PADRON!A$2:A1405,0)-1,0,1,1) )  ,  ,    OFFSET(PADRON!B$2,MATCH(C:C,PADRON!A$2:A1405,0)-1,0,1,1))</f>
        <v>LLUCH CASTELLI, CARLOS DAMIAN</v>
      </c>
      <c r="E1299" s="58">
        <v>45839.0</v>
      </c>
      <c r="F1299" s="145">
        <v>45870.0</v>
      </c>
      <c r="G1299" s="59" t="s">
        <v>39</v>
      </c>
      <c r="H1299" s="60">
        <f>IF( ISERROR( OFFSET(   'Cuadro tarifario'!D$2  , MATCH(CONCATENATE(                 IF(F1299&gt;Mes,OFFSET(NroCT!B$17, MATCH($F1299,NroCT!$A$18:$A1405,0),0,1,1),Periodovigente)                                                                                                                     ,A1299) ,'Cuadro tarifario'!A$2:A1405,0) -1 , 0 , 1 , 1) )   , 0  ,   OFFSET(   'Cuadro tarifario'!D$2  , MATCH(CONCATENATE( IF(F1299&gt;Mes,OFFSET(NroCT!B$17, MATCH($F1299,NroCT!$A$18:$A1405,0),0,1,1),Periodovigente) ,A1299) ,'Cuadro tarifario'!A$2:A1405,0) -1 , 0 , 1 , 1))</f>
        <v>9000</v>
      </c>
      <c r="I1299" s="61">
        <f t="shared" si="252"/>
        <v>1</v>
      </c>
      <c r="J1299" s="60">
        <f t="shared" si="306"/>
        <v>9000</v>
      </c>
      <c r="K1299" s="62">
        <f>IF(  AND(N1299&gt;0,I1299=0)          ,N1299 ,                         IF(  IF( F1299 ,  DAYS360(DATE(YEAR(F1299),MONTH(F1299),1),Mes)/30  ,  DAYS360(DATE(YEAR(E1299),MONTH(E1299),1),Mes)/30  )  &gt;  0 , IF(F1299,   DAYS360(DATE(YEAR(F1299),MONTH(F1299),1),Mes)/30  ,  DAYS360(DATE(YEAR(E1299),MONTH(E1299),1),Mes)/30) , 0)       )</f>
        <v>0</v>
      </c>
      <c r="L1299" s="63">
        <f t="shared" si="253"/>
        <v>0</v>
      </c>
      <c r="M1299" s="162"/>
      <c r="N1299" s="97">
        <f>IF( ISERROR(OFFSET(SECUESTRADOS!D$1,MATCH(B1299,SECUESTRADOS!A$2:A1405,0),0)) ,0 ,  OFFSET(SECUESTRADOS!D$1,MATCH(B1299,SECUESTRADOS!A$2:A1405,0),0)  )</f>
        <v>0</v>
      </c>
      <c r="O1299" s="98"/>
      <c r="P1299" s="99" t="str">
        <f t="shared" si="238"/>
        <v>Bono canon</v>
      </c>
      <c r="Q1299" s="99" t="str">
        <f t="shared" si="304"/>
        <v>#REF!</v>
      </c>
      <c r="R1299" s="130"/>
      <c r="S1299" s="130"/>
      <c r="T1299" s="130"/>
    </row>
    <row r="1300">
      <c r="A1300" s="18" t="s">
        <v>71</v>
      </c>
      <c r="B1300" s="116">
        <v>2358.0</v>
      </c>
      <c r="C1300" s="140">
        <v>2358.0</v>
      </c>
      <c r="D1300" s="57" t="str">
        <f>IF(   ISERROR(OFFSET(PADRON!B$2,MATCH(C:C,PADRON!A$2:A1405,0)-1,0,1,1) )  ,  ,    OFFSET(PADRON!B$2,MATCH(C:C,PADRON!A$2:A1405,0)-1,0,1,1))</f>
        <v>GUERRERO, LUISINA</v>
      </c>
      <c r="E1300" s="58">
        <v>45839.0</v>
      </c>
      <c r="F1300" s="145">
        <v>45870.0</v>
      </c>
      <c r="G1300" s="59" t="s">
        <v>39</v>
      </c>
      <c r="H1300" s="60">
        <f>IF( ISERROR( OFFSET(   'Cuadro tarifario'!D$2  , MATCH(CONCATENATE(                 IF(F1300&gt;Mes,OFFSET(NroCT!B$17, MATCH($F1300,NroCT!$A$18:$A1405,0),0,1,1),Periodovigente)                                                                                                                     ,A1300) ,'Cuadro tarifario'!A$2:A1405,0) -1 , 0 , 1 , 1) )   , 0  ,   OFFSET(   'Cuadro tarifario'!D$2  , MATCH(CONCATENATE( IF(F1300&gt;Mes,OFFSET(NroCT!B$17, MATCH($F1300,NroCT!$A$18:$A1405,0),0,1,1),Periodovigente) ,A1300) ,'Cuadro tarifario'!A$2:A1405,0) -1 , 0 , 1 , 1))</f>
        <v>11000</v>
      </c>
      <c r="I1300" s="61">
        <f t="shared" si="252"/>
        <v>1</v>
      </c>
      <c r="J1300" s="60">
        <f t="shared" si="306"/>
        <v>11000</v>
      </c>
      <c r="K1300" s="62">
        <f>IF(  AND(N1300&gt;0,I1300=0)          ,N1300 ,                         IF(  IF( F1300 ,  DAYS360(DATE(YEAR(F1300),MONTH(F1300),1),Mes)/30  ,  DAYS360(DATE(YEAR(E1300),MONTH(E1300),1),Mes)/30  )  &gt;  0 , IF(F1300,   DAYS360(DATE(YEAR(F1300),MONTH(F1300),1),Mes)/30  ,  DAYS360(DATE(YEAR(E1300),MONTH(E1300),1),Mes)/30) , 0)       )</f>
        <v>0</v>
      </c>
      <c r="L1300" s="63">
        <f t="shared" si="253"/>
        <v>0</v>
      </c>
      <c r="M1300" s="162" t="s">
        <v>485</v>
      </c>
      <c r="N1300" s="97">
        <f>IF( ISERROR(OFFSET(SECUESTRADOS!D$1,MATCH(B1300,SECUESTRADOS!A$2:A1405,0),0)) ,0 ,  OFFSET(SECUESTRADOS!D$1,MATCH(B1300,SECUESTRADOS!A$2:A1405,0),0)  )</f>
        <v>0</v>
      </c>
      <c r="O1300" s="98"/>
      <c r="P1300" s="99" t="str">
        <f t="shared" si="238"/>
        <v>.socio</v>
      </c>
      <c r="Q1300" s="99" t="str">
        <f t="shared" si="304"/>
        <v>#REF!</v>
      </c>
      <c r="R1300" s="130"/>
      <c r="S1300" s="130"/>
      <c r="T1300" s="130"/>
    </row>
    <row r="1301">
      <c r="A1301" s="18" t="s">
        <v>38</v>
      </c>
      <c r="B1301" s="116">
        <v>2358.0</v>
      </c>
      <c r="C1301" s="140">
        <v>2358.0</v>
      </c>
      <c r="D1301" s="57" t="str">
        <f>IF(   ISERROR(OFFSET(PADRON!B$2,MATCH(C:C,PADRON!A$2:A1405,0)-1,0,1,1) )  ,  ,    OFFSET(PADRON!B$2,MATCH(C:C,PADRON!A$2:A1405,0)-1,0,1,1))</f>
        <v>GUERRERO, LUISINA</v>
      </c>
      <c r="E1301" s="58">
        <v>45839.0</v>
      </c>
      <c r="F1301" s="145">
        <v>45870.0</v>
      </c>
      <c r="G1301" s="59" t="s">
        <v>39</v>
      </c>
      <c r="H1301" s="60">
        <f>IF( ISERROR( OFFSET(   'Cuadro tarifario'!D$2  , MATCH(CONCATENATE(                 IF(F1301&gt;Mes,OFFSET(NroCT!B$17, MATCH($F1301,NroCT!$A$18:$A1405,0),0,1,1),Periodovigente)                                                                                                                     ,A1301) ,'Cuadro tarifario'!A$2:A1405,0) -1 , 0 , 1 , 1) )   , 0  ,   OFFSET(   'Cuadro tarifario'!D$2  , MATCH(CONCATENATE( IF(F1301&gt;Mes,OFFSET(NroCT!B$17, MATCH($F1301,NroCT!$A$18:$A1405,0),0,1,1),Periodovigente) ,A1301) ,'Cuadro tarifario'!A$2:A1405,0) -1 , 0 , 1 , 1))</f>
        <v>9000</v>
      </c>
      <c r="I1301" s="61">
        <f t="shared" si="252"/>
        <v>1</v>
      </c>
      <c r="J1301" s="60">
        <f t="shared" si="306"/>
        <v>9000</v>
      </c>
      <c r="K1301" s="62">
        <f>IF(  AND(N1301&gt;0,I1301=0)          ,N1301 ,                         IF(  IF( F1301 ,  DAYS360(DATE(YEAR(F1301),MONTH(F1301),1),Mes)/30  ,  DAYS360(DATE(YEAR(E1301),MONTH(E1301),1),Mes)/30  )  &gt;  0 , IF(F1301,   DAYS360(DATE(YEAR(F1301),MONTH(F1301),1),Mes)/30  ,  DAYS360(DATE(YEAR(E1301),MONTH(E1301),1),Mes)/30) , 0)       )</f>
        <v>0</v>
      </c>
      <c r="L1301" s="63">
        <f t="shared" si="253"/>
        <v>0</v>
      </c>
      <c r="M1301" s="162"/>
      <c r="N1301" s="97">
        <f>IF( ISERROR(OFFSET(SECUESTRADOS!D$1,MATCH(B1301,SECUESTRADOS!A$2:A1405,0),0)) ,0 ,  OFFSET(SECUESTRADOS!D$1,MATCH(B1301,SECUESTRADOS!A$2:A1405,0),0)  )</f>
        <v>0</v>
      </c>
      <c r="O1301" s="98"/>
      <c r="P1301" s="99" t="str">
        <f t="shared" si="238"/>
        <v>Bono canon</v>
      </c>
      <c r="Q1301" s="99" t="str">
        <f t="shared" si="304"/>
        <v>#REF!</v>
      </c>
      <c r="R1301" s="130"/>
      <c r="S1301" s="130"/>
      <c r="T1301" s="130"/>
    </row>
    <row r="1302">
      <c r="A1302" s="18" t="s">
        <v>71</v>
      </c>
      <c r="B1302" s="116">
        <v>2359.0</v>
      </c>
      <c r="C1302" s="140">
        <v>2359.0</v>
      </c>
      <c r="D1302" s="57" t="str">
        <f>IF(   ISERROR(OFFSET(PADRON!B$2,MATCH(C:C,PADRON!A$2:A1405,0)-1,0,1,1) )  ,  ,    OFFSET(PADRON!B$2,MATCH(C:C,PADRON!A$2:A1405,0)-1,0,1,1))</f>
        <v>MARTINOLI, MARIA ALEXANDRA</v>
      </c>
      <c r="E1302" s="58">
        <v>45839.0</v>
      </c>
      <c r="F1302" s="145">
        <v>45870.0</v>
      </c>
      <c r="G1302" s="59" t="s">
        <v>39</v>
      </c>
      <c r="H1302" s="60">
        <f>IF( ISERROR( OFFSET(   'Cuadro tarifario'!D$2  , MATCH(CONCATENATE(                 IF(F1302&gt;Mes,OFFSET(NroCT!B$17, MATCH($F1302,NroCT!$A$18:$A1405,0),0,1,1),Periodovigente)                                                                                                                     ,A1302) ,'Cuadro tarifario'!A$2:A1405,0) -1 , 0 , 1 , 1) )   , 0  ,   OFFSET(   'Cuadro tarifario'!D$2  , MATCH(CONCATENATE( IF(F1302&gt;Mes,OFFSET(NroCT!B$17, MATCH($F1302,NroCT!$A$18:$A1405,0),0,1,1),Periodovigente) ,A1302) ,'Cuadro tarifario'!A$2:A1405,0) -1 , 0 , 1 , 1))</f>
        <v>11000</v>
      </c>
      <c r="I1302" s="61">
        <f t="shared" si="252"/>
        <v>1</v>
      </c>
      <c r="J1302" s="60">
        <f t="shared" si="306"/>
        <v>11000</v>
      </c>
      <c r="K1302" s="62">
        <f>IF(  AND(N1302&gt;0,I1302=0)          ,N1302 ,                         IF(  IF( F1302 ,  DAYS360(DATE(YEAR(F1302),MONTH(F1302),1),Mes)/30  ,  DAYS360(DATE(YEAR(E1302),MONTH(E1302),1),Mes)/30  )  &gt;  0 , IF(F1302,   DAYS360(DATE(YEAR(F1302),MONTH(F1302),1),Mes)/30  ,  DAYS360(DATE(YEAR(E1302),MONTH(E1302),1),Mes)/30) , 0)       )</f>
        <v>0</v>
      </c>
      <c r="L1302" s="63">
        <f t="shared" si="253"/>
        <v>0</v>
      </c>
      <c r="M1302" s="162" t="s">
        <v>485</v>
      </c>
      <c r="N1302" s="97">
        <f>IF( ISERROR(OFFSET(SECUESTRADOS!D$1,MATCH(B1302,SECUESTRADOS!A$2:A1405,0),0)) ,0 ,  OFFSET(SECUESTRADOS!D$1,MATCH(B1302,SECUESTRADOS!A$2:A1405,0),0)  )</f>
        <v>0</v>
      </c>
      <c r="O1302" s="98"/>
      <c r="P1302" s="99" t="str">
        <f t="shared" si="238"/>
        <v>.socio</v>
      </c>
      <c r="Q1302" s="99" t="str">
        <f t="shared" si="304"/>
        <v>#REF!</v>
      </c>
      <c r="R1302" s="130"/>
      <c r="S1302" s="130"/>
      <c r="T1302" s="130"/>
    </row>
    <row r="1303">
      <c r="A1303" s="18" t="s">
        <v>38</v>
      </c>
      <c r="B1303" s="116">
        <v>2359.0</v>
      </c>
      <c r="C1303" s="140">
        <v>2359.0</v>
      </c>
      <c r="D1303" s="57" t="str">
        <f>IF(   ISERROR(OFFSET(PADRON!B$2,MATCH(C:C,PADRON!A$2:A1405,0)-1,0,1,1) )  ,  ,    OFFSET(PADRON!B$2,MATCH(C:C,PADRON!A$2:A1405,0)-1,0,1,1))</f>
        <v>MARTINOLI, MARIA ALEXANDRA</v>
      </c>
      <c r="E1303" s="58">
        <v>45839.0</v>
      </c>
      <c r="F1303" s="145">
        <v>45870.0</v>
      </c>
      <c r="G1303" s="59" t="s">
        <v>39</v>
      </c>
      <c r="H1303" s="60">
        <f>IF( ISERROR( OFFSET(   'Cuadro tarifario'!D$2  , MATCH(CONCATENATE(                 IF(F1303&gt;Mes,OFFSET(NroCT!B$17, MATCH($F1303,NroCT!$A$18:$A1405,0),0,1,1),Periodovigente)                                                                                                                     ,A1303) ,'Cuadro tarifario'!A$2:A1405,0) -1 , 0 , 1 , 1) )   , 0  ,   OFFSET(   'Cuadro tarifario'!D$2  , MATCH(CONCATENATE( IF(F1303&gt;Mes,OFFSET(NroCT!B$17, MATCH($F1303,NroCT!$A$18:$A1405,0),0,1,1),Periodovigente) ,A1303) ,'Cuadro tarifario'!A$2:A1405,0) -1 , 0 , 1 , 1))</f>
        <v>9000</v>
      </c>
      <c r="I1303" s="61">
        <f t="shared" si="252"/>
        <v>1</v>
      </c>
      <c r="J1303" s="60">
        <f t="shared" si="306"/>
        <v>9000</v>
      </c>
      <c r="K1303" s="62">
        <f>IF(  AND(N1303&gt;0,I1303=0)          ,N1303 ,                         IF(  IF( F1303 ,  DAYS360(DATE(YEAR(F1303),MONTH(F1303),1),Mes)/30  ,  DAYS360(DATE(YEAR(E1303),MONTH(E1303),1),Mes)/30  )  &gt;  0 , IF(F1303,   DAYS360(DATE(YEAR(F1303),MONTH(F1303),1),Mes)/30  ,  DAYS360(DATE(YEAR(E1303),MONTH(E1303),1),Mes)/30) , 0)       )</f>
        <v>0</v>
      </c>
      <c r="L1303" s="63">
        <f t="shared" si="253"/>
        <v>0</v>
      </c>
      <c r="M1303" s="162"/>
      <c r="N1303" s="97">
        <f>IF( ISERROR(OFFSET(SECUESTRADOS!D$1,MATCH(B1303,SECUESTRADOS!A$2:A1405,0),0)) ,0 ,  OFFSET(SECUESTRADOS!D$1,MATCH(B1303,SECUESTRADOS!A$2:A1405,0),0)  )</f>
        <v>0</v>
      </c>
      <c r="O1303" s="98"/>
      <c r="P1303" s="99" t="str">
        <f t="shared" si="238"/>
        <v>Bono canon</v>
      </c>
      <c r="Q1303" s="99" t="str">
        <f t="shared" si="304"/>
        <v>#REF!</v>
      </c>
      <c r="R1303" s="130"/>
      <c r="S1303" s="130"/>
      <c r="T1303" s="130"/>
    </row>
    <row r="1304">
      <c r="A1304" s="18" t="s">
        <v>71</v>
      </c>
      <c r="B1304" s="116">
        <v>2360.0</v>
      </c>
      <c r="C1304" s="140">
        <v>2360.0</v>
      </c>
      <c r="D1304" s="57" t="str">
        <f>IF(   ISERROR(OFFSET(PADRON!B$2,MATCH(C:C,PADRON!A$2:A1405,0)-1,0,1,1) )  ,  ,    OFFSET(PADRON!B$2,MATCH(C:C,PADRON!A$2:A1405,0)-1,0,1,1))</f>
        <v>MAFFEI, JUAN PABLO</v>
      </c>
      <c r="E1304" s="58">
        <v>45839.0</v>
      </c>
      <c r="F1304" s="145">
        <v>45870.0</v>
      </c>
      <c r="G1304" s="59" t="s">
        <v>39</v>
      </c>
      <c r="H1304" s="60">
        <f>IF( ISERROR( OFFSET(   'Cuadro tarifario'!D$2  , MATCH(CONCATENATE(                 IF(F1304&gt;Mes,OFFSET(NroCT!B$17, MATCH($F1304,NroCT!$A$18:$A1405,0),0,1,1),Periodovigente)                                                                                                                     ,A1304) ,'Cuadro tarifario'!A$2:A1405,0) -1 , 0 , 1 , 1) )   , 0  ,   OFFSET(   'Cuadro tarifario'!D$2  , MATCH(CONCATENATE( IF(F1304&gt;Mes,OFFSET(NroCT!B$17, MATCH($F1304,NroCT!$A$18:$A1405,0),0,1,1),Periodovigente) ,A1304) ,'Cuadro tarifario'!A$2:A1405,0) -1 , 0 , 1 , 1))</f>
        <v>11000</v>
      </c>
      <c r="I1304" s="61">
        <f t="shared" si="252"/>
        <v>1</v>
      </c>
      <c r="J1304" s="60">
        <f t="shared" si="306"/>
        <v>11000</v>
      </c>
      <c r="K1304" s="62">
        <f>IF(  AND(N1304&gt;0,I1304=0)          ,N1304 ,                         IF(  IF( F1304 ,  DAYS360(DATE(YEAR(F1304),MONTH(F1304),1),Mes)/30  ,  DAYS360(DATE(YEAR(E1304),MONTH(E1304),1),Mes)/30  )  &gt;  0 , IF(F1304,   DAYS360(DATE(YEAR(F1304),MONTH(F1304),1),Mes)/30  ,  DAYS360(DATE(YEAR(E1304),MONTH(E1304),1),Mes)/30) , 0)       )</f>
        <v>0</v>
      </c>
      <c r="L1304" s="63">
        <f t="shared" si="253"/>
        <v>0</v>
      </c>
      <c r="M1304" s="162" t="s">
        <v>485</v>
      </c>
      <c r="N1304" s="97">
        <f>IF( ISERROR(OFFSET(SECUESTRADOS!D$1,MATCH(B1304,SECUESTRADOS!A$2:A1405,0),0)) ,0 ,  OFFSET(SECUESTRADOS!D$1,MATCH(B1304,SECUESTRADOS!A$2:A1405,0),0)  )</f>
        <v>0</v>
      </c>
      <c r="O1304" s="98"/>
      <c r="P1304" s="99" t="str">
        <f t="shared" si="238"/>
        <v>.socio</v>
      </c>
      <c r="Q1304" s="99" t="str">
        <f t="shared" si="304"/>
        <v>#REF!</v>
      </c>
      <c r="R1304" s="130"/>
      <c r="S1304" s="130"/>
      <c r="T1304" s="130"/>
    </row>
    <row r="1305">
      <c r="A1305" s="18" t="s">
        <v>38</v>
      </c>
      <c r="B1305" s="116">
        <v>2360.0</v>
      </c>
      <c r="C1305" s="140">
        <v>2360.0</v>
      </c>
      <c r="D1305" s="57" t="str">
        <f>IF(   ISERROR(OFFSET(PADRON!B$2,MATCH(C:C,PADRON!A$2:A1405,0)-1,0,1,1) )  ,  ,    OFFSET(PADRON!B$2,MATCH(C:C,PADRON!A$2:A1405,0)-1,0,1,1))</f>
        <v>MAFFEI, JUAN PABLO</v>
      </c>
      <c r="E1305" s="58">
        <v>45839.0</v>
      </c>
      <c r="F1305" s="145">
        <v>45870.0</v>
      </c>
      <c r="G1305" s="59" t="s">
        <v>39</v>
      </c>
      <c r="H1305" s="60">
        <f>IF( ISERROR( OFFSET(   'Cuadro tarifario'!D$2  , MATCH(CONCATENATE(                 IF(F1305&gt;Mes,OFFSET(NroCT!B$17, MATCH($F1305,NroCT!$A$18:$A1405,0),0,1,1),Periodovigente)                                                                                                                     ,A1305) ,'Cuadro tarifario'!A$2:A1405,0) -1 , 0 , 1 , 1) )   , 0  ,   OFFSET(   'Cuadro tarifario'!D$2  , MATCH(CONCATENATE( IF(F1305&gt;Mes,OFFSET(NroCT!B$17, MATCH($F1305,NroCT!$A$18:$A1405,0),0,1,1),Periodovigente) ,A1305) ,'Cuadro tarifario'!A$2:A1405,0) -1 , 0 , 1 , 1))</f>
        <v>9000</v>
      </c>
      <c r="I1305" s="61">
        <f t="shared" si="252"/>
        <v>1</v>
      </c>
      <c r="J1305" s="60">
        <f t="shared" si="306"/>
        <v>9000</v>
      </c>
      <c r="K1305" s="62">
        <f>IF(  AND(N1305&gt;0,I1305=0)          ,N1305 ,                         IF(  IF( F1305 ,  DAYS360(DATE(YEAR(F1305),MONTH(F1305),1),Mes)/30  ,  DAYS360(DATE(YEAR(E1305),MONTH(E1305),1),Mes)/30  )  &gt;  0 , IF(F1305,   DAYS360(DATE(YEAR(F1305),MONTH(F1305),1),Mes)/30  ,  DAYS360(DATE(YEAR(E1305),MONTH(E1305),1),Mes)/30) , 0)       )</f>
        <v>0</v>
      </c>
      <c r="L1305" s="63">
        <f t="shared" si="253"/>
        <v>0</v>
      </c>
      <c r="M1305" s="162"/>
      <c r="N1305" s="97">
        <f>IF( ISERROR(OFFSET(SECUESTRADOS!D$1,MATCH(B1305,SECUESTRADOS!A$2:A1405,0),0)) ,0 ,  OFFSET(SECUESTRADOS!D$1,MATCH(B1305,SECUESTRADOS!A$2:A1405,0),0)  )</f>
        <v>0</v>
      </c>
      <c r="O1305" s="98"/>
      <c r="P1305" s="99" t="str">
        <f t="shared" si="238"/>
        <v>Bono canon</v>
      </c>
      <c r="Q1305" s="99" t="str">
        <f t="shared" si="304"/>
        <v>#REF!</v>
      </c>
      <c r="R1305" s="130"/>
      <c r="S1305" s="130"/>
      <c r="T1305" s="130"/>
    </row>
    <row r="1306">
      <c r="A1306" s="18" t="s">
        <v>71</v>
      </c>
      <c r="B1306" s="116">
        <v>2361.0</v>
      </c>
      <c r="C1306" s="140">
        <v>2361.0</v>
      </c>
      <c r="D1306" s="57" t="str">
        <f>IF(   ISERROR(OFFSET(PADRON!B$2,MATCH(C:C,PADRON!A$2:A1405,0)-1,0,1,1) )  ,  ,    OFFSET(PADRON!B$2,MATCH(C:C,PADRON!A$2:A1405,0)-1,0,1,1))</f>
        <v>CATALDO , SOLEDAD</v>
      </c>
      <c r="E1306" s="58">
        <v>45839.0</v>
      </c>
      <c r="F1306" s="145">
        <v>45870.0</v>
      </c>
      <c r="G1306" s="59" t="s">
        <v>39</v>
      </c>
      <c r="H1306" s="60">
        <f>IF( ISERROR( OFFSET(   'Cuadro tarifario'!D$2  , MATCH(CONCATENATE(                 IF(F1306&gt;Mes,OFFSET(NroCT!B$17, MATCH($F1306,NroCT!$A$18:$A1405,0),0,1,1),Periodovigente)                                                                                                                     ,A1306) ,'Cuadro tarifario'!A$2:A1405,0) -1 , 0 , 1 , 1) )   , 0  ,   OFFSET(   'Cuadro tarifario'!D$2  , MATCH(CONCATENATE( IF(F1306&gt;Mes,OFFSET(NroCT!B$17, MATCH($F1306,NroCT!$A$18:$A1405,0),0,1,1),Periodovigente) ,A1306) ,'Cuadro tarifario'!A$2:A1405,0) -1 , 0 , 1 , 1))</f>
        <v>11000</v>
      </c>
      <c r="I1306" s="61">
        <f t="shared" si="252"/>
        <v>1</v>
      </c>
      <c r="J1306" s="60">
        <f t="shared" si="306"/>
        <v>11000</v>
      </c>
      <c r="K1306" s="62">
        <f>IF(  AND(N1306&gt;0,I1306=0)          ,N1306 ,                         IF(  IF( F1306 ,  DAYS360(DATE(YEAR(F1306),MONTH(F1306),1),Mes)/30  ,  DAYS360(DATE(YEAR(E1306),MONTH(E1306),1),Mes)/30  )  &gt;  0 , IF(F1306,   DAYS360(DATE(YEAR(F1306),MONTH(F1306),1),Mes)/30  ,  DAYS360(DATE(YEAR(E1306),MONTH(E1306),1),Mes)/30) , 0)       )</f>
        <v>0</v>
      </c>
      <c r="L1306" s="63">
        <f t="shared" si="253"/>
        <v>0</v>
      </c>
      <c r="M1306" s="162" t="s">
        <v>485</v>
      </c>
      <c r="N1306" s="97">
        <f>IF( ISERROR(OFFSET(SECUESTRADOS!D$1,MATCH(B1306,SECUESTRADOS!A$2:A1405,0),0)) ,0 ,  OFFSET(SECUESTRADOS!D$1,MATCH(B1306,SECUESTRADOS!A$2:A1405,0),0)  )</f>
        <v>0</v>
      </c>
      <c r="O1306" s="98"/>
      <c r="P1306" s="99" t="str">
        <f t="shared" si="238"/>
        <v>.socio</v>
      </c>
      <c r="Q1306" s="99" t="str">
        <f t="shared" si="304"/>
        <v>#REF!</v>
      </c>
      <c r="R1306" s="130"/>
      <c r="S1306" s="130"/>
      <c r="T1306" s="130"/>
    </row>
    <row r="1307">
      <c r="A1307" s="18" t="s">
        <v>38</v>
      </c>
      <c r="B1307" s="116">
        <v>2361.0</v>
      </c>
      <c r="C1307" s="140">
        <v>2361.0</v>
      </c>
      <c r="D1307" s="57" t="str">
        <f>IF(   ISERROR(OFFSET(PADRON!B$2,MATCH(C:C,PADRON!A$2:A1405,0)-1,0,1,1) )  ,  ,    OFFSET(PADRON!B$2,MATCH(C:C,PADRON!A$2:A1405,0)-1,0,1,1))</f>
        <v>CATALDO , SOLEDAD</v>
      </c>
      <c r="E1307" s="58">
        <v>45839.0</v>
      </c>
      <c r="F1307" s="145">
        <v>45870.0</v>
      </c>
      <c r="G1307" s="59" t="s">
        <v>39</v>
      </c>
      <c r="H1307" s="60">
        <f>IF( ISERROR( OFFSET(   'Cuadro tarifario'!D$2  , MATCH(CONCATENATE(                 IF(F1307&gt;Mes,OFFSET(NroCT!B$17, MATCH($F1307,NroCT!$A$18:$A1405,0),0,1,1),Periodovigente)                                                                                                                     ,A1307) ,'Cuadro tarifario'!A$2:A1405,0) -1 , 0 , 1 , 1) )   , 0  ,   OFFSET(   'Cuadro tarifario'!D$2  , MATCH(CONCATENATE( IF(F1307&gt;Mes,OFFSET(NroCT!B$17, MATCH($F1307,NroCT!$A$18:$A1405,0),0,1,1),Periodovigente) ,A1307) ,'Cuadro tarifario'!A$2:A1405,0) -1 , 0 , 1 , 1))</f>
        <v>9000</v>
      </c>
      <c r="I1307" s="61">
        <f t="shared" si="252"/>
        <v>1</v>
      </c>
      <c r="J1307" s="60">
        <f t="shared" si="306"/>
        <v>9000</v>
      </c>
      <c r="K1307" s="62">
        <f>IF(  AND(N1307&gt;0,I1307=0)          ,N1307 ,                         IF(  IF( F1307 ,  DAYS360(DATE(YEAR(F1307),MONTH(F1307),1),Mes)/30  ,  DAYS360(DATE(YEAR(E1307),MONTH(E1307),1),Mes)/30  )  &gt;  0 , IF(F1307,   DAYS360(DATE(YEAR(F1307),MONTH(F1307),1),Mes)/30  ,  DAYS360(DATE(YEAR(E1307),MONTH(E1307),1),Mes)/30) , 0)       )</f>
        <v>0</v>
      </c>
      <c r="L1307" s="63">
        <f t="shared" si="253"/>
        <v>0</v>
      </c>
      <c r="M1307" s="162"/>
      <c r="N1307" s="97">
        <f>IF( ISERROR(OFFSET(SECUESTRADOS!D$1,MATCH(B1307,SECUESTRADOS!A$2:A1405,0),0)) ,0 ,  OFFSET(SECUESTRADOS!D$1,MATCH(B1307,SECUESTRADOS!A$2:A1405,0),0)  )</f>
        <v>0</v>
      </c>
      <c r="O1307" s="98"/>
      <c r="P1307" s="99" t="str">
        <f t="shared" si="238"/>
        <v>Bono canon</v>
      </c>
      <c r="Q1307" s="99" t="str">
        <f t="shared" si="304"/>
        <v>#REF!</v>
      </c>
      <c r="R1307" s="130"/>
      <c r="S1307" s="130"/>
      <c r="T1307" s="130"/>
    </row>
    <row r="1308">
      <c r="A1308" s="18" t="s">
        <v>71</v>
      </c>
      <c r="B1308" s="116">
        <v>2362.0</v>
      </c>
      <c r="C1308" s="140">
        <v>2362.0</v>
      </c>
      <c r="D1308" s="57" t="str">
        <f>IF(   ISERROR(OFFSET(PADRON!B$2,MATCH(C:C,PADRON!A$2:A1405,0)-1,0,1,1) )  ,  ,    OFFSET(PADRON!B$2,MATCH(C:C,PADRON!A$2:A1405,0)-1,0,1,1))</f>
        <v>RICCIARDI, MARIA JULIETA</v>
      </c>
      <c r="E1308" s="58">
        <v>45809.0</v>
      </c>
      <c r="F1308" s="145">
        <v>45870.0</v>
      </c>
      <c r="G1308" s="59" t="s">
        <v>39</v>
      </c>
      <c r="H1308" s="60">
        <f>IF( ISERROR( OFFSET(   'Cuadro tarifario'!D$2  , MATCH(CONCATENATE(                 IF(F1308&gt;Mes,OFFSET(NroCT!B$17, MATCH($F1308,NroCT!$A$18:$A1405,0),0,1,1),Periodovigente)                                                                                                                     ,A1308) ,'Cuadro tarifario'!A$2:A1405,0) -1 , 0 , 1 , 1) )   , 0  ,   OFFSET(   'Cuadro tarifario'!D$2  , MATCH(CONCATENATE( IF(F1308&gt;Mes,OFFSET(NroCT!B$17, MATCH($F1308,NroCT!$A$18:$A1405,0),0,1,1),Periodovigente) ,A1308) ,'Cuadro tarifario'!A$2:A1405,0) -1 , 0 , 1 , 1))</f>
        <v>11000</v>
      </c>
      <c r="I1308" s="61">
        <f t="shared" si="252"/>
        <v>2</v>
      </c>
      <c r="J1308" s="60">
        <f t="shared" si="306"/>
        <v>22000</v>
      </c>
      <c r="K1308" s="62">
        <f>IF(  AND(N1308&gt;0,I1308=0)          ,N1308 ,                         IF(  IF( F1308 ,  DAYS360(DATE(YEAR(F1308),MONTH(F1308),1),Mes)/30  ,  DAYS360(DATE(YEAR(E1308),MONTH(E1308),1),Mes)/30  )  &gt;  0 , IF(F1308,   DAYS360(DATE(YEAR(F1308),MONTH(F1308),1),Mes)/30  ,  DAYS360(DATE(YEAR(E1308),MONTH(E1308),1),Mes)/30) , 0)       )</f>
        <v>0</v>
      </c>
      <c r="L1308" s="63">
        <f t="shared" si="253"/>
        <v>0</v>
      </c>
      <c r="M1308" s="162" t="s">
        <v>485</v>
      </c>
      <c r="N1308" s="97">
        <f>IF( ISERROR(OFFSET(SECUESTRADOS!D$1,MATCH(B1308,SECUESTRADOS!A$2:A1405,0),0)) ,0 ,  OFFSET(SECUESTRADOS!D$1,MATCH(B1308,SECUESTRADOS!A$2:A1405,0),0)  )</f>
        <v>0</v>
      </c>
      <c r="O1308" s="98"/>
      <c r="P1308" s="99" t="str">
        <f t="shared" si="238"/>
        <v>.socio</v>
      </c>
      <c r="Q1308" s="99" t="str">
        <f t="shared" si="304"/>
        <v>#REF!</v>
      </c>
      <c r="R1308" s="130"/>
      <c r="S1308" s="130"/>
      <c r="T1308" s="130"/>
    </row>
    <row r="1309">
      <c r="A1309" s="18" t="s">
        <v>38</v>
      </c>
      <c r="B1309" s="116">
        <v>2362.0</v>
      </c>
      <c r="C1309" s="140">
        <v>2362.0</v>
      </c>
      <c r="D1309" s="57" t="str">
        <f>IF(   ISERROR(OFFSET(PADRON!B$2,MATCH(C:C,PADRON!A$2:A1405,0)-1,0,1,1) )  ,  ,    OFFSET(PADRON!B$2,MATCH(C:C,PADRON!A$2:A1405,0)-1,0,1,1))</f>
        <v>RICCIARDI, MARIA JULIETA</v>
      </c>
      <c r="E1309" s="58">
        <v>45809.0</v>
      </c>
      <c r="F1309" s="145">
        <v>45870.0</v>
      </c>
      <c r="G1309" s="59" t="s">
        <v>39</v>
      </c>
      <c r="H1309" s="60">
        <f>IF( ISERROR( OFFSET(   'Cuadro tarifario'!D$2  , MATCH(CONCATENATE(                 IF(F1309&gt;Mes,OFFSET(NroCT!B$17, MATCH($F1309,NroCT!$A$18:$A1405,0),0,1,1),Periodovigente)                                                                                                                     ,A1309) ,'Cuadro tarifario'!A$2:A1405,0) -1 , 0 , 1 , 1) )   , 0  ,   OFFSET(   'Cuadro tarifario'!D$2  , MATCH(CONCATENATE( IF(F1309&gt;Mes,OFFSET(NroCT!B$17, MATCH($F1309,NroCT!$A$18:$A1405,0),0,1,1),Periodovigente) ,A1309) ,'Cuadro tarifario'!A$2:A1405,0) -1 , 0 , 1 , 1))</f>
        <v>9000</v>
      </c>
      <c r="I1309" s="61">
        <f t="shared" si="252"/>
        <v>2</v>
      </c>
      <c r="J1309" s="60">
        <f t="shared" si="306"/>
        <v>18000</v>
      </c>
      <c r="K1309" s="62">
        <f>IF(  AND(N1309&gt;0,I1309=0)          ,N1309 ,                         IF(  IF( F1309 ,  DAYS360(DATE(YEAR(F1309),MONTH(F1309),1),Mes)/30  ,  DAYS360(DATE(YEAR(E1309),MONTH(E1309),1),Mes)/30  )  &gt;  0 , IF(F1309,   DAYS360(DATE(YEAR(F1309),MONTH(F1309),1),Mes)/30  ,  DAYS360(DATE(YEAR(E1309),MONTH(E1309),1),Mes)/30) , 0)       )</f>
        <v>0</v>
      </c>
      <c r="L1309" s="63">
        <f t="shared" si="253"/>
        <v>0</v>
      </c>
      <c r="M1309" s="162"/>
      <c r="N1309" s="97">
        <f>IF( ISERROR(OFFSET(SECUESTRADOS!D$1,MATCH(B1309,SECUESTRADOS!A$2:A1405,0),0)) ,0 ,  OFFSET(SECUESTRADOS!D$1,MATCH(B1309,SECUESTRADOS!A$2:A1405,0),0)  )</f>
        <v>0</v>
      </c>
      <c r="O1309" s="98"/>
      <c r="P1309" s="99" t="str">
        <f t="shared" si="238"/>
        <v>Bono canon</v>
      </c>
      <c r="Q1309" s="99" t="str">
        <f t="shared" si="304"/>
        <v>#REF!</v>
      </c>
      <c r="R1309" s="130"/>
      <c r="S1309" s="130"/>
      <c r="T1309" s="130"/>
    </row>
    <row r="1310">
      <c r="A1310" s="18" t="s">
        <v>71</v>
      </c>
      <c r="B1310" s="116">
        <v>2363.0</v>
      </c>
      <c r="C1310" s="140">
        <v>2363.0</v>
      </c>
      <c r="D1310" s="57" t="str">
        <f>IF(   ISERROR(OFFSET(PADRON!B$2,MATCH(C:C,PADRON!A$2:A1405,0)-1,0,1,1) )  ,  ,    OFFSET(PADRON!B$2,MATCH(C:C,PADRON!A$2:A1405,0)-1,0,1,1))</f>
        <v>AMEGHINO, CLAUDIO</v>
      </c>
      <c r="E1310" s="58">
        <v>45839.0</v>
      </c>
      <c r="F1310" s="145">
        <v>45870.0</v>
      </c>
      <c r="G1310" s="59" t="s">
        <v>39</v>
      </c>
      <c r="H1310" s="60">
        <f>IF( ISERROR( OFFSET(   'Cuadro tarifario'!D$2  , MATCH(CONCATENATE(                 IF(F1310&gt;Mes,OFFSET(NroCT!B$17, MATCH($F1310,NroCT!$A$18:$A1405,0),0,1,1),Periodovigente)                                                                                                                     ,A1310) ,'Cuadro tarifario'!A$2:A1405,0) -1 , 0 , 1 , 1) )   , 0  ,   OFFSET(   'Cuadro tarifario'!D$2  , MATCH(CONCATENATE( IF(F1310&gt;Mes,OFFSET(NroCT!B$17, MATCH($F1310,NroCT!$A$18:$A1405,0),0,1,1),Periodovigente) ,A1310) ,'Cuadro tarifario'!A$2:A1405,0) -1 , 0 , 1 , 1))</f>
        <v>11000</v>
      </c>
      <c r="I1310" s="61">
        <f t="shared" si="252"/>
        <v>1</v>
      </c>
      <c r="J1310" s="60">
        <f t="shared" si="306"/>
        <v>11000</v>
      </c>
      <c r="K1310" s="62">
        <f>IF(  AND(N1310&gt;0,I1310=0)          ,N1310 ,                         IF(  IF( F1310 ,  DAYS360(DATE(YEAR(F1310),MONTH(F1310),1),Mes)/30  ,  DAYS360(DATE(YEAR(E1310),MONTH(E1310),1),Mes)/30  )  &gt;  0 , IF(F1310,   DAYS360(DATE(YEAR(F1310),MONTH(F1310),1),Mes)/30  ,  DAYS360(DATE(YEAR(E1310),MONTH(E1310),1),Mes)/30) , 0)       )</f>
        <v>0</v>
      </c>
      <c r="L1310" s="63">
        <f t="shared" si="253"/>
        <v>0</v>
      </c>
      <c r="M1310" s="162" t="s">
        <v>485</v>
      </c>
      <c r="N1310" s="97">
        <f>IF( ISERROR(OFFSET(SECUESTRADOS!D$1,MATCH(B1310,SECUESTRADOS!A$2:A1405,0),0)) ,0 ,  OFFSET(SECUESTRADOS!D$1,MATCH(B1310,SECUESTRADOS!A$2:A1405,0),0)  )</f>
        <v>0</v>
      </c>
      <c r="O1310" s="98"/>
      <c r="P1310" s="99" t="str">
        <f t="shared" si="238"/>
        <v>.socio</v>
      </c>
      <c r="Q1310" s="99" t="str">
        <f t="shared" si="304"/>
        <v>#REF!</v>
      </c>
      <c r="R1310" s="130"/>
      <c r="S1310" s="130"/>
      <c r="T1310" s="130"/>
    </row>
    <row r="1311">
      <c r="A1311" s="18" t="s">
        <v>38</v>
      </c>
      <c r="B1311" s="116">
        <v>2363.0</v>
      </c>
      <c r="C1311" s="140">
        <v>2363.0</v>
      </c>
      <c r="D1311" s="57" t="str">
        <f>IF(   ISERROR(OFFSET(PADRON!B$2,MATCH(C:C,PADRON!A$2:A1405,0)-1,0,1,1) )  ,  ,    OFFSET(PADRON!B$2,MATCH(C:C,PADRON!A$2:A1405,0)-1,0,1,1))</f>
        <v>AMEGHINO, CLAUDIO</v>
      </c>
      <c r="E1311" s="58">
        <v>45839.0</v>
      </c>
      <c r="F1311" s="145">
        <v>45870.0</v>
      </c>
      <c r="G1311" s="59" t="s">
        <v>39</v>
      </c>
      <c r="H1311" s="60">
        <f>IF( ISERROR( OFFSET(   'Cuadro tarifario'!D$2  , MATCH(CONCATENATE(                 IF(F1311&gt;Mes,OFFSET(NroCT!B$17, MATCH($F1311,NroCT!$A$18:$A1405,0),0,1,1),Periodovigente)                                                                                                                     ,A1311) ,'Cuadro tarifario'!A$2:A1405,0) -1 , 0 , 1 , 1) )   , 0  ,   OFFSET(   'Cuadro tarifario'!D$2  , MATCH(CONCATENATE( IF(F1311&gt;Mes,OFFSET(NroCT!B$17, MATCH($F1311,NroCT!$A$18:$A1405,0),0,1,1),Periodovigente) ,A1311) ,'Cuadro tarifario'!A$2:A1405,0) -1 , 0 , 1 , 1))</f>
        <v>9000</v>
      </c>
      <c r="I1311" s="61">
        <f t="shared" si="252"/>
        <v>1</v>
      </c>
      <c r="J1311" s="60">
        <f t="shared" si="306"/>
        <v>9000</v>
      </c>
      <c r="K1311" s="62">
        <f>IF(  AND(N1311&gt;0,I1311=0)          ,N1311 ,                         IF(  IF( F1311 ,  DAYS360(DATE(YEAR(F1311),MONTH(F1311),1),Mes)/30  ,  DAYS360(DATE(YEAR(E1311),MONTH(E1311),1),Mes)/30  )  &gt;  0 , IF(F1311,   DAYS360(DATE(YEAR(F1311),MONTH(F1311),1),Mes)/30  ,  DAYS360(DATE(YEAR(E1311),MONTH(E1311),1),Mes)/30) , 0)       )</f>
        <v>0</v>
      </c>
      <c r="L1311" s="63">
        <f t="shared" si="253"/>
        <v>0</v>
      </c>
      <c r="M1311" s="162"/>
      <c r="N1311" s="97">
        <f>IF( ISERROR(OFFSET(SECUESTRADOS!D$1,MATCH(B1311,SECUESTRADOS!A$2:A1405,0),0)) ,0 ,  OFFSET(SECUESTRADOS!D$1,MATCH(B1311,SECUESTRADOS!A$2:A1405,0),0)  )</f>
        <v>0</v>
      </c>
      <c r="O1311" s="98"/>
      <c r="P1311" s="99" t="str">
        <f t="shared" si="238"/>
        <v>Bono canon</v>
      </c>
      <c r="Q1311" s="99" t="str">
        <f t="shared" si="304"/>
        <v>#REF!</v>
      </c>
      <c r="R1311" s="130"/>
      <c r="S1311" s="130"/>
      <c r="T1311" s="130"/>
    </row>
    <row r="1312">
      <c r="A1312" s="18" t="s">
        <v>71</v>
      </c>
      <c r="B1312" s="116">
        <v>2364.0</v>
      </c>
      <c r="C1312" s="140">
        <v>2364.0</v>
      </c>
      <c r="D1312" s="57" t="str">
        <f>IF(   ISERROR(OFFSET(PADRON!B$2,MATCH(C:C,PADRON!A$2:A1405,0)-1,0,1,1) )  ,  ,    OFFSET(PADRON!B$2,MATCH(C:C,PADRON!A$2:A1405,0)-1,0,1,1))</f>
        <v>MUÑOZ, JEREMIAS</v>
      </c>
      <c r="E1312" s="58">
        <v>45748.0</v>
      </c>
      <c r="F1312" s="145"/>
      <c r="G1312" s="59" t="s">
        <v>39</v>
      </c>
      <c r="H1312" s="60">
        <f>IF( ISERROR( OFFSET(   'Cuadro tarifario'!D$2  , MATCH(CONCATENATE(                 IF(F1312&gt;Mes,OFFSET(NroCT!B$17, MATCH($F1312,NroCT!$A$18:$A1405,0),0,1,1),Periodovigente)                                                                                                                     ,A1312) ,'Cuadro tarifario'!A$2:A1405,0) -1 , 0 , 1 , 1) )   , 0  ,   OFFSET(   'Cuadro tarifario'!D$2  , MATCH(CONCATENATE( IF(F1312&gt;Mes,OFFSET(NroCT!B$17, MATCH($F1312,NroCT!$A$18:$A1405,0),0,1,1),Periodovigente) ,A1312) ,'Cuadro tarifario'!A$2:A1405,0) -1 , 0 , 1 , 1))</f>
        <v>11000</v>
      </c>
      <c r="I1312" s="61">
        <f t="shared" si="252"/>
        <v>0</v>
      </c>
      <c r="J1312" s="60">
        <f t="shared" si="306"/>
        <v>0</v>
      </c>
      <c r="K1312" s="62">
        <f>IF(  AND(N1312&gt;0,I1312=0)          ,N1312 ,                         IF(  IF( F1312 ,  DAYS360(DATE(YEAR(F1312),MONTH(F1312),1),Mes)/30  ,  DAYS360(DATE(YEAR(E1312),MONTH(E1312),1),Mes)/30  )  &gt;  0 , IF(F1312,   DAYS360(DATE(YEAR(F1312),MONTH(F1312),1),Mes)/30  ,  DAYS360(DATE(YEAR(E1312),MONTH(E1312),1),Mes)/30) , 0)       )</f>
        <v>4</v>
      </c>
      <c r="L1312" s="63">
        <f t="shared" si="253"/>
        <v>44000</v>
      </c>
      <c r="M1312" s="162" t="s">
        <v>485</v>
      </c>
      <c r="N1312" s="97">
        <f>IF( ISERROR(OFFSET(SECUESTRADOS!D$1,MATCH(B1312,SECUESTRADOS!A$2:A1405,0),0)) ,0 ,  OFFSET(SECUESTRADOS!D$1,MATCH(B1312,SECUESTRADOS!A$2:A1405,0),0)  )</f>
        <v>0</v>
      </c>
      <c r="O1312" s="98"/>
      <c r="P1312" s="99" t="b">
        <f t="shared" si="238"/>
        <v>0</v>
      </c>
      <c r="Q1312" s="99" t="str">
        <f t="shared" si="304"/>
        <v>#REF!</v>
      </c>
      <c r="R1312" s="130"/>
      <c r="S1312" s="130"/>
      <c r="T1312" s="130"/>
    </row>
    <row r="1313">
      <c r="A1313" s="18" t="s">
        <v>38</v>
      </c>
      <c r="B1313" s="116">
        <v>2364.0</v>
      </c>
      <c r="C1313" s="140">
        <v>2364.0</v>
      </c>
      <c r="D1313" s="57" t="str">
        <f>IF(   ISERROR(OFFSET(PADRON!B$2,MATCH(C:C,PADRON!A$2:A1405,0)-1,0,1,1) )  ,  ,    OFFSET(PADRON!B$2,MATCH(C:C,PADRON!A$2:A1405,0)-1,0,1,1))</f>
        <v>MUÑOZ, JEREMIAS</v>
      </c>
      <c r="E1313" s="58">
        <v>45748.0</v>
      </c>
      <c r="F1313" s="145"/>
      <c r="G1313" s="59" t="s">
        <v>39</v>
      </c>
      <c r="H1313" s="60">
        <f>IF( ISERROR( OFFSET(   'Cuadro tarifario'!D$2  , MATCH(CONCATENATE(                 IF(F1313&gt;Mes,OFFSET(NroCT!B$17, MATCH($F1313,NroCT!$A$18:$A1405,0),0,1,1),Periodovigente)                                                                                                                     ,A1313) ,'Cuadro tarifario'!A$2:A1405,0) -1 , 0 , 1 , 1) )   , 0  ,   OFFSET(   'Cuadro tarifario'!D$2  , MATCH(CONCATENATE( IF(F1313&gt;Mes,OFFSET(NroCT!B$17, MATCH($F1313,NroCT!$A$18:$A1405,0),0,1,1),Periodovigente) ,A1313) ,'Cuadro tarifario'!A$2:A1405,0) -1 , 0 , 1 , 1))</f>
        <v>9000</v>
      </c>
      <c r="I1313" s="61">
        <f t="shared" si="252"/>
        <v>0</v>
      </c>
      <c r="J1313" s="60">
        <f t="shared" si="306"/>
        <v>0</v>
      </c>
      <c r="K1313" s="62">
        <f>IF(  AND(N1313&gt;0,I1313=0)          ,N1313 ,                         IF(  IF( F1313 ,  DAYS360(DATE(YEAR(F1313),MONTH(F1313),1),Mes)/30  ,  DAYS360(DATE(YEAR(E1313),MONTH(E1313),1),Mes)/30  )  &gt;  0 , IF(F1313,   DAYS360(DATE(YEAR(F1313),MONTH(F1313),1),Mes)/30  ,  DAYS360(DATE(YEAR(E1313),MONTH(E1313),1),Mes)/30) , 0)       )</f>
        <v>4</v>
      </c>
      <c r="L1313" s="63">
        <f t="shared" si="253"/>
        <v>36000</v>
      </c>
      <c r="M1313" s="162"/>
      <c r="N1313" s="97">
        <f>IF( ISERROR(OFFSET(SECUESTRADOS!D$1,MATCH(B1313,SECUESTRADOS!A$2:A1405,0),0)) ,0 ,  OFFSET(SECUESTRADOS!D$1,MATCH(B1313,SECUESTRADOS!A$2:A1405,0),0)  )</f>
        <v>0</v>
      </c>
      <c r="O1313" s="98"/>
      <c r="P1313" s="99" t="b">
        <f t="shared" si="238"/>
        <v>0</v>
      </c>
      <c r="Q1313" s="99" t="str">
        <f t="shared" si="304"/>
        <v>#REF!</v>
      </c>
      <c r="R1313" s="130"/>
      <c r="S1313" s="130"/>
      <c r="T1313" s="130"/>
    </row>
    <row r="1314">
      <c r="A1314" s="18" t="s">
        <v>71</v>
      </c>
      <c r="B1314" s="116">
        <v>2365.0</v>
      </c>
      <c r="C1314" s="140">
        <v>2365.0</v>
      </c>
      <c r="D1314" s="57" t="str">
        <f>IF(   ISERROR(OFFSET(PADRON!B$2,MATCH(C:C,PADRON!A$2:A1405,0)-1,0,1,1) )  ,  ,    OFFSET(PADRON!B$2,MATCH(C:C,PADRON!A$2:A1405,0)-1,0,1,1))</f>
        <v>CANELAS, CARINA</v>
      </c>
      <c r="E1314" s="58">
        <v>45839.0</v>
      </c>
      <c r="F1314" s="145"/>
      <c r="G1314" s="59" t="s">
        <v>39</v>
      </c>
      <c r="H1314" s="60">
        <f>IF( ISERROR( OFFSET(   'Cuadro tarifario'!D$2  , MATCH(CONCATENATE(                 IF(F1314&gt;Mes,OFFSET(NroCT!B$17, MATCH($F1314,NroCT!$A$18:$A1405,0),0,1,1),Periodovigente)                                                                                                                     ,A1314) ,'Cuadro tarifario'!A$2:A1405,0) -1 , 0 , 1 , 1) )   , 0  ,   OFFSET(   'Cuadro tarifario'!D$2  , MATCH(CONCATENATE( IF(F1314&gt;Mes,OFFSET(NroCT!B$17, MATCH($F1314,NroCT!$A$18:$A1405,0),0,1,1),Periodovigente) ,A1314) ,'Cuadro tarifario'!A$2:A1405,0) -1 , 0 , 1 , 1))</f>
        <v>11000</v>
      </c>
      <c r="I1314" s="61">
        <f t="shared" si="252"/>
        <v>0</v>
      </c>
      <c r="J1314" s="60">
        <f t="shared" si="306"/>
        <v>0</v>
      </c>
      <c r="K1314" s="62">
        <f>IF(  AND(N1314&gt;0,I1314=0)          ,N1314 ,                         IF(  IF( F1314 ,  DAYS360(DATE(YEAR(F1314),MONTH(F1314),1),Mes)/30  ,  DAYS360(DATE(YEAR(E1314),MONTH(E1314),1),Mes)/30  )  &gt;  0 , IF(F1314,   DAYS360(DATE(YEAR(F1314),MONTH(F1314),1),Mes)/30  ,  DAYS360(DATE(YEAR(E1314),MONTH(E1314),1),Mes)/30) , 0)       )</f>
        <v>1</v>
      </c>
      <c r="L1314" s="63">
        <f t="shared" si="253"/>
        <v>11000</v>
      </c>
      <c r="M1314" s="162" t="s">
        <v>485</v>
      </c>
      <c r="N1314" s="97">
        <f>IF( ISERROR(OFFSET(SECUESTRADOS!D$1,MATCH(B1314,SECUESTRADOS!A$2:A1405,0),0)) ,0 ,  OFFSET(SECUESTRADOS!D$1,MATCH(B1314,SECUESTRADOS!A$2:A1405,0),0)  )</f>
        <v>0</v>
      </c>
      <c r="O1314" s="98"/>
      <c r="P1314" s="99" t="b">
        <f t="shared" si="238"/>
        <v>0</v>
      </c>
      <c r="Q1314" s="99" t="str">
        <f t="shared" si="304"/>
        <v>#REF!</v>
      </c>
      <c r="R1314" s="130"/>
      <c r="S1314" s="130"/>
      <c r="T1314" s="130"/>
    </row>
    <row r="1315">
      <c r="A1315" s="18" t="s">
        <v>38</v>
      </c>
      <c r="B1315" s="116">
        <v>2365.0</v>
      </c>
      <c r="C1315" s="140">
        <v>2365.0</v>
      </c>
      <c r="D1315" s="57" t="str">
        <f>IF(   ISERROR(OFFSET(PADRON!B$2,MATCH(C:C,PADRON!A$2:A1405,0)-1,0,1,1) )  ,  ,    OFFSET(PADRON!B$2,MATCH(C:C,PADRON!A$2:A1405,0)-1,0,1,1))</f>
        <v>CANELAS, CARINA</v>
      </c>
      <c r="E1315" s="58">
        <v>45839.0</v>
      </c>
      <c r="F1315" s="145"/>
      <c r="G1315" s="59" t="s">
        <v>39</v>
      </c>
      <c r="H1315" s="60">
        <f>IF( ISERROR( OFFSET(   'Cuadro tarifario'!D$2  , MATCH(CONCATENATE(                 IF(F1315&gt;Mes,OFFSET(NroCT!B$17, MATCH($F1315,NroCT!$A$18:$A1405,0),0,1,1),Periodovigente)                                                                                                                     ,A1315) ,'Cuadro tarifario'!A$2:A1405,0) -1 , 0 , 1 , 1) )   , 0  ,   OFFSET(   'Cuadro tarifario'!D$2  , MATCH(CONCATENATE( IF(F1315&gt;Mes,OFFSET(NroCT!B$17, MATCH($F1315,NroCT!$A$18:$A1405,0),0,1,1),Periodovigente) ,A1315) ,'Cuadro tarifario'!A$2:A1405,0) -1 , 0 , 1 , 1))</f>
        <v>9000</v>
      </c>
      <c r="I1315" s="61">
        <f t="shared" si="252"/>
        <v>0</v>
      </c>
      <c r="J1315" s="60">
        <f t="shared" si="306"/>
        <v>0</v>
      </c>
      <c r="K1315" s="62">
        <f>IF(  AND(N1315&gt;0,I1315=0)          ,N1315 ,                         IF(  IF( F1315 ,  DAYS360(DATE(YEAR(F1315),MONTH(F1315),1),Mes)/30  ,  DAYS360(DATE(YEAR(E1315),MONTH(E1315),1),Mes)/30  )  &gt;  0 , IF(F1315,   DAYS360(DATE(YEAR(F1315),MONTH(F1315),1),Mes)/30  ,  DAYS360(DATE(YEAR(E1315),MONTH(E1315),1),Mes)/30) , 0)       )</f>
        <v>1</v>
      </c>
      <c r="L1315" s="63">
        <f t="shared" si="253"/>
        <v>9000</v>
      </c>
      <c r="M1315" s="162"/>
      <c r="N1315" s="97">
        <f>IF( ISERROR(OFFSET(SECUESTRADOS!D$1,MATCH(B1315,SECUESTRADOS!A$2:A1405,0),0)) ,0 ,  OFFSET(SECUESTRADOS!D$1,MATCH(B1315,SECUESTRADOS!A$2:A1405,0),0)  )</f>
        <v>0</v>
      </c>
      <c r="O1315" s="98"/>
      <c r="P1315" s="99" t="b">
        <f t="shared" si="238"/>
        <v>0</v>
      </c>
      <c r="Q1315" s="99" t="str">
        <f t="shared" si="304"/>
        <v>#REF!</v>
      </c>
      <c r="R1315" s="130"/>
      <c r="S1315" s="130"/>
      <c r="T1315" s="130"/>
    </row>
    <row r="1316">
      <c r="A1316" s="18" t="s">
        <v>71</v>
      </c>
      <c r="B1316" s="116">
        <v>2366.0</v>
      </c>
      <c r="C1316" s="140">
        <v>2366.0</v>
      </c>
      <c r="D1316" s="57" t="str">
        <f>IF(   ISERROR(OFFSET(PADRON!B$2,MATCH(C:C,PADRON!A$2:A1405,0)-1,0,1,1) )  ,  ,    OFFSET(PADRON!B$2,MATCH(C:C,PADRON!A$2:A1405,0)-1,0,1,1))</f>
        <v>DIAZ, MATIAS</v>
      </c>
      <c r="E1316" s="58">
        <v>45778.0</v>
      </c>
      <c r="F1316" s="145"/>
      <c r="G1316" s="59" t="s">
        <v>39</v>
      </c>
      <c r="H1316" s="60">
        <f>IF( ISERROR( OFFSET(   'Cuadro tarifario'!D$2  , MATCH(CONCATENATE(                 IF(F1316&gt;Mes,OFFSET(NroCT!B$17, MATCH($F1316,NroCT!$A$18:$A1405,0),0,1,1),Periodovigente)                                                                                                                     ,A1316) ,'Cuadro tarifario'!A$2:A1405,0) -1 , 0 , 1 , 1) )   , 0  ,   OFFSET(   'Cuadro tarifario'!D$2  , MATCH(CONCATENATE( IF(F1316&gt;Mes,OFFSET(NroCT!B$17, MATCH($F1316,NroCT!$A$18:$A1405,0),0,1,1),Periodovigente) ,A1316) ,'Cuadro tarifario'!A$2:A1405,0) -1 , 0 , 1 , 1))</f>
        <v>11000</v>
      </c>
      <c r="I1316" s="61">
        <f t="shared" si="252"/>
        <v>0</v>
      </c>
      <c r="J1316" s="60">
        <f t="shared" si="306"/>
        <v>0</v>
      </c>
      <c r="K1316" s="62">
        <f>IF(  AND(N1316&gt;0,I1316=0)          ,N1316 ,                         IF(  IF( F1316 ,  DAYS360(DATE(YEAR(F1316),MONTH(F1316),1),Mes)/30  ,  DAYS360(DATE(YEAR(E1316),MONTH(E1316),1),Mes)/30  )  &gt;  0 , IF(F1316,   DAYS360(DATE(YEAR(F1316),MONTH(F1316),1),Mes)/30  ,  DAYS360(DATE(YEAR(E1316),MONTH(E1316),1),Mes)/30) , 0)       )</f>
        <v>3</v>
      </c>
      <c r="L1316" s="63">
        <f t="shared" si="253"/>
        <v>33000</v>
      </c>
      <c r="M1316" s="162" t="s">
        <v>485</v>
      </c>
      <c r="N1316" s="97">
        <f>IF( ISERROR(OFFSET(SECUESTRADOS!D$1,MATCH(B1316,SECUESTRADOS!A$2:A1405,0),0)) ,0 ,  OFFSET(SECUESTRADOS!D$1,MATCH(B1316,SECUESTRADOS!A$2:A1405,0),0)  )</f>
        <v>0</v>
      </c>
      <c r="O1316" s="98"/>
      <c r="P1316" s="99" t="b">
        <f t="shared" si="238"/>
        <v>0</v>
      </c>
      <c r="Q1316" s="99" t="str">
        <f t="shared" si="304"/>
        <v>#REF!</v>
      </c>
      <c r="R1316" s="130"/>
      <c r="S1316" s="130"/>
      <c r="T1316" s="130"/>
    </row>
    <row r="1317">
      <c r="A1317" s="18" t="s">
        <v>38</v>
      </c>
      <c r="B1317" s="116">
        <v>2366.0</v>
      </c>
      <c r="C1317" s="140">
        <v>2366.0</v>
      </c>
      <c r="D1317" s="57" t="str">
        <f>IF(   ISERROR(OFFSET(PADRON!B$2,MATCH(C:C,PADRON!A$2:A1405,0)-1,0,1,1) )  ,  ,    OFFSET(PADRON!B$2,MATCH(C:C,PADRON!A$2:A1405,0)-1,0,1,1))</f>
        <v>DIAZ, MATIAS</v>
      </c>
      <c r="E1317" s="58">
        <v>45778.0</v>
      </c>
      <c r="F1317" s="145"/>
      <c r="G1317" s="59" t="s">
        <v>39</v>
      </c>
      <c r="H1317" s="60">
        <f>IF( ISERROR( OFFSET(   'Cuadro tarifario'!D$2  , MATCH(CONCATENATE(                 IF(F1317&gt;Mes,OFFSET(NroCT!B$17, MATCH($F1317,NroCT!$A$18:$A1405,0),0,1,1),Periodovigente)                                                                                                                     ,A1317) ,'Cuadro tarifario'!A$2:A1405,0) -1 , 0 , 1 , 1) )   , 0  ,   OFFSET(   'Cuadro tarifario'!D$2  , MATCH(CONCATENATE( IF(F1317&gt;Mes,OFFSET(NroCT!B$17, MATCH($F1317,NroCT!$A$18:$A1405,0),0,1,1),Periodovigente) ,A1317) ,'Cuadro tarifario'!A$2:A1405,0) -1 , 0 , 1 , 1))</f>
        <v>9000</v>
      </c>
      <c r="I1317" s="61">
        <f t="shared" si="252"/>
        <v>0</v>
      </c>
      <c r="J1317" s="60">
        <f t="shared" si="306"/>
        <v>0</v>
      </c>
      <c r="K1317" s="62">
        <f>IF(  AND(N1317&gt;0,I1317=0)          ,N1317 ,                         IF(  IF( F1317 ,  DAYS360(DATE(YEAR(F1317),MONTH(F1317),1),Mes)/30  ,  DAYS360(DATE(YEAR(E1317),MONTH(E1317),1),Mes)/30  )  &gt;  0 , IF(F1317,   DAYS360(DATE(YEAR(F1317),MONTH(F1317),1),Mes)/30  ,  DAYS360(DATE(YEAR(E1317),MONTH(E1317),1),Mes)/30) , 0)       )</f>
        <v>3</v>
      </c>
      <c r="L1317" s="63">
        <f t="shared" si="253"/>
        <v>27000</v>
      </c>
      <c r="M1317" s="162"/>
      <c r="N1317" s="97">
        <f>IF( ISERROR(OFFSET(SECUESTRADOS!D$1,MATCH(B1317,SECUESTRADOS!A$2:A1405,0),0)) ,0 ,  OFFSET(SECUESTRADOS!D$1,MATCH(B1317,SECUESTRADOS!A$2:A1405,0),0)  )</f>
        <v>0</v>
      </c>
      <c r="O1317" s="98"/>
      <c r="P1317" s="99" t="b">
        <f t="shared" si="238"/>
        <v>0</v>
      </c>
      <c r="Q1317" s="99" t="str">
        <f t="shared" si="304"/>
        <v>#REF!</v>
      </c>
      <c r="R1317" s="130"/>
      <c r="S1317" s="130"/>
      <c r="T1317" s="130"/>
    </row>
    <row r="1318">
      <c r="A1318" s="18" t="s">
        <v>71</v>
      </c>
      <c r="B1318" s="116">
        <v>2367.0</v>
      </c>
      <c r="C1318" s="140">
        <v>2367.0</v>
      </c>
      <c r="D1318" s="57" t="str">
        <f>IF(   ISERROR(OFFSET(PADRON!B$2,MATCH(C:C,PADRON!A$2:A1405,0)-1,0,1,1) )  ,  ,    OFFSET(PADRON!B$2,MATCH(C:C,PADRON!A$2:A1405,0)-1,0,1,1))</f>
        <v>OYOLA, ENRIQUE</v>
      </c>
      <c r="E1318" s="58">
        <v>45748.0</v>
      </c>
      <c r="F1318" s="145"/>
      <c r="G1318" s="59" t="s">
        <v>39</v>
      </c>
      <c r="H1318" s="60">
        <f>IF( ISERROR( OFFSET(   'Cuadro tarifario'!D$2  , MATCH(CONCATENATE(                 IF(F1318&gt;Mes,OFFSET(NroCT!B$17, MATCH($F1318,NroCT!$A$18:$A1405,0),0,1,1),Periodovigente)                                                                                                                     ,A1318) ,'Cuadro tarifario'!A$2:A1405,0) -1 , 0 , 1 , 1) )   , 0  ,   OFFSET(   'Cuadro tarifario'!D$2  , MATCH(CONCATENATE( IF(F1318&gt;Mes,OFFSET(NroCT!B$17, MATCH($F1318,NroCT!$A$18:$A1405,0),0,1,1),Periodovigente) ,A1318) ,'Cuadro tarifario'!A$2:A1405,0) -1 , 0 , 1 , 1))</f>
        <v>11000</v>
      </c>
      <c r="I1318" s="61">
        <f t="shared" si="252"/>
        <v>0</v>
      </c>
      <c r="J1318" s="60">
        <f t="shared" si="306"/>
        <v>0</v>
      </c>
      <c r="K1318" s="62">
        <f>IF(  AND(N1318&gt;0,I1318=0)          ,N1318 ,                         IF(  IF( F1318 ,  DAYS360(DATE(YEAR(F1318),MONTH(F1318),1),Mes)/30  ,  DAYS360(DATE(YEAR(E1318),MONTH(E1318),1),Mes)/30  )  &gt;  0 , IF(F1318,   DAYS360(DATE(YEAR(F1318),MONTH(F1318),1),Mes)/30  ,  DAYS360(DATE(YEAR(E1318),MONTH(E1318),1),Mes)/30) , 0)       )</f>
        <v>4</v>
      </c>
      <c r="L1318" s="63">
        <f t="shared" si="253"/>
        <v>44000</v>
      </c>
      <c r="M1318" s="162" t="s">
        <v>485</v>
      </c>
      <c r="N1318" s="97">
        <f>IF( ISERROR(OFFSET(SECUESTRADOS!D$1,MATCH(B1318,SECUESTRADOS!A$2:A1405,0),0)) ,0 ,  OFFSET(SECUESTRADOS!D$1,MATCH(B1318,SECUESTRADOS!A$2:A1405,0),0)  )</f>
        <v>0</v>
      </c>
      <c r="O1318" s="98"/>
      <c r="P1318" s="99" t="b">
        <f t="shared" si="238"/>
        <v>0</v>
      </c>
      <c r="Q1318" s="99" t="str">
        <f t="shared" si="304"/>
        <v>#REF!</v>
      </c>
      <c r="R1318" s="130"/>
      <c r="S1318" s="130"/>
      <c r="T1318" s="130"/>
    </row>
    <row r="1319">
      <c r="A1319" s="18" t="s">
        <v>38</v>
      </c>
      <c r="B1319" s="116">
        <v>2367.0</v>
      </c>
      <c r="C1319" s="140">
        <v>2367.0</v>
      </c>
      <c r="D1319" s="57" t="str">
        <f>IF(   ISERROR(OFFSET(PADRON!B$2,MATCH(C:C,PADRON!A$2:A1405,0)-1,0,1,1) )  ,  ,    OFFSET(PADRON!B$2,MATCH(C:C,PADRON!A$2:A1405,0)-1,0,1,1))</f>
        <v>OYOLA, ENRIQUE</v>
      </c>
      <c r="E1319" s="58">
        <v>45748.0</v>
      </c>
      <c r="F1319" s="145"/>
      <c r="G1319" s="59" t="s">
        <v>39</v>
      </c>
      <c r="H1319" s="60">
        <f>IF( ISERROR( OFFSET(   'Cuadro tarifario'!D$2  , MATCH(CONCATENATE(                 IF(F1319&gt;Mes,OFFSET(NroCT!B$17, MATCH($F1319,NroCT!$A$18:$A1405,0),0,1,1),Periodovigente)                                                                                                                     ,A1319) ,'Cuadro tarifario'!A$2:A1405,0) -1 , 0 , 1 , 1) )   , 0  ,   OFFSET(   'Cuadro tarifario'!D$2  , MATCH(CONCATENATE( IF(F1319&gt;Mes,OFFSET(NroCT!B$17, MATCH($F1319,NroCT!$A$18:$A1405,0),0,1,1),Periodovigente) ,A1319) ,'Cuadro tarifario'!A$2:A1405,0) -1 , 0 , 1 , 1))</f>
        <v>9000</v>
      </c>
      <c r="I1319" s="61">
        <f t="shared" si="252"/>
        <v>0</v>
      </c>
      <c r="J1319" s="60">
        <f t="shared" si="306"/>
        <v>0</v>
      </c>
      <c r="K1319" s="62">
        <f>IF(  AND(N1319&gt;0,I1319=0)          ,N1319 ,                         IF(  IF( F1319 ,  DAYS360(DATE(YEAR(F1319),MONTH(F1319),1),Mes)/30  ,  DAYS360(DATE(YEAR(E1319),MONTH(E1319),1),Mes)/30  )  &gt;  0 , IF(F1319,   DAYS360(DATE(YEAR(F1319),MONTH(F1319),1),Mes)/30  ,  DAYS360(DATE(YEAR(E1319),MONTH(E1319),1),Mes)/30) , 0)       )</f>
        <v>4</v>
      </c>
      <c r="L1319" s="63">
        <f t="shared" si="253"/>
        <v>36000</v>
      </c>
      <c r="M1319" s="162"/>
      <c r="N1319" s="97">
        <f>IF( ISERROR(OFFSET(SECUESTRADOS!D$1,MATCH(B1319,SECUESTRADOS!A$2:A1405,0),0)) ,0 ,  OFFSET(SECUESTRADOS!D$1,MATCH(B1319,SECUESTRADOS!A$2:A1405,0),0)  )</f>
        <v>0</v>
      </c>
      <c r="O1319" s="98"/>
      <c r="P1319" s="99" t="b">
        <f t="shared" si="238"/>
        <v>0</v>
      </c>
      <c r="Q1319" s="99" t="str">
        <f t="shared" si="304"/>
        <v>#REF!</v>
      </c>
      <c r="R1319" s="130"/>
      <c r="S1319" s="130"/>
      <c r="T1319" s="130"/>
    </row>
    <row r="1320">
      <c r="A1320" s="18" t="s">
        <v>71</v>
      </c>
      <c r="B1320" s="116">
        <v>2368.0</v>
      </c>
      <c r="C1320" s="140">
        <v>2368.0</v>
      </c>
      <c r="D1320" s="57" t="str">
        <f>IF(   ISERROR(OFFSET(PADRON!B$2,MATCH(C:C,PADRON!A$2:A1405,0)-1,0,1,1) )  ,  ,    OFFSET(PADRON!B$2,MATCH(C:C,PADRON!A$2:A1405,0)-1,0,1,1))</f>
        <v>OVIEDO, LUCAS</v>
      </c>
      <c r="E1320" s="58">
        <v>45839.0</v>
      </c>
      <c r="F1320" s="145">
        <v>45870.0</v>
      </c>
      <c r="G1320" s="59" t="s">
        <v>39</v>
      </c>
      <c r="H1320" s="60">
        <f>IF( ISERROR( OFFSET(   'Cuadro tarifario'!D$2  , MATCH(CONCATENATE(                 IF(F1320&gt;Mes,OFFSET(NroCT!B$17, MATCH($F1320,NroCT!$A$18:$A1405,0),0,1,1),Periodovigente)                                                                                                                     ,A1320) ,'Cuadro tarifario'!A$2:A1405,0) -1 , 0 , 1 , 1) )   , 0  ,   OFFSET(   'Cuadro tarifario'!D$2  , MATCH(CONCATENATE( IF(F1320&gt;Mes,OFFSET(NroCT!B$17, MATCH($F1320,NroCT!$A$18:$A1405,0),0,1,1),Periodovigente) ,A1320) ,'Cuadro tarifario'!A$2:A1405,0) -1 , 0 , 1 , 1))</f>
        <v>11000</v>
      </c>
      <c r="I1320" s="61">
        <f t="shared" si="252"/>
        <v>1</v>
      </c>
      <c r="J1320" s="60">
        <f t="shared" si="306"/>
        <v>11000</v>
      </c>
      <c r="K1320" s="62">
        <f>IF(  AND(N1320&gt;0,I1320=0)          ,N1320 ,                         IF(  IF( F1320 ,  DAYS360(DATE(YEAR(F1320),MONTH(F1320),1),Mes)/30  ,  DAYS360(DATE(YEAR(E1320),MONTH(E1320),1),Mes)/30  )  &gt;  0 , IF(F1320,   DAYS360(DATE(YEAR(F1320),MONTH(F1320),1),Mes)/30  ,  DAYS360(DATE(YEAR(E1320),MONTH(E1320),1),Mes)/30) , 0)       )</f>
        <v>0</v>
      </c>
      <c r="L1320" s="63">
        <f t="shared" si="253"/>
        <v>0</v>
      </c>
      <c r="M1320" s="162" t="s">
        <v>485</v>
      </c>
      <c r="N1320" s="97">
        <f>IF( ISERROR(OFFSET(SECUESTRADOS!D$1,MATCH(B1320,SECUESTRADOS!A$2:A1405,0),0)) ,0 ,  OFFSET(SECUESTRADOS!D$1,MATCH(B1320,SECUESTRADOS!A$2:A1405,0),0)  )</f>
        <v>0</v>
      </c>
      <c r="O1320" s="98"/>
      <c r="P1320" s="99" t="str">
        <f t="shared" si="238"/>
        <v>.socio</v>
      </c>
      <c r="Q1320" s="99" t="str">
        <f t="shared" si="304"/>
        <v>#REF!</v>
      </c>
      <c r="R1320" s="130"/>
      <c r="S1320" s="130"/>
      <c r="T1320" s="130"/>
    </row>
    <row r="1321">
      <c r="A1321" s="18" t="s">
        <v>38</v>
      </c>
      <c r="B1321" s="116">
        <v>2368.0</v>
      </c>
      <c r="C1321" s="140">
        <v>2368.0</v>
      </c>
      <c r="D1321" s="57" t="str">
        <f>IF(   ISERROR(OFFSET(PADRON!B$2,MATCH(C:C,PADRON!A$2:A1405,0)-1,0,1,1) )  ,  ,    OFFSET(PADRON!B$2,MATCH(C:C,PADRON!A$2:A1405,0)-1,0,1,1))</f>
        <v>OVIEDO, LUCAS</v>
      </c>
      <c r="E1321" s="58">
        <v>45839.0</v>
      </c>
      <c r="F1321" s="145">
        <v>45870.0</v>
      </c>
      <c r="G1321" s="59" t="s">
        <v>39</v>
      </c>
      <c r="H1321" s="60">
        <f>IF( ISERROR( OFFSET(   'Cuadro tarifario'!D$2  , MATCH(CONCATENATE(                 IF(F1321&gt;Mes,OFFSET(NroCT!B$17, MATCH($F1321,NroCT!$A$18:$A1405,0),0,1,1),Periodovigente)                                                                                                                     ,A1321) ,'Cuadro tarifario'!A$2:A1405,0) -1 , 0 , 1 , 1) )   , 0  ,   OFFSET(   'Cuadro tarifario'!D$2  , MATCH(CONCATENATE( IF(F1321&gt;Mes,OFFSET(NroCT!B$17, MATCH($F1321,NroCT!$A$18:$A1405,0),0,1,1),Periodovigente) ,A1321) ,'Cuadro tarifario'!A$2:A1405,0) -1 , 0 , 1 , 1))</f>
        <v>9000</v>
      </c>
      <c r="I1321" s="61">
        <f t="shared" si="252"/>
        <v>1</v>
      </c>
      <c r="J1321" s="60">
        <f t="shared" si="306"/>
        <v>9000</v>
      </c>
      <c r="K1321" s="62">
        <f>IF(  AND(N1321&gt;0,I1321=0)          ,N1321 ,                         IF(  IF( F1321 ,  DAYS360(DATE(YEAR(F1321),MONTH(F1321),1),Mes)/30  ,  DAYS360(DATE(YEAR(E1321),MONTH(E1321),1),Mes)/30  )  &gt;  0 , IF(F1321,   DAYS360(DATE(YEAR(F1321),MONTH(F1321),1),Mes)/30  ,  DAYS360(DATE(YEAR(E1321),MONTH(E1321),1),Mes)/30) , 0)       )</f>
        <v>0</v>
      </c>
      <c r="L1321" s="63">
        <f t="shared" si="253"/>
        <v>0</v>
      </c>
      <c r="M1321" s="162"/>
      <c r="N1321" s="97">
        <f>IF( ISERROR(OFFSET(SECUESTRADOS!D$1,MATCH(B1321,SECUESTRADOS!A$2:A1405,0),0)) ,0 ,  OFFSET(SECUESTRADOS!D$1,MATCH(B1321,SECUESTRADOS!A$2:A1405,0),0)  )</f>
        <v>0</v>
      </c>
      <c r="O1321" s="98"/>
      <c r="P1321" s="99" t="str">
        <f t="shared" si="238"/>
        <v>Bono canon</v>
      </c>
      <c r="Q1321" s="99" t="str">
        <f t="shared" si="304"/>
        <v>#REF!</v>
      </c>
      <c r="R1321" s="130"/>
      <c r="S1321" s="130"/>
      <c r="T1321" s="130"/>
    </row>
    <row r="1322">
      <c r="A1322" s="18" t="s">
        <v>71</v>
      </c>
      <c r="B1322" s="116">
        <v>2369.0</v>
      </c>
      <c r="C1322" s="140">
        <v>2369.0</v>
      </c>
      <c r="D1322" s="57" t="str">
        <f>IF(   ISERROR(OFFSET(PADRON!B$2,MATCH(C:C,PADRON!A$2:A1405,0)-1,0,1,1) )  ,  ,    OFFSET(PADRON!B$2,MATCH(C:C,PADRON!A$2:A1405,0)-1,0,1,1))</f>
        <v>SUAREZ, NORMA</v>
      </c>
      <c r="E1322" s="58">
        <v>45839.0</v>
      </c>
      <c r="F1322" s="145">
        <v>45870.0</v>
      </c>
      <c r="G1322" s="59" t="s">
        <v>39</v>
      </c>
      <c r="H1322" s="60">
        <f>IF( ISERROR( OFFSET(   'Cuadro tarifario'!D$2  , MATCH(CONCATENATE(                 IF(F1322&gt;Mes,OFFSET(NroCT!B$17, MATCH($F1322,NroCT!$A$18:$A1405,0),0,1,1),Periodovigente)                                                                                                                     ,A1322) ,'Cuadro tarifario'!A$2:A1405,0) -1 , 0 , 1 , 1) )   , 0  ,   OFFSET(   'Cuadro tarifario'!D$2  , MATCH(CONCATENATE( IF(F1322&gt;Mes,OFFSET(NroCT!B$17, MATCH($F1322,NroCT!$A$18:$A1405,0),0,1,1),Periodovigente) ,A1322) ,'Cuadro tarifario'!A$2:A1405,0) -1 , 0 , 1 , 1))</f>
        <v>11000</v>
      </c>
      <c r="I1322" s="61">
        <f t="shared" si="252"/>
        <v>1</v>
      </c>
      <c r="J1322" s="60">
        <f t="shared" si="306"/>
        <v>11000</v>
      </c>
      <c r="K1322" s="62">
        <f>IF(  AND(N1322&gt;0,I1322=0)          ,N1322 ,                         IF(  IF( F1322 ,  DAYS360(DATE(YEAR(F1322),MONTH(F1322),1),Mes)/30  ,  DAYS360(DATE(YEAR(E1322),MONTH(E1322),1),Mes)/30  )  &gt;  0 , IF(F1322,   DAYS360(DATE(YEAR(F1322),MONTH(F1322),1),Mes)/30  ,  DAYS360(DATE(YEAR(E1322),MONTH(E1322),1),Mes)/30) , 0)       )</f>
        <v>0</v>
      </c>
      <c r="L1322" s="63">
        <f t="shared" si="253"/>
        <v>0</v>
      </c>
      <c r="M1322" s="162" t="s">
        <v>485</v>
      </c>
      <c r="N1322" s="97">
        <f>IF( ISERROR(OFFSET(SECUESTRADOS!D$1,MATCH(B1322,SECUESTRADOS!A$2:A1405,0),0)) ,0 ,  OFFSET(SECUESTRADOS!D$1,MATCH(B1322,SECUESTRADOS!A$2:A1405,0),0)  )</f>
        <v>0</v>
      </c>
      <c r="O1322" s="98"/>
      <c r="P1322" s="99" t="str">
        <f t="shared" si="238"/>
        <v>.socio</v>
      </c>
      <c r="Q1322" s="99" t="str">
        <f t="shared" si="304"/>
        <v>#REF!</v>
      </c>
      <c r="R1322" s="130"/>
      <c r="S1322" s="130"/>
      <c r="T1322" s="130"/>
    </row>
    <row r="1323">
      <c r="A1323" s="18" t="s">
        <v>38</v>
      </c>
      <c r="B1323" s="116">
        <v>2369.0</v>
      </c>
      <c r="C1323" s="140">
        <v>2369.0</v>
      </c>
      <c r="D1323" s="57" t="str">
        <f>IF(   ISERROR(OFFSET(PADRON!B$2,MATCH(C:C,PADRON!A$2:A1405,0)-1,0,1,1) )  ,  ,    OFFSET(PADRON!B$2,MATCH(C:C,PADRON!A$2:A1405,0)-1,0,1,1))</f>
        <v>SUAREZ, NORMA</v>
      </c>
      <c r="E1323" s="58">
        <v>45839.0</v>
      </c>
      <c r="F1323" s="145">
        <v>45870.0</v>
      </c>
      <c r="G1323" s="59" t="s">
        <v>39</v>
      </c>
      <c r="H1323" s="60">
        <f>IF( ISERROR( OFFSET(   'Cuadro tarifario'!D$2  , MATCH(CONCATENATE(                 IF(F1323&gt;Mes,OFFSET(NroCT!B$17, MATCH($F1323,NroCT!$A$18:$A1405,0),0,1,1),Periodovigente)                                                                                                                     ,A1323) ,'Cuadro tarifario'!A$2:A1405,0) -1 , 0 , 1 , 1) )   , 0  ,   OFFSET(   'Cuadro tarifario'!D$2  , MATCH(CONCATENATE( IF(F1323&gt;Mes,OFFSET(NroCT!B$17, MATCH($F1323,NroCT!$A$18:$A1405,0),0,1,1),Periodovigente) ,A1323) ,'Cuadro tarifario'!A$2:A1405,0) -1 , 0 , 1 , 1))</f>
        <v>9000</v>
      </c>
      <c r="I1323" s="61">
        <f t="shared" si="252"/>
        <v>1</v>
      </c>
      <c r="J1323" s="60">
        <f t="shared" si="306"/>
        <v>9000</v>
      </c>
      <c r="K1323" s="62">
        <f>IF(  AND(N1323&gt;0,I1323=0)          ,N1323 ,                         IF(  IF( F1323 ,  DAYS360(DATE(YEAR(F1323),MONTH(F1323),1),Mes)/30  ,  DAYS360(DATE(YEAR(E1323),MONTH(E1323),1),Mes)/30  )  &gt;  0 , IF(F1323,   DAYS360(DATE(YEAR(F1323),MONTH(F1323),1),Mes)/30  ,  DAYS360(DATE(YEAR(E1323),MONTH(E1323),1),Mes)/30) , 0)       )</f>
        <v>0</v>
      </c>
      <c r="L1323" s="63">
        <f t="shared" si="253"/>
        <v>0</v>
      </c>
      <c r="M1323" s="162"/>
      <c r="N1323" s="97">
        <f>IF( ISERROR(OFFSET(SECUESTRADOS!D$1,MATCH(B1323,SECUESTRADOS!A$2:A1405,0),0)) ,0 ,  OFFSET(SECUESTRADOS!D$1,MATCH(B1323,SECUESTRADOS!A$2:A1405,0),0)  )</f>
        <v>0</v>
      </c>
      <c r="O1323" s="98"/>
      <c r="P1323" s="99" t="str">
        <f t="shared" si="238"/>
        <v>Bono canon</v>
      </c>
      <c r="Q1323" s="99" t="str">
        <f t="shared" si="304"/>
        <v>#REF!</v>
      </c>
      <c r="R1323" s="130"/>
      <c r="S1323" s="130"/>
      <c r="T1323" s="130"/>
    </row>
    <row r="1324">
      <c r="A1324" s="18" t="s">
        <v>71</v>
      </c>
      <c r="B1324" s="116">
        <v>2370.0</v>
      </c>
      <c r="C1324" s="140">
        <v>2370.0</v>
      </c>
      <c r="D1324" s="57" t="str">
        <f>IF(   ISERROR(OFFSET(PADRON!B$2,MATCH(C:C,PADRON!A$2:A1405,0)-1,0,1,1) )  ,  ,    OFFSET(PADRON!B$2,MATCH(C:C,PADRON!A$2:A1405,0)-1,0,1,1))</f>
        <v>CHIODO, PAULA GABRIELA</v>
      </c>
      <c r="E1324" s="58">
        <v>45839.0</v>
      </c>
      <c r="F1324" s="145">
        <v>45870.0</v>
      </c>
      <c r="G1324" s="59" t="s">
        <v>39</v>
      </c>
      <c r="H1324" s="60">
        <f>IF( ISERROR( OFFSET(   'Cuadro tarifario'!D$2  , MATCH(CONCATENATE(                 IF(F1324&gt;Mes,OFFSET(NroCT!B$17, MATCH($F1324,NroCT!$A$18:$A1405,0),0,1,1),Periodovigente)                                                                                                                     ,A1324) ,'Cuadro tarifario'!A$2:A1405,0) -1 , 0 , 1 , 1) )   , 0  ,   OFFSET(   'Cuadro tarifario'!D$2  , MATCH(CONCATENATE( IF(F1324&gt;Mes,OFFSET(NroCT!B$17, MATCH($F1324,NroCT!$A$18:$A1405,0),0,1,1),Periodovigente) ,A1324) ,'Cuadro tarifario'!A$2:A1405,0) -1 , 0 , 1 , 1))</f>
        <v>11000</v>
      </c>
      <c r="I1324" s="61">
        <f t="shared" si="252"/>
        <v>1</v>
      </c>
      <c r="J1324" s="60">
        <f t="shared" si="306"/>
        <v>11000</v>
      </c>
      <c r="K1324" s="62">
        <f>IF(  AND(N1324&gt;0,I1324=0)          ,N1324 ,                         IF(  IF( F1324 ,  DAYS360(DATE(YEAR(F1324),MONTH(F1324),1),Mes)/30  ,  DAYS360(DATE(YEAR(E1324),MONTH(E1324),1),Mes)/30  )  &gt;  0 , IF(F1324,   DAYS360(DATE(YEAR(F1324),MONTH(F1324),1),Mes)/30  ,  DAYS360(DATE(YEAR(E1324),MONTH(E1324),1),Mes)/30) , 0)       )</f>
        <v>0</v>
      </c>
      <c r="L1324" s="63">
        <f t="shared" si="253"/>
        <v>0</v>
      </c>
      <c r="M1324" s="162" t="s">
        <v>485</v>
      </c>
      <c r="N1324" s="97">
        <f>IF( ISERROR(OFFSET(SECUESTRADOS!D$1,MATCH(B1324,SECUESTRADOS!A$2:A1405,0),0)) ,0 ,  OFFSET(SECUESTRADOS!D$1,MATCH(B1324,SECUESTRADOS!A$2:A1405,0),0)  )</f>
        <v>0</v>
      </c>
      <c r="O1324" s="98"/>
      <c r="P1324" s="99" t="str">
        <f t="shared" si="238"/>
        <v>.socio</v>
      </c>
      <c r="Q1324" s="99" t="str">
        <f t="shared" si="304"/>
        <v>#REF!</v>
      </c>
      <c r="R1324" s="130"/>
      <c r="S1324" s="130"/>
      <c r="T1324" s="130"/>
    </row>
    <row r="1325">
      <c r="A1325" s="18" t="s">
        <v>38</v>
      </c>
      <c r="B1325" s="116">
        <v>2370.0</v>
      </c>
      <c r="C1325" s="140">
        <v>2370.0</v>
      </c>
      <c r="D1325" s="57" t="str">
        <f>IF(   ISERROR(OFFSET(PADRON!B$2,MATCH(C:C,PADRON!A$2:A1405,0)-1,0,1,1) )  ,  ,    OFFSET(PADRON!B$2,MATCH(C:C,PADRON!A$2:A1405,0)-1,0,1,1))</f>
        <v>CHIODO, PAULA GABRIELA</v>
      </c>
      <c r="E1325" s="58">
        <v>45839.0</v>
      </c>
      <c r="F1325" s="145">
        <v>45870.0</v>
      </c>
      <c r="G1325" s="59" t="s">
        <v>39</v>
      </c>
      <c r="H1325" s="60">
        <f>IF( ISERROR( OFFSET(   'Cuadro tarifario'!D$2  , MATCH(CONCATENATE(                 IF(F1325&gt;Mes,OFFSET(NroCT!B$17, MATCH($F1325,NroCT!$A$18:$A1405,0),0,1,1),Periodovigente)                                                                                                                     ,A1325) ,'Cuadro tarifario'!A$2:A1405,0) -1 , 0 , 1 , 1) )   , 0  ,   OFFSET(   'Cuadro tarifario'!D$2  , MATCH(CONCATENATE( IF(F1325&gt;Mes,OFFSET(NroCT!B$17, MATCH($F1325,NroCT!$A$18:$A1405,0),0,1,1),Periodovigente) ,A1325) ,'Cuadro tarifario'!A$2:A1405,0) -1 , 0 , 1 , 1))</f>
        <v>9000</v>
      </c>
      <c r="I1325" s="61">
        <f t="shared" si="252"/>
        <v>1</v>
      </c>
      <c r="J1325" s="60">
        <f t="shared" si="306"/>
        <v>9000</v>
      </c>
      <c r="K1325" s="62">
        <f>IF(  AND(N1325&gt;0,I1325=0)          ,N1325 ,                         IF(  IF( F1325 ,  DAYS360(DATE(YEAR(F1325),MONTH(F1325),1),Mes)/30  ,  DAYS360(DATE(YEAR(E1325),MONTH(E1325),1),Mes)/30  )  &gt;  0 , IF(F1325,   DAYS360(DATE(YEAR(F1325),MONTH(F1325),1),Mes)/30  ,  DAYS360(DATE(YEAR(E1325),MONTH(E1325),1),Mes)/30) , 0)       )</f>
        <v>0</v>
      </c>
      <c r="L1325" s="63">
        <f t="shared" si="253"/>
        <v>0</v>
      </c>
      <c r="M1325" s="162"/>
      <c r="N1325" s="97">
        <f>IF( ISERROR(OFFSET(SECUESTRADOS!D$1,MATCH(B1325,SECUESTRADOS!A$2:A1405,0),0)) ,0 ,  OFFSET(SECUESTRADOS!D$1,MATCH(B1325,SECUESTRADOS!A$2:A1405,0),0)  )</f>
        <v>0</v>
      </c>
      <c r="O1325" s="98"/>
      <c r="P1325" s="99" t="str">
        <f t="shared" si="238"/>
        <v>Bono canon</v>
      </c>
      <c r="Q1325" s="99" t="str">
        <f t="shared" si="304"/>
        <v>#REF!</v>
      </c>
      <c r="R1325" s="130"/>
      <c r="S1325" s="130"/>
      <c r="T1325" s="130"/>
    </row>
    <row r="1326">
      <c r="A1326" s="18" t="s">
        <v>71</v>
      </c>
      <c r="B1326" s="116">
        <v>2371.0</v>
      </c>
      <c r="C1326" s="140">
        <v>2371.0</v>
      </c>
      <c r="D1326" s="57" t="str">
        <f>IF(   ISERROR(OFFSET(PADRON!B$2,MATCH(C:C,PADRON!A$2:A1405,0)-1,0,1,1) )  ,  ,    OFFSET(PADRON!B$2,MATCH(C:C,PADRON!A$2:A1405,0)-1,0,1,1))</f>
        <v>GORLERO, ADRIANA</v>
      </c>
      <c r="E1326" s="58">
        <v>45901.0</v>
      </c>
      <c r="F1326" s="145"/>
      <c r="G1326" s="59" t="s">
        <v>39</v>
      </c>
      <c r="H1326" s="60">
        <f>IF( ISERROR( OFFSET(   'Cuadro tarifario'!D$2  , MATCH(CONCATENATE(                 IF(F1326&gt;Mes,OFFSET(NroCT!B$17, MATCH($F1326,NroCT!$A$18:$A1405,0),0,1,1),Periodovigente)                                                                                                                     ,A1326) ,'Cuadro tarifario'!A$2:A1405,0) -1 , 0 , 1 , 1) )   , 0  ,   OFFSET(   'Cuadro tarifario'!D$2  , MATCH(CONCATENATE( IF(F1326&gt;Mes,OFFSET(NroCT!B$17, MATCH($F1326,NroCT!$A$18:$A1405,0),0,1,1),Periodovigente) ,A1326) ,'Cuadro tarifario'!A$2:A1405,0) -1 , 0 , 1 , 1))</f>
        <v>11000</v>
      </c>
      <c r="I1326" s="61">
        <f t="shared" si="252"/>
        <v>0</v>
      </c>
      <c r="J1326" s="60">
        <f t="shared" si="306"/>
        <v>0</v>
      </c>
      <c r="K1326" s="62">
        <f>IF(  AND(N1326&gt;0,I1326=0)          ,N1326 ,                         IF(  IF( F1326 ,  DAYS360(DATE(YEAR(F1326),MONTH(F1326),1),Mes)/30  ,  DAYS360(DATE(YEAR(E1326),MONTH(E1326),1),Mes)/30  )  &gt;  0 , IF(F1326,   DAYS360(DATE(YEAR(F1326),MONTH(F1326),1),Mes)/30  ,  DAYS360(DATE(YEAR(E1326),MONTH(E1326),1),Mes)/30) , 0)       )</f>
        <v>0</v>
      </c>
      <c r="L1326" s="63">
        <f t="shared" si="253"/>
        <v>0</v>
      </c>
      <c r="M1326" s="162"/>
      <c r="N1326" s="97">
        <f>IF( ISERROR(OFFSET(SECUESTRADOS!D$1,MATCH(B1326,SECUESTRADOS!A$2:A1405,0),0)) ,0 ,  OFFSET(SECUESTRADOS!D$1,MATCH(B1326,SECUESTRADOS!A$2:A1405,0),0)  )</f>
        <v>0</v>
      </c>
      <c r="O1326" s="98"/>
      <c r="P1326" s="99" t="b">
        <f t="shared" si="238"/>
        <v>0</v>
      </c>
      <c r="Q1326" s="99" t="str">
        <f t="shared" si="304"/>
        <v>#REF!</v>
      </c>
      <c r="R1326" s="130"/>
      <c r="S1326" s="130"/>
      <c r="T1326" s="130"/>
    </row>
    <row r="1327">
      <c r="A1327" s="18" t="s">
        <v>38</v>
      </c>
      <c r="B1327" s="116">
        <v>2371.0</v>
      </c>
      <c r="C1327" s="140">
        <v>2371.0</v>
      </c>
      <c r="D1327" s="57" t="str">
        <f>IF(   ISERROR(OFFSET(PADRON!B$2,MATCH(C:C,PADRON!A$2:A1405,0)-1,0,1,1) )  ,  ,    OFFSET(PADRON!B$2,MATCH(C:C,PADRON!A$2:A1405,0)-1,0,1,1))</f>
        <v>GORLERO, ADRIANA</v>
      </c>
      <c r="E1327" s="58">
        <v>45901.0</v>
      </c>
      <c r="F1327" s="145"/>
      <c r="G1327" s="59" t="s">
        <v>39</v>
      </c>
      <c r="H1327" s="60">
        <f>IF( ISERROR( OFFSET(   'Cuadro tarifario'!D$2  , MATCH(CONCATENATE(                 IF(F1327&gt;Mes,OFFSET(NroCT!B$17, MATCH($F1327,NroCT!$A$18:$A1405,0),0,1,1),Periodovigente)                                                                                                                     ,A1327) ,'Cuadro tarifario'!A$2:A1405,0) -1 , 0 , 1 , 1) )   , 0  ,   OFFSET(   'Cuadro tarifario'!D$2  , MATCH(CONCATENATE( IF(F1327&gt;Mes,OFFSET(NroCT!B$17, MATCH($F1327,NroCT!$A$18:$A1405,0),0,1,1),Periodovigente) ,A1327) ,'Cuadro tarifario'!A$2:A1405,0) -1 , 0 , 1 , 1))</f>
        <v>9000</v>
      </c>
      <c r="I1327" s="61">
        <f t="shared" si="252"/>
        <v>0</v>
      </c>
      <c r="J1327" s="60">
        <f t="shared" si="306"/>
        <v>0</v>
      </c>
      <c r="K1327" s="62">
        <f>IF(  AND(N1327&gt;0,I1327=0)          ,N1327 ,                         IF(  IF( F1327 ,  DAYS360(DATE(YEAR(F1327),MONTH(F1327),1),Mes)/30  ,  DAYS360(DATE(YEAR(E1327),MONTH(E1327),1),Mes)/30  )  &gt;  0 , IF(F1327,   DAYS360(DATE(YEAR(F1327),MONTH(F1327),1),Mes)/30  ,  DAYS360(DATE(YEAR(E1327),MONTH(E1327),1),Mes)/30) , 0)       )</f>
        <v>0</v>
      </c>
      <c r="L1327" s="63">
        <f t="shared" si="253"/>
        <v>0</v>
      </c>
      <c r="M1327" s="162"/>
      <c r="N1327" s="97">
        <f>IF( ISERROR(OFFSET(SECUESTRADOS!D$1,MATCH(B1327,SECUESTRADOS!A$2:A1405,0),0)) ,0 ,  OFFSET(SECUESTRADOS!D$1,MATCH(B1327,SECUESTRADOS!A$2:A1405,0),0)  )</f>
        <v>0</v>
      </c>
      <c r="O1327" s="98"/>
      <c r="P1327" s="99" t="b">
        <f t="shared" si="238"/>
        <v>0</v>
      </c>
      <c r="Q1327" s="99" t="str">
        <f t="shared" si="304"/>
        <v>#REF!</v>
      </c>
      <c r="R1327" s="130"/>
      <c r="S1327" s="130"/>
      <c r="T1327" s="130"/>
    </row>
    <row r="1328">
      <c r="A1328" s="18" t="s">
        <v>71</v>
      </c>
      <c r="B1328" s="116">
        <v>2372.0</v>
      </c>
      <c r="C1328" s="140">
        <v>2372.0</v>
      </c>
      <c r="D1328" s="57" t="str">
        <f>IF(   ISERROR(OFFSET(PADRON!B$2,MATCH(C:C,PADRON!A$2:A1405,0)-1,0,1,1) )  ,  ,    OFFSET(PADRON!B$2,MATCH(C:C,PADRON!A$2:A1405,0)-1,0,1,1))</f>
        <v>TALANCZUK, JULIA</v>
      </c>
      <c r="E1328" s="58">
        <v>45809.0</v>
      </c>
      <c r="F1328" s="145"/>
      <c r="G1328" s="59" t="s">
        <v>39</v>
      </c>
      <c r="H1328" s="60">
        <f>IF( ISERROR( OFFSET(   'Cuadro tarifario'!D$2  , MATCH(CONCATENATE(                 IF(F1328&gt;Mes,OFFSET(NroCT!B$17, MATCH($F1328,NroCT!$A$18:$A1405,0),0,1,1),Periodovigente)                                                                                                                     ,A1328) ,'Cuadro tarifario'!A$2:A1405,0) -1 , 0 , 1 , 1) )   , 0  ,   OFFSET(   'Cuadro tarifario'!D$2  , MATCH(CONCATENATE( IF(F1328&gt;Mes,OFFSET(NroCT!B$17, MATCH($F1328,NroCT!$A$18:$A1405,0),0,1,1),Periodovigente) ,A1328) ,'Cuadro tarifario'!A$2:A1405,0) -1 , 0 , 1 , 1))</f>
        <v>11000</v>
      </c>
      <c r="I1328" s="61">
        <f t="shared" si="252"/>
        <v>0</v>
      </c>
      <c r="J1328" s="60">
        <f t="shared" si="306"/>
        <v>0</v>
      </c>
      <c r="K1328" s="62">
        <f>IF(  AND(N1328&gt;0,I1328=0)          ,N1328 ,                         IF(  IF( F1328 ,  DAYS360(DATE(YEAR(F1328),MONTH(F1328),1),Mes)/30  ,  DAYS360(DATE(YEAR(E1328),MONTH(E1328),1),Mes)/30  )  &gt;  0 , IF(F1328,   DAYS360(DATE(YEAR(F1328),MONTH(F1328),1),Mes)/30  ,  DAYS360(DATE(YEAR(E1328),MONTH(E1328),1),Mes)/30) , 0)       )</f>
        <v>2</v>
      </c>
      <c r="L1328" s="63">
        <f t="shared" si="253"/>
        <v>22000</v>
      </c>
      <c r="M1328" s="162"/>
      <c r="N1328" s="97">
        <f>IF( ISERROR(OFFSET(SECUESTRADOS!D$1,MATCH(B1328,SECUESTRADOS!A$2:A1405,0),0)) ,0 ,  OFFSET(SECUESTRADOS!D$1,MATCH(B1328,SECUESTRADOS!A$2:A1405,0),0)  )</f>
        <v>0</v>
      </c>
      <c r="O1328" s="98"/>
      <c r="P1328" s="99" t="b">
        <f t="shared" si="238"/>
        <v>0</v>
      </c>
      <c r="Q1328" s="99" t="str">
        <f t="shared" si="304"/>
        <v>#REF!</v>
      </c>
      <c r="R1328" s="130"/>
      <c r="S1328" s="130"/>
      <c r="T1328" s="130"/>
    </row>
    <row r="1329">
      <c r="A1329" s="18" t="s">
        <v>38</v>
      </c>
      <c r="B1329" s="116">
        <v>2372.0</v>
      </c>
      <c r="C1329" s="140">
        <v>2372.0</v>
      </c>
      <c r="D1329" s="57" t="str">
        <f>IF(   ISERROR(OFFSET(PADRON!B$2,MATCH(C:C,PADRON!A$2:A1405,0)-1,0,1,1) )  ,  ,    OFFSET(PADRON!B$2,MATCH(C:C,PADRON!A$2:A1405,0)-1,0,1,1))</f>
        <v>TALANCZUK, JULIA</v>
      </c>
      <c r="E1329" s="58">
        <v>45809.0</v>
      </c>
      <c r="F1329" s="145"/>
      <c r="G1329" s="59" t="s">
        <v>39</v>
      </c>
      <c r="H1329" s="60">
        <f>IF( ISERROR( OFFSET(   'Cuadro tarifario'!D$2  , MATCH(CONCATENATE(                 IF(F1329&gt;Mes,OFFSET(NroCT!B$17, MATCH($F1329,NroCT!$A$18:$A1405,0),0,1,1),Periodovigente)                                                                                                                     ,A1329) ,'Cuadro tarifario'!A$2:A1405,0) -1 , 0 , 1 , 1) )   , 0  ,   OFFSET(   'Cuadro tarifario'!D$2  , MATCH(CONCATENATE( IF(F1329&gt;Mes,OFFSET(NroCT!B$17, MATCH($F1329,NroCT!$A$18:$A1405,0),0,1,1),Periodovigente) ,A1329) ,'Cuadro tarifario'!A$2:A1405,0) -1 , 0 , 1 , 1))</f>
        <v>9000</v>
      </c>
      <c r="I1329" s="61">
        <f t="shared" si="252"/>
        <v>0</v>
      </c>
      <c r="J1329" s="60">
        <f t="shared" si="306"/>
        <v>0</v>
      </c>
      <c r="K1329" s="62">
        <f>IF(  AND(N1329&gt;0,I1329=0)          ,N1329 ,                         IF(  IF( F1329 ,  DAYS360(DATE(YEAR(F1329),MONTH(F1329),1),Mes)/30  ,  DAYS360(DATE(YEAR(E1329),MONTH(E1329),1),Mes)/30  )  &gt;  0 , IF(F1329,   DAYS360(DATE(YEAR(F1329),MONTH(F1329),1),Mes)/30  ,  DAYS360(DATE(YEAR(E1329),MONTH(E1329),1),Mes)/30) , 0)       )</f>
        <v>2</v>
      </c>
      <c r="L1329" s="63">
        <f t="shared" si="253"/>
        <v>18000</v>
      </c>
      <c r="M1329" s="162" t="s">
        <v>485</v>
      </c>
      <c r="N1329" s="97">
        <f>IF( ISERROR(OFFSET(SECUESTRADOS!D$1,MATCH(B1329,SECUESTRADOS!A$2:A1405,0),0)) ,0 ,  OFFSET(SECUESTRADOS!D$1,MATCH(B1329,SECUESTRADOS!A$2:A1405,0),0)  )</f>
        <v>0</v>
      </c>
      <c r="O1329" s="98"/>
      <c r="P1329" s="99" t="b">
        <f t="shared" si="238"/>
        <v>0</v>
      </c>
      <c r="Q1329" s="99" t="str">
        <f t="shared" si="304"/>
        <v>#REF!</v>
      </c>
      <c r="R1329" s="130"/>
      <c r="S1329" s="130"/>
      <c r="T1329" s="130"/>
    </row>
    <row r="1330">
      <c r="A1330" s="18" t="s">
        <v>71</v>
      </c>
      <c r="B1330" s="116">
        <v>2373.0</v>
      </c>
      <c r="C1330" s="140">
        <v>2373.0</v>
      </c>
      <c r="D1330" s="57" t="str">
        <f>IF(   ISERROR(OFFSET(PADRON!B$2,MATCH(C:C,PADRON!A$2:A1405,0)-1,0,1,1) )  ,  ,    OFFSET(PADRON!B$2,MATCH(C:C,PADRON!A$2:A1405,0)-1,0,1,1))</f>
        <v>RECLADE, FRANCISCA</v>
      </c>
      <c r="E1330" s="58">
        <v>45809.0</v>
      </c>
      <c r="F1330" s="145"/>
      <c r="G1330" s="59" t="s">
        <v>39</v>
      </c>
      <c r="H1330" s="60">
        <f>IF( ISERROR( OFFSET(   'Cuadro tarifario'!D$2  , MATCH(CONCATENATE(                 IF(F1330&gt;Mes,OFFSET(NroCT!B$17, MATCH($F1330,NroCT!$A$18:$A1405,0),0,1,1),Periodovigente)                                                                                                                     ,A1330) ,'Cuadro tarifario'!A$2:A1405,0) -1 , 0 , 1 , 1) )   , 0  ,   OFFSET(   'Cuadro tarifario'!D$2  , MATCH(CONCATENATE( IF(F1330&gt;Mes,OFFSET(NroCT!B$17, MATCH($F1330,NroCT!$A$18:$A1405,0),0,1,1),Periodovigente) ,A1330) ,'Cuadro tarifario'!A$2:A1405,0) -1 , 0 , 1 , 1))</f>
        <v>11000</v>
      </c>
      <c r="I1330" s="61">
        <f t="shared" si="252"/>
        <v>0</v>
      </c>
      <c r="J1330" s="60">
        <f t="shared" si="306"/>
        <v>0</v>
      </c>
      <c r="K1330" s="62">
        <f>IF(  AND(N1330&gt;0,I1330=0)          ,N1330 ,                         IF(  IF( F1330 ,  DAYS360(DATE(YEAR(F1330),MONTH(F1330),1),Mes)/30  ,  DAYS360(DATE(YEAR(E1330),MONTH(E1330),1),Mes)/30  )  &gt;  0 , IF(F1330,   DAYS360(DATE(YEAR(F1330),MONTH(F1330),1),Mes)/30  ,  DAYS360(DATE(YEAR(E1330),MONTH(E1330),1),Mes)/30) , 0)       )</f>
        <v>2</v>
      </c>
      <c r="L1330" s="63">
        <f t="shared" si="253"/>
        <v>22000</v>
      </c>
      <c r="M1330" s="162" t="s">
        <v>485</v>
      </c>
      <c r="N1330" s="97">
        <f>IF( ISERROR(OFFSET(SECUESTRADOS!D$1,MATCH(B1330,SECUESTRADOS!A$2:A1405,0),0)) ,0 ,  OFFSET(SECUESTRADOS!D$1,MATCH(B1330,SECUESTRADOS!A$2:A1405,0),0)  )</f>
        <v>0</v>
      </c>
      <c r="O1330" s="98"/>
      <c r="P1330" s="99" t="b">
        <f t="shared" si="238"/>
        <v>0</v>
      </c>
      <c r="Q1330" s="99" t="str">
        <f t="shared" si="304"/>
        <v>#REF!</v>
      </c>
      <c r="R1330" s="130"/>
      <c r="S1330" s="130"/>
      <c r="T1330" s="130"/>
    </row>
    <row r="1331">
      <c r="A1331" s="18" t="s">
        <v>38</v>
      </c>
      <c r="B1331" s="116">
        <v>2373.0</v>
      </c>
      <c r="C1331" s="140">
        <v>2373.0</v>
      </c>
      <c r="D1331" s="57" t="str">
        <f>IF(   ISERROR(OFFSET(PADRON!B$2,MATCH(C:C,PADRON!A$2:A1405,0)-1,0,1,1) )  ,  ,    OFFSET(PADRON!B$2,MATCH(C:C,PADRON!A$2:A1405,0)-1,0,1,1))</f>
        <v>RECLADE, FRANCISCA</v>
      </c>
      <c r="E1331" s="58">
        <v>45809.0</v>
      </c>
      <c r="F1331" s="145"/>
      <c r="G1331" s="59" t="s">
        <v>39</v>
      </c>
      <c r="H1331" s="60">
        <f>IF( ISERROR( OFFSET(   'Cuadro tarifario'!D$2  , MATCH(CONCATENATE(                 IF(F1331&gt;Mes,OFFSET(NroCT!B$17, MATCH($F1331,NroCT!$A$18:$A1405,0),0,1,1),Periodovigente)                                                                                                                     ,A1331) ,'Cuadro tarifario'!A$2:A1405,0) -1 , 0 , 1 , 1) )   , 0  ,   OFFSET(   'Cuadro tarifario'!D$2  , MATCH(CONCATENATE( IF(F1331&gt;Mes,OFFSET(NroCT!B$17, MATCH($F1331,NroCT!$A$18:$A1405,0),0,1,1),Periodovigente) ,A1331) ,'Cuadro tarifario'!A$2:A1405,0) -1 , 0 , 1 , 1))</f>
        <v>9000</v>
      </c>
      <c r="I1331" s="61">
        <f t="shared" si="252"/>
        <v>0</v>
      </c>
      <c r="J1331" s="60">
        <f t="shared" si="306"/>
        <v>0</v>
      </c>
      <c r="K1331" s="62">
        <f>IF(  AND(N1331&gt;0,I1331=0)          ,N1331 ,                         IF(  IF( F1331 ,  DAYS360(DATE(YEAR(F1331),MONTH(F1331),1),Mes)/30  ,  DAYS360(DATE(YEAR(E1331),MONTH(E1331),1),Mes)/30  )  &gt;  0 , IF(F1331,   DAYS360(DATE(YEAR(F1331),MONTH(F1331),1),Mes)/30  ,  DAYS360(DATE(YEAR(E1331),MONTH(E1331),1),Mes)/30) , 0)       )</f>
        <v>2</v>
      </c>
      <c r="L1331" s="63">
        <f t="shared" si="253"/>
        <v>18000</v>
      </c>
      <c r="M1331" s="162"/>
      <c r="N1331" s="97">
        <f>IF( ISERROR(OFFSET(SECUESTRADOS!D$1,MATCH(B1331,SECUESTRADOS!A$2:A1405,0),0)) ,0 ,  OFFSET(SECUESTRADOS!D$1,MATCH(B1331,SECUESTRADOS!A$2:A1405,0),0)  )</f>
        <v>0</v>
      </c>
      <c r="O1331" s="98"/>
      <c r="P1331" s="99" t="b">
        <f t="shared" si="238"/>
        <v>0</v>
      </c>
      <c r="Q1331" s="99" t="str">
        <f t="shared" si="304"/>
        <v>#REF!</v>
      </c>
      <c r="R1331" s="130"/>
      <c r="S1331" s="130"/>
      <c r="T1331" s="130"/>
    </row>
    <row r="1332">
      <c r="A1332" s="18" t="s">
        <v>71</v>
      </c>
      <c r="B1332" s="116">
        <v>2374.0</v>
      </c>
      <c r="C1332" s="140">
        <v>2374.0</v>
      </c>
      <c r="D1332" s="57" t="str">
        <f>IF(   ISERROR(OFFSET(PADRON!B$2,MATCH(C:C,PADRON!A$2:A1405,0)-1,0,1,1) )  ,  ,    OFFSET(PADRON!B$2,MATCH(C:C,PADRON!A$2:A1405,0)-1,0,1,1))</f>
        <v>RECLADE , SOL</v>
      </c>
      <c r="E1332" s="58">
        <v>45809.0</v>
      </c>
      <c r="F1332" s="145"/>
      <c r="G1332" s="59" t="s">
        <v>39</v>
      </c>
      <c r="H1332" s="60">
        <f>IF( ISERROR( OFFSET(   'Cuadro tarifario'!D$2  , MATCH(CONCATENATE(                 IF(F1332&gt;Mes,OFFSET(NroCT!B$17, MATCH($F1332,NroCT!$A$18:$A1405,0),0,1,1),Periodovigente)                                                                                                                     ,A1332) ,'Cuadro tarifario'!A$2:A1405,0) -1 , 0 , 1 , 1) )   , 0  ,   OFFSET(   'Cuadro tarifario'!D$2  , MATCH(CONCATENATE( IF(F1332&gt;Mes,OFFSET(NroCT!B$17, MATCH($F1332,NroCT!$A$18:$A1405,0),0,1,1),Periodovigente) ,A1332) ,'Cuadro tarifario'!A$2:A1405,0) -1 , 0 , 1 , 1))</f>
        <v>11000</v>
      </c>
      <c r="I1332" s="61">
        <f t="shared" si="252"/>
        <v>0</v>
      </c>
      <c r="J1332" s="60">
        <f t="shared" si="306"/>
        <v>0</v>
      </c>
      <c r="K1332" s="62">
        <f>IF(  AND(N1332&gt;0,I1332=0)          ,N1332 ,                         IF(  IF( F1332 ,  DAYS360(DATE(YEAR(F1332),MONTH(F1332),1),Mes)/30  ,  DAYS360(DATE(YEAR(E1332),MONTH(E1332),1),Mes)/30  )  &gt;  0 , IF(F1332,   DAYS360(DATE(YEAR(F1332),MONTH(F1332),1),Mes)/30  ,  DAYS360(DATE(YEAR(E1332),MONTH(E1332),1),Mes)/30) , 0)       )</f>
        <v>2</v>
      </c>
      <c r="L1332" s="63">
        <f t="shared" si="253"/>
        <v>22000</v>
      </c>
      <c r="M1332" s="162" t="s">
        <v>485</v>
      </c>
      <c r="N1332" s="97">
        <f>IF( ISERROR(OFFSET(SECUESTRADOS!D$1,MATCH(B1332,SECUESTRADOS!A$2:A1405,0),0)) ,0 ,  OFFSET(SECUESTRADOS!D$1,MATCH(B1332,SECUESTRADOS!A$2:A1405,0),0)  )</f>
        <v>0</v>
      </c>
      <c r="O1332" s="98"/>
      <c r="P1332" s="99" t="b">
        <f t="shared" si="238"/>
        <v>0</v>
      </c>
      <c r="Q1332" s="99" t="str">
        <f t="shared" si="304"/>
        <v>#REF!</v>
      </c>
      <c r="R1332" s="130"/>
      <c r="S1332" s="130"/>
      <c r="T1332" s="130"/>
    </row>
    <row r="1333">
      <c r="A1333" s="18" t="s">
        <v>38</v>
      </c>
      <c r="B1333" s="116">
        <v>2374.0</v>
      </c>
      <c r="C1333" s="140">
        <v>2374.0</v>
      </c>
      <c r="D1333" s="57" t="str">
        <f>IF(   ISERROR(OFFSET(PADRON!B$2,MATCH(C:C,PADRON!A$2:A1405,0)-1,0,1,1) )  ,  ,    OFFSET(PADRON!B$2,MATCH(C:C,PADRON!A$2:A1405,0)-1,0,1,1))</f>
        <v>RECLADE , SOL</v>
      </c>
      <c r="E1333" s="58">
        <v>45809.0</v>
      </c>
      <c r="F1333" s="145"/>
      <c r="G1333" s="59" t="s">
        <v>39</v>
      </c>
      <c r="H1333" s="60">
        <f>IF( ISERROR( OFFSET(   'Cuadro tarifario'!D$2  , MATCH(CONCATENATE(                 IF(F1333&gt;Mes,OFFSET(NroCT!B$17, MATCH($F1333,NroCT!$A$18:$A1405,0),0,1,1),Periodovigente)                                                                                                                     ,A1333) ,'Cuadro tarifario'!A$2:A1405,0) -1 , 0 , 1 , 1) )   , 0  ,   OFFSET(   'Cuadro tarifario'!D$2  , MATCH(CONCATENATE( IF(F1333&gt;Mes,OFFSET(NroCT!B$17, MATCH($F1333,NroCT!$A$18:$A1405,0),0,1,1),Periodovigente) ,A1333) ,'Cuadro tarifario'!A$2:A1405,0) -1 , 0 , 1 , 1))</f>
        <v>9000</v>
      </c>
      <c r="I1333" s="61">
        <f t="shared" si="252"/>
        <v>0</v>
      </c>
      <c r="J1333" s="60">
        <f t="shared" si="306"/>
        <v>0</v>
      </c>
      <c r="K1333" s="62">
        <f>IF(  AND(N1333&gt;0,I1333=0)          ,N1333 ,                         IF(  IF( F1333 ,  DAYS360(DATE(YEAR(F1333),MONTH(F1333),1),Mes)/30  ,  DAYS360(DATE(YEAR(E1333),MONTH(E1333),1),Mes)/30  )  &gt;  0 , IF(F1333,   DAYS360(DATE(YEAR(F1333),MONTH(F1333),1),Mes)/30  ,  DAYS360(DATE(YEAR(E1333),MONTH(E1333),1),Mes)/30) , 0)       )</f>
        <v>2</v>
      </c>
      <c r="L1333" s="63">
        <f t="shared" si="253"/>
        <v>18000</v>
      </c>
      <c r="M1333" s="162"/>
      <c r="N1333" s="97">
        <f>IF( ISERROR(OFFSET(SECUESTRADOS!D$1,MATCH(B1333,SECUESTRADOS!A$2:A1405,0),0)) ,0 ,  OFFSET(SECUESTRADOS!D$1,MATCH(B1333,SECUESTRADOS!A$2:A1405,0),0)  )</f>
        <v>0</v>
      </c>
      <c r="O1333" s="98"/>
      <c r="P1333" s="99" t="b">
        <f t="shared" si="238"/>
        <v>0</v>
      </c>
      <c r="Q1333" s="99" t="str">
        <f t="shared" si="304"/>
        <v>#REF!</v>
      </c>
      <c r="R1333" s="130"/>
      <c r="S1333" s="130"/>
      <c r="T1333" s="130"/>
    </row>
    <row r="1334">
      <c r="A1334" s="18" t="s">
        <v>71</v>
      </c>
      <c r="B1334" s="116">
        <v>2375.0</v>
      </c>
      <c r="C1334" s="140">
        <v>2375.0</v>
      </c>
      <c r="D1334" s="57" t="str">
        <f>IF(   ISERROR(OFFSET(PADRON!B$2,MATCH(C:C,PADRON!A$2:A1405,0)-1,0,1,1) )  ,  ,    OFFSET(PADRON!B$2,MATCH(C:C,PADRON!A$2:A1405,0)-1,0,1,1))</f>
        <v>MOORE CASTELLI, MARTIN</v>
      </c>
      <c r="E1334" s="58">
        <v>45870.0</v>
      </c>
      <c r="F1334" s="145"/>
      <c r="G1334" s="59" t="s">
        <v>39</v>
      </c>
      <c r="H1334" s="60">
        <f>IF( ISERROR( OFFSET(   'Cuadro tarifario'!D$2  , MATCH(CONCATENATE(                 IF(F1334&gt;Mes,OFFSET(NroCT!B$17, MATCH($F1334,NroCT!$A$18:$A1405,0),0,1,1),Periodovigente)                                                                                                                     ,A1334) ,'Cuadro tarifario'!A$2:A1405,0) -1 , 0 , 1 , 1) )   , 0  ,   OFFSET(   'Cuadro tarifario'!D$2  , MATCH(CONCATENATE( IF(F1334&gt;Mes,OFFSET(NroCT!B$17, MATCH($F1334,NroCT!$A$18:$A1405,0),0,1,1),Periodovigente) ,A1334) ,'Cuadro tarifario'!A$2:A1405,0) -1 , 0 , 1 , 1))</f>
        <v>11000</v>
      </c>
      <c r="I1334" s="61">
        <f t="shared" si="252"/>
        <v>0</v>
      </c>
      <c r="J1334" s="60">
        <f t="shared" si="306"/>
        <v>0</v>
      </c>
      <c r="K1334" s="62">
        <f>IF(  AND(N1334&gt;0,I1334=0)          ,N1334 ,                         IF(  IF( F1334 ,  DAYS360(DATE(YEAR(F1334),MONTH(F1334),1),Mes)/30  ,  DAYS360(DATE(YEAR(E1334),MONTH(E1334),1),Mes)/30  )  &gt;  0 , IF(F1334,   DAYS360(DATE(YEAR(F1334),MONTH(F1334),1),Mes)/30  ,  DAYS360(DATE(YEAR(E1334),MONTH(E1334),1),Mes)/30) , 0)       )</f>
        <v>0</v>
      </c>
      <c r="L1334" s="63">
        <f t="shared" si="253"/>
        <v>0</v>
      </c>
      <c r="M1334" s="162" t="s">
        <v>485</v>
      </c>
      <c r="N1334" s="97">
        <f>IF( ISERROR(OFFSET(SECUESTRADOS!D$1,MATCH(B1334,SECUESTRADOS!A$2:A1405,0),0)) ,0 ,  OFFSET(SECUESTRADOS!D$1,MATCH(B1334,SECUESTRADOS!A$2:A1405,0),0)  )</f>
        <v>0</v>
      </c>
      <c r="O1334" s="98"/>
      <c r="P1334" s="99" t="b">
        <f t="shared" si="238"/>
        <v>0</v>
      </c>
      <c r="Q1334" s="99" t="str">
        <f t="shared" si="304"/>
        <v>#REF!</v>
      </c>
      <c r="R1334" s="130"/>
      <c r="S1334" s="130"/>
      <c r="T1334" s="130"/>
    </row>
    <row r="1335">
      <c r="A1335" s="18" t="s">
        <v>38</v>
      </c>
      <c r="B1335" s="116">
        <v>2375.0</v>
      </c>
      <c r="C1335" s="140">
        <v>2375.0</v>
      </c>
      <c r="D1335" s="57" t="str">
        <f>IF(   ISERROR(OFFSET(PADRON!B$2,MATCH(C:C,PADRON!A$2:A1405,0)-1,0,1,1) )  ,  ,    OFFSET(PADRON!B$2,MATCH(C:C,PADRON!A$2:A1405,0)-1,0,1,1))</f>
        <v>MOORE CASTELLI, MARTIN</v>
      </c>
      <c r="E1335" s="58">
        <v>45870.0</v>
      </c>
      <c r="F1335" s="145"/>
      <c r="G1335" s="59" t="s">
        <v>39</v>
      </c>
      <c r="H1335" s="60">
        <f>IF( ISERROR( OFFSET(   'Cuadro tarifario'!D$2  , MATCH(CONCATENATE(                 IF(F1335&gt;Mes,OFFSET(NroCT!B$17, MATCH($F1335,NroCT!$A$18:$A1405,0),0,1,1),Periodovigente)                                                                                                                     ,A1335) ,'Cuadro tarifario'!A$2:A1405,0) -1 , 0 , 1 , 1) )   , 0  ,   OFFSET(   'Cuadro tarifario'!D$2  , MATCH(CONCATENATE( IF(F1335&gt;Mes,OFFSET(NroCT!B$17, MATCH($F1335,NroCT!$A$18:$A1405,0),0,1,1),Periodovigente) ,A1335) ,'Cuadro tarifario'!A$2:A1405,0) -1 , 0 , 1 , 1))</f>
        <v>9000</v>
      </c>
      <c r="I1335" s="61">
        <f t="shared" si="252"/>
        <v>0</v>
      </c>
      <c r="J1335" s="60">
        <f t="shared" si="306"/>
        <v>0</v>
      </c>
      <c r="K1335" s="62">
        <f>IF(  AND(N1335&gt;0,I1335=0)          ,N1335 ,                         IF(  IF( F1335 ,  DAYS360(DATE(YEAR(F1335),MONTH(F1335),1),Mes)/30  ,  DAYS360(DATE(YEAR(E1335),MONTH(E1335),1),Mes)/30  )  &gt;  0 , IF(F1335,   DAYS360(DATE(YEAR(F1335),MONTH(F1335),1),Mes)/30  ,  DAYS360(DATE(YEAR(E1335),MONTH(E1335),1),Mes)/30) , 0)       )</f>
        <v>0</v>
      </c>
      <c r="L1335" s="63">
        <f t="shared" si="253"/>
        <v>0</v>
      </c>
      <c r="M1335" s="162"/>
      <c r="N1335" s="97">
        <f>IF( ISERROR(OFFSET(SECUESTRADOS!D$1,MATCH(B1335,SECUESTRADOS!A$2:A1405,0),0)) ,0 ,  OFFSET(SECUESTRADOS!D$1,MATCH(B1335,SECUESTRADOS!A$2:A1405,0),0)  )</f>
        <v>0</v>
      </c>
      <c r="O1335" s="98"/>
      <c r="P1335" s="99" t="b">
        <f t="shared" si="238"/>
        <v>0</v>
      </c>
      <c r="Q1335" s="99" t="str">
        <f t="shared" si="304"/>
        <v>#REF!</v>
      </c>
      <c r="R1335" s="130"/>
      <c r="S1335" s="130"/>
      <c r="T1335" s="130"/>
    </row>
    <row r="1336">
      <c r="A1336" s="18" t="s">
        <v>82</v>
      </c>
      <c r="B1336" s="116" t="s">
        <v>486</v>
      </c>
      <c r="C1336" s="140">
        <v>2375.0</v>
      </c>
      <c r="D1336" s="57" t="str">
        <f>IF(   ISERROR(OFFSET(PADRON!B$2,MATCH(C:C,PADRON!A$2:A1405,0)-1,0,1,1) )  ,  ,    OFFSET(PADRON!B$2,MATCH(C:C,PADRON!A$2:A1405,0)-1,0,1,1))</f>
        <v>MOORE CASTELLI, MARTIN</v>
      </c>
      <c r="E1336" s="58">
        <v>45870.0</v>
      </c>
      <c r="F1336" s="145"/>
      <c r="G1336" s="59" t="s">
        <v>39</v>
      </c>
      <c r="H1336" s="60">
        <f>IF( ISERROR( OFFSET(   'Cuadro tarifario'!D$2  , MATCH(CONCATENATE(                 IF(F1336&gt;Mes,OFFSET(NroCT!B$17, MATCH($F1336,NroCT!$A$18:$A1405,0),0,1,1),Periodovigente)                                                                                                                     ,A1336) ,'Cuadro tarifario'!A$2:A1405,0) -1 , 0 , 1 , 1) )   , 0  ,   OFFSET(   'Cuadro tarifario'!D$2  , MATCH(CONCATENATE( IF(F1336&gt;Mes,OFFSET(NroCT!B$17, MATCH($F1336,NroCT!$A$18:$A1405,0),0,1,1),Periodovigente) ,A1336) ,'Cuadro tarifario'!A$2:A1405,0) -1 , 0 , 1 , 1))</f>
        <v>12000</v>
      </c>
      <c r="I1336" s="61">
        <f t="shared" si="252"/>
        <v>0</v>
      </c>
      <c r="J1336" s="60">
        <f t="shared" si="306"/>
        <v>0</v>
      </c>
      <c r="K1336" s="62">
        <f>IF(  AND(N1336&gt;0,I1336=0)          ,N1336 ,                         IF(  IF( F1336 ,  DAYS360(DATE(YEAR(F1336),MONTH(F1336),1),Mes)/30  ,  DAYS360(DATE(YEAR(E1336),MONTH(E1336),1),Mes)/30  )  &gt;  0 , IF(F1336,   DAYS360(DATE(YEAR(F1336),MONTH(F1336),1),Mes)/30  ,  DAYS360(DATE(YEAR(E1336),MONTH(E1336),1),Mes)/30) , 0)       )</f>
        <v>0</v>
      </c>
      <c r="L1336" s="63">
        <f t="shared" si="253"/>
        <v>0</v>
      </c>
      <c r="M1336" s="162" t="s">
        <v>485</v>
      </c>
      <c r="N1336" s="97">
        <f>IF( ISERROR(OFFSET(SECUESTRADOS!D$1,MATCH(B1336,SECUESTRADOS!A$2:A1405,0),0)) ,0 ,  OFFSET(SECUESTRADOS!D$1,MATCH(B1336,SECUESTRADOS!A$2:A1405,0),0)  )</f>
        <v>0</v>
      </c>
      <c r="O1336" s="98"/>
      <c r="P1336" s="99" t="b">
        <f t="shared" si="238"/>
        <v>0</v>
      </c>
      <c r="Q1336" s="99" t="str">
        <f t="shared" si="304"/>
        <v>#REF!</v>
      </c>
      <c r="R1336" s="130"/>
      <c r="S1336" s="130"/>
      <c r="T1336" s="130"/>
    </row>
    <row r="1337">
      <c r="A1337" s="18" t="s">
        <v>71</v>
      </c>
      <c r="B1337" s="116">
        <v>2376.0</v>
      </c>
      <c r="C1337" s="140">
        <v>2376.0</v>
      </c>
      <c r="D1337" s="57" t="str">
        <f>IF(   ISERROR(OFFSET(PADRON!B$2,MATCH(C:C,PADRON!A$2:A1405,0)-1,0,1,1) )  ,  ,    OFFSET(PADRON!B$2,MATCH(C:C,PADRON!A$2:A1405,0)-1,0,1,1))</f>
        <v>DA LUZ, INES</v>
      </c>
      <c r="E1337" s="58">
        <v>45870.0</v>
      </c>
      <c r="F1337" s="145"/>
      <c r="G1337" s="59" t="s">
        <v>39</v>
      </c>
      <c r="H1337" s="60">
        <f>IF( ISERROR( OFFSET(   'Cuadro tarifario'!D$2  , MATCH(CONCATENATE(                 IF(F1337&gt;Mes,OFFSET(NroCT!B$17, MATCH($F1337,NroCT!$A$18:$A1405,0),0,1,1),Periodovigente)                                                                                                                     ,A1337) ,'Cuadro tarifario'!A$2:A1405,0) -1 , 0 , 1 , 1) )   , 0  ,   OFFSET(   'Cuadro tarifario'!D$2  , MATCH(CONCATENATE( IF(F1337&gt;Mes,OFFSET(NroCT!B$17, MATCH($F1337,NroCT!$A$18:$A1405,0),0,1,1),Periodovigente) ,A1337) ,'Cuadro tarifario'!A$2:A1405,0) -1 , 0 , 1 , 1))</f>
        <v>11000</v>
      </c>
      <c r="I1337" s="61">
        <f t="shared" si="252"/>
        <v>0</v>
      </c>
      <c r="J1337" s="60">
        <f t="shared" si="306"/>
        <v>0</v>
      </c>
      <c r="K1337" s="62">
        <f>IF(  AND(N1337&gt;0,I1337=0)          ,N1337 ,                         IF(  IF( F1337 ,  DAYS360(DATE(YEAR(F1337),MONTH(F1337),1),Mes)/30  ,  DAYS360(DATE(YEAR(E1337),MONTH(E1337),1),Mes)/30  )  &gt;  0 , IF(F1337,   DAYS360(DATE(YEAR(F1337),MONTH(F1337),1),Mes)/30  ,  DAYS360(DATE(YEAR(E1337),MONTH(E1337),1),Mes)/30) , 0)       )</f>
        <v>0</v>
      </c>
      <c r="L1337" s="63">
        <f t="shared" si="253"/>
        <v>0</v>
      </c>
      <c r="M1337" s="162"/>
      <c r="N1337" s="97">
        <f>IF( ISERROR(OFFSET(SECUESTRADOS!D$1,MATCH(B1337,SECUESTRADOS!A$2:A1405,0),0)) ,0 ,  OFFSET(SECUESTRADOS!D$1,MATCH(B1337,SECUESTRADOS!A$2:A1405,0),0)  )</f>
        <v>0</v>
      </c>
      <c r="O1337" s="98"/>
      <c r="P1337" s="99" t="b">
        <f t="shared" si="238"/>
        <v>0</v>
      </c>
      <c r="Q1337" s="99" t="str">
        <f t="shared" si="304"/>
        <v>#REF!</v>
      </c>
      <c r="R1337" s="130"/>
      <c r="S1337" s="130"/>
      <c r="T1337" s="130"/>
    </row>
    <row r="1338">
      <c r="A1338" s="18" t="s">
        <v>38</v>
      </c>
      <c r="B1338" s="116">
        <v>2376.0</v>
      </c>
      <c r="C1338" s="140">
        <v>2376.0</v>
      </c>
      <c r="D1338" s="57" t="str">
        <f>IF(   ISERROR(OFFSET(PADRON!B$2,MATCH(C:C,PADRON!A$2:A1405,0)-1,0,1,1) )  ,  ,    OFFSET(PADRON!B$2,MATCH(C:C,PADRON!A$2:A1405,0)-1,0,1,1))</f>
        <v>DA LUZ, INES</v>
      </c>
      <c r="E1338" s="58">
        <v>45870.0</v>
      </c>
      <c r="F1338" s="145"/>
      <c r="G1338" s="59" t="s">
        <v>39</v>
      </c>
      <c r="H1338" s="60">
        <f>IF( ISERROR( OFFSET(   'Cuadro tarifario'!D$2  , MATCH(CONCATENATE(                 IF(F1338&gt;Mes,OFFSET(NroCT!B$17, MATCH($F1338,NroCT!$A$18:$A1405,0),0,1,1),Periodovigente)                                                                                                                     ,A1338) ,'Cuadro tarifario'!A$2:A1405,0) -1 , 0 , 1 , 1) )   , 0  ,   OFFSET(   'Cuadro tarifario'!D$2  , MATCH(CONCATENATE( IF(F1338&gt;Mes,OFFSET(NroCT!B$17, MATCH($F1338,NroCT!$A$18:$A1405,0),0,1,1),Periodovigente) ,A1338) ,'Cuadro tarifario'!A$2:A1405,0) -1 , 0 , 1 , 1))</f>
        <v>9000</v>
      </c>
      <c r="I1338" s="61">
        <f t="shared" si="252"/>
        <v>0</v>
      </c>
      <c r="J1338" s="60">
        <f t="shared" si="306"/>
        <v>0</v>
      </c>
      <c r="K1338" s="62">
        <f>IF(  AND(N1338&gt;0,I1338=0)          ,N1338 ,                         IF(  IF( F1338 ,  DAYS360(DATE(YEAR(F1338),MONTH(F1338),1),Mes)/30  ,  DAYS360(DATE(YEAR(E1338),MONTH(E1338),1),Mes)/30  )  &gt;  0 , IF(F1338,   DAYS360(DATE(YEAR(F1338),MONTH(F1338),1),Mes)/30  ,  DAYS360(DATE(YEAR(E1338),MONTH(E1338),1),Mes)/30) , 0)       )</f>
        <v>0</v>
      </c>
      <c r="L1338" s="63">
        <f t="shared" si="253"/>
        <v>0</v>
      </c>
      <c r="M1338" s="162" t="s">
        <v>485</v>
      </c>
      <c r="N1338" s="97">
        <f>IF( ISERROR(OFFSET(SECUESTRADOS!D$1,MATCH(B1338,SECUESTRADOS!A$2:A1405,0),0)) ,0 ,  OFFSET(SECUESTRADOS!D$1,MATCH(B1338,SECUESTRADOS!A$2:A1405,0),0)  )</f>
        <v>0</v>
      </c>
      <c r="O1338" s="98"/>
      <c r="P1338" s="99" t="b">
        <f t="shared" si="238"/>
        <v>0</v>
      </c>
      <c r="Q1338" s="99" t="str">
        <f t="shared" si="304"/>
        <v>#REF!</v>
      </c>
      <c r="R1338" s="130"/>
      <c r="S1338" s="130"/>
      <c r="T1338" s="130"/>
    </row>
    <row r="1339">
      <c r="A1339" s="18" t="s">
        <v>40</v>
      </c>
      <c r="B1339" s="116" t="s">
        <v>487</v>
      </c>
      <c r="C1339" s="140">
        <v>2376.0</v>
      </c>
      <c r="D1339" s="57" t="str">
        <f>IF(   ISERROR(OFFSET(PADRON!B$2,MATCH(C:C,PADRON!A$2:A1405,0)-1,0,1,1) )  ,  ,    OFFSET(PADRON!B$2,MATCH(C:C,PADRON!A$2:A1405,0)-1,0,1,1))</f>
        <v>DA LUZ, INES</v>
      </c>
      <c r="E1339" s="58">
        <v>45870.0</v>
      </c>
      <c r="F1339" s="145"/>
      <c r="G1339" s="59" t="s">
        <v>39</v>
      </c>
      <c r="H1339" s="60">
        <f>IF( ISERROR( OFFSET(   'Cuadro tarifario'!D$2  , MATCH(CONCATENATE(                 IF(F1339&gt;Mes,OFFSET(NroCT!B$17, MATCH($F1339,NroCT!$A$18:$A1405,0),0,1,1),Periodovigente)                                                                                                                     ,A1339) ,'Cuadro tarifario'!A$2:A1405,0) -1 , 0 , 1 , 1) )   , 0  ,   OFFSET(   'Cuadro tarifario'!D$2  , MATCH(CONCATENATE( IF(F1339&gt;Mes,OFFSET(NroCT!B$17, MATCH($F1339,NroCT!$A$18:$A1405,0),0,1,1),Periodovigente) ,A1339) ,'Cuadro tarifario'!A$2:A1405,0) -1 , 0 , 1 , 1))</f>
        <v>12000</v>
      </c>
      <c r="I1339" s="61">
        <f t="shared" si="252"/>
        <v>0</v>
      </c>
      <c r="J1339" s="60">
        <f t="shared" si="306"/>
        <v>0</v>
      </c>
      <c r="K1339" s="62">
        <f>IF(  AND(N1339&gt;0,I1339=0)          ,N1339 ,                         IF(  IF( F1339 ,  DAYS360(DATE(YEAR(F1339),MONTH(F1339),1),Mes)/30  ,  DAYS360(DATE(YEAR(E1339),MONTH(E1339),1),Mes)/30  )  &gt;  0 , IF(F1339,   DAYS360(DATE(YEAR(F1339),MONTH(F1339),1),Mes)/30  ,  DAYS360(DATE(YEAR(E1339),MONTH(E1339),1),Mes)/30) , 0)       )</f>
        <v>0</v>
      </c>
      <c r="L1339" s="63">
        <f t="shared" si="253"/>
        <v>0</v>
      </c>
      <c r="M1339" s="162" t="s">
        <v>485</v>
      </c>
      <c r="N1339" s="97">
        <f>IF( ISERROR(OFFSET(SECUESTRADOS!D$1,MATCH(B1339,SECUESTRADOS!A$2:A1405,0),0)) ,0 ,  OFFSET(SECUESTRADOS!D$1,MATCH(B1339,SECUESTRADOS!A$2:A1405,0),0)  )</f>
        <v>0</v>
      </c>
      <c r="O1339" s="98"/>
      <c r="P1339" s="99" t="b">
        <f t="shared" si="238"/>
        <v>0</v>
      </c>
      <c r="Q1339" s="99" t="str">
        <f t="shared" si="304"/>
        <v>#REF!</v>
      </c>
      <c r="R1339" s="130"/>
      <c r="S1339" s="130"/>
      <c r="T1339" s="130"/>
    </row>
    <row r="1340">
      <c r="A1340" s="18" t="s">
        <v>71</v>
      </c>
      <c r="B1340" s="116">
        <v>2377.0</v>
      </c>
      <c r="C1340" s="140">
        <v>2377.0</v>
      </c>
      <c r="D1340" s="57" t="str">
        <f>IF(   ISERROR(OFFSET(PADRON!B$2,MATCH(C:C,PADRON!A$2:A1405,0)-1,0,1,1) )  ,  ,    OFFSET(PADRON!B$2,MATCH(C:C,PADRON!A$2:A1405,0)-1,0,1,1))</f>
        <v>ERPEN, NATALIA</v>
      </c>
      <c r="E1340" s="58">
        <v>45870.0</v>
      </c>
      <c r="F1340" s="145"/>
      <c r="G1340" s="59" t="s">
        <v>39</v>
      </c>
      <c r="H1340" s="60">
        <f>IF( ISERROR( OFFSET(   'Cuadro tarifario'!D$2  , MATCH(CONCATENATE(                 IF(F1340&gt;Mes,OFFSET(NroCT!B$17, MATCH($F1340,NroCT!$A$18:$A1405,0),0,1,1),Periodovigente)                                                                                                                     ,A1340) ,'Cuadro tarifario'!A$2:A1405,0) -1 , 0 , 1 , 1) )   , 0  ,   OFFSET(   'Cuadro tarifario'!D$2  , MATCH(CONCATENATE( IF(F1340&gt;Mes,OFFSET(NroCT!B$17, MATCH($F1340,NroCT!$A$18:$A1405,0),0,1,1),Periodovigente) ,A1340) ,'Cuadro tarifario'!A$2:A1405,0) -1 , 0 , 1 , 1))</f>
        <v>11000</v>
      </c>
      <c r="I1340" s="61">
        <f t="shared" si="252"/>
        <v>0</v>
      </c>
      <c r="J1340" s="60">
        <f t="shared" si="306"/>
        <v>0</v>
      </c>
      <c r="K1340" s="62">
        <f>IF(  AND(N1340&gt;0,I1340=0)          ,N1340 ,                         IF(  IF( F1340 ,  DAYS360(DATE(YEAR(F1340),MONTH(F1340),1),Mes)/30  ,  DAYS360(DATE(YEAR(E1340),MONTH(E1340),1),Mes)/30  )  &gt;  0 , IF(F1340,   DAYS360(DATE(YEAR(F1340),MONTH(F1340),1),Mes)/30  ,  DAYS360(DATE(YEAR(E1340),MONTH(E1340),1),Mes)/30) , 0)       )</f>
        <v>0</v>
      </c>
      <c r="L1340" s="63">
        <f t="shared" si="253"/>
        <v>0</v>
      </c>
      <c r="M1340" s="162"/>
      <c r="N1340" s="97">
        <f>IF( ISERROR(OFFSET(SECUESTRADOS!D$1,MATCH(B1340,SECUESTRADOS!A$2:A1405,0),0)) ,0 ,  OFFSET(SECUESTRADOS!D$1,MATCH(B1340,SECUESTRADOS!A$2:A1405,0),0)  )</f>
        <v>0</v>
      </c>
      <c r="O1340" s="98"/>
      <c r="P1340" s="99" t="b">
        <f t="shared" si="238"/>
        <v>0</v>
      </c>
      <c r="Q1340" s="99" t="str">
        <f t="shared" si="304"/>
        <v>#REF!</v>
      </c>
      <c r="R1340" s="130"/>
      <c r="S1340" s="130"/>
      <c r="T1340" s="130"/>
    </row>
    <row r="1341">
      <c r="A1341" s="18" t="s">
        <v>38</v>
      </c>
      <c r="B1341" s="116">
        <v>2377.0</v>
      </c>
      <c r="C1341" s="140">
        <v>2377.0</v>
      </c>
      <c r="D1341" s="57" t="str">
        <f>IF(   ISERROR(OFFSET(PADRON!B$2,MATCH(C:C,PADRON!A$2:A1405,0)-1,0,1,1) )  ,  ,    OFFSET(PADRON!B$2,MATCH(C:C,PADRON!A$2:A1405,0)-1,0,1,1))</f>
        <v>ERPEN, NATALIA</v>
      </c>
      <c r="E1341" s="58">
        <v>45870.0</v>
      </c>
      <c r="F1341" s="145"/>
      <c r="G1341" s="59" t="s">
        <v>39</v>
      </c>
      <c r="H1341" s="60">
        <f>IF( ISERROR( OFFSET(   'Cuadro tarifario'!D$2  , MATCH(CONCATENATE(                 IF(F1341&gt;Mes,OFFSET(NroCT!B$17, MATCH($F1341,NroCT!$A$18:$A1405,0),0,1,1),Periodovigente)                                                                                                                     ,A1341) ,'Cuadro tarifario'!A$2:A1405,0) -1 , 0 , 1 , 1) )   , 0  ,   OFFSET(   'Cuadro tarifario'!D$2  , MATCH(CONCATENATE( IF(F1341&gt;Mes,OFFSET(NroCT!B$17, MATCH($F1341,NroCT!$A$18:$A1405,0),0,1,1),Periodovigente) ,A1341) ,'Cuadro tarifario'!A$2:A1405,0) -1 , 0 , 1 , 1))</f>
        <v>9000</v>
      </c>
      <c r="I1341" s="61">
        <f t="shared" si="252"/>
        <v>0</v>
      </c>
      <c r="J1341" s="60">
        <f t="shared" si="306"/>
        <v>0</v>
      </c>
      <c r="K1341" s="62">
        <f>IF(  AND(N1341&gt;0,I1341=0)          ,N1341 ,                         IF(  IF( F1341 ,  DAYS360(DATE(YEAR(F1341),MONTH(F1341),1),Mes)/30  ,  DAYS360(DATE(YEAR(E1341),MONTH(E1341),1),Mes)/30  )  &gt;  0 , IF(F1341,   DAYS360(DATE(YEAR(F1341),MONTH(F1341),1),Mes)/30  ,  DAYS360(DATE(YEAR(E1341),MONTH(E1341),1),Mes)/30) , 0)       )</f>
        <v>0</v>
      </c>
      <c r="L1341" s="63">
        <f t="shared" si="253"/>
        <v>0</v>
      </c>
      <c r="M1341" s="162" t="s">
        <v>485</v>
      </c>
      <c r="N1341" s="97">
        <f>IF( ISERROR(OFFSET(SECUESTRADOS!D$1,MATCH(B1341,SECUESTRADOS!A$2:A1405,0),0)) ,0 ,  OFFSET(SECUESTRADOS!D$1,MATCH(B1341,SECUESTRADOS!A$2:A1405,0),0)  )</f>
        <v>0</v>
      </c>
      <c r="O1341" s="98"/>
      <c r="P1341" s="99" t="b">
        <f t="shared" si="238"/>
        <v>0</v>
      </c>
      <c r="Q1341" s="99" t="str">
        <f t="shared" si="304"/>
        <v>#REF!</v>
      </c>
      <c r="R1341" s="130"/>
      <c r="S1341" s="130"/>
      <c r="T1341" s="130"/>
    </row>
    <row r="1342">
      <c r="A1342" s="18" t="s">
        <v>71</v>
      </c>
      <c r="B1342" s="116">
        <v>2378.0</v>
      </c>
      <c r="C1342" s="140">
        <v>2378.0</v>
      </c>
      <c r="D1342" s="57" t="str">
        <f>IF(   ISERROR(OFFSET(PADRON!B$2,MATCH(C:C,PADRON!A$2:A1405,0)-1,0,1,1) )  ,  ,    OFFSET(PADRON!B$2,MATCH(C:C,PADRON!A$2:A1405,0)-1,0,1,1))</f>
        <v>DE ALBUQUERQUE, ALEJANDRA</v>
      </c>
      <c r="E1342" s="58">
        <v>45870.0</v>
      </c>
      <c r="F1342" s="145"/>
      <c r="G1342" s="59" t="s">
        <v>39</v>
      </c>
      <c r="H1342" s="60">
        <f>IF( ISERROR( OFFSET(   'Cuadro tarifario'!D$2  , MATCH(CONCATENATE(                 IF(F1342&gt;Mes,OFFSET(NroCT!B$17, MATCH($F1342,NroCT!$A$18:$A1405,0),0,1,1),Periodovigente)                                                                                                                     ,A1342) ,'Cuadro tarifario'!A$2:A1405,0) -1 , 0 , 1 , 1) )   , 0  ,   OFFSET(   'Cuadro tarifario'!D$2  , MATCH(CONCATENATE( IF(F1342&gt;Mes,OFFSET(NroCT!B$17, MATCH($F1342,NroCT!$A$18:$A1405,0),0,1,1),Periodovigente) ,A1342) ,'Cuadro tarifario'!A$2:A1405,0) -1 , 0 , 1 , 1))</f>
        <v>11000</v>
      </c>
      <c r="I1342" s="61">
        <f t="shared" si="252"/>
        <v>0</v>
      </c>
      <c r="J1342" s="60">
        <f t="shared" si="306"/>
        <v>0</v>
      </c>
      <c r="K1342" s="62">
        <f>IF(  AND(N1342&gt;0,I1342=0)          ,N1342 ,                         IF(  IF( F1342 ,  DAYS360(DATE(YEAR(F1342),MONTH(F1342),1),Mes)/30  ,  DAYS360(DATE(YEAR(E1342),MONTH(E1342),1),Mes)/30  )  &gt;  0 , IF(F1342,   DAYS360(DATE(YEAR(F1342),MONTH(F1342),1),Mes)/30  ,  DAYS360(DATE(YEAR(E1342),MONTH(E1342),1),Mes)/30) , 0)       )</f>
        <v>0</v>
      </c>
      <c r="L1342" s="63">
        <f t="shared" si="253"/>
        <v>0</v>
      </c>
      <c r="M1342" s="162"/>
      <c r="N1342" s="97">
        <f>IF( ISERROR(OFFSET(SECUESTRADOS!D$1,MATCH(B1342,SECUESTRADOS!A$2:A1405,0),0)) ,0 ,  OFFSET(SECUESTRADOS!D$1,MATCH(B1342,SECUESTRADOS!A$2:A1405,0),0)  )</f>
        <v>0</v>
      </c>
      <c r="O1342" s="98"/>
      <c r="P1342" s="99" t="b">
        <f t="shared" si="238"/>
        <v>0</v>
      </c>
      <c r="Q1342" s="99" t="str">
        <f t="shared" si="304"/>
        <v>#REF!</v>
      </c>
      <c r="R1342" s="130"/>
      <c r="S1342" s="130"/>
      <c r="T1342" s="130"/>
    </row>
    <row r="1343">
      <c r="A1343" s="18" t="s">
        <v>38</v>
      </c>
      <c r="B1343" s="116">
        <v>2378.0</v>
      </c>
      <c r="C1343" s="140">
        <v>2378.0</v>
      </c>
      <c r="D1343" s="57" t="str">
        <f>IF(   ISERROR(OFFSET(PADRON!B$2,MATCH(C:C,PADRON!A$2:A1405,0)-1,0,1,1) )  ,  ,    OFFSET(PADRON!B$2,MATCH(C:C,PADRON!A$2:A1405,0)-1,0,1,1))</f>
        <v>DE ALBUQUERQUE, ALEJANDRA</v>
      </c>
      <c r="E1343" s="58">
        <v>45870.0</v>
      </c>
      <c r="F1343" s="145"/>
      <c r="G1343" s="59" t="s">
        <v>39</v>
      </c>
      <c r="H1343" s="60">
        <f>IF( ISERROR( OFFSET(   'Cuadro tarifario'!D$2  , MATCH(CONCATENATE(                 IF(F1343&gt;Mes,OFFSET(NroCT!B$17, MATCH($F1343,NroCT!$A$18:$A1405,0),0,1,1),Periodovigente)                                                                                                                     ,A1343) ,'Cuadro tarifario'!A$2:A1405,0) -1 , 0 , 1 , 1) )   , 0  ,   OFFSET(   'Cuadro tarifario'!D$2  , MATCH(CONCATENATE( IF(F1343&gt;Mes,OFFSET(NroCT!B$17, MATCH($F1343,NroCT!$A$18:$A1405,0),0,1,1),Periodovigente) ,A1343) ,'Cuadro tarifario'!A$2:A1405,0) -1 , 0 , 1 , 1))</f>
        <v>9000</v>
      </c>
      <c r="I1343" s="61">
        <f t="shared" si="252"/>
        <v>0</v>
      </c>
      <c r="J1343" s="60">
        <f t="shared" si="306"/>
        <v>0</v>
      </c>
      <c r="K1343" s="62">
        <f>IF(  AND(N1343&gt;0,I1343=0)          ,N1343 ,                         IF(  IF( F1343 ,  DAYS360(DATE(YEAR(F1343),MONTH(F1343),1),Mes)/30  ,  DAYS360(DATE(YEAR(E1343),MONTH(E1343),1),Mes)/30  )  &gt;  0 , IF(F1343,   DAYS360(DATE(YEAR(F1343),MONTH(F1343),1),Mes)/30  ,  DAYS360(DATE(YEAR(E1343),MONTH(E1343),1),Mes)/30) , 0)       )</f>
        <v>0</v>
      </c>
      <c r="L1343" s="63">
        <f t="shared" si="253"/>
        <v>0</v>
      </c>
      <c r="M1343" s="162"/>
      <c r="N1343" s="97">
        <f>IF( ISERROR(OFFSET(SECUESTRADOS!D$1,MATCH(B1343,SECUESTRADOS!A$2:A1405,0),0)) ,0 ,  OFFSET(SECUESTRADOS!D$1,MATCH(B1343,SECUESTRADOS!A$2:A1405,0),0)  )</f>
        <v>0</v>
      </c>
      <c r="O1343" s="98"/>
      <c r="P1343" s="99" t="b">
        <f t="shared" si="238"/>
        <v>0</v>
      </c>
      <c r="Q1343" s="99" t="str">
        <f t="shared" si="304"/>
        <v>#REF!</v>
      </c>
      <c r="R1343" s="130"/>
      <c r="S1343" s="130"/>
      <c r="T1343" s="130"/>
    </row>
    <row r="1344">
      <c r="A1344" s="18" t="s">
        <v>40</v>
      </c>
      <c r="B1344" s="116" t="s">
        <v>488</v>
      </c>
      <c r="C1344" s="140">
        <v>2378.0</v>
      </c>
      <c r="D1344" s="57" t="str">
        <f>IF(   ISERROR(OFFSET(PADRON!B$2,MATCH(C:C,PADRON!A$2:A1405,0)-1,0,1,1) )  ,  ,    OFFSET(PADRON!B$2,MATCH(C:C,PADRON!A$2:A1405,0)-1,0,1,1))</f>
        <v>DE ALBUQUERQUE, ALEJANDRA</v>
      </c>
      <c r="E1344" s="58">
        <v>45870.0</v>
      </c>
      <c r="F1344" s="145"/>
      <c r="G1344" s="59" t="s">
        <v>39</v>
      </c>
      <c r="H1344" s="60">
        <f>IF( ISERROR( OFFSET(   'Cuadro tarifario'!D$2  , MATCH(CONCATENATE(                 IF(F1344&gt;Mes,OFFSET(NroCT!B$17, MATCH($F1344,NroCT!$A$18:$A1405,0),0,1,1),Periodovigente)                                                                                                                     ,A1344) ,'Cuadro tarifario'!A$2:A1405,0) -1 , 0 , 1 , 1) )   , 0  ,   OFFSET(   'Cuadro tarifario'!D$2  , MATCH(CONCATENATE( IF(F1344&gt;Mes,OFFSET(NroCT!B$17, MATCH($F1344,NroCT!$A$18:$A1405,0),0,1,1),Periodovigente) ,A1344) ,'Cuadro tarifario'!A$2:A1405,0) -1 , 0 , 1 , 1))</f>
        <v>12000</v>
      </c>
      <c r="I1344" s="61">
        <f t="shared" si="252"/>
        <v>0</v>
      </c>
      <c r="J1344" s="60">
        <f t="shared" si="306"/>
        <v>0</v>
      </c>
      <c r="K1344" s="62">
        <f>IF(  AND(N1344&gt;0,I1344=0)          ,N1344 ,                         IF(  IF( F1344 ,  DAYS360(DATE(YEAR(F1344),MONTH(F1344),1),Mes)/30  ,  DAYS360(DATE(YEAR(E1344),MONTH(E1344),1),Mes)/30  )  &gt;  0 , IF(F1344,   DAYS360(DATE(YEAR(F1344),MONTH(F1344),1),Mes)/30  ,  DAYS360(DATE(YEAR(E1344),MONTH(E1344),1),Mes)/30) , 0)       )</f>
        <v>0</v>
      </c>
      <c r="L1344" s="63">
        <f t="shared" si="253"/>
        <v>0</v>
      </c>
      <c r="M1344" s="162"/>
      <c r="N1344" s="97">
        <f>IF( ISERROR(OFFSET(SECUESTRADOS!D$1,MATCH(B1344,SECUESTRADOS!A$2:A1405,0),0)) ,0 ,  OFFSET(SECUESTRADOS!D$1,MATCH(B1344,SECUESTRADOS!A$2:A1405,0),0)  )</f>
        <v>0</v>
      </c>
      <c r="O1344" s="98"/>
      <c r="P1344" s="99" t="b">
        <f t="shared" si="238"/>
        <v>0</v>
      </c>
      <c r="Q1344" s="99" t="str">
        <f t="shared" si="304"/>
        <v>#REF!</v>
      </c>
      <c r="R1344" s="130"/>
      <c r="S1344" s="130"/>
      <c r="T1344" s="130"/>
    </row>
    <row r="1345">
      <c r="A1345" s="18" t="s">
        <v>71</v>
      </c>
      <c r="B1345" s="116">
        <v>2379.0</v>
      </c>
      <c r="C1345" s="140">
        <v>2379.0</v>
      </c>
      <c r="D1345" s="57" t="str">
        <f>IF(   ISERROR(OFFSET(PADRON!B$2,MATCH(C:C,PADRON!A$2:A1405,0)-1,0,1,1) )  ,  ,    OFFSET(PADRON!B$2,MATCH(C:C,PADRON!A$2:A1405,0)-1,0,1,1))</f>
        <v>GUERRA, CAROLA</v>
      </c>
      <c r="E1345" s="58">
        <v>45870.0</v>
      </c>
      <c r="F1345" s="145"/>
      <c r="G1345" s="59" t="s">
        <v>39</v>
      </c>
      <c r="H1345" s="60">
        <f>IF( ISERROR( OFFSET(   'Cuadro tarifario'!D$2  , MATCH(CONCATENATE(                 IF(F1345&gt;Mes,OFFSET(NroCT!B$17, MATCH($F1345,NroCT!$A$18:$A1405,0),0,1,1),Periodovigente)                                                                                                                     ,A1345) ,'Cuadro tarifario'!A$2:A1405,0) -1 , 0 , 1 , 1) )   , 0  ,   OFFSET(   'Cuadro tarifario'!D$2  , MATCH(CONCATENATE( IF(F1345&gt;Mes,OFFSET(NroCT!B$17, MATCH($F1345,NroCT!$A$18:$A1405,0),0,1,1),Periodovigente) ,A1345) ,'Cuadro tarifario'!A$2:A1405,0) -1 , 0 , 1 , 1))</f>
        <v>11000</v>
      </c>
      <c r="I1345" s="61">
        <f t="shared" si="252"/>
        <v>0</v>
      </c>
      <c r="J1345" s="60">
        <f t="shared" si="306"/>
        <v>0</v>
      </c>
      <c r="K1345" s="62">
        <f>IF(  AND(N1345&gt;0,I1345=0)          ,N1345 ,                         IF(  IF( F1345 ,  DAYS360(DATE(YEAR(F1345),MONTH(F1345),1),Mes)/30  ,  DAYS360(DATE(YEAR(E1345),MONTH(E1345),1),Mes)/30  )  &gt;  0 , IF(F1345,   DAYS360(DATE(YEAR(F1345),MONTH(F1345),1),Mes)/30  ,  DAYS360(DATE(YEAR(E1345),MONTH(E1345),1),Mes)/30) , 0)       )</f>
        <v>0</v>
      </c>
      <c r="L1345" s="63">
        <f t="shared" si="253"/>
        <v>0</v>
      </c>
      <c r="M1345" s="162"/>
      <c r="N1345" s="97">
        <f>IF( ISERROR(OFFSET(SECUESTRADOS!D$1,MATCH(B1345,SECUESTRADOS!A$2:A1405,0),0)) ,0 ,  OFFSET(SECUESTRADOS!D$1,MATCH(B1345,SECUESTRADOS!A$2:A1405,0),0)  )</f>
        <v>0</v>
      </c>
      <c r="O1345" s="98"/>
      <c r="P1345" s="99" t="b">
        <f t="shared" si="238"/>
        <v>0</v>
      </c>
      <c r="Q1345" s="99" t="str">
        <f t="shared" si="304"/>
        <v>#REF!</v>
      </c>
      <c r="R1345" s="130"/>
      <c r="S1345" s="130"/>
      <c r="T1345" s="130"/>
    </row>
    <row r="1346">
      <c r="A1346" s="18" t="s">
        <v>38</v>
      </c>
      <c r="B1346" s="116">
        <v>2379.0</v>
      </c>
      <c r="C1346" s="140">
        <v>2379.0</v>
      </c>
      <c r="D1346" s="57" t="str">
        <f>IF(   ISERROR(OFFSET(PADRON!B$2,MATCH(C:C,PADRON!A$2:A1405,0)-1,0,1,1) )  ,  ,    OFFSET(PADRON!B$2,MATCH(C:C,PADRON!A$2:A1405,0)-1,0,1,1))</f>
        <v>GUERRA, CAROLA</v>
      </c>
      <c r="E1346" s="58">
        <v>45870.0</v>
      </c>
      <c r="F1346" s="145"/>
      <c r="G1346" s="59" t="s">
        <v>39</v>
      </c>
      <c r="H1346" s="60">
        <f>IF( ISERROR( OFFSET(   'Cuadro tarifario'!D$2  , MATCH(CONCATENATE(                 IF(F1346&gt;Mes,OFFSET(NroCT!B$17, MATCH($F1346,NroCT!$A$18:$A1405,0),0,1,1),Periodovigente)                                                                                                                     ,A1346) ,'Cuadro tarifario'!A$2:A1405,0) -1 , 0 , 1 , 1) )   , 0  ,   OFFSET(   'Cuadro tarifario'!D$2  , MATCH(CONCATENATE( IF(F1346&gt;Mes,OFFSET(NroCT!B$17, MATCH($F1346,NroCT!$A$18:$A1405,0),0,1,1),Periodovigente) ,A1346) ,'Cuadro tarifario'!A$2:A1405,0) -1 , 0 , 1 , 1))</f>
        <v>9000</v>
      </c>
      <c r="I1346" s="61">
        <f t="shared" si="252"/>
        <v>0</v>
      </c>
      <c r="J1346" s="60">
        <f t="shared" si="306"/>
        <v>0</v>
      </c>
      <c r="K1346" s="62">
        <f>IF(  AND(N1346&gt;0,I1346=0)          ,N1346 ,                         IF(  IF( F1346 ,  DAYS360(DATE(YEAR(F1346),MONTH(F1346),1),Mes)/30  ,  DAYS360(DATE(YEAR(E1346),MONTH(E1346),1),Mes)/30  )  &gt;  0 , IF(F1346,   DAYS360(DATE(YEAR(F1346),MONTH(F1346),1),Mes)/30  ,  DAYS360(DATE(YEAR(E1346),MONTH(E1346),1),Mes)/30) , 0)       )</f>
        <v>0</v>
      </c>
      <c r="L1346" s="63">
        <f t="shared" si="253"/>
        <v>0</v>
      </c>
      <c r="M1346" s="162"/>
      <c r="N1346" s="97">
        <f>IF( ISERROR(OFFSET(SECUESTRADOS!D$1,MATCH(B1346,SECUESTRADOS!A$2:A1405,0),0)) ,0 ,  OFFSET(SECUESTRADOS!D$1,MATCH(B1346,SECUESTRADOS!A$2:A1405,0),0)  )</f>
        <v>0</v>
      </c>
      <c r="O1346" s="98"/>
      <c r="P1346" s="99" t="b">
        <f t="shared" si="238"/>
        <v>0</v>
      </c>
      <c r="Q1346" s="99" t="str">
        <f t="shared" si="304"/>
        <v>#REF!</v>
      </c>
      <c r="R1346" s="130"/>
      <c r="S1346" s="130"/>
      <c r="T1346" s="130"/>
    </row>
    <row r="1347">
      <c r="A1347" s="18" t="s">
        <v>71</v>
      </c>
      <c r="B1347" s="116">
        <v>2380.0</v>
      </c>
      <c r="C1347" s="140">
        <v>2380.0</v>
      </c>
      <c r="D1347" s="57" t="str">
        <f>IF(   ISERROR(OFFSET(PADRON!B$2,MATCH(C:C,PADRON!A$2:A1405,0)-1,0,1,1) )  ,  ,    OFFSET(PADRON!B$2,MATCH(C:C,PADRON!A$2:A1405,0)-1,0,1,1))</f>
        <v>GRAZIANI, ADRIANO</v>
      </c>
      <c r="E1347" s="58">
        <v>45901.0</v>
      </c>
      <c r="F1347" s="145"/>
      <c r="G1347" s="59" t="s">
        <v>39</v>
      </c>
      <c r="H1347" s="60">
        <f>IF( ISERROR( OFFSET(   'Cuadro tarifario'!D$2  , MATCH(CONCATENATE(                 IF(F1347&gt;Mes,OFFSET(NroCT!B$17, MATCH($F1347,NroCT!$A$18:$A1405,0),0,1,1),Periodovigente)                                                                                                                     ,A1347) ,'Cuadro tarifario'!A$2:A1405,0) -1 , 0 , 1 , 1) )   , 0  ,   OFFSET(   'Cuadro tarifario'!D$2  , MATCH(CONCATENATE( IF(F1347&gt;Mes,OFFSET(NroCT!B$17, MATCH($F1347,NroCT!$A$18:$A1405,0),0,1,1),Periodovigente) ,A1347) ,'Cuadro tarifario'!A$2:A1405,0) -1 , 0 , 1 , 1))</f>
        <v>11000</v>
      </c>
      <c r="I1347" s="61">
        <f t="shared" si="252"/>
        <v>0</v>
      </c>
      <c r="J1347" s="60">
        <f t="shared" si="306"/>
        <v>0</v>
      </c>
      <c r="K1347" s="62">
        <f>IF(  AND(N1347&gt;0,I1347=0)          ,N1347 ,                         IF(  IF( F1347 ,  DAYS360(DATE(YEAR(F1347),MONTH(F1347),1),Mes)/30  ,  DAYS360(DATE(YEAR(E1347),MONTH(E1347),1),Mes)/30  )  &gt;  0 , IF(F1347,   DAYS360(DATE(YEAR(F1347),MONTH(F1347),1),Mes)/30  ,  DAYS360(DATE(YEAR(E1347),MONTH(E1347),1),Mes)/30) , 0)       )</f>
        <v>0</v>
      </c>
      <c r="L1347" s="63">
        <f t="shared" si="253"/>
        <v>0</v>
      </c>
      <c r="M1347" s="162"/>
      <c r="N1347" s="97">
        <f>IF( ISERROR(OFFSET(SECUESTRADOS!D$1,MATCH(B1347,SECUESTRADOS!A$2:A1405,0),0)) ,0 ,  OFFSET(SECUESTRADOS!D$1,MATCH(B1347,SECUESTRADOS!A$2:A1405,0),0)  )</f>
        <v>0</v>
      </c>
      <c r="O1347" s="98"/>
      <c r="P1347" s="99" t="b">
        <f t="shared" si="238"/>
        <v>0</v>
      </c>
      <c r="Q1347" s="99" t="str">
        <f t="shared" si="304"/>
        <v>#REF!</v>
      </c>
      <c r="R1347" s="130"/>
      <c r="S1347" s="130"/>
      <c r="T1347" s="130"/>
    </row>
    <row r="1348">
      <c r="A1348" s="18" t="s">
        <v>38</v>
      </c>
      <c r="B1348" s="116">
        <v>2380.0</v>
      </c>
      <c r="C1348" s="140">
        <v>2380.0</v>
      </c>
      <c r="D1348" s="57" t="str">
        <f>IF(   ISERROR(OFFSET(PADRON!B$2,MATCH(C:C,PADRON!A$2:A1405,0)-1,0,1,1) )  ,  ,    OFFSET(PADRON!B$2,MATCH(C:C,PADRON!A$2:A1405,0)-1,0,1,1))</f>
        <v>GRAZIANI, ADRIANO</v>
      </c>
      <c r="E1348" s="58">
        <v>45901.0</v>
      </c>
      <c r="F1348" s="145"/>
      <c r="G1348" s="59" t="s">
        <v>39</v>
      </c>
      <c r="H1348" s="60">
        <f>IF( ISERROR( OFFSET(   'Cuadro tarifario'!D$2  , MATCH(CONCATENATE(                 IF(F1348&gt;Mes,OFFSET(NroCT!B$17, MATCH($F1348,NroCT!$A$18:$A1405,0),0,1,1),Periodovigente)                                                                                                                     ,A1348) ,'Cuadro tarifario'!A$2:A1405,0) -1 , 0 , 1 , 1) )   , 0  ,   OFFSET(   'Cuadro tarifario'!D$2  , MATCH(CONCATENATE( IF(F1348&gt;Mes,OFFSET(NroCT!B$17, MATCH($F1348,NroCT!$A$18:$A1405,0),0,1,1),Periodovigente) ,A1348) ,'Cuadro tarifario'!A$2:A1405,0) -1 , 0 , 1 , 1))</f>
        <v>9000</v>
      </c>
      <c r="I1348" s="61">
        <f t="shared" si="252"/>
        <v>0</v>
      </c>
      <c r="J1348" s="60">
        <f t="shared" si="306"/>
        <v>0</v>
      </c>
      <c r="K1348" s="62">
        <f>IF(  AND(N1348&gt;0,I1348=0)          ,N1348 ,                         IF(  IF( F1348 ,  DAYS360(DATE(YEAR(F1348),MONTH(F1348),1),Mes)/30  ,  DAYS360(DATE(YEAR(E1348),MONTH(E1348),1),Mes)/30  )  &gt;  0 , IF(F1348,   DAYS360(DATE(YEAR(F1348),MONTH(F1348),1),Mes)/30  ,  DAYS360(DATE(YEAR(E1348),MONTH(E1348),1),Mes)/30) , 0)       )</f>
        <v>0</v>
      </c>
      <c r="L1348" s="63">
        <f t="shared" si="253"/>
        <v>0</v>
      </c>
      <c r="M1348" s="162"/>
      <c r="N1348" s="97">
        <f>IF( ISERROR(OFFSET(SECUESTRADOS!D$1,MATCH(B1348,SECUESTRADOS!A$2:A1405,0),0)) ,0 ,  OFFSET(SECUESTRADOS!D$1,MATCH(B1348,SECUESTRADOS!A$2:A1405,0),0)  )</f>
        <v>0</v>
      </c>
      <c r="O1348" s="98"/>
      <c r="P1348" s="99" t="b">
        <f t="shared" si="238"/>
        <v>0</v>
      </c>
      <c r="Q1348" s="99" t="str">
        <f t="shared" si="304"/>
        <v>#REF!</v>
      </c>
      <c r="R1348" s="130"/>
      <c r="S1348" s="130"/>
      <c r="T1348" s="130"/>
    </row>
    <row r="1349">
      <c r="A1349" s="18" t="s">
        <v>71</v>
      </c>
      <c r="B1349" s="116">
        <v>2381.0</v>
      </c>
      <c r="C1349" s="140">
        <v>2381.0</v>
      </c>
      <c r="D1349" s="57" t="str">
        <f>IF(   ISERROR(OFFSET(PADRON!B$2,MATCH(C:C,PADRON!A$2:A1405,0)-1,0,1,1) )  ,  ,    OFFSET(PADRON!B$2,MATCH(C:C,PADRON!A$2:A1405,0)-1,0,1,1))</f>
        <v>DESILIO, PATRICIA LILIANA</v>
      </c>
      <c r="E1349" s="58">
        <v>45901.0</v>
      </c>
      <c r="F1349" s="145"/>
      <c r="G1349" s="59" t="s">
        <v>39</v>
      </c>
      <c r="H1349" s="60">
        <f>IF( ISERROR( OFFSET(   'Cuadro tarifario'!D$2  , MATCH(CONCATENATE(                 IF(F1349&gt;Mes,OFFSET(NroCT!B$17, MATCH($F1349,NroCT!$A$18:$A1405,0),0,1,1),Periodovigente)                                                                                                                     ,A1349) ,'Cuadro tarifario'!A$2:A1405,0) -1 , 0 , 1 , 1) )   , 0  ,   OFFSET(   'Cuadro tarifario'!D$2  , MATCH(CONCATENATE( IF(F1349&gt;Mes,OFFSET(NroCT!B$17, MATCH($F1349,NroCT!$A$18:$A1405,0),0,1,1),Periodovigente) ,A1349) ,'Cuadro tarifario'!A$2:A1405,0) -1 , 0 , 1 , 1))</f>
        <v>11000</v>
      </c>
      <c r="I1349" s="61">
        <f t="shared" si="252"/>
        <v>0</v>
      </c>
      <c r="J1349" s="60">
        <f t="shared" si="306"/>
        <v>0</v>
      </c>
      <c r="K1349" s="62">
        <f>IF(  AND(N1349&gt;0,I1349=0)          ,N1349 ,                         IF(  IF( F1349 ,  DAYS360(DATE(YEAR(F1349),MONTH(F1349),1),Mes)/30  ,  DAYS360(DATE(YEAR(E1349),MONTH(E1349),1),Mes)/30  )  &gt;  0 , IF(F1349,   DAYS360(DATE(YEAR(F1349),MONTH(F1349),1),Mes)/30  ,  DAYS360(DATE(YEAR(E1349),MONTH(E1349),1),Mes)/30) , 0)       )</f>
        <v>0</v>
      </c>
      <c r="L1349" s="63">
        <f t="shared" si="253"/>
        <v>0</v>
      </c>
      <c r="M1349" s="162"/>
      <c r="N1349" s="97">
        <f>IF( ISERROR(OFFSET(SECUESTRADOS!D$1,MATCH(B1349,SECUESTRADOS!A$2:A1405,0),0)) ,0 ,  OFFSET(SECUESTRADOS!D$1,MATCH(B1349,SECUESTRADOS!A$2:A1405,0),0)  )</f>
        <v>0</v>
      </c>
      <c r="O1349" s="98"/>
      <c r="P1349" s="99" t="b">
        <f t="shared" si="238"/>
        <v>0</v>
      </c>
      <c r="Q1349" s="99" t="str">
        <f t="shared" si="304"/>
        <v>#REF!</v>
      </c>
      <c r="R1349" s="130"/>
      <c r="S1349" s="130"/>
      <c r="T1349" s="130"/>
    </row>
    <row r="1350">
      <c r="A1350" s="18" t="s">
        <v>38</v>
      </c>
      <c r="B1350" s="116">
        <v>2381.0</v>
      </c>
      <c r="C1350" s="140">
        <v>2381.0</v>
      </c>
      <c r="D1350" s="57" t="str">
        <f>IF(   ISERROR(OFFSET(PADRON!B$2,MATCH(C:C,PADRON!A$2:A1405,0)-1,0,1,1) )  ,  ,    OFFSET(PADRON!B$2,MATCH(C:C,PADRON!A$2:A1405,0)-1,0,1,1))</f>
        <v>DESILIO, PATRICIA LILIANA</v>
      </c>
      <c r="E1350" s="58">
        <v>45901.0</v>
      </c>
      <c r="F1350" s="145"/>
      <c r="G1350" s="59" t="s">
        <v>39</v>
      </c>
      <c r="H1350" s="60">
        <f>IF( ISERROR( OFFSET(   'Cuadro tarifario'!D$2  , MATCH(CONCATENATE(                 IF(F1350&gt;Mes,OFFSET(NroCT!B$17, MATCH($F1350,NroCT!$A$18:$A1405,0),0,1,1),Periodovigente)                                                                                                                     ,A1350) ,'Cuadro tarifario'!A$2:A1405,0) -1 , 0 , 1 , 1) )   , 0  ,   OFFSET(   'Cuadro tarifario'!D$2  , MATCH(CONCATENATE( IF(F1350&gt;Mes,OFFSET(NroCT!B$17, MATCH($F1350,NroCT!$A$18:$A1405,0),0,1,1),Periodovigente) ,A1350) ,'Cuadro tarifario'!A$2:A1405,0) -1 , 0 , 1 , 1))</f>
        <v>9000</v>
      </c>
      <c r="I1350" s="61">
        <f t="shared" si="252"/>
        <v>0</v>
      </c>
      <c r="J1350" s="60">
        <f t="shared" si="306"/>
        <v>0</v>
      </c>
      <c r="K1350" s="62">
        <f>IF(  AND(N1350&gt;0,I1350=0)          ,N1350 ,                         IF(  IF( F1350 ,  DAYS360(DATE(YEAR(F1350),MONTH(F1350),1),Mes)/30  ,  DAYS360(DATE(YEAR(E1350),MONTH(E1350),1),Mes)/30  )  &gt;  0 , IF(F1350,   DAYS360(DATE(YEAR(F1350),MONTH(F1350),1),Mes)/30  ,  DAYS360(DATE(YEAR(E1350),MONTH(E1350),1),Mes)/30) , 0)       )</f>
        <v>0</v>
      </c>
      <c r="L1350" s="63">
        <f t="shared" si="253"/>
        <v>0</v>
      </c>
      <c r="M1350" s="162"/>
      <c r="N1350" s="97">
        <f>IF( ISERROR(OFFSET(SECUESTRADOS!D$1,MATCH(B1350,SECUESTRADOS!A$2:A1405,0),0)) ,0 ,  OFFSET(SECUESTRADOS!D$1,MATCH(B1350,SECUESTRADOS!A$2:A1405,0),0)  )</f>
        <v>0</v>
      </c>
      <c r="O1350" s="98"/>
      <c r="P1350" s="99" t="b">
        <f t="shared" si="238"/>
        <v>0</v>
      </c>
      <c r="Q1350" s="99" t="str">
        <f t="shared" si="304"/>
        <v>#REF!</v>
      </c>
      <c r="R1350" s="130"/>
      <c r="S1350" s="130"/>
      <c r="T1350" s="130"/>
    </row>
    <row r="1351">
      <c r="A1351" s="18" t="s">
        <v>40</v>
      </c>
      <c r="B1351" s="116" t="s">
        <v>489</v>
      </c>
      <c r="C1351" s="140">
        <v>2381.0</v>
      </c>
      <c r="D1351" s="57" t="str">
        <f>IF(   ISERROR(OFFSET(PADRON!B$2,MATCH(C:C,PADRON!A$2:A1405,0)-1,0,1,1) )  ,  ,    OFFSET(PADRON!B$2,MATCH(C:C,PADRON!A$2:A1405,0)-1,0,1,1))</f>
        <v>DESILIO, PATRICIA LILIANA</v>
      </c>
      <c r="E1351" s="58">
        <v>45839.0</v>
      </c>
      <c r="F1351" s="145">
        <v>45870.0</v>
      </c>
      <c r="G1351" s="59" t="s">
        <v>39</v>
      </c>
      <c r="H1351" s="60">
        <f>IF( ISERROR( OFFSET(   'Cuadro tarifario'!D$2  , MATCH(CONCATENATE(                 IF(F1351&gt;Mes,OFFSET(NroCT!B$17, MATCH($F1351,NroCT!$A$18:$A1405,0),0,1,1),Periodovigente)                                                                                                                     ,A1351) ,'Cuadro tarifario'!A$2:A1405,0) -1 , 0 , 1 , 1) )   , 0  ,   OFFSET(   'Cuadro tarifario'!D$2  , MATCH(CONCATENATE( IF(F1351&gt;Mes,OFFSET(NroCT!B$17, MATCH($F1351,NroCT!$A$18:$A1405,0),0,1,1),Periodovigente) ,A1351) ,'Cuadro tarifario'!A$2:A1405,0) -1 , 0 , 1 , 1))</f>
        <v>12000</v>
      </c>
      <c r="I1351" s="61">
        <f t="shared" si="252"/>
        <v>1</v>
      </c>
      <c r="J1351" s="60">
        <f t="shared" si="306"/>
        <v>12000</v>
      </c>
      <c r="K1351" s="62">
        <f>IF(  AND(N1351&gt;0,I1351=0)          ,N1351 ,                         IF(  IF( F1351 ,  DAYS360(DATE(YEAR(F1351),MONTH(F1351),1),Mes)/30  ,  DAYS360(DATE(YEAR(E1351),MONTH(E1351),1),Mes)/30  )  &gt;  0 , IF(F1351,   DAYS360(DATE(YEAR(F1351),MONTH(F1351),1),Mes)/30  ,  DAYS360(DATE(YEAR(E1351),MONTH(E1351),1),Mes)/30) , 0)       )</f>
        <v>0</v>
      </c>
      <c r="L1351" s="63">
        <f t="shared" si="253"/>
        <v>0</v>
      </c>
      <c r="M1351" s="162"/>
      <c r="N1351" s="97">
        <f>IF( ISERROR(OFFSET(SECUESTRADOS!D$1,MATCH(B1351,SECUESTRADOS!A$2:A1405,0),0)) ,0 ,  OFFSET(SECUESTRADOS!D$1,MATCH(B1351,SECUESTRADOS!A$2:A1405,0),0)  )</f>
        <v>0</v>
      </c>
      <c r="O1351" s="98"/>
      <c r="P1351" s="99" t="str">
        <f t="shared" si="238"/>
        <v>cuna windsurf</v>
      </c>
      <c r="Q1351" s="99" t="str">
        <f t="shared" si="304"/>
        <v>#REF!</v>
      </c>
      <c r="R1351" s="130"/>
      <c r="S1351" s="130"/>
      <c r="T1351" s="130"/>
    </row>
    <row r="1352">
      <c r="A1352" s="18" t="s">
        <v>71</v>
      </c>
      <c r="B1352" s="116">
        <v>2382.0</v>
      </c>
      <c r="C1352" s="140">
        <v>2382.0</v>
      </c>
      <c r="D1352" s="57" t="str">
        <f>IF(   ISERROR(OFFSET(PADRON!B$2,MATCH(C:C,PADRON!A$2:A1405,0)-1,0,1,1) )  ,  ,    OFFSET(PADRON!B$2,MATCH(C:C,PADRON!A$2:A1405,0)-1,0,1,1))</f>
        <v>NOLI,M. PAULA</v>
      </c>
      <c r="E1352" s="58">
        <v>45901.0</v>
      </c>
      <c r="F1352" s="145"/>
      <c r="G1352" s="59" t="s">
        <v>39</v>
      </c>
      <c r="H1352" s="60">
        <f>IF( ISERROR( OFFSET(   'Cuadro tarifario'!D$2  , MATCH(CONCATENATE(                 IF(F1352&gt;Mes,OFFSET(NroCT!B$17, MATCH($F1352,NroCT!$A$18:$A1405,0),0,1,1),Periodovigente)                                                                                                                     ,A1352) ,'Cuadro tarifario'!A$2:A1405,0) -1 , 0 , 1 , 1) )   , 0  ,   OFFSET(   'Cuadro tarifario'!D$2  , MATCH(CONCATENATE( IF(F1352&gt;Mes,OFFSET(NroCT!B$17, MATCH($F1352,NroCT!$A$18:$A1405,0),0,1,1),Periodovigente) ,A1352) ,'Cuadro tarifario'!A$2:A1405,0) -1 , 0 , 1 , 1))</f>
        <v>11000</v>
      </c>
      <c r="I1352" s="61">
        <f t="shared" si="252"/>
        <v>0</v>
      </c>
      <c r="J1352" s="60">
        <f t="shared" si="306"/>
        <v>0</v>
      </c>
      <c r="K1352" s="62">
        <f>IF(  AND(N1352&gt;0,I1352=0)          ,N1352 ,                         IF(  IF( F1352 ,  DAYS360(DATE(YEAR(F1352),MONTH(F1352),1),Mes)/30  ,  DAYS360(DATE(YEAR(E1352),MONTH(E1352),1),Mes)/30  )  &gt;  0 , IF(F1352,   DAYS360(DATE(YEAR(F1352),MONTH(F1352),1),Mes)/30  ,  DAYS360(DATE(YEAR(E1352),MONTH(E1352),1),Mes)/30) , 0)       )</f>
        <v>0</v>
      </c>
      <c r="L1352" s="63">
        <f t="shared" si="253"/>
        <v>0</v>
      </c>
      <c r="M1352" s="162"/>
      <c r="N1352" s="97">
        <f>IF( ISERROR(OFFSET(SECUESTRADOS!D$1,MATCH(B1352,SECUESTRADOS!A$2:A1405,0),0)) ,0 ,  OFFSET(SECUESTRADOS!D$1,MATCH(B1352,SECUESTRADOS!A$2:A1405,0),0)  )</f>
        <v>0</v>
      </c>
      <c r="O1352" s="98"/>
      <c r="P1352" s="99" t="b">
        <f t="shared" si="238"/>
        <v>0</v>
      </c>
      <c r="Q1352" s="99" t="str">
        <f t="shared" si="304"/>
        <v>#REF!</v>
      </c>
      <c r="R1352" s="130"/>
      <c r="S1352" s="130"/>
      <c r="T1352" s="130"/>
    </row>
    <row r="1353">
      <c r="A1353" s="18" t="s">
        <v>38</v>
      </c>
      <c r="B1353" s="116">
        <v>2382.0</v>
      </c>
      <c r="C1353" s="140">
        <v>2382.0</v>
      </c>
      <c r="D1353" s="57" t="str">
        <f>IF(   ISERROR(OFFSET(PADRON!B$2,MATCH(C:C,PADRON!A$2:A1405,0)-1,0,1,1) )  ,  ,    OFFSET(PADRON!B$2,MATCH(C:C,PADRON!A$2:A1405,0)-1,0,1,1))</f>
        <v>NOLI,M. PAULA</v>
      </c>
      <c r="E1353" s="21">
        <v>45901.0</v>
      </c>
      <c r="F1353" s="145"/>
      <c r="G1353" s="59" t="s">
        <v>39</v>
      </c>
      <c r="H1353" s="60">
        <f>IF( ISERROR( OFFSET(   'Cuadro tarifario'!D$2  , MATCH(CONCATENATE(                 IF(F1353&gt;Mes,OFFSET(NroCT!B$17, MATCH($F1353,NroCT!$A$18:$A1405,0),0,1,1),Periodovigente)                                                                                                                     ,A1353) ,'Cuadro tarifario'!A$2:A1405,0) -1 , 0 , 1 , 1) )   , 0  ,   OFFSET(   'Cuadro tarifario'!D$2  , MATCH(CONCATENATE( IF(F1353&gt;Mes,OFFSET(NroCT!B$17, MATCH($F1353,NroCT!$A$18:$A1405,0),0,1,1),Periodovigente) ,A1353) ,'Cuadro tarifario'!A$2:A1405,0) -1 , 0 , 1 , 1))</f>
        <v>9000</v>
      </c>
      <c r="I1353" s="61">
        <f t="shared" si="252"/>
        <v>0</v>
      </c>
      <c r="J1353" s="60">
        <f t="shared" si="306"/>
        <v>0</v>
      </c>
      <c r="K1353" s="62">
        <f>IF(  AND(N1353&gt;0,I1353=0)          ,N1353 ,                         IF(  IF( F1353 ,  DAYS360(DATE(YEAR(F1353),MONTH(F1353),1),Mes)/30  ,  DAYS360(DATE(YEAR(E1353),MONTH(E1353),1),Mes)/30  )  &gt;  0 , IF(F1353,   DAYS360(DATE(YEAR(F1353),MONTH(F1353),1),Mes)/30  ,  DAYS360(DATE(YEAR(E1353),MONTH(E1353),1),Mes)/30) , 0)       )</f>
        <v>0</v>
      </c>
      <c r="L1353" s="63">
        <f t="shared" si="253"/>
        <v>0</v>
      </c>
      <c r="M1353" s="162"/>
      <c r="N1353" s="97">
        <f>IF( ISERROR(OFFSET(SECUESTRADOS!D$1,MATCH(B1353,SECUESTRADOS!A$2:A1405,0),0)) ,0 ,  OFFSET(SECUESTRADOS!D$1,MATCH(B1353,SECUESTRADOS!A$2:A1405,0),0)  )</f>
        <v>0</v>
      </c>
      <c r="O1353" s="98"/>
      <c r="P1353" s="99" t="b">
        <f t="shared" si="238"/>
        <v>0</v>
      </c>
      <c r="Q1353" s="99" t="str">
        <f t="shared" si="304"/>
        <v>#REF!</v>
      </c>
      <c r="R1353" s="130"/>
      <c r="S1353" s="130"/>
      <c r="T1353" s="130"/>
    </row>
    <row r="1354">
      <c r="A1354" s="18" t="s">
        <v>71</v>
      </c>
      <c r="B1354" s="116">
        <v>2383.0</v>
      </c>
      <c r="C1354" s="140">
        <v>2383.0</v>
      </c>
      <c r="D1354" s="57" t="str">
        <f>IF(   ISERROR(OFFSET(PADRON!B$2,MATCH(C:C,PADRON!A$2:A1405,0)-1,0,1,1) )  ,  ,    OFFSET(PADRON!B$2,MATCH(C:C,PADRON!A$2:A1405,0)-1,0,1,1))</f>
        <v>GAROFALO, JAVIER GUSTAVO</v>
      </c>
      <c r="E1354" s="58">
        <v>45931.0</v>
      </c>
      <c r="F1354" s="145"/>
      <c r="G1354" s="59" t="s">
        <v>39</v>
      </c>
      <c r="H1354" s="60">
        <f>IF( ISERROR( OFFSET(   'Cuadro tarifario'!D$2  , MATCH(CONCATENATE(                 IF(F1354&gt;Mes,OFFSET(NroCT!B$17, MATCH($F1354,NroCT!$A$18:$A1405,0),0,1,1),Periodovigente)                                                                                                                     ,A1354) ,'Cuadro tarifario'!A$2:A1405,0) -1 , 0 , 1 , 1) )   , 0  ,   OFFSET(   'Cuadro tarifario'!D$2  , MATCH(CONCATENATE( IF(F1354&gt;Mes,OFFSET(NroCT!B$17, MATCH($F1354,NroCT!$A$18:$A1405,0),0,1,1),Periodovigente) ,A1354) ,'Cuadro tarifario'!A$2:A1405,0) -1 , 0 , 1 , 1))</f>
        <v>11000</v>
      </c>
      <c r="I1354" s="61">
        <f t="shared" si="252"/>
        <v>0</v>
      </c>
      <c r="J1354" s="60">
        <f t="shared" si="306"/>
        <v>0</v>
      </c>
      <c r="K1354" s="62">
        <f>IF(  AND(N1354&gt;0,I1354=0)          ,N1354 ,                         IF(  IF( F1354 ,  DAYS360(DATE(YEAR(F1354),MONTH(F1354),1),Mes)/30  ,  DAYS360(DATE(YEAR(E1354),MONTH(E1354),1),Mes)/30  )  &gt;  0 , IF(F1354,   DAYS360(DATE(YEAR(F1354),MONTH(F1354),1),Mes)/30  ,  DAYS360(DATE(YEAR(E1354),MONTH(E1354),1),Mes)/30) , 0)       )</f>
        <v>0</v>
      </c>
      <c r="L1354" s="63">
        <f t="shared" si="253"/>
        <v>0</v>
      </c>
      <c r="M1354" s="162"/>
      <c r="N1354" s="97">
        <f>IF( ISERROR(OFFSET(SECUESTRADOS!D$1,MATCH(B1354,SECUESTRADOS!A$2:A1405,0),0)) ,0 ,  OFFSET(SECUESTRADOS!D$1,MATCH(B1354,SECUESTRADOS!A$2:A1405,0),0)  )</f>
        <v>0</v>
      </c>
      <c r="O1354" s="98"/>
      <c r="P1354" s="99" t="b">
        <f t="shared" si="238"/>
        <v>0</v>
      </c>
      <c r="Q1354" s="99" t="str">
        <f t="shared" si="304"/>
        <v>#REF!</v>
      </c>
      <c r="R1354" s="130"/>
      <c r="S1354" s="130"/>
      <c r="T1354" s="130"/>
    </row>
    <row r="1355">
      <c r="A1355" s="18" t="s">
        <v>38</v>
      </c>
      <c r="B1355" s="116">
        <v>2383.0</v>
      </c>
      <c r="C1355" s="140">
        <v>2383.0</v>
      </c>
      <c r="D1355" s="57" t="str">
        <f>IF(   ISERROR(OFFSET(PADRON!B$2,MATCH(C:C,PADRON!A$2:A1405,0)-1,0,1,1) )  ,  ,    OFFSET(PADRON!B$2,MATCH(C:C,PADRON!A$2:A1405,0)-1,0,1,1))</f>
        <v>GAROFALO, JAVIER GUSTAVO</v>
      </c>
      <c r="E1355" s="21">
        <v>45931.0</v>
      </c>
      <c r="F1355" s="145"/>
      <c r="G1355" s="59" t="s">
        <v>39</v>
      </c>
      <c r="H1355" s="60">
        <f>IF( ISERROR( OFFSET(   'Cuadro tarifario'!D$2  , MATCH(CONCATENATE(                 IF(F1355&gt;Mes,OFFSET(NroCT!B$17, MATCH($F1355,NroCT!$A$18:$A1405,0),0,1,1),Periodovigente)                                                                                                                     ,A1355) ,'Cuadro tarifario'!A$2:A1405,0) -1 , 0 , 1 , 1) )   , 0  ,   OFFSET(   'Cuadro tarifario'!D$2  , MATCH(CONCATENATE( IF(F1355&gt;Mes,OFFSET(NroCT!B$17, MATCH($F1355,NroCT!$A$18:$A1405,0),0,1,1),Periodovigente) ,A1355) ,'Cuadro tarifario'!A$2:A1405,0) -1 , 0 , 1 , 1))</f>
        <v>9000</v>
      </c>
      <c r="I1355" s="61">
        <f t="shared" si="252"/>
        <v>0</v>
      </c>
      <c r="J1355" s="60">
        <f t="shared" si="306"/>
        <v>0</v>
      </c>
      <c r="K1355" s="62">
        <f>IF(  AND(N1355&gt;0,I1355=0)          ,N1355 ,                         IF(  IF( F1355 ,  DAYS360(DATE(YEAR(F1355),MONTH(F1355),1),Mes)/30  ,  DAYS360(DATE(YEAR(E1355),MONTH(E1355),1),Mes)/30  )  &gt;  0 , IF(F1355,   DAYS360(DATE(YEAR(F1355),MONTH(F1355),1),Mes)/30  ,  DAYS360(DATE(YEAR(E1355),MONTH(E1355),1),Mes)/30) , 0)       )</f>
        <v>0</v>
      </c>
      <c r="L1355" s="63">
        <f t="shared" si="253"/>
        <v>0</v>
      </c>
      <c r="M1355" s="162"/>
      <c r="N1355" s="97">
        <f>IF( ISERROR(OFFSET(SECUESTRADOS!D$1,MATCH(B1355,SECUESTRADOS!A$2:A1405,0),0)) ,0 ,  OFFSET(SECUESTRADOS!D$1,MATCH(B1355,SECUESTRADOS!A$2:A1405,0),0)  )</f>
        <v>0</v>
      </c>
      <c r="O1355" s="98"/>
      <c r="P1355" s="99" t="b">
        <f t="shared" si="238"/>
        <v>0</v>
      </c>
      <c r="Q1355" s="99" t="str">
        <f t="shared" si="304"/>
        <v>#REF!</v>
      </c>
      <c r="R1355" s="130"/>
      <c r="S1355" s="130"/>
      <c r="T1355" s="130"/>
    </row>
    <row r="1356">
      <c r="A1356" s="18" t="s">
        <v>82</v>
      </c>
      <c r="B1356" s="116" t="s">
        <v>490</v>
      </c>
      <c r="C1356" s="140">
        <v>2383.0</v>
      </c>
      <c r="D1356" s="57" t="str">
        <f>IF(   ISERROR(OFFSET(PADRON!B$2,MATCH(C:C,PADRON!A$2:A1405,0)-1,0,1,1) )  ,  ,    OFFSET(PADRON!B$2,MATCH(C:C,PADRON!A$2:A1405,0)-1,0,1,1))</f>
        <v>GAROFALO, JAVIER GUSTAVO</v>
      </c>
      <c r="E1356" s="21">
        <v>45931.0</v>
      </c>
      <c r="F1356" s="145"/>
      <c r="G1356" s="59" t="s">
        <v>39</v>
      </c>
      <c r="H1356" s="60">
        <f>IF( ISERROR( OFFSET(   'Cuadro tarifario'!D$2  , MATCH(CONCATENATE(                 IF(F1356&gt;Mes,OFFSET(NroCT!B$17, MATCH($F1356,NroCT!$A$18:$A1405,0),0,1,1),Periodovigente)                                                                                                                     ,A1356) ,'Cuadro tarifario'!A$2:A1405,0) -1 , 0 , 1 , 1) )   , 0  ,   OFFSET(   'Cuadro tarifario'!D$2  , MATCH(CONCATENATE( IF(F1356&gt;Mes,OFFSET(NroCT!B$17, MATCH($F1356,NroCT!$A$18:$A1405,0),0,1,1),Periodovigente) ,A1356) ,'Cuadro tarifario'!A$2:A1405,0) -1 , 0 , 1 , 1))</f>
        <v>12000</v>
      </c>
      <c r="I1356" s="61">
        <f t="shared" si="252"/>
        <v>0</v>
      </c>
      <c r="J1356" s="60">
        <f t="shared" si="306"/>
        <v>0</v>
      </c>
      <c r="K1356" s="62">
        <f>IF(  AND(N1356&gt;0,I1356=0)          ,N1356 ,                         IF(  IF( F1356 ,  DAYS360(DATE(YEAR(F1356),MONTH(F1356),1),Mes)/30  ,  DAYS360(DATE(YEAR(E1356),MONTH(E1356),1),Mes)/30  )  &gt;  0 , IF(F1356,   DAYS360(DATE(YEAR(F1356),MONTH(F1356),1),Mes)/30  ,  DAYS360(DATE(YEAR(E1356),MONTH(E1356),1),Mes)/30) , 0)       )</f>
        <v>0</v>
      </c>
      <c r="L1356" s="63">
        <f t="shared" si="253"/>
        <v>0</v>
      </c>
      <c r="M1356" s="162"/>
      <c r="N1356" s="97">
        <f>IF( ISERROR(OFFSET(SECUESTRADOS!D$1,MATCH(B1356,SECUESTRADOS!A$2:A1405,0),0)) ,0 ,  OFFSET(SECUESTRADOS!D$1,MATCH(B1356,SECUESTRADOS!A$2:A1405,0),0)  )</f>
        <v>0</v>
      </c>
      <c r="O1356" s="98"/>
      <c r="P1356" s="99" t="b">
        <f t="shared" si="238"/>
        <v>0</v>
      </c>
      <c r="Q1356" s="99" t="str">
        <f t="shared" si="304"/>
        <v>#REF!</v>
      </c>
      <c r="R1356" s="130"/>
      <c r="S1356" s="130"/>
      <c r="T1356" s="130"/>
    </row>
    <row r="1357">
      <c r="A1357" s="18" t="s">
        <v>71</v>
      </c>
      <c r="B1357" s="116">
        <v>2384.0</v>
      </c>
      <c r="C1357" s="140">
        <v>2384.0</v>
      </c>
      <c r="D1357" s="57" t="str">
        <f>IF(   ISERROR(OFFSET(PADRON!B$2,MATCH(C:C,PADRON!A$2:A1405,0)-1,0,1,1) )  ,  ,    OFFSET(PADRON!B$2,MATCH(C:C,PADRON!A$2:A1405,0)-1,0,1,1))</f>
        <v>RASILLA, TOMAS</v>
      </c>
      <c r="E1357" s="58">
        <v>45931.0</v>
      </c>
      <c r="F1357" s="145"/>
      <c r="G1357" s="59" t="s">
        <v>56</v>
      </c>
      <c r="H1357" s="60">
        <f>IF( ISERROR( OFFSET(   'Cuadro tarifario'!D$2  , MATCH(CONCATENATE(                 IF(F1357&gt;Mes,OFFSET(NroCT!B$17, MATCH($F1357,NroCT!$A$18:$A1405,0),0,1,1),Periodovigente)                                                                                                                     ,A1357) ,'Cuadro tarifario'!A$2:A1405,0) -1 , 0 , 1 , 1) )   , 0  ,   OFFSET(   'Cuadro tarifario'!D$2  , MATCH(CONCATENATE( IF(F1357&gt;Mes,OFFSET(NroCT!B$17, MATCH($F1357,NroCT!$A$18:$A1405,0),0,1,1),Periodovigente) ,A1357) ,'Cuadro tarifario'!A$2:A1405,0) -1 , 0 , 1 , 1))</f>
        <v>11000</v>
      </c>
      <c r="I1357" s="61">
        <f t="shared" si="252"/>
        <v>0</v>
      </c>
      <c r="J1357" s="60">
        <f t="shared" si="306"/>
        <v>0</v>
      </c>
      <c r="K1357" s="62">
        <f>IF(  AND(N1357&gt;0,I1357=0)          ,N1357 ,                         IF(  IF( F1357 ,  DAYS360(DATE(YEAR(F1357),MONTH(F1357),1),Mes)/30  ,  DAYS360(DATE(YEAR(E1357),MONTH(E1357),1),Mes)/30  )  &gt;  0 , IF(F1357,   DAYS360(DATE(YEAR(F1357),MONTH(F1357),1),Mes)/30  ,  DAYS360(DATE(YEAR(E1357),MONTH(E1357),1),Mes)/30) , 0)       )</f>
        <v>0</v>
      </c>
      <c r="L1357" s="63">
        <f t="shared" si="253"/>
        <v>0</v>
      </c>
      <c r="M1357" s="162"/>
      <c r="N1357" s="97">
        <f>IF( ISERROR(OFFSET(SECUESTRADOS!D$1,MATCH(B1357,SECUESTRADOS!A$2:A1405,0),0)) ,0 ,  OFFSET(SECUESTRADOS!D$1,MATCH(B1357,SECUESTRADOS!A$2:A1405,0),0)  )</f>
        <v>0</v>
      </c>
      <c r="O1357" s="98"/>
      <c r="P1357" s="99" t="b">
        <f t="shared" si="238"/>
        <v>0</v>
      </c>
      <c r="Q1357" s="99" t="str">
        <f t="shared" si="304"/>
        <v>#REF!</v>
      </c>
      <c r="R1357" s="130"/>
      <c r="S1357" s="130"/>
      <c r="T1357" s="130"/>
    </row>
    <row r="1358">
      <c r="A1358" s="18" t="s">
        <v>38</v>
      </c>
      <c r="B1358" s="116">
        <v>2384.0</v>
      </c>
      <c r="C1358" s="140">
        <v>2384.0</v>
      </c>
      <c r="D1358" s="57" t="str">
        <f>IF(   ISERROR(OFFSET(PADRON!B$2,MATCH(C:C,PADRON!A$2:A1405,0)-1,0,1,1) )  ,  ,    OFFSET(PADRON!B$2,MATCH(C:C,PADRON!A$2:A1405,0)-1,0,1,1))</f>
        <v>RASILLA, TOMAS</v>
      </c>
      <c r="E1358" s="21">
        <v>45931.0</v>
      </c>
      <c r="F1358" s="145"/>
      <c r="G1358" s="59" t="s">
        <v>56</v>
      </c>
      <c r="H1358" s="60">
        <f>IF( ISERROR( OFFSET(   'Cuadro tarifario'!D$2  , MATCH(CONCATENATE(                 IF(F1358&gt;Mes,OFFSET(NroCT!B$17, MATCH($F1358,NroCT!$A$18:$A1405,0),0,1,1),Periodovigente)                                                                                                                     ,A1358) ,'Cuadro tarifario'!A$2:A1405,0) -1 , 0 , 1 , 1) )   , 0  ,   OFFSET(   'Cuadro tarifario'!D$2  , MATCH(CONCATENATE( IF(F1358&gt;Mes,OFFSET(NroCT!B$17, MATCH($F1358,NroCT!$A$18:$A1405,0),0,1,1),Periodovigente) ,A1358) ,'Cuadro tarifario'!A$2:A1405,0) -1 , 0 , 1 , 1))</f>
        <v>9000</v>
      </c>
      <c r="I1358" s="61">
        <f t="shared" si="252"/>
        <v>0</v>
      </c>
      <c r="J1358" s="60">
        <f t="shared" si="306"/>
        <v>0</v>
      </c>
      <c r="K1358" s="62">
        <f>IF(  AND(N1358&gt;0,I1358=0)          ,N1358 ,                         IF(  IF( F1358 ,  DAYS360(DATE(YEAR(F1358),MONTH(F1358),1),Mes)/30  ,  DAYS360(DATE(YEAR(E1358),MONTH(E1358),1),Mes)/30  )  &gt;  0 , IF(F1358,   DAYS360(DATE(YEAR(F1358),MONTH(F1358),1),Mes)/30  ,  DAYS360(DATE(YEAR(E1358),MONTH(E1358),1),Mes)/30) , 0)       )</f>
        <v>0</v>
      </c>
      <c r="L1358" s="63">
        <f t="shared" si="253"/>
        <v>0</v>
      </c>
      <c r="M1358" s="162"/>
      <c r="N1358" s="97">
        <f>IF( ISERROR(OFFSET(SECUESTRADOS!D$1,MATCH(B1358,SECUESTRADOS!A$2:A1405,0),0)) ,0 ,  OFFSET(SECUESTRADOS!D$1,MATCH(B1358,SECUESTRADOS!A$2:A1405,0),0)  )</f>
        <v>0</v>
      </c>
      <c r="O1358" s="98"/>
      <c r="P1358" s="99" t="b">
        <f t="shared" si="238"/>
        <v>0</v>
      </c>
      <c r="Q1358" s="99" t="str">
        <f t="shared" si="304"/>
        <v>#REF!</v>
      </c>
      <c r="R1358" s="130"/>
      <c r="S1358" s="130"/>
      <c r="T1358" s="130"/>
    </row>
    <row r="1359">
      <c r="A1359" s="18" t="s">
        <v>48</v>
      </c>
      <c r="B1359" s="116" t="s">
        <v>491</v>
      </c>
      <c r="C1359" s="140">
        <v>2384.0</v>
      </c>
      <c r="D1359" s="57" t="str">
        <f>IF(   ISERROR(OFFSET(PADRON!B$2,MATCH(C:C,PADRON!A$2:A1405,0)-1,0,1,1) )  ,  ,    OFFSET(PADRON!B$2,MATCH(C:C,PADRON!A$2:A1405,0)-1,0,1,1))</f>
        <v>RASILLA, TOMAS</v>
      </c>
      <c r="E1359" s="21">
        <v>45931.0</v>
      </c>
      <c r="F1359" s="145"/>
      <c r="G1359" s="59" t="s">
        <v>56</v>
      </c>
      <c r="H1359" s="60">
        <f>IF( ISERROR( OFFSET(   'Cuadro tarifario'!D$2  , MATCH(CONCATENATE(                 IF(F1359&gt;Mes,OFFSET(NroCT!B$17, MATCH($F1359,NroCT!$A$18:$A1405,0),0,1,1),Periodovigente)                                                                                                                     ,A1359) ,'Cuadro tarifario'!A$2:A1405,0) -1 , 0 , 1 , 1) )   , 0  ,   OFFSET(   'Cuadro tarifario'!D$2  , MATCH(CONCATENATE( IF(F1359&gt;Mes,OFFSET(NroCT!B$17, MATCH($F1359,NroCT!$A$18:$A1405,0),0,1,1),Periodovigente) ,A1359) ,'Cuadro tarifario'!A$2:A1405,0) -1 , 0 , 1 , 1))</f>
        <v>12000</v>
      </c>
      <c r="I1359" s="61">
        <f t="shared" si="252"/>
        <v>0</v>
      </c>
      <c r="J1359" s="60">
        <f t="shared" si="306"/>
        <v>0</v>
      </c>
      <c r="K1359" s="62">
        <f>IF(  AND(N1359&gt;0,I1359=0)          ,N1359 ,                         IF(  IF( F1359 ,  DAYS360(DATE(YEAR(F1359),MONTH(F1359),1),Mes)/30  ,  DAYS360(DATE(YEAR(E1359),MONTH(E1359),1),Mes)/30  )  &gt;  0 , IF(F1359,   DAYS360(DATE(YEAR(F1359),MONTH(F1359),1),Mes)/30  ,  DAYS360(DATE(YEAR(E1359),MONTH(E1359),1),Mes)/30) , 0)       )</f>
        <v>0</v>
      </c>
      <c r="L1359" s="63">
        <f t="shared" si="253"/>
        <v>0</v>
      </c>
      <c r="M1359" s="162"/>
      <c r="N1359" s="97">
        <f>IF( ISERROR(OFFSET(SECUESTRADOS!D$1,MATCH(B1359,SECUESTRADOS!A$2:A1405,0),0)) ,0 ,  OFFSET(SECUESTRADOS!D$1,MATCH(B1359,SECUESTRADOS!A$2:A1405,0),0)  )</f>
        <v>0</v>
      </c>
      <c r="O1359" s="98"/>
      <c r="P1359" s="99" t="b">
        <f t="shared" si="238"/>
        <v>0</v>
      </c>
      <c r="Q1359" s="99" t="str">
        <f t="shared" si="304"/>
        <v>#REF!</v>
      </c>
      <c r="R1359" s="130"/>
      <c r="S1359" s="130"/>
      <c r="T1359" s="130"/>
    </row>
    <row r="1360">
      <c r="A1360" s="18" t="s">
        <v>71</v>
      </c>
      <c r="B1360" s="116">
        <v>2385.0</v>
      </c>
      <c r="C1360" s="140">
        <v>2385.0</v>
      </c>
      <c r="D1360" s="57" t="str">
        <f>IF(   ISERROR(OFFSET(PADRON!B$2,MATCH(C:C,PADRON!A$2:A1405,0)-1,0,1,1) )  ,  ,    OFFSET(PADRON!B$2,MATCH(C:C,PADRON!A$2:A1405,0)-1,0,1,1))</f>
        <v>PEON, LEONARDO</v>
      </c>
      <c r="E1360" s="21">
        <v>45992.0</v>
      </c>
      <c r="F1360" s="145"/>
      <c r="G1360" s="59" t="s">
        <v>39</v>
      </c>
      <c r="H1360" s="60">
        <f>IF( ISERROR( OFFSET(   'Cuadro tarifario'!D$2  , MATCH(CONCATENATE(                 IF(F1360&gt;Mes,OFFSET(NroCT!B$17, MATCH($F1360,NroCT!$A$18:$A1405,0),0,1,1),Periodovigente)                                                                                                                     ,A1360) ,'Cuadro tarifario'!A$2:A1405,0) -1 , 0 , 1 , 1) )   , 0  ,   OFFSET(   'Cuadro tarifario'!D$2  , MATCH(CONCATENATE( IF(F1360&gt;Mes,OFFSET(NroCT!B$17, MATCH($F1360,NroCT!$A$18:$A1405,0),0,1,1),Periodovigente) ,A1360) ,'Cuadro tarifario'!A$2:A1405,0) -1 , 0 , 1 , 1))</f>
        <v>11000</v>
      </c>
      <c r="I1360" s="61">
        <f t="shared" si="252"/>
        <v>0</v>
      </c>
      <c r="J1360" s="60">
        <f t="shared" si="306"/>
        <v>0</v>
      </c>
      <c r="K1360" s="62">
        <f>IF(  AND(N1360&gt;0,I1360=0)          ,N1360 ,                         IF(  IF( F1360 ,  DAYS360(DATE(YEAR(F1360),MONTH(F1360),1),Mes)/30  ,  DAYS360(DATE(YEAR(E1360),MONTH(E1360),1),Mes)/30  )  &gt;  0 , IF(F1360,   DAYS360(DATE(YEAR(F1360),MONTH(F1360),1),Mes)/30  ,  DAYS360(DATE(YEAR(E1360),MONTH(E1360),1),Mes)/30) , 0)       )</f>
        <v>0</v>
      </c>
      <c r="L1360" s="63">
        <f t="shared" si="253"/>
        <v>0</v>
      </c>
      <c r="M1360" s="162"/>
      <c r="N1360" s="97">
        <f>IF( ISERROR(OFFSET(SECUESTRADOS!D$1,MATCH(B1360,SECUESTRADOS!A$2:A1405,0),0)) ,0 ,  OFFSET(SECUESTRADOS!D$1,MATCH(B1360,SECUESTRADOS!A$2:A1405,0),0)  )</f>
        <v>0</v>
      </c>
      <c r="O1360" s="98"/>
      <c r="P1360" s="99" t="b">
        <f t="shared" si="238"/>
        <v>0</v>
      </c>
      <c r="Q1360" s="99" t="str">
        <f t="shared" si="304"/>
        <v>#REF!</v>
      </c>
      <c r="R1360" s="130"/>
      <c r="S1360" s="130"/>
      <c r="T1360" s="130"/>
    </row>
    <row r="1361">
      <c r="A1361" s="18" t="s">
        <v>38</v>
      </c>
      <c r="B1361" s="116">
        <v>2385.0</v>
      </c>
      <c r="C1361" s="140">
        <v>2385.0</v>
      </c>
      <c r="D1361" s="57" t="str">
        <f>IF(   ISERROR(OFFSET(PADRON!B$2,MATCH(C:C,PADRON!A$2:A1405,0)-1,0,1,1) )  ,  ,    OFFSET(PADRON!B$2,MATCH(C:C,PADRON!A$2:A1405,0)-1,0,1,1))</f>
        <v>PEON, LEONARDO</v>
      </c>
      <c r="E1361" s="21">
        <v>45992.0</v>
      </c>
      <c r="F1361" s="145"/>
      <c r="G1361" s="59" t="s">
        <v>39</v>
      </c>
      <c r="H1361" s="60">
        <f>IF( ISERROR( OFFSET(   'Cuadro tarifario'!D$2  , MATCH(CONCATENATE(                 IF(F1361&gt;Mes,OFFSET(NroCT!B$17, MATCH($F1361,NroCT!$A$18:$A1405,0),0,1,1),Periodovigente)                                                                                                                     ,A1361) ,'Cuadro tarifario'!A$2:A1405,0) -1 , 0 , 1 , 1) )   , 0  ,   OFFSET(   'Cuadro tarifario'!D$2  , MATCH(CONCATENATE( IF(F1361&gt;Mes,OFFSET(NroCT!B$17, MATCH($F1361,NroCT!$A$18:$A1405,0),0,1,1),Periodovigente) ,A1361) ,'Cuadro tarifario'!A$2:A1405,0) -1 , 0 , 1 , 1))</f>
        <v>9000</v>
      </c>
      <c r="I1361" s="61">
        <f t="shared" si="252"/>
        <v>0</v>
      </c>
      <c r="J1361" s="60">
        <f t="shared" si="306"/>
        <v>0</v>
      </c>
      <c r="K1361" s="62">
        <f>IF(  AND(N1361&gt;0,I1361=0)          ,N1361 ,                         IF(  IF( F1361 ,  DAYS360(DATE(YEAR(F1361),MONTH(F1361),1),Mes)/30  ,  DAYS360(DATE(YEAR(E1361),MONTH(E1361),1),Mes)/30  )  &gt;  0 , IF(F1361,   DAYS360(DATE(YEAR(F1361),MONTH(F1361),1),Mes)/30  ,  DAYS360(DATE(YEAR(E1361),MONTH(E1361),1),Mes)/30) , 0)       )</f>
        <v>0</v>
      </c>
      <c r="L1361" s="63">
        <f t="shared" si="253"/>
        <v>0</v>
      </c>
      <c r="M1361" s="162"/>
      <c r="N1361" s="97">
        <f>IF( ISERROR(OFFSET(SECUESTRADOS!D$1,MATCH(B1361,SECUESTRADOS!A$2:A1405,0),0)) ,0 ,  OFFSET(SECUESTRADOS!D$1,MATCH(B1361,SECUESTRADOS!A$2:A1405,0),0)  )</f>
        <v>0</v>
      </c>
      <c r="O1361" s="98"/>
      <c r="P1361" s="99" t="b">
        <f t="shared" si="238"/>
        <v>0</v>
      </c>
      <c r="Q1361" s="99" t="str">
        <f t="shared" si="304"/>
        <v>#REF!</v>
      </c>
      <c r="R1361" s="130"/>
      <c r="S1361" s="130"/>
      <c r="T1361" s="130"/>
    </row>
    <row r="1362">
      <c r="A1362" s="18" t="s">
        <v>71</v>
      </c>
      <c r="B1362" s="116">
        <v>2386.0</v>
      </c>
      <c r="C1362" s="140">
        <v>2386.0</v>
      </c>
      <c r="D1362" s="57" t="str">
        <f>IF(   ISERROR(OFFSET(PADRON!B$2,MATCH(C:C,PADRON!A$2:A1405,0)-1,0,1,1) )  ,  ,    OFFSET(PADRON!B$2,MATCH(C:C,PADRON!A$2:A1405,0)-1,0,1,1))</f>
        <v>CASIELLES, ANDREA</v>
      </c>
      <c r="E1362" s="21">
        <v>45839.0</v>
      </c>
      <c r="F1362" s="145">
        <v>45962.0</v>
      </c>
      <c r="G1362" s="59" t="s">
        <v>39</v>
      </c>
      <c r="H1362" s="60">
        <f>IF( ISERROR( OFFSET(   'Cuadro tarifario'!D$2  , MATCH(CONCATENATE(                 IF(F1362&gt;Mes,OFFSET(NroCT!B$17, MATCH($F1362,NroCT!$A$18:$A1405,0),0,1,1),Periodovigente)                                                                                                                     ,A1362) ,'Cuadro tarifario'!A$2:A1405,0) -1 , 0 , 1 , 1) )   , 0  ,   OFFSET(   'Cuadro tarifario'!D$2  , MATCH(CONCATENATE( IF(F1362&gt;Mes,OFFSET(NroCT!B$17, MATCH($F1362,NroCT!$A$18:$A1405,0),0,1,1),Periodovigente) ,A1362) ,'Cuadro tarifario'!A$2:A1405,0) -1 , 0 , 1 , 1))</f>
        <v>11000</v>
      </c>
      <c r="I1362" s="61">
        <f t="shared" si="252"/>
        <v>4</v>
      </c>
      <c r="J1362" s="60">
        <f t="shared" si="306"/>
        <v>44000</v>
      </c>
      <c r="K1362" s="62">
        <f>IF(  AND(N1362&gt;0,I1362=0)          ,N1362 ,                         IF(  IF( F1362 ,  DAYS360(DATE(YEAR(F1362),MONTH(F1362),1),Mes)/30  ,  DAYS360(DATE(YEAR(E1362),MONTH(E1362),1),Mes)/30  )  &gt;  0 , IF(F1362,   DAYS360(DATE(YEAR(F1362),MONTH(F1362),1),Mes)/30  ,  DAYS360(DATE(YEAR(E1362),MONTH(E1362),1),Mes)/30) , 0)       )</f>
        <v>0</v>
      </c>
      <c r="L1362" s="63">
        <f t="shared" si="253"/>
        <v>0</v>
      </c>
      <c r="M1362" s="162"/>
      <c r="N1362" s="97">
        <f>IF( ISERROR(OFFSET(SECUESTRADOS!D$1,MATCH(B1362,SECUESTRADOS!A$2:A1405,0),0)) ,0 ,  OFFSET(SECUESTRADOS!D$1,MATCH(B1362,SECUESTRADOS!A$2:A1405,0),0)  )</f>
        <v>0</v>
      </c>
      <c r="O1362" s="98"/>
      <c r="P1362" s="99" t="str">
        <f t="shared" si="238"/>
        <v>.socio</v>
      </c>
      <c r="Q1362" s="99" t="str">
        <f t="shared" si="304"/>
        <v>#REF!</v>
      </c>
      <c r="R1362" s="130"/>
      <c r="S1362" s="130"/>
      <c r="T1362" s="130"/>
    </row>
    <row r="1363">
      <c r="A1363" s="18" t="s">
        <v>38</v>
      </c>
      <c r="B1363" s="116">
        <v>2386.0</v>
      </c>
      <c r="C1363" s="140">
        <v>2386.0</v>
      </c>
      <c r="D1363" s="57" t="str">
        <f>IF(   ISERROR(OFFSET(PADRON!B$2,MATCH(C:C,PADRON!A$2:A1405,0)-1,0,1,1) )  ,  ,    OFFSET(PADRON!B$2,MATCH(C:C,PADRON!A$2:A1405,0)-1,0,1,1))</f>
        <v>CASIELLES, ANDREA</v>
      </c>
      <c r="E1363" s="21">
        <v>45839.0</v>
      </c>
      <c r="F1363" s="145">
        <v>45962.0</v>
      </c>
      <c r="G1363" s="59" t="s">
        <v>39</v>
      </c>
      <c r="H1363" s="60">
        <f>IF( ISERROR( OFFSET(   'Cuadro tarifario'!D$2  , MATCH(CONCATENATE(                 IF(F1363&gt;Mes,OFFSET(NroCT!B$17, MATCH($F1363,NroCT!$A$18:$A1405,0),0,1,1),Periodovigente)                                                                                                                     ,A1363) ,'Cuadro tarifario'!A$2:A1405,0) -1 , 0 , 1 , 1) )   , 0  ,   OFFSET(   'Cuadro tarifario'!D$2  , MATCH(CONCATENATE( IF(F1363&gt;Mes,OFFSET(NroCT!B$17, MATCH($F1363,NroCT!$A$18:$A1405,0),0,1,1),Periodovigente) ,A1363) ,'Cuadro tarifario'!A$2:A1405,0) -1 , 0 , 1 , 1))</f>
        <v>9000</v>
      </c>
      <c r="I1363" s="61">
        <f t="shared" si="252"/>
        <v>4</v>
      </c>
      <c r="J1363" s="60">
        <f t="shared" si="306"/>
        <v>36000</v>
      </c>
      <c r="K1363" s="62">
        <f>IF(  AND(N1363&gt;0,I1363=0)          ,N1363 ,                         IF(  IF( F1363 ,  DAYS360(DATE(YEAR(F1363),MONTH(F1363),1),Mes)/30  ,  DAYS360(DATE(YEAR(E1363),MONTH(E1363),1),Mes)/30  )  &gt;  0 , IF(F1363,   DAYS360(DATE(YEAR(F1363),MONTH(F1363),1),Mes)/30  ,  DAYS360(DATE(YEAR(E1363),MONTH(E1363),1),Mes)/30) , 0)       )</f>
        <v>0</v>
      </c>
      <c r="L1363" s="63">
        <f t="shared" si="253"/>
        <v>0</v>
      </c>
      <c r="M1363" s="162"/>
      <c r="N1363" s="97">
        <f>IF( ISERROR(OFFSET(SECUESTRADOS!D$1,MATCH(B1363,SECUESTRADOS!A$2:A1405,0),0)) ,0 ,  OFFSET(SECUESTRADOS!D$1,MATCH(B1363,SECUESTRADOS!A$2:A1405,0),0)  )</f>
        <v>0</v>
      </c>
      <c r="O1363" s="98"/>
      <c r="P1363" s="99" t="str">
        <f t="shared" si="238"/>
        <v>Bono canon</v>
      </c>
      <c r="Q1363" s="99" t="str">
        <f t="shared" si="304"/>
        <v>#REF!</v>
      </c>
      <c r="R1363" s="130"/>
      <c r="S1363" s="130"/>
      <c r="T1363" s="130"/>
    </row>
    <row r="1364">
      <c r="A1364" s="18" t="s">
        <v>492</v>
      </c>
      <c r="B1364" s="116">
        <v>2386.0</v>
      </c>
      <c r="C1364" s="140">
        <v>2386.0</v>
      </c>
      <c r="D1364" s="57" t="str">
        <f>IF(   ISERROR(OFFSET(PADRON!B$2,MATCH(C:C,PADRON!A$2:A1405,0)-1,0,1,1) )  ,  ,    OFFSET(PADRON!B$2,MATCH(C:C,PADRON!A$2:A1405,0)-1,0,1,1))</f>
        <v>CASIELLES, ANDREA</v>
      </c>
      <c r="E1364" s="21">
        <v>45839.0</v>
      </c>
      <c r="F1364" s="145">
        <v>45870.0</v>
      </c>
      <c r="G1364" s="59" t="s">
        <v>39</v>
      </c>
      <c r="H1364" s="60">
        <f>IF( ISERROR( OFFSET(   'Cuadro tarifario'!D$2  , MATCH(CONCATENATE(                 IF(F1364&gt;Mes,OFFSET(NroCT!B$17, MATCH($F1364,NroCT!$A$18:$A1405,0),0,1,1),Periodovigente)                                                                                                                     ,A1364) ,'Cuadro tarifario'!A$2:A1405,0) -1 , 0 , 1 , 1) )   , 0  ,   OFFSET(   'Cuadro tarifario'!D$2  , MATCH(CONCATENATE( IF(F1364&gt;Mes,OFFSET(NroCT!B$17, MATCH($F1364,NroCT!$A$18:$A1405,0),0,1,1),Periodovigente) ,A1364) ,'Cuadro tarifario'!A$2:A1405,0) -1 , 0 , 1 , 1))</f>
        <v>30000</v>
      </c>
      <c r="I1364" s="61">
        <f t="shared" si="252"/>
        <v>1</v>
      </c>
      <c r="J1364" s="60">
        <f t="shared" si="306"/>
        <v>30000</v>
      </c>
      <c r="K1364" s="62">
        <f>IF(  AND(N1364&gt;0,I1364=0)          ,N1364 ,                         IF(  IF( F1364 ,  DAYS360(DATE(YEAR(F1364),MONTH(F1364),1),Mes)/30  ,  DAYS360(DATE(YEAR(E1364),MONTH(E1364),1),Mes)/30  )  &gt;  0 , IF(F1364,   DAYS360(DATE(YEAR(F1364),MONTH(F1364),1),Mes)/30  ,  DAYS360(DATE(YEAR(E1364),MONTH(E1364),1),Mes)/30) , 0)       )</f>
        <v>0</v>
      </c>
      <c r="L1364" s="63">
        <f t="shared" si="253"/>
        <v>0</v>
      </c>
      <c r="M1364" s="162"/>
      <c r="N1364" s="97">
        <f>IF( ISERROR(OFFSET(SECUESTRADOS!D$1,MATCH(B1364,SECUESTRADOS!A$2:A1405,0),0)) ,0 ,  OFFSET(SECUESTRADOS!D$1,MATCH(B1364,SECUESTRADOS!A$2:A1405,0),0)  )</f>
        <v>0</v>
      </c>
      <c r="O1364" s="98"/>
      <c r="P1364" s="99" t="str">
        <f t="shared" si="238"/>
        <v>Der.Inscrip.</v>
      </c>
      <c r="Q1364" s="99" t="str">
        <f t="shared" si="304"/>
        <v>#REF!</v>
      </c>
      <c r="R1364" s="130"/>
      <c r="S1364" s="130"/>
      <c r="T1364" s="130"/>
    </row>
    <row r="1365">
      <c r="A1365" s="18" t="s">
        <v>71</v>
      </c>
      <c r="B1365" s="116">
        <v>2387.0</v>
      </c>
      <c r="C1365" s="140">
        <v>2387.0</v>
      </c>
      <c r="D1365" s="57" t="str">
        <f>IF(   ISERROR(OFFSET(PADRON!B$2,MATCH(C:C,PADRON!A$2:A1405,0)-1,0,1,1) )  ,  ,    OFFSET(PADRON!B$2,MATCH(C:C,PADRON!A$2:A1405,0)-1,0,1,1))</f>
        <v>GHIGLIONE, JUAN PABLO</v>
      </c>
      <c r="E1365" s="21">
        <v>45870.0</v>
      </c>
      <c r="F1365" s="145">
        <v>45992.0</v>
      </c>
      <c r="G1365" s="59" t="s">
        <v>56</v>
      </c>
      <c r="H1365" s="60">
        <f>IF( ISERROR( OFFSET(   'Cuadro tarifario'!D$2  , MATCH(CONCATENATE(                 IF(F1365&gt;Mes,OFFSET(NroCT!B$17, MATCH($F1365,NroCT!$A$18:$A1405,0),0,1,1),Periodovigente)                                                                                                                     ,A1365) ,'Cuadro tarifario'!A$2:A1405,0) -1 , 0 , 1 , 1) )   , 0  ,   OFFSET(   'Cuadro tarifario'!D$2  , MATCH(CONCATENATE( IF(F1365&gt;Mes,OFFSET(NroCT!B$17, MATCH($F1365,NroCT!$A$18:$A1405,0),0,1,1),Periodovigente) ,A1365) ,'Cuadro tarifario'!A$2:A1405,0) -1 , 0 , 1 , 1))</f>
        <v>11000</v>
      </c>
      <c r="I1365" s="61">
        <f t="shared" si="252"/>
        <v>4</v>
      </c>
      <c r="J1365" s="60">
        <f t="shared" si="306"/>
        <v>44000</v>
      </c>
      <c r="K1365" s="62">
        <f>IF(  AND(N1365&gt;0,I1365=0)          ,N1365 ,                         IF(  IF( F1365 ,  DAYS360(DATE(YEAR(F1365),MONTH(F1365),1),Mes)/30  ,  DAYS360(DATE(YEAR(E1365),MONTH(E1365),1),Mes)/30  )  &gt;  0 , IF(F1365,   DAYS360(DATE(YEAR(F1365),MONTH(F1365),1),Mes)/30  ,  DAYS360(DATE(YEAR(E1365),MONTH(E1365),1),Mes)/30) , 0)       )</f>
        <v>0</v>
      </c>
      <c r="L1365" s="63">
        <f t="shared" si="253"/>
        <v>0</v>
      </c>
      <c r="M1365" s="162"/>
      <c r="N1365" s="97">
        <f>IF( ISERROR(OFFSET(SECUESTRADOS!D$1,MATCH(B1365,SECUESTRADOS!A$2:A1405,0),0)) ,0 ,  OFFSET(SECUESTRADOS!D$1,MATCH(B1365,SECUESTRADOS!A$2:A1405,0),0)  )</f>
        <v>0</v>
      </c>
      <c r="O1365" s="98"/>
      <c r="P1365" s="99" t="str">
        <f t="shared" si="238"/>
        <v>.socio</v>
      </c>
      <c r="Q1365" s="99" t="str">
        <f t="shared" si="304"/>
        <v>#REF!</v>
      </c>
      <c r="R1365" s="130"/>
      <c r="S1365" s="130"/>
      <c r="T1365" s="130"/>
    </row>
    <row r="1366">
      <c r="A1366" s="18" t="s">
        <v>38</v>
      </c>
      <c r="B1366" s="116">
        <v>2387.0</v>
      </c>
      <c r="C1366" s="140">
        <v>2387.0</v>
      </c>
      <c r="D1366" s="57" t="str">
        <f>IF(   ISERROR(OFFSET(PADRON!B$2,MATCH(C:C,PADRON!A$2:A1405,0)-1,0,1,1) )  ,  ,    OFFSET(PADRON!B$2,MATCH(C:C,PADRON!A$2:A1405,0)-1,0,1,1))</f>
        <v>GHIGLIONE, JUAN PABLO</v>
      </c>
      <c r="E1366" s="21">
        <v>45870.0</v>
      </c>
      <c r="F1366" s="145">
        <v>45992.0</v>
      </c>
      <c r="G1366" s="59" t="s">
        <v>56</v>
      </c>
      <c r="H1366" s="60">
        <f>IF( ISERROR( OFFSET(   'Cuadro tarifario'!D$2  , MATCH(CONCATENATE(                 IF(F1366&gt;Mes,OFFSET(NroCT!B$17, MATCH($F1366,NroCT!$A$18:$A1405,0),0,1,1),Periodovigente)                                                                                                                     ,A1366) ,'Cuadro tarifario'!A$2:A1405,0) -1 , 0 , 1 , 1) )   , 0  ,   OFFSET(   'Cuadro tarifario'!D$2  , MATCH(CONCATENATE( IF(F1366&gt;Mes,OFFSET(NroCT!B$17, MATCH($F1366,NroCT!$A$18:$A1405,0),0,1,1),Periodovigente) ,A1366) ,'Cuadro tarifario'!A$2:A1405,0) -1 , 0 , 1 , 1))</f>
        <v>9000</v>
      </c>
      <c r="I1366" s="61">
        <f t="shared" si="252"/>
        <v>4</v>
      </c>
      <c r="J1366" s="60">
        <f t="shared" si="306"/>
        <v>36000</v>
      </c>
      <c r="K1366" s="62">
        <f>IF(  AND(N1366&gt;0,I1366=0)          ,N1366 ,                         IF(  IF( F1366 ,  DAYS360(DATE(YEAR(F1366),MONTH(F1366),1),Mes)/30  ,  DAYS360(DATE(YEAR(E1366),MONTH(E1366),1),Mes)/30  )  &gt;  0 , IF(F1366,   DAYS360(DATE(YEAR(F1366),MONTH(F1366),1),Mes)/30  ,  DAYS360(DATE(YEAR(E1366),MONTH(E1366),1),Mes)/30) , 0)       )</f>
        <v>0</v>
      </c>
      <c r="L1366" s="63">
        <f t="shared" si="253"/>
        <v>0</v>
      </c>
      <c r="M1366" s="162"/>
      <c r="N1366" s="97">
        <f>IF( ISERROR(OFFSET(SECUESTRADOS!D$1,MATCH(B1366,SECUESTRADOS!A$2:A1405,0),0)) ,0 ,  OFFSET(SECUESTRADOS!D$1,MATCH(B1366,SECUESTRADOS!A$2:A1405,0),0)  )</f>
        <v>0</v>
      </c>
      <c r="O1366" s="98"/>
      <c r="P1366" s="99" t="str">
        <f t="shared" si="238"/>
        <v>Bono canon</v>
      </c>
      <c r="Q1366" s="99" t="str">
        <f t="shared" si="304"/>
        <v>#REF!</v>
      </c>
      <c r="R1366" s="130"/>
      <c r="S1366" s="130"/>
      <c r="T1366" s="130"/>
    </row>
    <row r="1367">
      <c r="A1367" s="18" t="s">
        <v>82</v>
      </c>
      <c r="B1367" s="116" t="s">
        <v>493</v>
      </c>
      <c r="C1367" s="140">
        <v>2387.0</v>
      </c>
      <c r="D1367" s="57" t="str">
        <f>IF(   ISERROR(OFFSET(PADRON!B$2,MATCH(C:C,PADRON!A$2:A1405,0)-1,0,1,1) )  ,  ,    OFFSET(PADRON!B$2,MATCH(C:C,PADRON!A$2:A1405,0)-1,0,1,1))</f>
        <v>GHIGLIONE, JUAN PABLO</v>
      </c>
      <c r="E1367" s="21">
        <v>45870.0</v>
      </c>
      <c r="F1367" s="145">
        <v>45992.0</v>
      </c>
      <c r="G1367" s="59" t="s">
        <v>56</v>
      </c>
      <c r="H1367" s="60">
        <f>IF( ISERROR( OFFSET(   'Cuadro tarifario'!D$2  , MATCH(CONCATENATE(                 IF(F1367&gt;Mes,OFFSET(NroCT!B$17, MATCH($F1367,NroCT!$A$18:$A1405,0),0,1,1),Periodovigente)                                                                                                                     ,A1367) ,'Cuadro tarifario'!A$2:A1405,0) -1 , 0 , 1 , 1) )   , 0  ,   OFFSET(   'Cuadro tarifario'!D$2  , MATCH(CONCATENATE( IF(F1367&gt;Mes,OFFSET(NroCT!B$17, MATCH($F1367,NroCT!$A$18:$A1405,0),0,1,1),Periodovigente) ,A1367) ,'Cuadro tarifario'!A$2:A1405,0) -1 , 0 , 1 , 1))</f>
        <v>12000</v>
      </c>
      <c r="I1367" s="61">
        <f t="shared" si="252"/>
        <v>4</v>
      </c>
      <c r="J1367" s="60">
        <f t="shared" si="306"/>
        <v>48000</v>
      </c>
      <c r="K1367" s="62">
        <f>IF(  AND(N1367&gt;0,I1367=0)          ,N1367 ,                         IF(  IF( F1367 ,  DAYS360(DATE(YEAR(F1367),MONTH(F1367),1),Mes)/30  ,  DAYS360(DATE(YEAR(E1367),MONTH(E1367),1),Mes)/30  )  &gt;  0 , IF(F1367,   DAYS360(DATE(YEAR(F1367),MONTH(F1367),1),Mes)/30  ,  DAYS360(DATE(YEAR(E1367),MONTH(E1367),1),Mes)/30) , 0)       )</f>
        <v>0</v>
      </c>
      <c r="L1367" s="63">
        <f t="shared" si="253"/>
        <v>0</v>
      </c>
      <c r="M1367" s="162"/>
      <c r="N1367" s="97">
        <f>IF( ISERROR(OFFSET(SECUESTRADOS!D$1,MATCH(B1367,SECUESTRADOS!A$2:A1405,0),0)) ,0 ,  OFFSET(SECUESTRADOS!D$1,MATCH(B1367,SECUESTRADOS!A$2:A1405,0),0)  )</f>
        <v>0</v>
      </c>
      <c r="O1367" s="98"/>
      <c r="P1367" s="99" t="str">
        <f t="shared" si="238"/>
        <v>cuna kayak</v>
      </c>
      <c r="Q1367" s="99" t="str">
        <f t="shared" si="304"/>
        <v>#REF!</v>
      </c>
      <c r="R1367" s="130"/>
      <c r="S1367" s="130"/>
      <c r="T1367" s="130"/>
    </row>
    <row r="1368">
      <c r="A1368" s="18" t="s">
        <v>492</v>
      </c>
      <c r="B1368" s="116">
        <v>2387.0</v>
      </c>
      <c r="C1368" s="140">
        <v>2387.0</v>
      </c>
      <c r="D1368" s="57" t="str">
        <f>IF(   ISERROR(OFFSET(PADRON!B$2,MATCH(C:C,PADRON!A$2:A1405,0)-1,0,1,1) )  ,  ,    OFFSET(PADRON!B$2,MATCH(C:C,PADRON!A$2:A1405,0)-1,0,1,1))</f>
        <v>GHIGLIONE, JUAN PABLO</v>
      </c>
      <c r="E1368" s="21">
        <v>45870.0</v>
      </c>
      <c r="F1368" s="145">
        <v>45901.0</v>
      </c>
      <c r="G1368" s="59" t="s">
        <v>56</v>
      </c>
      <c r="H1368" s="60">
        <f>IF( ISERROR( OFFSET(   'Cuadro tarifario'!D$2  , MATCH(CONCATENATE(                 IF(F1368&gt;Mes,OFFSET(NroCT!B$17, MATCH($F1368,NroCT!$A$18:$A1405,0),0,1,1),Periodovigente)                                                                                                                     ,A1368) ,'Cuadro tarifario'!A$2:A1405,0) -1 , 0 , 1 , 1) )   , 0  ,   OFFSET(   'Cuadro tarifario'!D$2  , MATCH(CONCATENATE( IF(F1368&gt;Mes,OFFSET(NroCT!B$17, MATCH($F1368,NroCT!$A$18:$A1405,0),0,1,1),Periodovigente) ,A1368) ,'Cuadro tarifario'!A$2:A1405,0) -1 , 0 , 1 , 1))</f>
        <v>30000</v>
      </c>
      <c r="I1368" s="61">
        <f t="shared" si="252"/>
        <v>1</v>
      </c>
      <c r="J1368" s="60">
        <f t="shared" si="306"/>
        <v>30000</v>
      </c>
      <c r="K1368" s="62">
        <f>IF(  AND(N1368&gt;0,I1368=0)          ,N1368 ,                         IF(  IF( F1368 ,  DAYS360(DATE(YEAR(F1368),MONTH(F1368),1),Mes)/30  ,  DAYS360(DATE(YEAR(E1368),MONTH(E1368),1),Mes)/30  )  &gt;  0 , IF(F1368,   DAYS360(DATE(YEAR(F1368),MONTH(F1368),1),Mes)/30  ,  DAYS360(DATE(YEAR(E1368),MONTH(E1368),1),Mes)/30) , 0)       )</f>
        <v>0</v>
      </c>
      <c r="L1368" s="63">
        <f t="shared" si="253"/>
        <v>0</v>
      </c>
      <c r="M1368" s="162"/>
      <c r="N1368" s="97">
        <f>IF( ISERROR(OFFSET(SECUESTRADOS!D$1,MATCH(B1368,SECUESTRADOS!A$2:A1405,0),0)) ,0 ,  OFFSET(SECUESTRADOS!D$1,MATCH(B1368,SECUESTRADOS!A$2:A1405,0),0)  )</f>
        <v>0</v>
      </c>
      <c r="O1368" s="98"/>
      <c r="P1368" s="99" t="str">
        <f t="shared" si="238"/>
        <v>Der.Inscrip.</v>
      </c>
      <c r="Q1368" s="99" t="str">
        <f t="shared" si="304"/>
        <v>#REF!</v>
      </c>
      <c r="R1368" s="130"/>
      <c r="S1368" s="130"/>
      <c r="T1368" s="130"/>
    </row>
    <row r="1369">
      <c r="A1369" s="52"/>
      <c r="B1369" s="52"/>
      <c r="C1369" s="164"/>
      <c r="D1369" s="165"/>
      <c r="E1369" s="166"/>
      <c r="F1369" s="166"/>
      <c r="G1369" s="167"/>
      <c r="H1369" s="168"/>
      <c r="I1369" s="169"/>
      <c r="J1369" s="168"/>
      <c r="K1369" s="170"/>
      <c r="L1369" s="171"/>
      <c r="M1369" s="172"/>
      <c r="N1369" s="173"/>
      <c r="O1369" s="130"/>
      <c r="P1369" s="31"/>
      <c r="Q1369" s="31"/>
      <c r="R1369" s="130"/>
      <c r="S1369" s="130"/>
      <c r="T1369" s="130"/>
    </row>
    <row r="1370">
      <c r="A1370" s="52"/>
      <c r="B1370" s="52"/>
      <c r="C1370" s="164"/>
      <c r="D1370" s="165"/>
      <c r="E1370" s="166"/>
      <c r="F1370" s="166"/>
      <c r="G1370" s="167"/>
      <c r="H1370" s="168"/>
      <c r="I1370" s="169"/>
      <c r="J1370" s="168"/>
      <c r="K1370" s="170"/>
      <c r="L1370" s="171"/>
      <c r="M1370" s="172"/>
      <c r="N1370" s="173"/>
      <c r="O1370" s="130"/>
      <c r="P1370" s="31"/>
      <c r="Q1370" s="31"/>
      <c r="R1370" s="130"/>
      <c r="S1370" s="130"/>
      <c r="T1370" s="130"/>
    </row>
    <row r="1371">
      <c r="A1371" s="52"/>
      <c r="B1371" s="52"/>
      <c r="C1371" s="164"/>
      <c r="D1371" s="165"/>
      <c r="E1371" s="166"/>
      <c r="F1371" s="166"/>
      <c r="G1371" s="167"/>
      <c r="H1371" s="168"/>
      <c r="I1371" s="169"/>
      <c r="J1371" s="168"/>
      <c r="K1371" s="170"/>
      <c r="L1371" s="171"/>
      <c r="M1371" s="172"/>
      <c r="N1371" s="173"/>
      <c r="O1371" s="130"/>
      <c r="P1371" s="31"/>
      <c r="Q1371" s="31"/>
      <c r="R1371" s="130"/>
      <c r="S1371" s="130"/>
      <c r="T1371" s="130"/>
    </row>
    <row r="1372">
      <c r="A1372" s="52"/>
      <c r="B1372" s="52"/>
      <c r="C1372" s="164"/>
      <c r="D1372" s="165"/>
      <c r="E1372" s="166"/>
      <c r="F1372" s="166"/>
      <c r="G1372" s="167"/>
      <c r="H1372" s="168"/>
      <c r="I1372" s="169"/>
      <c r="J1372" s="168"/>
      <c r="K1372" s="170"/>
      <c r="L1372" s="171"/>
      <c r="M1372" s="172"/>
      <c r="N1372" s="173"/>
      <c r="O1372" s="130"/>
      <c r="P1372" s="31"/>
      <c r="Q1372" s="31"/>
      <c r="R1372" s="130"/>
      <c r="S1372" s="130"/>
      <c r="T1372" s="130"/>
    </row>
    <row r="1373">
      <c r="A1373" s="52"/>
      <c r="B1373" s="52"/>
      <c r="C1373" s="164"/>
      <c r="D1373" s="165"/>
      <c r="E1373" s="166"/>
      <c r="F1373" s="166"/>
      <c r="G1373" s="167"/>
      <c r="H1373" s="168"/>
      <c r="I1373" s="169"/>
      <c r="J1373" s="168"/>
      <c r="K1373" s="170"/>
      <c r="L1373" s="171"/>
      <c r="M1373" s="172"/>
      <c r="N1373" s="173"/>
      <c r="O1373" s="130"/>
      <c r="P1373" s="31"/>
      <c r="Q1373" s="31"/>
      <c r="R1373" s="130"/>
      <c r="S1373" s="130"/>
      <c r="T1373" s="130"/>
    </row>
    <row r="1374">
      <c r="A1374" s="52"/>
      <c r="B1374" s="52"/>
      <c r="C1374" s="164"/>
      <c r="D1374" s="165"/>
      <c r="E1374" s="166"/>
      <c r="F1374" s="166"/>
      <c r="G1374" s="167"/>
      <c r="H1374" s="168"/>
      <c r="I1374" s="169"/>
      <c r="J1374" s="168"/>
      <c r="K1374" s="170"/>
      <c r="L1374" s="171"/>
      <c r="M1374" s="172"/>
      <c r="N1374" s="173"/>
      <c r="O1374" s="130"/>
      <c r="P1374" s="31"/>
      <c r="Q1374" s="31"/>
      <c r="R1374" s="130"/>
      <c r="S1374" s="130"/>
      <c r="T1374" s="130"/>
    </row>
    <row r="1375">
      <c r="A1375" s="52"/>
      <c r="B1375" s="52"/>
      <c r="C1375" s="164"/>
      <c r="D1375" s="165"/>
      <c r="E1375" s="166"/>
      <c r="F1375" s="166"/>
      <c r="G1375" s="167"/>
      <c r="H1375" s="168"/>
      <c r="I1375" s="169"/>
      <c r="J1375" s="168"/>
      <c r="K1375" s="170"/>
      <c r="L1375" s="171"/>
      <c r="M1375" s="172"/>
      <c r="N1375" s="173"/>
      <c r="O1375" s="130"/>
      <c r="P1375" s="31"/>
      <c r="Q1375" s="31"/>
      <c r="R1375" s="130"/>
      <c r="S1375" s="130"/>
      <c r="T1375" s="130"/>
    </row>
    <row r="1376">
      <c r="A1376" s="52"/>
      <c r="B1376" s="52"/>
      <c r="C1376" s="164"/>
      <c r="D1376" s="165"/>
      <c r="E1376" s="166"/>
      <c r="F1376" s="166"/>
      <c r="G1376" s="167"/>
      <c r="H1376" s="168"/>
      <c r="I1376" s="169"/>
      <c r="J1376" s="168"/>
      <c r="K1376" s="170"/>
      <c r="L1376" s="171"/>
      <c r="M1376" s="172"/>
      <c r="N1376" s="173"/>
      <c r="O1376" s="130"/>
      <c r="P1376" s="31"/>
      <c r="Q1376" s="31"/>
      <c r="R1376" s="130"/>
      <c r="S1376" s="130"/>
      <c r="T1376" s="130"/>
    </row>
    <row r="1377">
      <c r="A1377" s="52"/>
      <c r="B1377" s="52"/>
      <c r="C1377" s="164"/>
      <c r="D1377" s="165"/>
      <c r="E1377" s="166"/>
      <c r="F1377" s="166"/>
      <c r="G1377" s="167"/>
      <c r="H1377" s="168"/>
      <c r="I1377" s="169"/>
      <c r="J1377" s="168"/>
      <c r="K1377" s="170"/>
      <c r="L1377" s="171"/>
      <c r="M1377" s="172"/>
      <c r="N1377" s="173"/>
      <c r="O1377" s="130"/>
      <c r="P1377" s="31"/>
      <c r="Q1377" s="31"/>
      <c r="R1377" s="130"/>
      <c r="S1377" s="130"/>
      <c r="T1377" s="130"/>
    </row>
    <row r="1378">
      <c r="A1378" s="52"/>
      <c r="B1378" s="52"/>
      <c r="C1378" s="164"/>
      <c r="D1378" s="165"/>
      <c r="E1378" s="166"/>
      <c r="F1378" s="166"/>
      <c r="G1378" s="167"/>
      <c r="H1378" s="168"/>
      <c r="I1378" s="169"/>
      <c r="J1378" s="168"/>
      <c r="K1378" s="170"/>
      <c r="L1378" s="171"/>
      <c r="M1378" s="172"/>
      <c r="N1378" s="173"/>
      <c r="O1378" s="130"/>
      <c r="P1378" s="31"/>
      <c r="Q1378" s="31"/>
      <c r="R1378" s="130"/>
      <c r="S1378" s="130"/>
      <c r="T1378" s="130"/>
    </row>
    <row r="1379">
      <c r="A1379" s="52"/>
      <c r="B1379" s="52"/>
      <c r="C1379" s="164"/>
      <c r="D1379" s="165"/>
      <c r="E1379" s="166"/>
      <c r="F1379" s="166"/>
      <c r="G1379" s="167"/>
      <c r="H1379" s="168"/>
      <c r="I1379" s="169"/>
      <c r="J1379" s="168"/>
      <c r="K1379" s="170"/>
      <c r="L1379" s="171"/>
      <c r="M1379" s="172"/>
      <c r="N1379" s="173"/>
      <c r="O1379" s="130"/>
      <c r="P1379" s="31"/>
      <c r="Q1379" s="31"/>
      <c r="R1379" s="130"/>
      <c r="S1379" s="130"/>
      <c r="T1379" s="130"/>
    </row>
    <row r="1380">
      <c r="A1380" s="52"/>
      <c r="B1380" s="52"/>
      <c r="C1380" s="164"/>
      <c r="D1380" s="165"/>
      <c r="E1380" s="166"/>
      <c r="F1380" s="166"/>
      <c r="G1380" s="167"/>
      <c r="H1380" s="168"/>
      <c r="I1380" s="169"/>
      <c r="J1380" s="168"/>
      <c r="K1380" s="170"/>
      <c r="L1380" s="171"/>
      <c r="M1380" s="172"/>
      <c r="N1380" s="173"/>
      <c r="O1380" s="130"/>
      <c r="P1380" s="31"/>
      <c r="Q1380" s="31"/>
      <c r="R1380" s="130"/>
      <c r="S1380" s="130"/>
      <c r="T1380" s="130"/>
    </row>
    <row r="1381">
      <c r="A1381" s="52"/>
      <c r="B1381" s="52"/>
      <c r="C1381" s="164"/>
      <c r="D1381" s="165"/>
      <c r="E1381" s="166"/>
      <c r="F1381" s="166"/>
      <c r="G1381" s="167"/>
      <c r="H1381" s="168"/>
      <c r="I1381" s="169"/>
      <c r="J1381" s="168"/>
      <c r="K1381" s="170"/>
      <c r="L1381" s="171"/>
      <c r="M1381" s="172"/>
      <c r="N1381" s="173"/>
      <c r="O1381" s="130"/>
      <c r="P1381" s="31"/>
      <c r="Q1381" s="31"/>
      <c r="R1381" s="130"/>
      <c r="S1381" s="130"/>
      <c r="T1381" s="130"/>
    </row>
    <row r="1382">
      <c r="A1382" s="52"/>
      <c r="B1382" s="52"/>
      <c r="C1382" s="164"/>
      <c r="D1382" s="165"/>
      <c r="E1382" s="166"/>
      <c r="F1382" s="166"/>
      <c r="G1382" s="167"/>
      <c r="H1382" s="168"/>
      <c r="I1382" s="169"/>
      <c r="J1382" s="168"/>
      <c r="K1382" s="170"/>
      <c r="L1382" s="171"/>
      <c r="M1382" s="172"/>
      <c r="N1382" s="173"/>
      <c r="O1382" s="130"/>
      <c r="P1382" s="31"/>
      <c r="Q1382" s="31"/>
      <c r="R1382" s="130"/>
      <c r="S1382" s="130"/>
      <c r="T1382" s="130"/>
    </row>
    <row r="1383">
      <c r="A1383" s="52"/>
      <c r="B1383" s="52"/>
      <c r="C1383" s="164"/>
      <c r="D1383" s="165"/>
      <c r="E1383" s="166"/>
      <c r="F1383" s="166"/>
      <c r="G1383" s="167"/>
      <c r="H1383" s="168"/>
      <c r="I1383" s="169"/>
      <c r="J1383" s="168"/>
      <c r="K1383" s="170"/>
      <c r="L1383" s="171"/>
      <c r="M1383" s="172"/>
      <c r="N1383" s="173"/>
      <c r="O1383" s="130"/>
      <c r="P1383" s="31"/>
      <c r="Q1383" s="31"/>
      <c r="R1383" s="130"/>
      <c r="S1383" s="130"/>
      <c r="T1383" s="130"/>
    </row>
    <row r="1384">
      <c r="A1384" s="52"/>
      <c r="B1384" s="52"/>
      <c r="C1384" s="164"/>
      <c r="D1384" s="165"/>
      <c r="E1384" s="166"/>
      <c r="F1384" s="166"/>
      <c r="G1384" s="167"/>
      <c r="H1384" s="168"/>
      <c r="I1384" s="169"/>
      <c r="J1384" s="168"/>
      <c r="K1384" s="170"/>
      <c r="L1384" s="171"/>
      <c r="M1384" s="172"/>
      <c r="N1384" s="173"/>
      <c r="O1384" s="130"/>
      <c r="P1384" s="31"/>
      <c r="Q1384" s="31"/>
      <c r="R1384" s="130"/>
      <c r="S1384" s="130"/>
      <c r="T1384" s="130"/>
    </row>
    <row r="1385">
      <c r="A1385" s="52"/>
      <c r="B1385" s="52"/>
      <c r="C1385" s="164"/>
      <c r="D1385" s="165"/>
      <c r="E1385" s="166"/>
      <c r="F1385" s="166"/>
      <c r="G1385" s="167"/>
      <c r="H1385" s="168"/>
      <c r="I1385" s="169"/>
      <c r="J1385" s="168"/>
      <c r="K1385" s="170"/>
      <c r="L1385" s="171"/>
      <c r="M1385" s="172"/>
      <c r="N1385" s="173"/>
      <c r="O1385" s="130"/>
      <c r="P1385" s="31"/>
      <c r="Q1385" s="31"/>
      <c r="R1385" s="130"/>
      <c r="S1385" s="130"/>
      <c r="T1385" s="130"/>
    </row>
    <row r="1386">
      <c r="A1386" s="52"/>
      <c r="B1386" s="52"/>
      <c r="C1386" s="164"/>
      <c r="D1386" s="165"/>
      <c r="E1386" s="166"/>
      <c r="F1386" s="166"/>
      <c r="G1386" s="167"/>
      <c r="H1386" s="168"/>
      <c r="I1386" s="169"/>
      <c r="J1386" s="168"/>
      <c r="K1386" s="170"/>
      <c r="L1386" s="171"/>
      <c r="M1386" s="172"/>
      <c r="N1386" s="173"/>
      <c r="O1386" s="130"/>
      <c r="P1386" s="31"/>
      <c r="Q1386" s="31"/>
      <c r="R1386" s="130"/>
      <c r="S1386" s="130"/>
      <c r="T1386" s="130"/>
    </row>
    <row r="1387">
      <c r="A1387" s="52"/>
      <c r="B1387" s="52"/>
      <c r="C1387" s="164"/>
      <c r="D1387" s="165"/>
      <c r="E1387" s="166"/>
      <c r="F1387" s="166"/>
      <c r="G1387" s="167"/>
      <c r="H1387" s="168"/>
      <c r="I1387" s="169"/>
      <c r="J1387" s="168"/>
      <c r="K1387" s="170"/>
      <c r="L1387" s="171"/>
      <c r="M1387" s="172"/>
      <c r="N1387" s="173"/>
      <c r="O1387" s="130"/>
      <c r="P1387" s="31"/>
      <c r="Q1387" s="31"/>
      <c r="R1387" s="130"/>
      <c r="S1387" s="130"/>
      <c r="T1387" s="130"/>
    </row>
    <row r="1388">
      <c r="A1388" s="52"/>
      <c r="B1388" s="52"/>
      <c r="C1388" s="164"/>
      <c r="D1388" s="165"/>
      <c r="E1388" s="166"/>
      <c r="F1388" s="166"/>
      <c r="G1388" s="167"/>
      <c r="H1388" s="168"/>
      <c r="I1388" s="169"/>
      <c r="J1388" s="168"/>
      <c r="K1388" s="170"/>
      <c r="L1388" s="171"/>
      <c r="M1388" s="172"/>
      <c r="N1388" s="173"/>
      <c r="O1388" s="130"/>
      <c r="P1388" s="31"/>
      <c r="Q1388" s="31"/>
      <c r="R1388" s="130"/>
      <c r="S1388" s="130"/>
      <c r="T1388" s="130"/>
    </row>
    <row r="1389">
      <c r="A1389" s="52"/>
      <c r="B1389" s="52"/>
      <c r="C1389" s="164"/>
      <c r="D1389" s="165"/>
      <c r="E1389" s="166"/>
      <c r="F1389" s="166"/>
      <c r="G1389" s="167"/>
      <c r="H1389" s="168"/>
      <c r="I1389" s="169"/>
      <c r="J1389" s="168"/>
      <c r="K1389" s="170"/>
      <c r="L1389" s="171"/>
      <c r="M1389" s="172"/>
      <c r="N1389" s="173"/>
      <c r="O1389" s="130"/>
      <c r="P1389" s="31"/>
      <c r="Q1389" s="31"/>
      <c r="R1389" s="130"/>
      <c r="S1389" s="130"/>
      <c r="T1389" s="130"/>
    </row>
    <row r="1390">
      <c r="A1390" s="52"/>
      <c r="B1390" s="52"/>
      <c r="C1390" s="164"/>
      <c r="D1390" s="165"/>
      <c r="E1390" s="166"/>
      <c r="F1390" s="166"/>
      <c r="G1390" s="167"/>
      <c r="H1390" s="168"/>
      <c r="I1390" s="169"/>
      <c r="J1390" s="168"/>
      <c r="K1390" s="170"/>
      <c r="L1390" s="171"/>
      <c r="M1390" s="172"/>
      <c r="N1390" s="173"/>
      <c r="O1390" s="130"/>
      <c r="P1390" s="31"/>
      <c r="Q1390" s="31"/>
      <c r="R1390" s="130"/>
      <c r="S1390" s="130"/>
      <c r="T1390" s="130"/>
    </row>
    <row r="1391">
      <c r="A1391" s="52"/>
      <c r="B1391" s="52"/>
      <c r="C1391" s="164"/>
      <c r="D1391" s="165"/>
      <c r="E1391" s="166"/>
      <c r="F1391" s="166"/>
      <c r="G1391" s="167"/>
      <c r="H1391" s="168"/>
      <c r="I1391" s="169"/>
      <c r="J1391" s="168"/>
      <c r="K1391" s="170"/>
      <c r="L1391" s="171"/>
      <c r="M1391" s="172"/>
      <c r="N1391" s="173"/>
      <c r="O1391" s="130"/>
      <c r="P1391" s="31"/>
      <c r="Q1391" s="31"/>
      <c r="R1391" s="130"/>
      <c r="S1391" s="130"/>
      <c r="T1391" s="130"/>
    </row>
    <row r="1392">
      <c r="A1392" s="52"/>
      <c r="B1392" s="52"/>
      <c r="C1392" s="164"/>
      <c r="D1392" s="165"/>
      <c r="E1392" s="166"/>
      <c r="F1392" s="166"/>
      <c r="G1392" s="167"/>
      <c r="H1392" s="168"/>
      <c r="I1392" s="169"/>
      <c r="J1392" s="168"/>
      <c r="K1392" s="170"/>
      <c r="L1392" s="171"/>
      <c r="M1392" s="172"/>
      <c r="N1392" s="173"/>
      <c r="O1392" s="130"/>
      <c r="P1392" s="31"/>
      <c r="Q1392" s="31"/>
      <c r="R1392" s="130"/>
      <c r="S1392" s="130"/>
      <c r="T1392" s="130"/>
    </row>
    <row r="1393">
      <c r="A1393" s="52"/>
      <c r="B1393" s="52"/>
      <c r="C1393" s="164"/>
      <c r="D1393" s="165"/>
      <c r="E1393" s="166"/>
      <c r="F1393" s="166"/>
      <c r="G1393" s="167"/>
      <c r="H1393" s="168"/>
      <c r="I1393" s="169"/>
      <c r="J1393" s="168"/>
      <c r="K1393" s="170"/>
      <c r="L1393" s="171"/>
      <c r="M1393" s="172"/>
      <c r="N1393" s="173"/>
      <c r="O1393" s="130"/>
      <c r="P1393" s="31"/>
      <c r="Q1393" s="31"/>
      <c r="R1393" s="130"/>
      <c r="S1393" s="130"/>
      <c r="T1393" s="130"/>
    </row>
    <row r="1394">
      <c r="A1394" s="52"/>
      <c r="B1394" s="52"/>
      <c r="C1394" s="164"/>
      <c r="D1394" s="165"/>
      <c r="E1394" s="166"/>
      <c r="F1394" s="166"/>
      <c r="G1394" s="167"/>
      <c r="H1394" s="168"/>
      <c r="I1394" s="169"/>
      <c r="J1394" s="168"/>
      <c r="K1394" s="170"/>
      <c r="L1394" s="171"/>
      <c r="M1394" s="172"/>
      <c r="N1394" s="173"/>
      <c r="O1394" s="130"/>
      <c r="P1394" s="31"/>
      <c r="Q1394" s="31"/>
      <c r="R1394" s="130"/>
      <c r="S1394" s="130"/>
      <c r="T1394" s="130"/>
    </row>
    <row r="1395">
      <c r="A1395" s="52"/>
      <c r="B1395" s="52"/>
      <c r="C1395" s="164"/>
      <c r="D1395" s="165"/>
      <c r="E1395" s="166"/>
      <c r="F1395" s="166"/>
      <c r="G1395" s="167"/>
      <c r="H1395" s="168"/>
      <c r="I1395" s="169"/>
      <c r="J1395" s="168"/>
      <c r="K1395" s="170"/>
      <c r="L1395" s="171"/>
      <c r="M1395" s="172"/>
      <c r="N1395" s="173"/>
      <c r="O1395" s="130"/>
      <c r="P1395" s="31"/>
      <c r="Q1395" s="31"/>
      <c r="R1395" s="130"/>
      <c r="S1395" s="130"/>
      <c r="T1395" s="130"/>
    </row>
    <row r="1396">
      <c r="A1396" s="52"/>
      <c r="B1396" s="52"/>
      <c r="C1396" s="164"/>
      <c r="D1396" s="165"/>
      <c r="E1396" s="166"/>
      <c r="F1396" s="166"/>
      <c r="G1396" s="167"/>
      <c r="H1396" s="168"/>
      <c r="I1396" s="169"/>
      <c r="J1396" s="168"/>
      <c r="K1396" s="170"/>
      <c r="L1396" s="171"/>
      <c r="M1396" s="172"/>
      <c r="N1396" s="173"/>
      <c r="O1396" s="130"/>
      <c r="P1396" s="31"/>
      <c r="Q1396" s="31"/>
      <c r="R1396" s="130"/>
      <c r="S1396" s="130"/>
      <c r="T1396" s="130"/>
    </row>
    <row r="1397">
      <c r="A1397" s="52"/>
      <c r="B1397" s="52"/>
      <c r="C1397" s="164"/>
      <c r="D1397" s="165"/>
      <c r="E1397" s="166"/>
      <c r="F1397" s="166"/>
      <c r="G1397" s="167"/>
      <c r="H1397" s="168"/>
      <c r="I1397" s="169"/>
      <c r="J1397" s="168"/>
      <c r="K1397" s="170"/>
      <c r="L1397" s="171"/>
      <c r="M1397" s="172"/>
      <c r="N1397" s="173"/>
      <c r="O1397" s="130"/>
      <c r="P1397" s="31"/>
      <c r="Q1397" s="31"/>
      <c r="R1397" s="130"/>
      <c r="S1397" s="130"/>
      <c r="T1397" s="130"/>
    </row>
    <row r="1398">
      <c r="A1398" s="52"/>
      <c r="B1398" s="52"/>
      <c r="C1398" s="164"/>
      <c r="D1398" s="165"/>
      <c r="E1398" s="166"/>
      <c r="F1398" s="166"/>
      <c r="G1398" s="167"/>
      <c r="H1398" s="168"/>
      <c r="I1398" s="169"/>
      <c r="J1398" s="168"/>
      <c r="K1398" s="170"/>
      <c r="L1398" s="171"/>
      <c r="M1398" s="172"/>
      <c r="N1398" s="173"/>
      <c r="O1398" s="130"/>
      <c r="P1398" s="31"/>
      <c r="Q1398" s="31"/>
      <c r="R1398" s="130"/>
      <c r="S1398" s="130"/>
      <c r="T1398" s="130"/>
    </row>
    <row r="1399">
      <c r="A1399" s="52"/>
      <c r="B1399" s="52"/>
      <c r="C1399" s="164"/>
      <c r="D1399" s="165"/>
      <c r="E1399" s="166"/>
      <c r="F1399" s="166"/>
      <c r="G1399" s="167"/>
      <c r="H1399" s="168"/>
      <c r="I1399" s="169"/>
      <c r="J1399" s="168"/>
      <c r="K1399" s="170"/>
      <c r="L1399" s="171"/>
      <c r="M1399" s="172"/>
      <c r="N1399" s="173"/>
      <c r="O1399" s="130"/>
      <c r="P1399" s="31"/>
      <c r="Q1399" s="31"/>
      <c r="R1399" s="130"/>
      <c r="S1399" s="130"/>
      <c r="T1399" s="130"/>
    </row>
    <row r="1400">
      <c r="A1400" s="52"/>
      <c r="B1400" s="52"/>
      <c r="C1400" s="164"/>
      <c r="D1400" s="165"/>
      <c r="E1400" s="166"/>
      <c r="F1400" s="166"/>
      <c r="G1400" s="167"/>
      <c r="H1400" s="168"/>
      <c r="I1400" s="169"/>
      <c r="J1400" s="168"/>
      <c r="K1400" s="170"/>
      <c r="L1400" s="171"/>
      <c r="M1400" s="172"/>
      <c r="N1400" s="173"/>
      <c r="O1400" s="130"/>
      <c r="P1400" s="31"/>
      <c r="Q1400" s="31"/>
      <c r="R1400" s="130"/>
      <c r="S1400" s="130"/>
      <c r="T1400" s="130"/>
    </row>
    <row r="1401">
      <c r="A1401" s="52"/>
      <c r="B1401" s="52"/>
      <c r="C1401" s="164"/>
      <c r="D1401" s="165"/>
      <c r="E1401" s="166"/>
      <c r="F1401" s="166"/>
      <c r="G1401" s="167"/>
      <c r="H1401" s="168"/>
      <c r="I1401" s="169"/>
      <c r="J1401" s="168"/>
      <c r="K1401" s="170"/>
      <c r="L1401" s="171"/>
      <c r="M1401" s="172"/>
      <c r="N1401" s="173"/>
      <c r="O1401" s="130"/>
      <c r="P1401" s="31"/>
      <c r="Q1401" s="31"/>
      <c r="R1401" s="130"/>
      <c r="S1401" s="130"/>
      <c r="T1401" s="130"/>
    </row>
    <row r="1402">
      <c r="A1402" s="52"/>
      <c r="B1402" s="52"/>
      <c r="C1402" s="164"/>
      <c r="D1402" s="165"/>
      <c r="E1402" s="166"/>
      <c r="F1402" s="166"/>
      <c r="G1402" s="167"/>
      <c r="H1402" s="168"/>
      <c r="I1402" s="169"/>
      <c r="J1402" s="168"/>
      <c r="K1402" s="170"/>
      <c r="L1402" s="171"/>
      <c r="M1402" s="172"/>
      <c r="N1402" s="173"/>
      <c r="O1402" s="130"/>
      <c r="P1402" s="31"/>
      <c r="Q1402" s="31"/>
      <c r="R1402" s="130"/>
      <c r="S1402" s="130"/>
      <c r="T1402" s="130"/>
    </row>
    <row r="1403">
      <c r="A1403" s="52"/>
      <c r="B1403" s="52"/>
      <c r="C1403" s="164"/>
      <c r="D1403" s="165"/>
      <c r="E1403" s="166"/>
      <c r="F1403" s="166"/>
      <c r="G1403" s="167"/>
      <c r="H1403" s="168"/>
      <c r="I1403" s="169"/>
      <c r="J1403" s="168"/>
      <c r="K1403" s="170"/>
      <c r="L1403" s="171"/>
      <c r="M1403" s="172"/>
      <c r="N1403" s="173"/>
      <c r="O1403" s="130"/>
      <c r="P1403" s="31"/>
      <c r="Q1403" s="31"/>
      <c r="R1403" s="130"/>
      <c r="S1403" s="130"/>
      <c r="T1403" s="130"/>
    </row>
    <row r="1404">
      <c r="A1404" s="52"/>
      <c r="B1404" s="52"/>
      <c r="C1404" s="164"/>
      <c r="D1404" s="165"/>
      <c r="E1404" s="166"/>
      <c r="F1404" s="166"/>
      <c r="G1404" s="167"/>
      <c r="H1404" s="168"/>
      <c r="I1404" s="169"/>
      <c r="J1404" s="168"/>
      <c r="K1404" s="170"/>
      <c r="L1404" s="171"/>
      <c r="M1404" s="172"/>
      <c r="N1404" s="173"/>
      <c r="O1404" s="130"/>
      <c r="P1404" s="31"/>
      <c r="Q1404" s="31"/>
      <c r="R1404" s="130"/>
      <c r="S1404" s="130"/>
      <c r="T1404" s="130"/>
    </row>
    <row r="1405">
      <c r="A1405" s="52"/>
      <c r="B1405" s="52"/>
      <c r="C1405" s="164"/>
      <c r="D1405" s="165"/>
      <c r="E1405" s="166"/>
      <c r="F1405" s="166"/>
      <c r="G1405" s="167"/>
      <c r="H1405" s="168"/>
      <c r="I1405" s="169"/>
      <c r="J1405" s="168"/>
      <c r="K1405" s="170"/>
      <c r="L1405" s="171"/>
      <c r="M1405" s="172"/>
      <c r="N1405" s="173"/>
      <c r="O1405" s="130"/>
      <c r="P1405" s="31"/>
      <c r="Q1405" s="31"/>
      <c r="R1405" s="130"/>
      <c r="S1405" s="130"/>
      <c r="T1405" s="130"/>
    </row>
  </sheetData>
  <customSheetViews>
    <customSheetView guid="{72FD442D-D753-498F-85A3-224A28EFC9E6}" filter="1" showAutoFilter="1">
      <autoFilter ref="$A$1:$Q$199">
        <filterColumn colId="4">
          <filters/>
        </filterColumn>
        <filterColumn colId="0">
          <filters>
            <filter val="cuna windsurf"/>
            <filter val="Bono canon"/>
            <filter val="velero"/>
            <filter val=".socio"/>
            <filter val="cuna kayak"/>
          </filters>
        </filterColumn>
        <filterColumn colId="5">
          <filters>
            <filter val="October-2025"/>
            <filter val="December-2025"/>
            <filter val="August-2025"/>
            <filter val="September-2025"/>
          </filters>
        </filterColumn>
      </autoFilter>
    </customSheetView>
    <customSheetView guid="{0239D8C0-5AEF-4189-BB79-D11225AC2EA5}" filter="1" showAutoFilter="1">
      <autoFilter ref="$A$1:$L$186">
        <filterColumn colId="0">
          <filters>
            <filter val="Bono canon"/>
            <filter val="cuna kayak"/>
          </filters>
        </filterColumn>
      </autoFilter>
    </customSheetView>
    <customSheetView guid="{CB15F193-9A03-4D40-9F24-8EC5F9FA53AD}" filter="1" showAutoFilter="1">
      <autoFilter ref="$A$1:$L$186">
        <filterColumn colId="0">
          <filters>
            <filter val="Bono canon"/>
          </filters>
        </filterColumn>
      </autoFilter>
    </customSheetView>
    <customSheetView guid="{F63CEC2F-4C02-459B-A404-1028B48AF853}" filter="1" showAutoFilter="1">
      <autoFilter ref="$A$1:$Q$476">
        <filterColumn colId="0">
          <filters/>
        </filterColumn>
      </autoFilter>
    </customSheetView>
    <customSheetView guid="{352A52D4-4F3C-4E23-967D-C0CD7221BF52}" filter="1" showAutoFilter="1">
      <autoFilter ref="$A$1:$L$186">
        <filterColumn colId="0">
          <filters>
            <filter val="Bono canon"/>
            <filter val="locker"/>
          </filters>
        </filterColumn>
      </autoFilter>
    </customSheetView>
    <customSheetView guid="{11F839EE-A93C-4979-9B17-37A2BE987ECD}" filter="1" showAutoFilter="1">
      <autoFilter ref="$A$1:$L$186">
        <filterColumn colId="0">
          <filters>
            <filter val="cuna windsurf"/>
            <filter val="Bono canon"/>
          </filters>
        </filterColumn>
      </autoFilter>
    </customSheetView>
    <customSheetView guid="{94D373B7-28E4-4353-830C-0AB80791DC84}" filter="1" showAutoFilter="1">
      <autoFilter ref="$A$1:$Q$476"/>
    </customSheetView>
    <customSheetView guid="{031EBBDD-8E08-4993-8490-0A73E192E4E8}" filter="1" showAutoFilter="1">
      <autoFilter ref="$A$1:$L$186">
        <filterColumn colId="0">
          <filters>
            <filter val="Bono canon"/>
            <filter val="lockerG"/>
          </filters>
        </filterColumn>
      </autoFilter>
    </customSheetView>
    <customSheetView guid="{059B1C2F-23FD-48E7-AB2D-18AEF508F594}" filter="1" showAutoFilter="1">
      <autoFilter ref="$A$1:$L$186">
        <filterColumn colId="0">
          <filters>
            <filter val="Bono canon"/>
            <filter val=".socio"/>
          </filters>
        </filterColumn>
      </autoFilter>
    </customSheetView>
    <customSheetView guid="{5CB3DDD7-20A9-4CCF-977D-3BF837D95351}" filter="1" showAutoFilter="1">
      <autoFilter ref="$A$1:$L$186">
        <filterColumn colId="0">
          <filters>
            <filter val="Bono canon"/>
            <filter val="velero"/>
          </filters>
        </filterColumn>
      </autoFilter>
    </customSheetView>
    <customSheetView guid="{0749D97B-8FE7-48D2-ACAB-86A689401E8B}" filter="1" showAutoFilter="1">
      <autoFilter ref="$A$1:$L$186">
        <filterColumn colId="0">
          <filters>
            <filter val="Bono canon"/>
            <filter val="vela"/>
          </filters>
        </filterColumn>
      </autoFilter>
    </customSheetView>
  </customSheetViews>
  <conditionalFormatting sqref="B2:B1405 C351:C353 C362:C1405">
    <cfRule type="containsText" dxfId="0" priority="1" operator="containsText" text="A">
      <formula>NOT(ISERROR(SEARCH(("A"),(B2))))</formula>
    </cfRule>
  </conditionalFormatting>
  <conditionalFormatting sqref="B2:B1405 C351:C353 C362:C1405">
    <cfRule type="containsText" dxfId="0" priority="2" operator="containsText" text="C">
      <formula>NOT(ISERROR(SEARCH(("C"),(B2))))</formula>
    </cfRule>
  </conditionalFormatting>
  <conditionalFormatting sqref="B2:B1405 C351:C353 C362:C1405">
    <cfRule type="containsText" dxfId="1" priority="3" operator="containsText" text="K">
      <formula>NOT(ISERROR(SEARCH(("K"),(B2))))</formula>
    </cfRule>
  </conditionalFormatting>
  <conditionalFormatting sqref="B2:B1405 C351:C353 C362:C1405">
    <cfRule type="containsText" dxfId="2" priority="4" operator="containsText" text="G">
      <formula>NOT(ISERROR(SEARCH(("G"),(B2))))</formula>
    </cfRule>
  </conditionalFormatting>
  <conditionalFormatting sqref="B2:B1405 C351:C353 C362:C1405">
    <cfRule type="containsText" dxfId="3" priority="5" operator="containsText" text="V">
      <formula>NOT(ISERROR(SEARCH(("V"),(B2))))</formula>
    </cfRule>
  </conditionalFormatting>
  <conditionalFormatting sqref="B2:B1405 C351:C353 C362:C1405">
    <cfRule type="containsText" dxfId="0" priority="6" operator="containsText" text="B">
      <formula>NOT(ISERROR(SEARCH(("B"),(B2))))</formula>
    </cfRule>
  </conditionalFormatting>
  <conditionalFormatting sqref="B2:B1405 C351:C353 C362:C1405">
    <cfRule type="containsText" dxfId="4" priority="7" operator="containsText" text="L">
      <formula>NOT(ISERROR(SEARCH(("L"),(B2))))</formula>
    </cfRule>
  </conditionalFormatting>
  <conditionalFormatting sqref="B2:B1405 A147:A148 A164 C351:C353 C362:C1405">
    <cfRule type="containsBlanks" dxfId="5" priority="8">
      <formula>LEN(TRIM(B2))=0</formula>
    </cfRule>
  </conditionalFormatting>
  <conditionalFormatting sqref="B2:B1405 C351:C353 C362:C1405">
    <cfRule type="containsText" dxfId="0" priority="9" operator="containsText" text="D">
      <formula>NOT(ISERROR(SEARCH(("D"),(B2))))</formula>
    </cfRule>
  </conditionalFormatting>
  <conditionalFormatting sqref="A2:A1405 B146:B148">
    <cfRule type="containsText" dxfId="1" priority="10" operator="containsText" text="cuna kayak">
      <formula>NOT(ISERROR(SEARCH(("cuna kayak"),(A2))))</formula>
    </cfRule>
  </conditionalFormatting>
  <conditionalFormatting sqref="A2:A1405 B146:B148">
    <cfRule type="containsText" dxfId="6" priority="11" operator="containsText" text="cuna velero">
      <formula>NOT(ISERROR(SEARCH(("cuna velero"),(A2))))</formula>
    </cfRule>
  </conditionalFormatting>
  <conditionalFormatting sqref="A2:A1405 B146:B148">
    <cfRule type="containsText" dxfId="0" priority="12" operator="containsText" text="Cuna Windsurf">
      <formula>NOT(ISERROR(SEARCH(("Cuna Windsurf"),(A2))))</formula>
    </cfRule>
  </conditionalFormatting>
  <conditionalFormatting sqref="A2:A1405 B146:B148">
    <cfRule type="containsText" dxfId="2" priority="13" operator="containsText" text="Vela">
      <formula>NOT(ISERROR(SEARCH(("Vela"),(A2))))</formula>
    </cfRule>
  </conditionalFormatting>
  <conditionalFormatting sqref="A2:A1405 B146:B148">
    <cfRule type="containsText" dxfId="3" priority="14" operator="containsText" text="Velero">
      <formula>NOT(ISERROR(SEARCH(("Velero"),(A2))))</formula>
    </cfRule>
  </conditionalFormatting>
  <conditionalFormatting sqref="A2:B1405 C351:C353 C362:C1405">
    <cfRule type="containsText" dxfId="5" priority="15" operator="containsText" text="-">
      <formula>NOT(ISERROR(SEARCH(("-"),(A2))))</formula>
    </cfRule>
  </conditionalFormatting>
  <conditionalFormatting sqref="A2:A1405 B146:B148">
    <cfRule type="containsText" dxfId="4" priority="16" operator="containsText" text="Locker">
      <formula>NOT(ISERROR(SEARCH(("Locker"),(A2))))</formula>
    </cfRule>
  </conditionalFormatting>
  <conditionalFormatting sqref="A2:A1405 B146:B148">
    <cfRule type="containsBlanks" dxfId="5" priority="17">
      <formula>LEN(TRIM(A2))=0</formula>
    </cfRule>
  </conditionalFormatting>
  <conditionalFormatting sqref="C1:C1405">
    <cfRule type="containsText" dxfId="0" priority="18" operator="containsText" text="F">
      <formula>NOT(ISERROR(SEARCH(("F"),(C1))))</formula>
    </cfRule>
  </conditionalFormatting>
  <conditionalFormatting sqref="B2:B1405 C422:C1405">
    <cfRule type="containsText" dxfId="0" priority="19" operator="containsText" text="F">
      <formula>NOT(ISERROR(SEARCH(("F"),(B2))))</formula>
    </cfRule>
  </conditionalFormatting>
  <conditionalFormatting sqref="B1:B1405">
    <cfRule type="containsText" dxfId="0" priority="20" operator="containsText" text="E">
      <formula>NOT(ISERROR(SEARCH(("E"),(B1))))</formula>
    </cfRule>
  </conditionalFormatting>
  <dataValidations>
    <dataValidation type="custom" allowBlank="1" showErrorMessage="1" sqref="E2:E24 E26:E72 E73:F76 E77:E78 E79:F79 E80 E82:E137 E139 E143:E177 E179:E225 E227:E236 E238:E270 E271:F271 E272:E301 E302:F302 E303:E307 E308:F310 E311:E336 E337:F338 E339:E1405">
      <formula1>OR(NOT(ISERROR(DATEVALUE(E2))), AND(ISNUMBER(E2), LEFT(CELL("format", E2))="D"))</formula1>
    </dataValidation>
    <dataValidation type="list" allowBlank="1" sqref="G2:G1405">
      <formula1>"Efectivo,Transferencia"</formula1>
    </dataValidation>
    <dataValidation type="list" allowBlank="1" showErrorMessage="1" sqref="A2:A1405">
      <formula1>".socio,cuna windsurf,vela,cuna kayak,velero,locker,lockerG,LockerK,Der.Inscrip.,Cadete,Multa,Depósito,Bono canon,-"</formula1>
    </dataValidation>
    <dataValidation type="custom" allowBlank="1" showErrorMessage="1" sqref="F2:F8 F13:F15 F19:F24 E25:F25 F26:F72 F77:F78 F80 E81:F81 F82:F137 E138:F138 F139 E140:F142 F143:F177 E178:F178 F179:F225 E226:F226 F227:F236 E237:F237 F238:F270 F272:F301 F303:F307 F311:F336 F339:F1405">
      <formula1>day(E2)=1</formula1>
    </dataValidation>
    <dataValidation type="custom" allowBlank="1" showErrorMessage="1" sqref="F9:F12 F16:F18">
      <formula1>day(F9)=1</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1" width="36.0"/>
    <col customWidth="1" min="2" max="2" width="11.88"/>
    <col customWidth="1" min="3" max="3" width="7.75"/>
    <col customWidth="1" min="4" max="4" width="8.75"/>
    <col customWidth="1" min="5" max="5" width="11.25"/>
    <col customWidth="1" min="6" max="6" width="16.0"/>
    <col customWidth="1" min="7" max="7" width="10.5"/>
    <col customWidth="1" min="8" max="8" width="13.75"/>
  </cols>
  <sheetData>
    <row r="1" ht="41.25" customHeight="1">
      <c r="A1" s="174" t="str">
        <f>Concatenate("Resumen del mes ",Month('Valores vigentes'!B3)," del año ",year('Valores vigentes'!B3))</f>
        <v>Resumen del mes 8 del año 2025</v>
      </c>
      <c r="B1" s="175"/>
      <c r="C1" s="175"/>
      <c r="D1" s="175"/>
      <c r="E1" s="175"/>
      <c r="F1" s="175"/>
      <c r="G1" s="175"/>
      <c r="H1" s="176"/>
    </row>
    <row r="2">
      <c r="A2" s="177" t="s">
        <v>494</v>
      </c>
      <c r="B2" s="177" t="s">
        <v>495</v>
      </c>
      <c r="C2" s="177" t="s">
        <v>496</v>
      </c>
      <c r="D2" s="177" t="s">
        <v>497</v>
      </c>
      <c r="E2" s="178" t="str">
        <f>CONCAT("Ingresos ",+E16+F16)</f>
        <v>Ingresos 14555000</v>
      </c>
      <c r="F2" s="176"/>
      <c r="G2" s="177" t="s">
        <v>498</v>
      </c>
      <c r="H2" s="177" t="s">
        <v>499</v>
      </c>
    </row>
    <row r="3">
      <c r="A3" s="179"/>
      <c r="B3" s="179"/>
      <c r="C3" s="179"/>
      <c r="D3" s="179"/>
      <c r="E3" s="180" t="s">
        <v>56</v>
      </c>
      <c r="F3" s="180" t="s">
        <v>500</v>
      </c>
      <c r="G3" s="179"/>
      <c r="H3" s="179"/>
    </row>
    <row r="4">
      <c r="A4" s="181" t="s">
        <v>71</v>
      </c>
      <c r="B4" s="182">
        <f>IFERROR(__xludf.DUMMYFUNCTION("countunique(Pagos!C2:C16)"),472.0)</f>
        <v>472</v>
      </c>
      <c r="C4" s="182">
        <f>COUNTIFS(Pagos!$A:$A,A:A,Pagos!I:I,"&gt;0")</f>
        <v>343</v>
      </c>
      <c r="D4" s="182">
        <f>sumif(Pagos!$A:$A,A:A,Pagos!$I:$I)</f>
        <v>495</v>
      </c>
      <c r="E4" s="182">
        <f>sumifs(Pagos!$J:$J,Pagos!$A:$A,A:A,Pagos!$G:$G,"Efectivo")</f>
        <v>99000</v>
      </c>
      <c r="F4" s="182">
        <f>sumifs(Pagos!$J:$J,Pagos!$A:$A,A:A,Pagos!$G:$G,"Transferencia")</f>
        <v>5280000</v>
      </c>
      <c r="G4" s="183">
        <f>(E4+F4)*offset(   'Cuadro tarifario'!E$2  , match(concatenate(Periodovigente,A4) ,'Cuadro tarifario'!A$2:A16,0) -1 , 0 , 1 , 1)/100</f>
        <v>0</v>
      </c>
      <c r="H4" s="183">
        <f t="shared" ref="H4:H15" si="1">(E4+F4)-G4</f>
        <v>5379000</v>
      </c>
    </row>
    <row r="5">
      <c r="A5" s="181" t="s">
        <v>82</v>
      </c>
      <c r="B5" s="182">
        <f>count('CUNAS-KAYAK'!B2:B16)</f>
        <v>79</v>
      </c>
      <c r="C5" s="182">
        <f>countif(Pagos!$P:$P,A:A)</f>
        <v>51</v>
      </c>
      <c r="D5" s="182">
        <f>sumif(Pagos!$A:$A,A:A,Pagos!$I:$I)</f>
        <v>84</v>
      </c>
      <c r="E5" s="182">
        <f>sumifs(Pagos!$J:$J,Pagos!$A:$A,A:A,Pagos!$G:$G,"Efectivo")</f>
        <v>48000</v>
      </c>
      <c r="F5" s="182">
        <f>sumifs(Pagos!$J:$J,Pagos!$A:$A,A:A,Pagos!$G:$G,"Transferencia")</f>
        <v>948000</v>
      </c>
      <c r="G5" s="183">
        <f>(E5+F5)*offset(   'Cuadro tarifario'!E$2  , match(concatenate(Periodovigente,A5) ,'Cuadro tarifario'!A$2:A16,0) -1 , 0 , 1 , 1)/100</f>
        <v>0</v>
      </c>
      <c r="H5" s="183">
        <f t="shared" si="1"/>
        <v>996000</v>
      </c>
    </row>
    <row r="6">
      <c r="A6" s="181" t="s">
        <v>40</v>
      </c>
      <c r="B6" s="182">
        <f>Count('CUNAS WS'!B2:B16)</f>
        <v>191</v>
      </c>
      <c r="C6" s="182">
        <f>countif(Pagos!$P:$P,A:A)</f>
        <v>132</v>
      </c>
      <c r="D6" s="182">
        <f>sumif(Pagos!$A:$A,A:A,Pagos!$I:$I)</f>
        <v>235</v>
      </c>
      <c r="E6" s="182">
        <f>sumifs(Pagos!$J:$J,Pagos!$A:$A,A:A,Pagos!$G:$G,"Efectivo")</f>
        <v>36000</v>
      </c>
      <c r="F6" s="182">
        <f>sumifs(Pagos!$J:$J,Pagos!$A:$A,A:A,Pagos!$G:$G,"Transferencia")</f>
        <v>2700000</v>
      </c>
      <c r="G6" s="183">
        <f>(E6+F6)*offset(   'Cuadro tarifario'!E$2  , match(concatenate(Periodovigente,A6) ,'Cuadro tarifario'!A$2:A16,0) -1 , 0 , 1 , 1)/100</f>
        <v>0</v>
      </c>
      <c r="H6" s="183">
        <f t="shared" si="1"/>
        <v>2736000</v>
      </c>
    </row>
    <row r="7">
      <c r="A7" s="181" t="s">
        <v>50</v>
      </c>
      <c r="B7" s="182">
        <f>Count(LOCKERS!C2:C16)</f>
        <v>62</v>
      </c>
      <c r="C7" s="182">
        <f>countif(Pagos!$P:$P,A:A)</f>
        <v>0</v>
      </c>
      <c r="D7" s="182">
        <f>sumif(Pagos!$A:$A,A:A,Pagos!$I:$I)</f>
        <v>0</v>
      </c>
      <c r="E7" s="182">
        <f>sumifs(Pagos!$J:$J,Pagos!$A:$A,A:A,Pagos!$G:$G,"Efectivo")</f>
        <v>0</v>
      </c>
      <c r="F7" s="182">
        <f>sumifs(Pagos!$J:$J,Pagos!$A:$A,A:A,Pagos!$G:$G,"Transferencia")</f>
        <v>0</v>
      </c>
      <c r="G7" s="183">
        <f>(E7+F7)*offset(   'Cuadro tarifario'!E$2  , match(concatenate(Periodovigente,A7) ,'Cuadro tarifario'!A$2:A16,0) -1 , 0 , 1 , 1)/100</f>
        <v>0</v>
      </c>
      <c r="H7" s="183">
        <f t="shared" si="1"/>
        <v>0</v>
      </c>
    </row>
    <row r="8">
      <c r="A8" s="181" t="s">
        <v>52</v>
      </c>
      <c r="B8" s="182">
        <f>CountifS(LOCKERS!B:B,"Grande",LOCKERS!C:C,"&gt;0")</f>
        <v>29</v>
      </c>
      <c r="C8" s="182">
        <f>countif(Pagos!$P:$P,A:A)</f>
        <v>1</v>
      </c>
      <c r="D8" s="182">
        <f>sumif(Pagos!$A:$A,A:A,Pagos!$I:$I)</f>
        <v>1</v>
      </c>
      <c r="E8" s="182">
        <f>sumifs(Pagos!$J:$J,Pagos!$A:$A,A:A,Pagos!$G:$G,"Efectivo")</f>
        <v>0</v>
      </c>
      <c r="F8" s="182">
        <f>sumifs(Pagos!$J:$J,Pagos!$A:$A,A:A,Pagos!$G:$G,"Transferencia")</f>
        <v>4000</v>
      </c>
      <c r="G8" s="183">
        <f>(E8+F8)*offset(   'Cuadro tarifario'!E$2  , match(concatenate(Periodovigente,A8) ,'Cuadro tarifario'!A$2:A16,0) -1 , 0 , 1 , 1)/100</f>
        <v>0</v>
      </c>
      <c r="H8" s="183">
        <f t="shared" si="1"/>
        <v>4000</v>
      </c>
    </row>
    <row r="9">
      <c r="A9" s="184" t="s">
        <v>501</v>
      </c>
      <c r="B9" s="182">
        <f>Count('LOCKERS KITE'!B2:B16)</f>
        <v>0</v>
      </c>
      <c r="C9" s="182">
        <f>countif(Pagos!$P:$P,A:A)</f>
        <v>0</v>
      </c>
      <c r="D9" s="182">
        <f>sumif(Pagos!$A:$A,A:A,Pagos!$I:$I)</f>
        <v>0</v>
      </c>
      <c r="E9" s="182">
        <f>sumifs(Pagos!$J:$J,Pagos!$A:$A,A:A,Pagos!$G:$G,"Efectivo")</f>
        <v>0</v>
      </c>
      <c r="F9" s="182">
        <f>sumifs(Pagos!$J:$J,Pagos!$A:$A,A:A,Pagos!$G:$G,"Transferencia")</f>
        <v>0</v>
      </c>
      <c r="G9" s="183">
        <f>(E9+F9)*offset(   'Cuadro tarifario'!E$2  , match(concatenate(Periodovigente,A9) ,'Cuadro tarifario'!A$2:A16,0) -1 , 0 , 1 , 1)/100</f>
        <v>0</v>
      </c>
      <c r="H9" s="183">
        <f t="shared" si="1"/>
        <v>0</v>
      </c>
    </row>
    <row r="10">
      <c r="A10" s="181" t="s">
        <v>42</v>
      </c>
      <c r="B10" s="182">
        <f>Count('VELAS WINDSURF'!B:B)</f>
        <v>51</v>
      </c>
      <c r="C10" s="182">
        <f>countif(Pagos!$P:$P,A:A)</f>
        <v>0</v>
      </c>
      <c r="D10" s="182">
        <f>sumif(Pagos!$A:$A,A:A,Pagos!$I:$I)</f>
        <v>0</v>
      </c>
      <c r="E10" s="182">
        <f>sumifs(Pagos!$J:$J,Pagos!$A:$A,A:A,Pagos!$G:$G,"Efectivo")</f>
        <v>0</v>
      </c>
      <c r="F10" s="182">
        <f>sumifs(Pagos!$J:$J,Pagos!$A:$A,A:A,Pagos!$G:$G,"Transferencia")</f>
        <v>0</v>
      </c>
      <c r="G10" s="183">
        <f>(E10+F10)*offset(   'Cuadro tarifario'!E$2  , match(concatenate(Periodovigente,A10) ,'Cuadro tarifario'!A$2:A16,0) -1 , 0 , 1 , 1)/100</f>
        <v>0</v>
      </c>
      <c r="H10" s="183">
        <f t="shared" si="1"/>
        <v>0</v>
      </c>
    </row>
    <row r="11">
      <c r="A11" s="181" t="s">
        <v>48</v>
      </c>
      <c r="B11" s="182">
        <f>countif(Pagos!$A:$A,A:A)</f>
        <v>54</v>
      </c>
      <c r="C11" s="182">
        <f>countif(Pagos!$P:$P,A:A)</f>
        <v>43</v>
      </c>
      <c r="D11" s="182">
        <f>sumif(Pagos!$A:$A,A:A,Pagos!$I:$I)</f>
        <v>60</v>
      </c>
      <c r="E11" s="182">
        <f>sumifs(Pagos!$J:$J,Pagos!$A:$A,A:A,Pagos!$G:$G,"Efectivo")</f>
        <v>12000</v>
      </c>
      <c r="F11" s="182">
        <f>sumifs(Pagos!$J:$J,Pagos!$A:$A,A:A,Pagos!$G:$G,"Transferencia")</f>
        <v>696000</v>
      </c>
      <c r="G11" s="183">
        <f>(E11+F11)*offset(   'Cuadro tarifario'!E$2  , match(concatenate(Periodovigente,A11) ,'Cuadro tarifario'!A$2:A16,0) -1 , 0 , 1 , 1)/100</f>
        <v>0</v>
      </c>
      <c r="H11" s="183">
        <f t="shared" si="1"/>
        <v>708000</v>
      </c>
    </row>
    <row r="12">
      <c r="A12" s="181" t="s">
        <v>447</v>
      </c>
      <c r="B12" s="182">
        <f>countif(Pagos!$A:$A,A:A)</f>
        <v>1</v>
      </c>
      <c r="C12" s="182">
        <f>countif(Pagos!$P:$P,A:A)</f>
        <v>1</v>
      </c>
      <c r="D12" s="182">
        <f>sumif(Pagos!$A:$A,A:A,Pagos!$I:$I)</f>
        <v>1</v>
      </c>
      <c r="E12" s="182">
        <f>sumifs(Pagos!$J:$J,Pagos!$A:$A,A:A,Pagos!$G:$G,"Efectivo")</f>
        <v>0</v>
      </c>
      <c r="F12" s="182">
        <f>sumifs(Pagos!$J:$J,Pagos!$A:$A,A:A,Pagos!$G:$G,"Transferencia")</f>
        <v>10000</v>
      </c>
      <c r="G12" s="183">
        <f>(E12+F12)*offset(   'Cuadro tarifario'!E$2  , match(concatenate(Periodovigente,A12) ,'Cuadro tarifario'!A$2:A16,0) -1 , 0 , 1 , 1)/100</f>
        <v>0</v>
      </c>
      <c r="H12" s="183">
        <f t="shared" si="1"/>
        <v>10000</v>
      </c>
    </row>
    <row r="13">
      <c r="A13" s="181" t="s">
        <v>492</v>
      </c>
      <c r="B13" s="182">
        <f>countif(Pagos!$A:$A,A:A)</f>
        <v>2</v>
      </c>
      <c r="C13" s="182">
        <f>countif(Pagos!$P:$P,A:A)</f>
        <v>2</v>
      </c>
      <c r="D13" s="182">
        <f>sumif(Pagos!$A:$A,A:A,Pagos!$I:$I)</f>
        <v>2</v>
      </c>
      <c r="E13" s="182">
        <f>sumifs(Pagos!$J:$J,Pagos!$A:$A,A:A,Pagos!$G:$G,"Efectivo")</f>
        <v>30000</v>
      </c>
      <c r="F13" s="182">
        <f>sumifs(Pagos!$J:$J,Pagos!$A:$A,A:A,Pagos!$G:$G,"Transferencia")</f>
        <v>30000</v>
      </c>
      <c r="G13" s="183">
        <f>(E13+F13)*offset(   'Cuadro tarifario'!E$2  , match(concatenate(Periodovigente,A13) ,'Cuadro tarifario'!A$2:A16,0) -1 , 0 , 1 , 1)/100</f>
        <v>0</v>
      </c>
      <c r="H13" s="183">
        <f t="shared" si="1"/>
        <v>60000</v>
      </c>
    </row>
    <row r="14">
      <c r="A14" s="181" t="s">
        <v>502</v>
      </c>
      <c r="B14" s="182">
        <f>countif(Pagos!$A:$A,A:A)</f>
        <v>0</v>
      </c>
      <c r="C14" s="182">
        <f>countif(Pagos!$P:$P,A:A)</f>
        <v>0</v>
      </c>
      <c r="D14" s="182">
        <f>sumif(Pagos!$A:$A,A:A,Pagos!$I:$I)</f>
        <v>0</v>
      </c>
      <c r="E14" s="182">
        <f>sumifs(Pagos!$J:$J,Pagos!$A:$A,A:A,Pagos!$G:$G,"Efectivo")</f>
        <v>0</v>
      </c>
      <c r="F14" s="182">
        <f>sumifs(Pagos!$J:$J,Pagos!$A:$A,A:A,Pagos!$G:$G,"Transferencia")</f>
        <v>0</v>
      </c>
      <c r="G14" s="183">
        <f>(E14+F14)*offset(   'Cuadro tarifario'!E$2  , match(concatenate(Periodovigente,A14) ,'Cuadro tarifario'!A$2:A16,0) -1 , 0 , 1 , 1)/100</f>
        <v>0</v>
      </c>
      <c r="H14" s="183">
        <f t="shared" si="1"/>
        <v>0</v>
      </c>
    </row>
    <row r="15">
      <c r="A15" s="184" t="s">
        <v>38</v>
      </c>
      <c r="B15" s="182">
        <f>countif(Pagos!$A:$A,A:A)</f>
        <v>472</v>
      </c>
      <c r="C15" s="182">
        <f>countif(Pagos!$P:$P,A:A)</f>
        <v>321</v>
      </c>
      <c r="D15" s="182">
        <f>sumif(Pagos!$A:$A,A:A,Pagos!$I:$I)</f>
        <v>526</v>
      </c>
      <c r="E15" s="182">
        <f>sumifs(Pagos!$J:$J,Pagos!$A:$A,A:A,Pagos!$G:$G,"Efectivo")</f>
        <v>126000</v>
      </c>
      <c r="F15" s="182">
        <f>sumifs(Pagos!$J:$J,Pagos!$A:$A,A:A,Pagos!$G:$G,"Transferencia")</f>
        <v>4536000</v>
      </c>
      <c r="G15" s="183">
        <f>(E15+F15)*offset(   'Cuadro tarifario'!E$2  , match(concatenate(Periodovigente,A15) ,'Cuadro tarifario'!A$2:A16,0) -1 , 0 , 1 , 1)/100</f>
        <v>0</v>
      </c>
      <c r="H15" s="183">
        <f t="shared" si="1"/>
        <v>4662000</v>
      </c>
    </row>
    <row r="16">
      <c r="A16" s="185" t="s">
        <v>503</v>
      </c>
      <c r="B16" s="175"/>
      <c r="C16" s="175"/>
      <c r="D16" s="176"/>
      <c r="E16" s="186">
        <f t="shared" ref="E16:H16" si="2">SUM(E4:E15)</f>
        <v>351000</v>
      </c>
      <c r="F16" s="186">
        <f t="shared" si="2"/>
        <v>14204000</v>
      </c>
      <c r="G16" s="186">
        <f t="shared" si="2"/>
        <v>0</v>
      </c>
      <c r="H16" s="186">
        <f t="shared" si="2"/>
        <v>14555000</v>
      </c>
    </row>
  </sheetData>
  <mergeCells count="9">
    <mergeCell ref="D2:D3"/>
    <mergeCell ref="A16:D16"/>
    <mergeCell ref="A1:H1"/>
    <mergeCell ref="A2:A3"/>
    <mergeCell ref="B2:B3"/>
    <mergeCell ref="C2:C3"/>
    <mergeCell ref="E2:F2"/>
    <mergeCell ref="G2:G3"/>
    <mergeCell ref="H2:H3"/>
  </mergeCells>
  <conditionalFormatting sqref="E1:F1">
    <cfRule type="containsBlanks" dxfId="7" priority="1">
      <formula>LEN(TRIM(E1))=0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5F06"/>
    <outlinePr summaryBelow="0" summaryRight="0"/>
    <pageSetUpPr fitToPage="1"/>
  </sheetPr>
  <sheetViews>
    <sheetView workbookViewId="0">
      <pane xSplit="3.0" topLeftCell="D1" activePane="topRight" state="frozen"/>
      <selection activeCell="E2" sqref="E2" pane="topRight"/>
    </sheetView>
  </sheetViews>
  <sheetFormatPr customHeight="1" defaultColWidth="12.63" defaultRowHeight="15.75"/>
  <cols>
    <col customWidth="1" min="1" max="1" width="10.25"/>
    <col customWidth="1" min="2" max="2" width="32.0"/>
    <col customWidth="1" min="3" max="3" width="9.38"/>
    <col customWidth="1" min="4" max="4" width="28.63"/>
    <col customWidth="1" min="5" max="5" width="43.38"/>
    <col customWidth="1" min="6" max="6" width="17.38"/>
    <col customWidth="1" min="7" max="7" width="15.5"/>
    <col customWidth="1" min="8" max="8" width="29.5"/>
    <col customWidth="1" min="9" max="9" width="15.88"/>
    <col customWidth="1" min="10" max="10" width="14.75"/>
    <col customWidth="1" min="11" max="11" width="13.5"/>
    <col customWidth="1" min="12" max="12" width="14.13"/>
    <col customWidth="1" min="13" max="13" width="60.13"/>
    <col customWidth="1" min="14" max="14" width="14.0"/>
    <col customWidth="1" min="15" max="15" width="43.5"/>
  </cols>
  <sheetData>
    <row r="1">
      <c r="A1" s="187" t="s">
        <v>504</v>
      </c>
      <c r="B1" s="187" t="s">
        <v>505</v>
      </c>
      <c r="C1" s="187" t="s">
        <v>506</v>
      </c>
      <c r="D1" s="187" t="s">
        <v>507</v>
      </c>
      <c r="E1" s="187" t="s">
        <v>508</v>
      </c>
      <c r="F1" s="187" t="s">
        <v>509</v>
      </c>
      <c r="G1" s="187" t="s">
        <v>510</v>
      </c>
      <c r="H1" s="187" t="s">
        <v>511</v>
      </c>
      <c r="I1" s="188" t="s">
        <v>512</v>
      </c>
      <c r="J1" s="189" t="s">
        <v>513</v>
      </c>
      <c r="K1" s="190" t="s">
        <v>514</v>
      </c>
      <c r="L1" s="190" t="s">
        <v>515</v>
      </c>
      <c r="M1" s="191" t="s">
        <v>33</v>
      </c>
      <c r="N1" s="189" t="s">
        <v>516</v>
      </c>
      <c r="O1" s="189" t="s">
        <v>517</v>
      </c>
    </row>
    <row r="2">
      <c r="A2" s="192">
        <v>1652.0</v>
      </c>
      <c r="B2" s="193" t="s">
        <v>518</v>
      </c>
      <c r="C2" s="194" t="s">
        <v>519</v>
      </c>
      <c r="D2" s="193" t="s">
        <v>520</v>
      </c>
      <c r="E2" s="193" t="s">
        <v>521</v>
      </c>
      <c r="F2" s="195">
        <v>1.132956626E9</v>
      </c>
      <c r="G2" s="196"/>
      <c r="H2" s="193" t="s">
        <v>522</v>
      </c>
      <c r="I2" s="197" t="str">
        <f>IF(iserror(vlookup($A2,Pagos!$B$5:L1241,4,false)),"Sin actividad",If(vlookup($A2,Pagos!$B$5:$L1241,5,false),vlookup($A2,Pagos!$B$5:$L1241,5,false),vlookup($A2,Pagos!$B$5:$L1241,4,false)))</f>
        <v>Sin actividad</v>
      </c>
      <c r="J2" s="198" t="s">
        <v>523</v>
      </c>
      <c r="K2" s="199">
        <v>42979.0</v>
      </c>
      <c r="L2" s="200">
        <v>43525.0</v>
      </c>
      <c r="M2" s="201" t="s">
        <v>524</v>
      </c>
      <c r="N2" s="202">
        <f>If(L2&gt;K2,   datedif(K2,L2,"Y") , If(K2&lt;Vitalicios!$C$4, datedif(K2,Vitalicios!$C$4,"Y"),0)  )</f>
        <v>1</v>
      </c>
      <c r="O2" s="202"/>
    </row>
    <row r="3">
      <c r="A3" s="192">
        <v>1234.0</v>
      </c>
      <c r="B3" s="193" t="s">
        <v>525</v>
      </c>
      <c r="C3" s="194" t="s">
        <v>526</v>
      </c>
      <c r="D3" s="193" t="s">
        <v>527</v>
      </c>
      <c r="E3" s="193">
        <v>0.0</v>
      </c>
      <c r="F3" s="195" t="s">
        <v>528</v>
      </c>
      <c r="G3" s="196">
        <v>0.0</v>
      </c>
      <c r="H3" s="193"/>
      <c r="I3" s="197" t="str">
        <f>IF(iserror(vlookup($A3,Pagos!$B$5:L1241,4,false)),"Sin actividad",If(vlookup($A3,Pagos!$B$5:$L1241,5,false),vlookup($A3,Pagos!$B$5:$L1241,5,false),vlookup($A3,Pagos!$B$5:$L1241,4,false)))</f>
        <v>Sin actividad</v>
      </c>
      <c r="J3" s="198" t="s">
        <v>529</v>
      </c>
      <c r="K3" s="199">
        <v>40040.0</v>
      </c>
      <c r="L3" s="200"/>
      <c r="M3" s="201"/>
      <c r="N3" s="202">
        <f>If(L3&gt;K3,   datedif(K3,L3,"Y") , If(K3&lt;Vitalicios!$C$4, datedif(K3,Vitalicios!$C$4,"Y"),0)  )</f>
        <v>16</v>
      </c>
      <c r="O3" s="202"/>
    </row>
    <row r="4">
      <c r="A4" s="192">
        <v>1275.0</v>
      </c>
      <c r="B4" s="193" t="s">
        <v>530</v>
      </c>
      <c r="C4" s="194" t="s">
        <v>526</v>
      </c>
      <c r="D4" s="193" t="s">
        <v>527</v>
      </c>
      <c r="E4" s="193">
        <v>0.0</v>
      </c>
      <c r="F4" s="195">
        <v>0.0</v>
      </c>
      <c r="G4" s="196">
        <v>0.0</v>
      </c>
      <c r="H4" s="193"/>
      <c r="I4" s="197" t="str">
        <f>IF(iserror(vlookup($A4,Pagos!$B$5:L1241,4,false)),"Sin actividad",If(vlookup($A4,Pagos!$B$5:$L1241,5,false),vlookup($A4,Pagos!$B$5:$L1241,5,false),vlookup($A4,Pagos!$B$5:$L1241,4,false)))</f>
        <v>Sin actividad</v>
      </c>
      <c r="J4" s="198" t="s">
        <v>529</v>
      </c>
      <c r="K4" s="199">
        <v>40174.0</v>
      </c>
      <c r="L4" s="200"/>
      <c r="M4" s="201"/>
      <c r="N4" s="202">
        <f>If(L4&gt;K4,   datedif(K4,L4,"Y") , If(K4&lt;Vitalicios!$C$4, datedif(K4,Vitalicios!$C$4,"Y"),0)  )</f>
        <v>15</v>
      </c>
      <c r="O4" s="202"/>
    </row>
    <row r="5">
      <c r="A5" s="192">
        <v>2133.0</v>
      </c>
      <c r="B5" s="193" t="s">
        <v>531</v>
      </c>
      <c r="C5" s="193" t="s">
        <v>526</v>
      </c>
      <c r="D5" s="193" t="s">
        <v>532</v>
      </c>
      <c r="E5" s="193" t="s">
        <v>533</v>
      </c>
      <c r="F5" s="195">
        <v>1.131932334E9</v>
      </c>
      <c r="G5" s="196"/>
      <c r="H5" s="193" t="s">
        <v>534</v>
      </c>
      <c r="I5" s="197"/>
      <c r="J5" s="198" t="s">
        <v>529</v>
      </c>
      <c r="K5" s="199">
        <v>44958.0</v>
      </c>
      <c r="L5" s="200">
        <v>45170.0</v>
      </c>
      <c r="M5" s="201" t="s">
        <v>535</v>
      </c>
      <c r="N5" s="202"/>
      <c r="O5" s="202"/>
    </row>
    <row r="6">
      <c r="A6" s="192">
        <v>2131.0</v>
      </c>
      <c r="B6" s="193" t="s">
        <v>536</v>
      </c>
      <c r="C6" s="193" t="s">
        <v>537</v>
      </c>
      <c r="D6" s="193" t="s">
        <v>538</v>
      </c>
      <c r="E6" s="193" t="s">
        <v>539</v>
      </c>
      <c r="F6" s="195">
        <v>2.215542694E9</v>
      </c>
      <c r="G6" s="196"/>
      <c r="H6" s="193" t="s">
        <v>540</v>
      </c>
      <c r="I6" s="197"/>
      <c r="J6" s="198" t="s">
        <v>523</v>
      </c>
      <c r="K6" s="199">
        <v>44958.0</v>
      </c>
      <c r="L6" s="200"/>
      <c r="M6" s="201"/>
      <c r="N6" s="202"/>
      <c r="O6" s="202"/>
    </row>
    <row r="7">
      <c r="A7" s="192">
        <v>1568.0</v>
      </c>
      <c r="B7" s="193" t="s">
        <v>541</v>
      </c>
      <c r="C7" s="194" t="s">
        <v>526</v>
      </c>
      <c r="D7" s="193" t="s">
        <v>527</v>
      </c>
      <c r="E7" s="193" t="s">
        <v>542</v>
      </c>
      <c r="F7" s="195">
        <v>1.56127726E8</v>
      </c>
      <c r="G7" s="196">
        <v>0.0</v>
      </c>
      <c r="H7" s="193" t="s">
        <v>543</v>
      </c>
      <c r="I7" s="197" t="str">
        <f>IF(iserror(vlookup($A7,Pagos!$B$5:L1241,4,false)),"Sin actividad",If(vlookup($A7,Pagos!$B$5:$L1241,5,false),vlookup($A7,Pagos!$B$5:$L1241,5,false),vlookup($A7,Pagos!$B$5:$L1241,4,false)))</f>
        <v>Sin actividad</v>
      </c>
      <c r="J7" s="198" t="s">
        <v>529</v>
      </c>
      <c r="K7" s="199">
        <v>42246.0</v>
      </c>
      <c r="L7" s="200"/>
      <c r="M7" s="201" t="s">
        <v>544</v>
      </c>
      <c r="N7" s="202">
        <f>If(L7&gt;K7,   datedif(K7,L7,"Y") , If(K7&lt;Vitalicios!$C$4, datedif(K7,Vitalicios!$C$4,"Y"),0)  )</f>
        <v>10</v>
      </c>
      <c r="O7" s="202"/>
    </row>
    <row r="8">
      <c r="A8" s="192">
        <v>1992.0</v>
      </c>
      <c r="B8" s="193" t="s">
        <v>545</v>
      </c>
      <c r="C8" s="193" t="s">
        <v>537</v>
      </c>
      <c r="D8" s="193" t="s">
        <v>538</v>
      </c>
      <c r="E8" s="193" t="s">
        <v>546</v>
      </c>
      <c r="F8" s="195">
        <v>1.560152377E9</v>
      </c>
      <c r="G8" s="196"/>
      <c r="H8" s="193" t="s">
        <v>547</v>
      </c>
      <c r="I8" s="197" t="str">
        <f>IF(iserror(vlookup($A8,Pagos!$B$5:L1241,4,false)),"Sin actividad",If(vlookup($A8,Pagos!$B$5:$L1241,5,false),vlookup($A8,Pagos!$B$5:$L1241,5,false),vlookup($A8,Pagos!$B$5:$L1241,4,false)))</f>
        <v>Sin actividad</v>
      </c>
      <c r="J8" s="198" t="s">
        <v>529</v>
      </c>
      <c r="K8" s="199">
        <v>44562.0</v>
      </c>
      <c r="L8" s="200">
        <v>44986.0</v>
      </c>
      <c r="M8" s="201" t="s">
        <v>535</v>
      </c>
      <c r="N8" s="202"/>
      <c r="O8" s="202"/>
    </row>
    <row r="9">
      <c r="A9" s="192">
        <v>2153.0</v>
      </c>
      <c r="B9" s="193" t="s">
        <v>548</v>
      </c>
      <c r="C9" s="193" t="s">
        <v>537</v>
      </c>
      <c r="D9" s="193" t="s">
        <v>549</v>
      </c>
      <c r="E9" s="193" t="s">
        <v>550</v>
      </c>
      <c r="F9" s="195">
        <v>2.215225578E9</v>
      </c>
      <c r="G9" s="196"/>
      <c r="H9" s="193" t="s">
        <v>551</v>
      </c>
      <c r="I9" s="197"/>
      <c r="J9" s="198" t="s">
        <v>523</v>
      </c>
      <c r="K9" s="199">
        <v>44986.0</v>
      </c>
      <c r="L9" s="200"/>
      <c r="M9" s="201"/>
      <c r="N9" s="202"/>
      <c r="O9" s="202"/>
    </row>
    <row r="10">
      <c r="A10" s="192">
        <v>1604.0</v>
      </c>
      <c r="B10" s="193" t="s">
        <v>552</v>
      </c>
      <c r="C10" s="194" t="s">
        <v>526</v>
      </c>
      <c r="D10" s="193" t="s">
        <v>527</v>
      </c>
      <c r="E10" s="193" t="s">
        <v>553</v>
      </c>
      <c r="F10" s="195">
        <v>5408606.0</v>
      </c>
      <c r="G10" s="196"/>
      <c r="H10" s="193" t="s">
        <v>554</v>
      </c>
      <c r="I10" s="197" t="str">
        <f>IF(iserror(vlookup($A10,Pagos!$B$5:L1241,4,false)),"Sin actividad",If(vlookup($A10,Pagos!$B$5:$L1241,5,false),vlookup($A10,Pagos!$B$5:$L1241,5,false),vlookup($A10,Pagos!$B$5:$L1241,4,false)))</f>
        <v>Sin actividad</v>
      </c>
      <c r="J10" s="198" t="s">
        <v>529</v>
      </c>
      <c r="K10" s="199">
        <v>42583.0</v>
      </c>
      <c r="L10" s="200">
        <v>43525.0</v>
      </c>
      <c r="M10" s="201"/>
      <c r="N10" s="202">
        <f>If(L10&gt;K10,   datedif(K10,L10,"Y") , If(K10&lt;Vitalicios!$C$4, datedif(K10,Vitalicios!$C$4,"Y"),0)  )</f>
        <v>2</v>
      </c>
      <c r="O10" s="202"/>
    </row>
    <row r="11">
      <c r="A11" s="192">
        <v>1489.0</v>
      </c>
      <c r="B11" s="193" t="s">
        <v>555</v>
      </c>
      <c r="C11" s="194" t="s">
        <v>526</v>
      </c>
      <c r="D11" s="193" t="s">
        <v>556</v>
      </c>
      <c r="E11" s="193" t="s">
        <v>557</v>
      </c>
      <c r="F11" s="195" t="s">
        <v>558</v>
      </c>
      <c r="G11" s="196" t="s">
        <v>559</v>
      </c>
      <c r="H11" s="193"/>
      <c r="I11" s="197" t="str">
        <f>IF(iserror(vlookup($A11,Pagos!$B$5:L1241,4,false)),"Sin actividad",If(vlookup($A11,Pagos!$B$5:$L1241,5,false),vlookup($A11,Pagos!$B$5:$L1241,5,false),vlookup($A11,Pagos!$B$5:$L1241,4,false)))</f>
        <v>Sin actividad</v>
      </c>
      <c r="J11" s="198" t="s">
        <v>529</v>
      </c>
      <c r="K11" s="199">
        <v>41659.0</v>
      </c>
      <c r="L11" s="200">
        <v>43374.0</v>
      </c>
      <c r="M11" s="201" t="s">
        <v>560</v>
      </c>
      <c r="N11" s="202">
        <f>If(L11&gt;K11,   datedif(K11,L11,"Y") , If(K11&lt;Vitalicios!$C$4, datedif(K11,Vitalicios!$C$4,"Y"),0)  )</f>
        <v>4</v>
      </c>
      <c r="O11" s="202"/>
    </row>
    <row r="12">
      <c r="A12" s="192">
        <v>1271.0</v>
      </c>
      <c r="B12" s="193" t="s">
        <v>561</v>
      </c>
      <c r="C12" s="194" t="s">
        <v>526</v>
      </c>
      <c r="D12" s="193" t="s">
        <v>520</v>
      </c>
      <c r="E12" s="193" t="s">
        <v>562</v>
      </c>
      <c r="F12" s="195">
        <v>4215850.0</v>
      </c>
      <c r="G12" s="196">
        <v>1.54190734E8</v>
      </c>
      <c r="H12" s="193"/>
      <c r="I12" s="197" t="str">
        <f>IF(iserror(vlookup($A12,Pagos!$B$5:L1241,4,false)),"Sin actividad",If(vlookup($A12,Pagos!$B$5:$L1241,5,false),vlookup($A12,Pagos!$B$5:$L1241,5,false),vlookup($A12,Pagos!$B$5:$L1241,4,false)))</f>
        <v>Sin actividad</v>
      </c>
      <c r="J12" s="198" t="s">
        <v>529</v>
      </c>
      <c r="K12" s="199">
        <v>40171.0</v>
      </c>
      <c r="L12" s="200">
        <v>43374.0</v>
      </c>
      <c r="M12" s="201" t="s">
        <v>560</v>
      </c>
      <c r="N12" s="202">
        <f>If(L12&gt;K12,   datedif(K12,L12,"Y") , If(K12&lt;Vitalicios!$C$4, datedif(K12,Vitalicios!$C$4,"Y"),0)  )</f>
        <v>8</v>
      </c>
      <c r="O12" s="202"/>
    </row>
    <row r="13">
      <c r="A13" s="192">
        <v>1313.0</v>
      </c>
      <c r="B13" s="193" t="s">
        <v>563</v>
      </c>
      <c r="C13" s="194" t="s">
        <v>564</v>
      </c>
      <c r="D13" s="193" t="s">
        <v>556</v>
      </c>
      <c r="E13" s="193">
        <v>0.0</v>
      </c>
      <c r="F13" s="195">
        <v>0.0</v>
      </c>
      <c r="G13" s="196">
        <v>0.0</v>
      </c>
      <c r="H13" s="193"/>
      <c r="I13" s="197" t="str">
        <f>IF(iserror(vlookup($A13,Pagos!$B$5:L1241,4,false)),"Sin actividad",If(vlookup($A13,Pagos!$B$5:$L1241,5,false),vlookup($A13,Pagos!$B$5:$L1241,5,false),vlookup($A13,Pagos!$B$5:$L1241,4,false)))</f>
        <v>Sin actividad</v>
      </c>
      <c r="J13" s="198" t="s">
        <v>529</v>
      </c>
      <c r="K13" s="199">
        <v>40454.0</v>
      </c>
      <c r="L13" s="200"/>
      <c r="M13" s="201"/>
      <c r="N13" s="202">
        <f>If(L13&gt;K13,   datedif(K13,L13,"Y") , If(K13&lt;Vitalicios!$C$4, datedif(K13,Vitalicios!$C$4,"Y"),0)  )</f>
        <v>14</v>
      </c>
      <c r="O13" s="202"/>
    </row>
    <row r="14">
      <c r="A14" s="192">
        <v>1952.0</v>
      </c>
      <c r="B14" s="193" t="s">
        <v>565</v>
      </c>
      <c r="C14" s="193" t="s">
        <v>537</v>
      </c>
      <c r="D14" s="193" t="s">
        <v>538</v>
      </c>
      <c r="E14" s="193" t="s">
        <v>566</v>
      </c>
      <c r="F14" s="195">
        <v>2.216705679E9</v>
      </c>
      <c r="G14" s="196"/>
      <c r="H14" s="193" t="s">
        <v>567</v>
      </c>
      <c r="I14" s="197">
        <f>IF(iserror(vlookup($A14,Pagos!$B$5:L1241,4,false)),"Sin actividad",If(vlookup($A14,Pagos!$B$5:$L1241,5,false),vlookup($A14,Pagos!$B$5:$L1241,5,false),vlookup($A14,Pagos!$B$5:$L1241,4,false)))</f>
        <v>45870</v>
      </c>
      <c r="J14" s="198" t="s">
        <v>523</v>
      </c>
      <c r="K14" s="199">
        <v>44501.0</v>
      </c>
      <c r="L14" s="200"/>
      <c r="M14" s="201"/>
      <c r="N14" s="202"/>
      <c r="O14" s="202"/>
    </row>
    <row r="15">
      <c r="A15" s="192">
        <v>1462.0</v>
      </c>
      <c r="B15" s="193" t="s">
        <v>568</v>
      </c>
      <c r="C15" s="194" t="s">
        <v>526</v>
      </c>
      <c r="D15" s="193" t="s">
        <v>556</v>
      </c>
      <c r="E15" s="193" t="s">
        <v>569</v>
      </c>
      <c r="F15" s="195">
        <v>4693150.0</v>
      </c>
      <c r="G15" s="196">
        <v>1.56157093E8</v>
      </c>
      <c r="H15" s="193"/>
      <c r="I15" s="197" t="str">
        <f>IF(iserror(vlookup($A15,Pagos!$B$5:L1241,4,false)),"Sin actividad",If(vlookup($A15,Pagos!$B$5:$L1241,5,false),vlookup($A15,Pagos!$B$5:$L1241,5,false),vlookup($A15,Pagos!$B$5:$L1241,4,false)))</f>
        <v>Sin actividad</v>
      </c>
      <c r="J15" s="198" t="s">
        <v>529</v>
      </c>
      <c r="K15" s="199">
        <v>41447.0</v>
      </c>
      <c r="L15" s="200">
        <v>43466.0</v>
      </c>
      <c r="M15" s="201"/>
      <c r="N15" s="202">
        <f>If(L15&gt;K15,   datedif(K15,L15,"Y") , If(K15&lt;Vitalicios!$C$4, datedif(K15,Vitalicios!$C$4,"Y"),0)  )</f>
        <v>5</v>
      </c>
      <c r="O15" s="202"/>
    </row>
    <row r="16">
      <c r="A16" s="192">
        <v>1746.0</v>
      </c>
      <c r="B16" s="193" t="s">
        <v>570</v>
      </c>
      <c r="C16" s="194" t="s">
        <v>519</v>
      </c>
      <c r="D16" s="193" t="s">
        <v>527</v>
      </c>
      <c r="E16" s="193" t="s">
        <v>571</v>
      </c>
      <c r="F16" s="195">
        <v>1.55623033E8</v>
      </c>
      <c r="G16" s="196"/>
      <c r="H16" s="193" t="s">
        <v>572</v>
      </c>
      <c r="I16" s="197" t="str">
        <f>IF(iserror(vlookup($A16,Pagos!$B$5:L1241,4,false)),"Sin actividad",If(vlookup($A16,Pagos!$B$5:$L1241,5,false),vlookup($A16,Pagos!$B$5:$L1241,5,false),vlookup($A16,Pagos!$B$5:$L1241,4,false)))</f>
        <v>Sin actividad</v>
      </c>
      <c r="J16" s="198" t="s">
        <v>529</v>
      </c>
      <c r="K16" s="199">
        <v>43617.0</v>
      </c>
      <c r="L16" s="200">
        <v>44774.0</v>
      </c>
      <c r="M16" s="201" t="s">
        <v>535</v>
      </c>
      <c r="N16" s="202">
        <f>If(L16&gt;K16,   datedif(K16,L16,"Y") , If(K16&lt;Vitalicios!$C$4, datedif(K16,Vitalicios!$C$4,"Y"),0)  )</f>
        <v>3</v>
      </c>
      <c r="O16" s="202"/>
    </row>
    <row r="17">
      <c r="A17" s="192">
        <v>1173.0</v>
      </c>
      <c r="B17" s="193" t="s">
        <v>573</v>
      </c>
      <c r="C17" s="194" t="s">
        <v>526</v>
      </c>
      <c r="D17" s="193" t="s">
        <v>520</v>
      </c>
      <c r="E17" s="193" t="s">
        <v>574</v>
      </c>
      <c r="F17" s="195">
        <v>4722519.0</v>
      </c>
      <c r="G17" s="196">
        <v>2.21156200616E11</v>
      </c>
      <c r="H17" s="193" t="s">
        <v>575</v>
      </c>
      <c r="I17" s="197">
        <f>IF(iserror(vlookup($A17,Pagos!$B$5:L1241,4,false)),"Sin actividad",If(vlookup($A17,Pagos!$B$5:$L1241,5,false),vlookup($A17,Pagos!$B$5:$L1241,5,false),vlookup($A17,Pagos!$B$5:$L1241,4,false)))</f>
        <v>45870</v>
      </c>
      <c r="J17" s="198" t="s">
        <v>523</v>
      </c>
      <c r="K17" s="199">
        <v>39480.0</v>
      </c>
      <c r="L17" s="200"/>
      <c r="M17" s="201"/>
      <c r="N17" s="202">
        <f>If(L17&gt;K17,   datedif(K17,L17,"Y") , If(K17&lt;Vitalicios!$C$4, datedif(K17,Vitalicios!$C$4,"Y"),0)  )</f>
        <v>17</v>
      </c>
      <c r="O17" s="202"/>
    </row>
    <row r="18">
      <c r="A18" s="192">
        <v>1551.0</v>
      </c>
      <c r="B18" s="193" t="s">
        <v>576</v>
      </c>
      <c r="C18" s="194" t="s">
        <v>577</v>
      </c>
      <c r="D18" s="193" t="s">
        <v>527</v>
      </c>
      <c r="E18" s="193" t="s">
        <v>578</v>
      </c>
      <c r="F18" s="195">
        <v>1.55411069E8</v>
      </c>
      <c r="G18" s="196"/>
      <c r="H18" s="193" t="s">
        <v>579</v>
      </c>
      <c r="I18" s="197">
        <f>IF(iserror(vlookup($A18,Pagos!$B$5:L1241,4,false)),"Sin actividad",If(vlookup($A18,Pagos!$B$5:$L1241,5,false),vlookup($A18,Pagos!$B$5:$L1241,5,false),vlookup($A18,Pagos!$B$5:$L1241,4,false)))</f>
        <v>45870</v>
      </c>
      <c r="J18" s="198" t="s">
        <v>523</v>
      </c>
      <c r="K18" s="199">
        <v>42056.0</v>
      </c>
      <c r="L18" s="200"/>
      <c r="M18" s="201"/>
      <c r="N18" s="202">
        <f>If(L18&gt;K18,   datedif(K18,L18,"Y") , If(K18&lt;Vitalicios!$C$4, datedif(K18,Vitalicios!$C$4,"Y"),0)  )</f>
        <v>10</v>
      </c>
      <c r="O18" s="202"/>
    </row>
    <row r="19">
      <c r="A19" s="192">
        <v>1837.0</v>
      </c>
      <c r="B19" s="193" t="s">
        <v>580</v>
      </c>
      <c r="C19" s="193" t="s">
        <v>537</v>
      </c>
      <c r="D19" s="193" t="s">
        <v>549</v>
      </c>
      <c r="E19" s="193" t="s">
        <v>581</v>
      </c>
      <c r="F19" s="195">
        <v>2.216059664E9</v>
      </c>
      <c r="G19" s="196"/>
      <c r="H19" s="193" t="s">
        <v>582</v>
      </c>
      <c r="I19" s="197">
        <f>IF(iserror(vlookup($A19,Pagos!$B$5:L1241,4,false)),"Sin actividad",If(vlookup($A19,Pagos!$B$5:$L1241,5,false),vlookup($A19,Pagos!$B$5:$L1241,5,false),vlookup($A19,Pagos!$B$5:$L1241,4,false)))</f>
        <v>45870</v>
      </c>
      <c r="J19" s="198" t="s">
        <v>523</v>
      </c>
      <c r="K19" s="199">
        <v>44105.0</v>
      </c>
      <c r="L19" s="200"/>
      <c r="M19" s="201"/>
      <c r="N19" s="202"/>
      <c r="O19" s="202"/>
    </row>
    <row r="20">
      <c r="A20" s="192">
        <v>1749.0</v>
      </c>
      <c r="B20" s="193" t="s">
        <v>583</v>
      </c>
      <c r="C20" s="194" t="s">
        <v>519</v>
      </c>
      <c r="D20" s="193" t="s">
        <v>527</v>
      </c>
      <c r="E20" s="193" t="s">
        <v>584</v>
      </c>
      <c r="F20" s="195">
        <v>1.54387985E8</v>
      </c>
      <c r="G20" s="196"/>
      <c r="H20" s="193" t="s">
        <v>585</v>
      </c>
      <c r="I20" s="197" t="str">
        <f>IF(iserror(vlookup($A20,Pagos!$B$5:L1241,4,false)),"Sin actividad",If(vlookup($A20,Pagos!$B$5:$L1241,5,false),vlookup($A20,Pagos!$B$5:$L1241,5,false),vlookup($A20,Pagos!$B$5:$L1241,4,false)))</f>
        <v>Sin actividad</v>
      </c>
      <c r="J20" s="198" t="s">
        <v>529</v>
      </c>
      <c r="K20" s="199">
        <v>43678.0</v>
      </c>
      <c r="L20" s="200">
        <v>43831.0</v>
      </c>
      <c r="M20" s="201"/>
      <c r="N20" s="202">
        <f>If(L20&gt;K20,   datedif(K20,L20,"Y") , If(K20&lt;Vitalicios!$C$4, datedif(K20,Vitalicios!$C$4,"Y"),0)  )</f>
        <v>0</v>
      </c>
      <c r="O20" s="202"/>
    </row>
    <row r="21">
      <c r="A21" s="192">
        <v>1418.0</v>
      </c>
      <c r="B21" s="193" t="s">
        <v>586</v>
      </c>
      <c r="C21" s="194" t="s">
        <v>526</v>
      </c>
      <c r="D21" s="193" t="s">
        <v>527</v>
      </c>
      <c r="E21" s="193" t="s">
        <v>587</v>
      </c>
      <c r="F21" s="195">
        <v>4896231.0</v>
      </c>
      <c r="G21" s="196">
        <v>0.0</v>
      </c>
      <c r="H21" s="193" t="s">
        <v>588</v>
      </c>
      <c r="I21" s="197" t="str">
        <f>IF(iserror(vlookup($A21,Pagos!$B$5:L1241,4,false)),"Sin actividad",If(vlookup($A21,Pagos!$B$5:$L1241,5,false),vlookup($A21,Pagos!$B$5:$L1241,5,false),vlookup($A21,Pagos!$B$5:$L1241,4,false)))</f>
        <v>Sin actividad</v>
      </c>
      <c r="J21" s="198" t="s">
        <v>529</v>
      </c>
      <c r="K21" s="199">
        <v>41042.0</v>
      </c>
      <c r="L21" s="200">
        <v>43101.0</v>
      </c>
      <c r="M21" s="201" t="s">
        <v>589</v>
      </c>
      <c r="N21" s="202">
        <f>If(L21&gt;K21,   datedif(K21,L21,"Y") , If(K21&lt;Vitalicios!$C$4, datedif(K21,Vitalicios!$C$4,"Y"),0)  )</f>
        <v>5</v>
      </c>
      <c r="O21" s="202"/>
    </row>
    <row r="22">
      <c r="A22" s="192">
        <v>2332.0</v>
      </c>
      <c r="B22" s="193" t="s">
        <v>590</v>
      </c>
      <c r="C22" s="193" t="s">
        <v>537</v>
      </c>
      <c r="D22" s="193" t="s">
        <v>532</v>
      </c>
      <c r="E22" s="193" t="s">
        <v>591</v>
      </c>
      <c r="F22" s="195">
        <v>2.215037877E9</v>
      </c>
      <c r="G22" s="196"/>
      <c r="H22" s="193" t="s">
        <v>592</v>
      </c>
      <c r="I22" s="197"/>
      <c r="J22" s="198" t="s">
        <v>523</v>
      </c>
      <c r="K22" s="199">
        <v>45689.0</v>
      </c>
      <c r="L22" s="200"/>
      <c r="M22" s="201"/>
      <c r="N22" s="202"/>
      <c r="O22" s="202"/>
    </row>
    <row r="23">
      <c r="A23" s="192">
        <v>2334.0</v>
      </c>
      <c r="B23" s="193" t="s">
        <v>593</v>
      </c>
      <c r="C23" s="193" t="s">
        <v>537</v>
      </c>
      <c r="D23" s="193" t="s">
        <v>532</v>
      </c>
      <c r="E23" s="193" t="s">
        <v>591</v>
      </c>
      <c r="F23" s="195">
        <v>2.213086062E9</v>
      </c>
      <c r="G23" s="196"/>
      <c r="H23" s="193" t="s">
        <v>594</v>
      </c>
      <c r="I23" s="197"/>
      <c r="J23" s="198" t="s">
        <v>523</v>
      </c>
      <c r="K23" s="199">
        <v>45689.0</v>
      </c>
      <c r="L23" s="200"/>
      <c r="M23" s="201"/>
      <c r="N23" s="202"/>
      <c r="O23" s="202"/>
    </row>
    <row r="24">
      <c r="A24" s="192">
        <v>2281.0</v>
      </c>
      <c r="B24" s="193" t="s">
        <v>595</v>
      </c>
      <c r="C24" s="193" t="s">
        <v>526</v>
      </c>
      <c r="D24" s="193" t="s">
        <v>596</v>
      </c>
      <c r="E24" s="193" t="s">
        <v>597</v>
      </c>
      <c r="F24" s="195">
        <v>2.215088108E9</v>
      </c>
      <c r="G24" s="196"/>
      <c r="H24" s="193" t="s">
        <v>598</v>
      </c>
      <c r="I24" s="197"/>
      <c r="J24" s="198" t="s">
        <v>523</v>
      </c>
      <c r="K24" s="199">
        <v>45566.0</v>
      </c>
      <c r="L24" s="200"/>
      <c r="M24" s="201"/>
      <c r="N24" s="202"/>
      <c r="O24" s="202"/>
    </row>
    <row r="25">
      <c r="A25" s="192">
        <v>2328.0</v>
      </c>
      <c r="B25" s="193" t="s">
        <v>599</v>
      </c>
      <c r="C25" s="193" t="s">
        <v>537</v>
      </c>
      <c r="D25" s="193" t="s">
        <v>532</v>
      </c>
      <c r="E25" s="193" t="s">
        <v>600</v>
      </c>
      <c r="F25" s="195">
        <v>1.14042137E9</v>
      </c>
      <c r="G25" s="196"/>
      <c r="H25" s="193" t="s">
        <v>601</v>
      </c>
      <c r="I25" s="197"/>
      <c r="J25" s="198" t="s">
        <v>523</v>
      </c>
      <c r="K25" s="199">
        <v>45689.0</v>
      </c>
      <c r="L25" s="200"/>
      <c r="M25" s="201"/>
      <c r="N25" s="202"/>
      <c r="O25" s="202"/>
    </row>
    <row r="26">
      <c r="A26" s="192">
        <v>1561.0</v>
      </c>
      <c r="B26" s="193" t="s">
        <v>602</v>
      </c>
      <c r="C26" s="194" t="s">
        <v>526</v>
      </c>
      <c r="D26" s="193" t="s">
        <v>48</v>
      </c>
      <c r="E26" s="193" t="s">
        <v>603</v>
      </c>
      <c r="F26" s="195">
        <v>4661141.0</v>
      </c>
      <c r="G26" s="196"/>
      <c r="H26" s="193" t="s">
        <v>604</v>
      </c>
      <c r="I26" s="197" t="str">
        <f>IF(iserror(vlookup($A26,Pagos!$B$5:L1241,4,false)),"Sin actividad",If(vlookup($A26,Pagos!$B$5:$L1241,5,false),vlookup($A26,Pagos!$B$5:$L1241,5,false),vlookup($A26,Pagos!$B$5:$L1241,4,false)))</f>
        <v>Sin actividad</v>
      </c>
      <c r="J26" s="198" t="s">
        <v>529</v>
      </c>
      <c r="K26" s="199">
        <v>42120.0</v>
      </c>
      <c r="L26" s="200">
        <v>43466.0</v>
      </c>
      <c r="M26" s="201"/>
      <c r="N26" s="202">
        <f>If(L26&gt;K26,   datedif(K26,L26,"Y") , If(K26&lt;Vitalicios!$C$4, datedif(K26,Vitalicios!$C$4,"Y"),0)  )</f>
        <v>3</v>
      </c>
      <c r="O26" s="202"/>
    </row>
    <row r="27">
      <c r="A27" s="192">
        <v>2309.0</v>
      </c>
      <c r="B27" s="193" t="s">
        <v>605</v>
      </c>
      <c r="C27" s="193" t="s">
        <v>537</v>
      </c>
      <c r="D27" s="193" t="s">
        <v>538</v>
      </c>
      <c r="E27" s="193" t="s">
        <v>606</v>
      </c>
      <c r="F27" s="195">
        <v>1.1625593331E10</v>
      </c>
      <c r="G27" s="196"/>
      <c r="H27" s="193" t="s">
        <v>607</v>
      </c>
      <c r="I27" s="197"/>
      <c r="J27" s="198" t="s">
        <v>523</v>
      </c>
      <c r="K27" s="199">
        <v>45658.0</v>
      </c>
      <c r="L27" s="200"/>
      <c r="M27" s="201"/>
      <c r="N27" s="202"/>
      <c r="O27" s="202"/>
    </row>
    <row r="28">
      <c r="A28" s="192">
        <v>1514.0</v>
      </c>
      <c r="B28" s="193" t="s">
        <v>608</v>
      </c>
      <c r="C28" s="194" t="s">
        <v>526</v>
      </c>
      <c r="D28" s="193" t="s">
        <v>527</v>
      </c>
      <c r="E28" s="193" t="s">
        <v>609</v>
      </c>
      <c r="F28" s="195">
        <v>4847220.0</v>
      </c>
      <c r="G28" s="196">
        <v>1.55911371E8</v>
      </c>
      <c r="H28" s="193" t="s">
        <v>610</v>
      </c>
      <c r="I28" s="197" t="str">
        <f>IF(iserror(vlookup($A28,Pagos!$B$5:L1241,4,false)),"Sin actividad",If(vlookup($A28,Pagos!$B$5:$L1241,5,false),vlookup($A28,Pagos!$B$5:$L1241,5,false),vlookup($A28,Pagos!$B$5:$L1241,4,false)))</f>
        <v>Sin actividad</v>
      </c>
      <c r="J28" s="198" t="s">
        <v>529</v>
      </c>
      <c r="K28" s="199">
        <v>41882.0</v>
      </c>
      <c r="L28" s="200">
        <v>43374.0</v>
      </c>
      <c r="M28" s="201" t="s">
        <v>560</v>
      </c>
      <c r="N28" s="202">
        <f>If(L28&gt;K28,   datedif(K28,L28,"Y") , If(K28&lt;Vitalicios!$C$4, datedif(K28,Vitalicios!$C$4,"Y"),0)  )</f>
        <v>4</v>
      </c>
      <c r="O28" s="202"/>
    </row>
    <row r="29">
      <c r="A29" s="192">
        <v>1928.0</v>
      </c>
      <c r="B29" s="193" t="s">
        <v>611</v>
      </c>
      <c r="C29" s="193" t="s">
        <v>537</v>
      </c>
      <c r="D29" s="193" t="s">
        <v>532</v>
      </c>
      <c r="E29" s="193" t="s">
        <v>612</v>
      </c>
      <c r="F29" s="195">
        <v>2.215968556E9</v>
      </c>
      <c r="G29" s="196"/>
      <c r="H29" s="193" t="s">
        <v>613</v>
      </c>
      <c r="I29" s="197" t="str">
        <f>IF(iserror(vlookup($A29,Pagos!$B$5:L1241,4,false)),"Sin actividad",If(vlookup($A29,Pagos!$B$5:$L1241,5,false),vlookup($A29,Pagos!$B$5:$L1241,5,false),vlookup($A29,Pagos!$B$5:$L1241,4,false)))</f>
        <v>Sin actividad</v>
      </c>
      <c r="J29" s="198" t="s">
        <v>529</v>
      </c>
      <c r="K29" s="199">
        <v>44440.0</v>
      </c>
      <c r="L29" s="203">
        <v>44805.0</v>
      </c>
      <c r="M29" s="201" t="s">
        <v>614</v>
      </c>
      <c r="N29" s="202"/>
      <c r="O29" s="202"/>
    </row>
    <row r="30">
      <c r="A30" s="192">
        <v>2325.0</v>
      </c>
      <c r="B30" s="193" t="s">
        <v>615</v>
      </c>
      <c r="C30" s="193" t="s">
        <v>537</v>
      </c>
      <c r="D30" s="193" t="s">
        <v>538</v>
      </c>
      <c r="E30" s="193" t="s">
        <v>616</v>
      </c>
      <c r="F30" s="195">
        <v>2.21364876E9</v>
      </c>
      <c r="G30" s="196"/>
      <c r="H30" s="193" t="s">
        <v>617</v>
      </c>
      <c r="I30" s="197"/>
      <c r="J30" s="198" t="s">
        <v>523</v>
      </c>
      <c r="K30" s="199">
        <v>45689.0</v>
      </c>
      <c r="L30" s="203"/>
      <c r="M30" s="201"/>
      <c r="N30" s="202"/>
      <c r="O30" s="202"/>
    </row>
    <row r="31">
      <c r="A31" s="192">
        <v>2189.0</v>
      </c>
      <c r="B31" s="193" t="s">
        <v>618</v>
      </c>
      <c r="C31" s="193" t="s">
        <v>537</v>
      </c>
      <c r="D31" s="193"/>
      <c r="E31" s="193"/>
      <c r="F31" s="195">
        <v>2.215997389E9</v>
      </c>
      <c r="G31" s="196"/>
      <c r="H31" s="193" t="s">
        <v>619</v>
      </c>
      <c r="I31" s="197"/>
      <c r="J31" s="198" t="s">
        <v>529</v>
      </c>
      <c r="K31" s="199">
        <v>45139.0</v>
      </c>
      <c r="L31" s="203">
        <v>45383.0</v>
      </c>
      <c r="M31" s="201" t="s">
        <v>620</v>
      </c>
      <c r="N31" s="202"/>
      <c r="O31" s="202"/>
    </row>
    <row r="32">
      <c r="A32" s="192">
        <v>1911.0</v>
      </c>
      <c r="B32" s="193" t="s">
        <v>621</v>
      </c>
      <c r="C32" s="193" t="s">
        <v>537</v>
      </c>
      <c r="D32" s="193" t="s">
        <v>532</v>
      </c>
      <c r="E32" s="193" t="s">
        <v>622</v>
      </c>
      <c r="F32" s="195">
        <v>1.14199735E8</v>
      </c>
      <c r="G32" s="196"/>
      <c r="H32" s="193" t="s">
        <v>623</v>
      </c>
      <c r="I32" s="197" t="str">
        <f>IF(iserror(vlookup($A32,Pagos!$B$5:L1241,4,false)),"Sin actividad",If(vlookup($A32,Pagos!$B$5:$L1241,5,false),vlookup($A32,Pagos!$B$5:$L1241,5,false),vlookup($A32,Pagos!$B$5:$L1241,4,false)))</f>
        <v>Sin actividad</v>
      </c>
      <c r="J32" s="198" t="s">
        <v>529</v>
      </c>
      <c r="K32" s="199">
        <v>44317.0</v>
      </c>
      <c r="L32" s="200">
        <v>44682.0</v>
      </c>
      <c r="M32" s="201" t="s">
        <v>535</v>
      </c>
      <c r="N32" s="202"/>
      <c r="O32" s="202"/>
    </row>
    <row r="33">
      <c r="A33" s="192">
        <v>2363.0</v>
      </c>
      <c r="B33" s="193" t="s">
        <v>624</v>
      </c>
      <c r="C33" s="193" t="s">
        <v>537</v>
      </c>
      <c r="D33" s="193" t="s">
        <v>485</v>
      </c>
      <c r="E33" s="193" t="s">
        <v>625</v>
      </c>
      <c r="F33" s="195">
        <v>2.215383298E9</v>
      </c>
      <c r="G33" s="196"/>
      <c r="H33" s="193" t="s">
        <v>626</v>
      </c>
      <c r="I33" s="197"/>
      <c r="J33" s="198" t="s">
        <v>523</v>
      </c>
      <c r="K33" s="199">
        <v>45748.0</v>
      </c>
      <c r="L33" s="200"/>
      <c r="M33" s="201"/>
      <c r="N33" s="202"/>
      <c r="O33" s="202"/>
    </row>
    <row r="34">
      <c r="A34" s="192">
        <v>2271.0</v>
      </c>
      <c r="B34" s="193" t="s">
        <v>627</v>
      </c>
      <c r="C34" s="193" t="s">
        <v>537</v>
      </c>
      <c r="D34" s="193" t="s">
        <v>628</v>
      </c>
      <c r="E34" s="193" t="s">
        <v>629</v>
      </c>
      <c r="F34" s="195">
        <v>2.216055003E10</v>
      </c>
      <c r="G34" s="196"/>
      <c r="H34" s="193" t="s">
        <v>630</v>
      </c>
      <c r="I34" s="197"/>
      <c r="J34" s="198" t="s">
        <v>529</v>
      </c>
      <c r="K34" s="199">
        <v>45505.0</v>
      </c>
      <c r="L34" s="200">
        <v>45748.0</v>
      </c>
      <c r="M34" s="201" t="s">
        <v>631</v>
      </c>
      <c r="N34" s="202"/>
      <c r="O34" s="202"/>
    </row>
    <row r="35">
      <c r="A35" s="192">
        <v>1768.0</v>
      </c>
      <c r="B35" s="193" t="s">
        <v>632</v>
      </c>
      <c r="C35" s="194" t="s">
        <v>519</v>
      </c>
      <c r="D35" s="193" t="s">
        <v>538</v>
      </c>
      <c r="E35" s="193" t="s">
        <v>633</v>
      </c>
      <c r="F35" s="195">
        <v>1.55487402E8</v>
      </c>
      <c r="G35" s="196"/>
      <c r="H35" s="193" t="s">
        <v>634</v>
      </c>
      <c r="I35" s="197">
        <f>IF(iserror(vlookup($A35,Pagos!$B$5:L1241,4,false)),"Sin actividad",If(vlookup($A35,Pagos!$B$5:$L1241,5,false),vlookup($A35,Pagos!$B$5:$L1241,5,false),vlookup($A35,Pagos!$B$5:$L1241,4,false)))</f>
        <v>45870</v>
      </c>
      <c r="J35" s="198" t="s">
        <v>523</v>
      </c>
      <c r="K35" s="199">
        <v>43800.0</v>
      </c>
      <c r="L35" s="200"/>
      <c r="M35" s="201"/>
      <c r="N35" s="202">
        <f>IF(L35&gt;K35,   DATEDIF(K35,L35,"Y") , IF(K35&lt;Vitalicios!$C$4, DATEDIF(K35,Vitalicios!$C$4,"Y"),0)  )</f>
        <v>5</v>
      </c>
      <c r="O35" s="202"/>
    </row>
    <row r="36">
      <c r="A36" s="192">
        <v>2351.0</v>
      </c>
      <c r="B36" s="193" t="s">
        <v>635</v>
      </c>
      <c r="C36" s="193" t="s">
        <v>537</v>
      </c>
      <c r="D36" s="193" t="s">
        <v>636</v>
      </c>
      <c r="E36" s="193" t="s">
        <v>637</v>
      </c>
      <c r="F36" s="195">
        <v>2.214201134E9</v>
      </c>
      <c r="G36" s="196"/>
      <c r="H36" s="193" t="s">
        <v>638</v>
      </c>
      <c r="I36" s="197"/>
      <c r="J36" s="198" t="s">
        <v>523</v>
      </c>
      <c r="K36" s="199">
        <v>45748.0</v>
      </c>
      <c r="L36" s="200"/>
      <c r="M36" s="201"/>
      <c r="N36" s="202"/>
      <c r="O36" s="202"/>
    </row>
    <row r="37">
      <c r="A37" s="192">
        <v>1632.0</v>
      </c>
      <c r="B37" s="193" t="s">
        <v>639</v>
      </c>
      <c r="C37" s="194" t="s">
        <v>526</v>
      </c>
      <c r="D37" s="193" t="s">
        <v>527</v>
      </c>
      <c r="E37" s="193" t="s">
        <v>640</v>
      </c>
      <c r="F37" s="195">
        <v>1.54406784E8</v>
      </c>
      <c r="G37" s="196"/>
      <c r="H37" s="193" t="s">
        <v>641</v>
      </c>
      <c r="I37" s="197">
        <f>IF(iserror(vlookup($A37,Pagos!$B$5:L1241,4,false)),"Sin actividad",If(vlookup($A37,Pagos!$B$5:$L1241,5,false),vlookup($A37,Pagos!$B$5:$L1241,5,false),vlookup($A37,Pagos!$B$5:$L1241,4,false)))</f>
        <v>45870</v>
      </c>
      <c r="J37" s="198" t="s">
        <v>523</v>
      </c>
      <c r="K37" s="199">
        <v>42795.0</v>
      </c>
      <c r="L37" s="200"/>
      <c r="M37" s="201"/>
      <c r="N37" s="202">
        <f>If(L37&gt;K37,   datedif(K37,L37,"Y") , If(K37&lt;Vitalicios!$C$4, datedif(K37,Vitalicios!$C$4,"Y"),0)  )</f>
        <v>8</v>
      </c>
      <c r="O37" s="202"/>
    </row>
    <row r="38">
      <c r="A38" s="192">
        <v>1301.0</v>
      </c>
      <c r="B38" s="193" t="s">
        <v>642</v>
      </c>
      <c r="C38" s="194" t="s">
        <v>526</v>
      </c>
      <c r="D38" s="193" t="s">
        <v>556</v>
      </c>
      <c r="E38" s="193" t="s">
        <v>643</v>
      </c>
      <c r="F38" s="195" t="s">
        <v>644</v>
      </c>
      <c r="G38" s="196"/>
      <c r="H38" s="193"/>
      <c r="I38" s="197" t="str">
        <f>IF(iserror(vlookup($A38,Pagos!$B$5:L1241,4,false)),"Sin actividad",If(vlookup($A38,Pagos!$B$5:$L1241,5,false),vlookup($A38,Pagos!$B$5:$L1241,5,false),vlookup($A38,Pagos!$B$5:$L1241,4,false)))</f>
        <v>Sin actividad</v>
      </c>
      <c r="J38" s="198" t="s">
        <v>529</v>
      </c>
      <c r="K38" s="199">
        <v>40306.0</v>
      </c>
      <c r="L38" s="200"/>
      <c r="M38" s="201"/>
      <c r="N38" s="202">
        <f>If(L38&gt;K38,   datedif(K38,L38,"Y") , If(K38&lt;Vitalicios!$C$4, datedif(K38,Vitalicios!$C$4,"Y"),0)  )</f>
        <v>15</v>
      </c>
      <c r="O38" s="202"/>
    </row>
    <row r="39">
      <c r="A39" s="192">
        <v>2014.0</v>
      </c>
      <c r="B39" s="193" t="s">
        <v>645</v>
      </c>
      <c r="C39" s="193" t="s">
        <v>537</v>
      </c>
      <c r="D39" s="193" t="s">
        <v>646</v>
      </c>
      <c r="E39" s="193" t="s">
        <v>647</v>
      </c>
      <c r="F39" s="195">
        <v>2.214085174E9</v>
      </c>
      <c r="G39" s="196"/>
      <c r="H39" s="193" t="s">
        <v>648</v>
      </c>
      <c r="I39" s="197" t="str">
        <f>IF(iserror(vlookup($A39,Pagos!$B$5:L1241,4,false)),"Sin actividad",If(vlookup($A39,Pagos!$B$5:$L1241,5,false),vlookup($A39,Pagos!$B$5:$L1241,5,false),vlookup($A39,Pagos!$B$5:$L1241,4,false)))</f>
        <v>Sin actividad</v>
      </c>
      <c r="J39" s="198" t="s">
        <v>529</v>
      </c>
      <c r="K39" s="199">
        <v>44652.0</v>
      </c>
      <c r="L39" s="200">
        <v>44835.0</v>
      </c>
      <c r="M39" s="201" t="s">
        <v>614</v>
      </c>
      <c r="N39" s="202"/>
      <c r="O39" s="202"/>
    </row>
    <row r="40">
      <c r="A40" s="192">
        <v>2257.0</v>
      </c>
      <c r="B40" s="193" t="s">
        <v>649</v>
      </c>
      <c r="C40" s="193" t="s">
        <v>537</v>
      </c>
      <c r="D40" s="193" t="s">
        <v>628</v>
      </c>
      <c r="E40" s="193" t="s">
        <v>650</v>
      </c>
      <c r="F40" s="195">
        <v>2.215245882E9</v>
      </c>
      <c r="G40" s="196"/>
      <c r="H40" s="193" t="s">
        <v>651</v>
      </c>
      <c r="I40" s="197"/>
      <c r="J40" s="198" t="s">
        <v>529</v>
      </c>
      <c r="K40" s="199">
        <v>45352.0</v>
      </c>
      <c r="L40" s="200">
        <v>45383.0</v>
      </c>
      <c r="M40" s="201" t="s">
        <v>652</v>
      </c>
      <c r="N40" s="202"/>
      <c r="O40" s="202"/>
    </row>
    <row r="41">
      <c r="A41" s="192">
        <v>1323.0</v>
      </c>
      <c r="B41" s="193" t="s">
        <v>653</v>
      </c>
      <c r="C41" s="194" t="s">
        <v>526</v>
      </c>
      <c r="D41" s="193" t="s">
        <v>520</v>
      </c>
      <c r="E41" s="193" t="s">
        <v>654</v>
      </c>
      <c r="F41" s="195" t="s">
        <v>655</v>
      </c>
      <c r="G41" s="196">
        <v>0.0</v>
      </c>
      <c r="H41" s="193"/>
      <c r="I41" s="197" t="str">
        <f>IF(iserror(vlookup($A41,Pagos!$B$5:L1241,4,false)),"Sin actividad",If(vlookup($A41,Pagos!$B$5:$L1241,5,false),vlookup($A41,Pagos!$B$5:$L1241,5,false),vlookup($A41,Pagos!$B$5:$L1241,4,false)))</f>
        <v>Sin actividad</v>
      </c>
      <c r="J41" s="198" t="s">
        <v>529</v>
      </c>
      <c r="K41" s="199">
        <v>40496.0</v>
      </c>
      <c r="L41" s="200">
        <v>41420.0</v>
      </c>
      <c r="M41" s="201" t="s">
        <v>656</v>
      </c>
      <c r="N41" s="202">
        <f>If(L41&gt;K41,   datedif(K41,L41,"Y") , If(K41&lt;Vitalicios!$C$4, datedif(K41,Vitalicios!$C$4,"Y"),0)  )</f>
        <v>2</v>
      </c>
      <c r="O41" s="202"/>
    </row>
    <row r="42">
      <c r="A42" s="192">
        <v>1318.0</v>
      </c>
      <c r="B42" s="193" t="s">
        <v>657</v>
      </c>
      <c r="C42" s="194" t="s">
        <v>526</v>
      </c>
      <c r="D42" s="193" t="s">
        <v>527</v>
      </c>
      <c r="E42" s="193" t="s">
        <v>658</v>
      </c>
      <c r="F42" s="195">
        <v>1.142539974E9</v>
      </c>
      <c r="G42" s="196">
        <v>0.0</v>
      </c>
      <c r="H42" s="193"/>
      <c r="I42" s="197">
        <f>IF(iserror(vlookup($A42,Pagos!$B$5:L1241,4,false)),"Sin actividad",If(vlookup($A42,Pagos!$B$5:$L1241,5,false),vlookup($A42,Pagos!$B$5:$L1241,5,false),vlookup($A42,Pagos!$B$5:$L1241,4,false)))</f>
        <v>45901</v>
      </c>
      <c r="J42" s="198" t="s">
        <v>523</v>
      </c>
      <c r="K42" s="199">
        <v>40488.0</v>
      </c>
      <c r="L42" s="200"/>
      <c r="M42" s="201"/>
      <c r="N42" s="202">
        <f>If(L42&gt;K42,   datedif(K42,L42,"Y") , If(K42&lt;Vitalicios!$C$4, datedif(K42,Vitalicios!$C$4,"Y"),0)  )</f>
        <v>14</v>
      </c>
      <c r="O42" s="202"/>
    </row>
    <row r="43">
      <c r="A43" s="192">
        <v>2191.0</v>
      </c>
      <c r="B43" s="193" t="s">
        <v>659</v>
      </c>
      <c r="C43" s="193" t="s">
        <v>537</v>
      </c>
      <c r="D43" s="193"/>
      <c r="E43" s="193"/>
      <c r="F43" s="195">
        <v>2.215377604E9</v>
      </c>
      <c r="G43" s="196"/>
      <c r="H43" s="193"/>
      <c r="I43" s="197"/>
      <c r="J43" s="198"/>
      <c r="K43" s="199"/>
      <c r="L43" s="200"/>
      <c r="M43" s="201"/>
      <c r="N43" s="202"/>
      <c r="O43" s="202"/>
    </row>
    <row r="44">
      <c r="A44" s="192">
        <v>1545.0</v>
      </c>
      <c r="B44" s="193" t="s">
        <v>660</v>
      </c>
      <c r="C44" s="194" t="s">
        <v>526</v>
      </c>
      <c r="D44" s="193" t="s">
        <v>520</v>
      </c>
      <c r="E44" s="193" t="s">
        <v>661</v>
      </c>
      <c r="F44" s="195">
        <v>1.550411744E9</v>
      </c>
      <c r="G44" s="196"/>
      <c r="H44" s="193" t="s">
        <v>662</v>
      </c>
      <c r="I44" s="197" t="str">
        <f>IF(iserror(vlookup($A44,Pagos!$B$5:L1241,4,false)),"Sin actividad",If(vlookup($A44,Pagos!$B$5:$L1241,5,false),vlookup($A44,Pagos!$B$5:$L1241,5,false),vlookup($A44,Pagos!$B$5:$L1241,4,false)))</f>
        <v>Sin actividad</v>
      </c>
      <c r="J44" s="198" t="s">
        <v>529</v>
      </c>
      <c r="K44" s="199">
        <v>42025.0</v>
      </c>
      <c r="L44" s="200"/>
      <c r="M44" s="201"/>
      <c r="N44" s="202">
        <f>If(L44&gt;K44,   datedif(K44,L44,"Y") , If(K44&lt;Vitalicios!$C$4, datedif(K44,Vitalicios!$C$4,"Y"),0)  )</f>
        <v>10</v>
      </c>
      <c r="O44" s="202"/>
    </row>
    <row r="45">
      <c r="A45" s="192">
        <v>1388.0</v>
      </c>
      <c r="B45" s="193" t="s">
        <v>663</v>
      </c>
      <c r="C45" s="194" t="s">
        <v>526</v>
      </c>
      <c r="D45" s="193" t="s">
        <v>556</v>
      </c>
      <c r="E45" s="193" t="s">
        <v>664</v>
      </c>
      <c r="F45" s="195">
        <v>1.55371154E8</v>
      </c>
      <c r="G45" s="196">
        <v>0.0</v>
      </c>
      <c r="H45" s="193"/>
      <c r="I45" s="197" t="str">
        <f>IF(iserror(vlookup($A45,Pagos!$B$5:L1241,4,false)),"Sin actividad",If(vlookup($A45,Pagos!$B$5:$L1241,5,false),vlookup($A45,Pagos!$B$5:$L1241,5,false),vlookup($A45,Pagos!$B$5:$L1241,4,false)))</f>
        <v>Sin actividad</v>
      </c>
      <c r="J45" s="198" t="s">
        <v>529</v>
      </c>
      <c r="K45" s="199">
        <v>40880.0</v>
      </c>
      <c r="L45" s="200"/>
      <c r="M45" s="201"/>
      <c r="N45" s="202">
        <f>If(L45&gt;K45,   datedif(K45,L45,"Y") , If(K45&lt;Vitalicios!$C$4, datedif(K45,Vitalicios!$C$4,"Y"),0)  )</f>
        <v>13</v>
      </c>
      <c r="O45" s="202"/>
    </row>
    <row r="46">
      <c r="A46" s="192">
        <v>2272.0</v>
      </c>
      <c r="B46" s="193" t="s">
        <v>665</v>
      </c>
      <c r="C46" s="193" t="s">
        <v>537</v>
      </c>
      <c r="D46" s="193" t="s">
        <v>666</v>
      </c>
      <c r="E46" s="193" t="s">
        <v>667</v>
      </c>
      <c r="F46" s="195">
        <v>2.213056199E9</v>
      </c>
      <c r="G46" s="196"/>
      <c r="H46" s="193" t="s">
        <v>668</v>
      </c>
      <c r="I46" s="197"/>
      <c r="J46" s="198" t="s">
        <v>529</v>
      </c>
      <c r="K46" s="199">
        <v>45505.0</v>
      </c>
      <c r="L46" s="200">
        <v>45748.0</v>
      </c>
      <c r="M46" s="201" t="s">
        <v>631</v>
      </c>
      <c r="N46" s="202"/>
      <c r="O46" s="202"/>
    </row>
    <row r="47">
      <c r="A47" s="192">
        <v>1643.0</v>
      </c>
      <c r="B47" s="193" t="s">
        <v>669</v>
      </c>
      <c r="C47" s="194" t="s">
        <v>519</v>
      </c>
      <c r="D47" s="193" t="s">
        <v>538</v>
      </c>
      <c r="E47" s="193" t="s">
        <v>670</v>
      </c>
      <c r="F47" s="195">
        <v>1.54379347E8</v>
      </c>
      <c r="G47" s="196"/>
      <c r="H47" s="193" t="s">
        <v>671</v>
      </c>
      <c r="I47" s="197">
        <f>IF(iserror(vlookup($A47,Pagos!$B$5:L1241,4,false)),"Sin actividad",If(vlookup($A47,Pagos!$B$5:$L1241,5,false),vlookup($A47,Pagos!$B$5:$L1241,5,false),vlookup($A47,Pagos!$B$5:$L1241,4,false)))</f>
        <v>45870</v>
      </c>
      <c r="J47" s="198" t="s">
        <v>523</v>
      </c>
      <c r="K47" s="199">
        <v>42887.0</v>
      </c>
      <c r="L47" s="200"/>
      <c r="M47" s="201"/>
      <c r="N47" s="202">
        <f>If(L47&gt;K47,   datedif(K47,L47,"Y") , If(K47&lt;Vitalicios!$C$4, datedif(K47,Vitalicios!$C$4,"Y"),0)  )</f>
        <v>8</v>
      </c>
      <c r="O47" s="202"/>
    </row>
    <row r="48">
      <c r="A48" s="192">
        <v>1951.0</v>
      </c>
      <c r="B48" s="193" t="s">
        <v>672</v>
      </c>
      <c r="C48" s="193" t="s">
        <v>537</v>
      </c>
      <c r="D48" s="193" t="s">
        <v>532</v>
      </c>
      <c r="E48" s="193" t="s">
        <v>673</v>
      </c>
      <c r="F48" s="195">
        <v>2.215403221E9</v>
      </c>
      <c r="G48" s="196"/>
      <c r="H48" s="193" t="s">
        <v>674</v>
      </c>
      <c r="I48" s="197">
        <f>IF(iserror(vlookup($A48,Pagos!$B$5:L1241,4,false)),"Sin actividad",If(vlookup($A48,Pagos!$B$5:$L1241,5,false),vlookup($A48,Pagos!$B$5:$L1241,5,false),vlookup($A48,Pagos!$B$5:$L1241,4,false)))</f>
        <v>45870</v>
      </c>
      <c r="J48" s="198" t="s">
        <v>523</v>
      </c>
      <c r="K48" s="199">
        <v>44501.0</v>
      </c>
      <c r="L48" s="200"/>
      <c r="M48" s="201"/>
      <c r="N48" s="202"/>
      <c r="O48" s="202"/>
    </row>
    <row r="49">
      <c r="A49" s="192">
        <v>2210.0</v>
      </c>
      <c r="B49" s="193" t="s">
        <v>675</v>
      </c>
      <c r="C49" s="193" t="s">
        <v>537</v>
      </c>
      <c r="D49" s="193" t="s">
        <v>538</v>
      </c>
      <c r="E49" s="193" t="s">
        <v>676</v>
      </c>
      <c r="F49" s="195">
        <v>2.216470976E9</v>
      </c>
      <c r="G49" s="196"/>
      <c r="H49" s="193" t="s">
        <v>677</v>
      </c>
      <c r="I49" s="197"/>
      <c r="J49" s="198" t="s">
        <v>523</v>
      </c>
      <c r="K49" s="199">
        <v>45231.0</v>
      </c>
      <c r="L49" s="200"/>
      <c r="M49" s="201"/>
      <c r="N49" s="202"/>
      <c r="O49" s="202"/>
    </row>
    <row r="50">
      <c r="A50" s="192">
        <v>1907.0</v>
      </c>
      <c r="B50" s="193" t="s">
        <v>678</v>
      </c>
      <c r="C50" s="193" t="s">
        <v>679</v>
      </c>
      <c r="D50" s="193" t="s">
        <v>538</v>
      </c>
      <c r="E50" s="193" t="s">
        <v>680</v>
      </c>
      <c r="F50" s="195">
        <v>2.215236874E9</v>
      </c>
      <c r="G50" s="196"/>
      <c r="H50" s="193" t="s">
        <v>681</v>
      </c>
      <c r="I50" s="197">
        <f>IF(iserror(vlookup($A50,Pagos!$B$5:L1241,4,false)),"Sin actividad",If(vlookup($A50,Pagos!$B$5:$L1241,5,false),vlookup($A50,Pagos!$B$5:$L1241,5,false),vlookup($A50,Pagos!$B$5:$L1241,4,false)))</f>
        <v>45870</v>
      </c>
      <c r="J50" s="198" t="s">
        <v>523</v>
      </c>
      <c r="K50" s="199">
        <v>44317.0</v>
      </c>
      <c r="L50" s="200"/>
      <c r="M50" s="201"/>
      <c r="N50" s="202"/>
      <c r="O50" s="202"/>
    </row>
    <row r="51">
      <c r="A51" s="192">
        <v>1968.0</v>
      </c>
      <c r="B51" s="193" t="s">
        <v>682</v>
      </c>
      <c r="C51" s="193" t="s">
        <v>537</v>
      </c>
      <c r="D51" s="193" t="s">
        <v>48</v>
      </c>
      <c r="E51" s="193" t="s">
        <v>683</v>
      </c>
      <c r="F51" s="195">
        <v>2.21155922534E11</v>
      </c>
      <c r="G51" s="196"/>
      <c r="H51" s="193" t="s">
        <v>684</v>
      </c>
      <c r="I51" s="197" t="str">
        <f>IF(iserror(vlookup($A51,Pagos!$B$5:L1241,4,false)),"Sin actividad",If(vlookup($A51,Pagos!$B$5:$L1241,5,false),vlookup($A51,Pagos!$B$5:$L1241,5,false),vlookup($A51,Pagos!$B$5:$L1241,4,false)))</f>
        <v>Sin actividad</v>
      </c>
      <c r="J51" s="198" t="s">
        <v>529</v>
      </c>
      <c r="K51" s="199">
        <v>44562.0</v>
      </c>
      <c r="L51" s="200"/>
      <c r="M51" s="201" t="s">
        <v>685</v>
      </c>
      <c r="N51" s="202"/>
      <c r="O51" s="202"/>
    </row>
    <row r="52">
      <c r="A52" s="192">
        <v>1546.0</v>
      </c>
      <c r="B52" s="193" t="s">
        <v>686</v>
      </c>
      <c r="C52" s="194" t="s">
        <v>526</v>
      </c>
      <c r="D52" s="193" t="s">
        <v>520</v>
      </c>
      <c r="E52" s="193" t="s">
        <v>687</v>
      </c>
      <c r="F52" s="195">
        <v>1.55855773E8</v>
      </c>
      <c r="G52" s="196">
        <v>4662346.0</v>
      </c>
      <c r="H52" s="193" t="s">
        <v>688</v>
      </c>
      <c r="I52" s="197">
        <f>IF(iserror(vlookup($A52,Pagos!$B$5:L1241,4,false)),"Sin actividad",If(vlookup($A52,Pagos!$B$5:$L1241,5,false),vlookup($A52,Pagos!$B$5:$L1241,5,false),vlookup($A52,Pagos!$B$5:$L1241,4,false)))</f>
        <v>45870</v>
      </c>
      <c r="J52" s="198" t="s">
        <v>523</v>
      </c>
      <c r="K52" s="199">
        <v>42042.0</v>
      </c>
      <c r="L52" s="200"/>
      <c r="M52" s="201"/>
      <c r="N52" s="202">
        <f>If(L52&gt;K52,   datedif(K52,L52,"Y") , If(K52&lt;Vitalicios!$C$4, datedif(K52,Vitalicios!$C$4,"Y"),0)  )</f>
        <v>10</v>
      </c>
      <c r="O52" s="202"/>
    </row>
    <row r="53">
      <c r="A53" s="192">
        <v>1381.0</v>
      </c>
      <c r="B53" s="193" t="s">
        <v>689</v>
      </c>
      <c r="C53" s="194" t="s">
        <v>526</v>
      </c>
      <c r="D53" s="193" t="s">
        <v>527</v>
      </c>
      <c r="E53" s="193" t="s">
        <v>690</v>
      </c>
      <c r="F53" s="195">
        <v>2.216122602E9</v>
      </c>
      <c r="G53" s="196"/>
      <c r="H53" s="193" t="s">
        <v>691</v>
      </c>
      <c r="I53" s="197" t="str">
        <f>IF(iserror(vlookup($A53,Pagos!$B$5:L1241,4,false)),"Sin actividad",If(vlookup($A53,Pagos!$B$5:$L1241,5,false),vlookup($A53,Pagos!$B$5:$L1241,5,false),vlookup($A53,Pagos!$B$5:$L1241,4,false)))</f>
        <v>Sin actividad</v>
      </c>
      <c r="J53" s="198" t="s">
        <v>529</v>
      </c>
      <c r="K53" s="199">
        <v>40797.0</v>
      </c>
      <c r="L53" s="200"/>
      <c r="M53" s="201"/>
      <c r="N53" s="202">
        <f>If(L53&gt;K53,   datedif(K53,L53,"Y") , If(K53&lt;Vitalicios!$C$4, datedif(K53,Vitalicios!$C$4,"Y"),0)  )</f>
        <v>14</v>
      </c>
      <c r="O53" s="202"/>
    </row>
    <row r="54">
      <c r="A54" s="192">
        <v>913.0</v>
      </c>
      <c r="B54" s="193" t="s">
        <v>692</v>
      </c>
      <c r="C54" s="194" t="s">
        <v>526</v>
      </c>
      <c r="D54" s="193" t="s">
        <v>693</v>
      </c>
      <c r="E54" s="193" t="s">
        <v>694</v>
      </c>
      <c r="F54" s="195">
        <v>4861179.0</v>
      </c>
      <c r="G54" s="196">
        <v>0.0</v>
      </c>
      <c r="H54" s="193" t="s">
        <v>695</v>
      </c>
      <c r="I54" s="197">
        <f>IF(iserror(vlookup($A54,Pagos!$B$5:L1241,4,false)),"Sin actividad",If(vlookup($A54,Pagos!$B$5:$L1241,5,false),vlookup($A54,Pagos!$B$5:$L1241,5,false),vlookup($A54,Pagos!$B$5:$L1241,4,false)))</f>
        <v>45870</v>
      </c>
      <c r="J54" s="198" t="s">
        <v>523</v>
      </c>
      <c r="K54" s="199">
        <v>37569.0</v>
      </c>
      <c r="L54" s="200"/>
      <c r="M54" s="201"/>
      <c r="N54" s="202">
        <f>If(L54&gt;K54,   datedif(K54,L54,"Y") , If(K54&lt;Vitalicios!$C$4, datedif(K54,Vitalicios!$C$4,"Y"),0)  )</f>
        <v>22</v>
      </c>
      <c r="O54" s="202"/>
    </row>
    <row r="55">
      <c r="A55" s="192">
        <v>1691.0</v>
      </c>
      <c r="B55" s="193" t="s">
        <v>696</v>
      </c>
      <c r="C55" s="194" t="s">
        <v>519</v>
      </c>
      <c r="D55" s="193" t="s">
        <v>538</v>
      </c>
      <c r="E55" s="193" t="s">
        <v>697</v>
      </c>
      <c r="F55" s="195">
        <v>1.56012638E8</v>
      </c>
      <c r="G55" s="196"/>
      <c r="H55" s="193" t="s">
        <v>698</v>
      </c>
      <c r="I55" s="197" t="str">
        <f>IF(iserror(vlookup($A55,Pagos!$B$5:L1241,4,false)),"Sin actividad",If(vlookup($A55,Pagos!$B$5:$L1241,5,false),vlookup($A55,Pagos!$B$5:$L1241,5,false),vlookup($A55,Pagos!$B$5:$L1241,4,false)))</f>
        <v>Sin actividad</v>
      </c>
      <c r="J55" s="198" t="s">
        <v>529</v>
      </c>
      <c r="K55" s="199">
        <v>43160.0</v>
      </c>
      <c r="L55" s="200">
        <v>44228.0</v>
      </c>
      <c r="M55" s="201" t="s">
        <v>699</v>
      </c>
      <c r="N55" s="202">
        <f>If(L55&gt;K55,   datedif(K55,L55,"Y") , If(K55&lt;Vitalicios!$C$4, datedif(K55,Vitalicios!$C$4,"Y"),0)  )</f>
        <v>2</v>
      </c>
      <c r="O55" s="202"/>
    </row>
    <row r="56">
      <c r="A56" s="192">
        <v>1619.0</v>
      </c>
      <c r="B56" s="193" t="s">
        <v>700</v>
      </c>
      <c r="C56" s="194" t="s">
        <v>519</v>
      </c>
      <c r="D56" s="193" t="s">
        <v>538</v>
      </c>
      <c r="E56" s="193" t="s">
        <v>701</v>
      </c>
      <c r="F56" s="195">
        <v>4272961.0</v>
      </c>
      <c r="G56" s="196"/>
      <c r="H56" s="193" t="s">
        <v>702</v>
      </c>
      <c r="I56" s="197" t="str">
        <f>IF(iserror(vlookup($A56,Pagos!$B$5:L1241,4,false)),"Sin actividad",If(vlookup($A56,Pagos!$B$5:$L1241,5,false),vlookup($A56,Pagos!$B$5:$L1241,5,false),vlookup($A56,Pagos!$B$5:$L1241,4,false)))</f>
        <v>Sin actividad</v>
      </c>
      <c r="J56" s="198" t="s">
        <v>529</v>
      </c>
      <c r="K56" s="199">
        <v>42737.0</v>
      </c>
      <c r="L56" s="200">
        <v>45505.0</v>
      </c>
      <c r="M56" s="201" t="s">
        <v>703</v>
      </c>
      <c r="N56" s="202">
        <f>If(L56&gt;K56,   datedif(K56,L56,"Y") , If(K56&lt;Vitalicios!$C$4, datedif(K56,Vitalicios!$C$4,"Y"),0)  )</f>
        <v>7</v>
      </c>
      <c r="O56" s="202"/>
    </row>
    <row r="57">
      <c r="A57" s="192">
        <v>1529.0</v>
      </c>
      <c r="B57" s="193" t="s">
        <v>704</v>
      </c>
      <c r="C57" s="194" t="s">
        <v>526</v>
      </c>
      <c r="D57" s="193" t="s">
        <v>556</v>
      </c>
      <c r="E57" s="193" t="s">
        <v>705</v>
      </c>
      <c r="F57" s="195">
        <v>1.55436601E8</v>
      </c>
      <c r="G57" s="196">
        <v>0.0</v>
      </c>
      <c r="H57" s="193"/>
      <c r="I57" s="197" t="str">
        <f>IF(iserror(vlookup($A57,Pagos!$B$5:L1241,4,false)),"Sin actividad",If(vlookup($A57,Pagos!$B$5:$L1241,5,false),vlookup($A57,Pagos!$B$5:$L1241,5,false),vlookup($A57,Pagos!$B$5:$L1241,4,false)))</f>
        <v>Sin actividad</v>
      </c>
      <c r="J57" s="198" t="s">
        <v>529</v>
      </c>
      <c r="K57" s="199">
        <v>41951.0</v>
      </c>
      <c r="L57" s="200">
        <v>43374.0</v>
      </c>
      <c r="M57" s="201" t="s">
        <v>560</v>
      </c>
      <c r="N57" s="202">
        <f>If(L57&gt;K57,   datedif(K57,L57,"Y") , If(K57&lt;Vitalicios!$C$4, datedif(K57,Vitalicios!$C$4,"Y"),0)  )</f>
        <v>3</v>
      </c>
      <c r="O57" s="202"/>
    </row>
    <row r="58">
      <c r="A58" s="192">
        <v>1416.0</v>
      </c>
      <c r="B58" s="193" t="s">
        <v>706</v>
      </c>
      <c r="C58" s="194" t="s">
        <v>526</v>
      </c>
      <c r="D58" s="193" t="s">
        <v>556</v>
      </c>
      <c r="E58" s="193" t="s">
        <v>707</v>
      </c>
      <c r="F58" s="195">
        <v>4740338.0</v>
      </c>
      <c r="G58" s="196">
        <v>0.0</v>
      </c>
      <c r="H58" s="193"/>
      <c r="I58" s="197" t="str">
        <f>IF(iserror(vlookup($A58,Pagos!$B$5:L1241,4,false)),"Sin actividad",If(vlookup($A58,Pagos!$B$5:$L1241,5,false),vlookup($A58,Pagos!$B$5:$L1241,5,false),vlookup($A58,Pagos!$B$5:$L1241,4,false)))</f>
        <v>Sin actividad</v>
      </c>
      <c r="J58" s="198" t="s">
        <v>529</v>
      </c>
      <c r="K58" s="199">
        <v>41013.0</v>
      </c>
      <c r="L58" s="200"/>
      <c r="M58" s="201"/>
      <c r="N58" s="202">
        <f>If(L58&gt;K58,   datedif(K58,L58,"Y") , If(K58&lt;Vitalicios!$C$4, datedif(K58,Vitalicios!$C$4,"Y"),0)  )</f>
        <v>13</v>
      </c>
      <c r="O58" s="202"/>
    </row>
    <row r="59">
      <c r="A59" s="192">
        <v>2035.0</v>
      </c>
      <c r="B59" s="193" t="s">
        <v>708</v>
      </c>
      <c r="C59" s="194" t="s">
        <v>519</v>
      </c>
      <c r="D59" s="193" t="s">
        <v>709</v>
      </c>
      <c r="E59" s="193" t="s">
        <v>710</v>
      </c>
      <c r="F59" s="195">
        <v>4750805.0</v>
      </c>
      <c r="G59" s="196">
        <v>1.563248638E9</v>
      </c>
      <c r="H59" s="193" t="s">
        <v>711</v>
      </c>
      <c r="I59" s="197">
        <f>IF(iserror(vlookup($A59,Pagos!$B$5:L1241,4,false)),"Sin actividad",If(vlookup($A59,Pagos!$B$5:$L1241,5,false),vlookup($A59,Pagos!$B$5:$L1241,5,false),vlookup($A59,Pagos!$B$5:$L1241,4,false)))</f>
        <v>45931</v>
      </c>
      <c r="J59" s="198" t="s">
        <v>523</v>
      </c>
      <c r="K59" s="199">
        <v>44743.0</v>
      </c>
      <c r="L59" s="200"/>
      <c r="M59" s="201" t="s">
        <v>712</v>
      </c>
      <c r="N59" s="202">
        <f>If(L59&gt;K59,   datedif(K59,L59,"Y") , If(K59&lt;Vitalicios!$C$4, datedif(K59,Vitalicios!$C$4,"Y"),0)  )</f>
        <v>3</v>
      </c>
      <c r="O59" s="202"/>
    </row>
    <row r="60">
      <c r="A60" s="192">
        <v>1966.0</v>
      </c>
      <c r="B60" s="193" t="s">
        <v>713</v>
      </c>
      <c r="C60" s="193" t="s">
        <v>537</v>
      </c>
      <c r="D60" s="193" t="s">
        <v>628</v>
      </c>
      <c r="E60" s="193" t="s">
        <v>714</v>
      </c>
      <c r="F60" s="195">
        <v>2.216617684E9</v>
      </c>
      <c r="G60" s="196"/>
      <c r="H60" s="193" t="s">
        <v>715</v>
      </c>
      <c r="I60" s="197" t="str">
        <f>IF(iserror(vlookup($A60,Pagos!$B$5:L1241,4,false)),"Sin actividad",If(vlookup($A60,Pagos!$B$5:$L1241,5,false),vlookup($A60,Pagos!$B$5:$L1241,5,false),vlookup($A60,Pagos!$B$5:$L1241,4,false)))</f>
        <v>Sin actividad</v>
      </c>
      <c r="J60" s="198" t="s">
        <v>529</v>
      </c>
      <c r="K60" s="199">
        <v>44531.0</v>
      </c>
      <c r="L60" s="200"/>
      <c r="M60" s="201" t="s">
        <v>716</v>
      </c>
      <c r="N60" s="202"/>
      <c r="O60" s="202"/>
    </row>
    <row r="61">
      <c r="A61" s="192">
        <v>1817.0</v>
      </c>
      <c r="B61" s="193" t="s">
        <v>717</v>
      </c>
      <c r="C61" s="193" t="s">
        <v>537</v>
      </c>
      <c r="D61" s="193" t="s">
        <v>538</v>
      </c>
      <c r="E61" s="193" t="s">
        <v>718</v>
      </c>
      <c r="F61" s="195">
        <v>2.216228929E9</v>
      </c>
      <c r="G61" s="196"/>
      <c r="H61" s="193" t="s">
        <v>719</v>
      </c>
      <c r="I61" s="197" t="str">
        <f>IF(iserror(vlookup($A61,Pagos!$B$5:L1241,4,false)),"Sin actividad",If(vlookup($A61,Pagos!$B$5:$L1241,5,false),vlookup($A61,Pagos!$B$5:$L1241,5,false),vlookup($A61,Pagos!$B$5:$L1241,4,false)))</f>
        <v>Sin actividad</v>
      </c>
      <c r="J61" s="198" t="s">
        <v>529</v>
      </c>
      <c r="K61" s="199">
        <v>44075.0</v>
      </c>
      <c r="L61" s="200">
        <v>45597.0</v>
      </c>
      <c r="M61" s="201" t="s">
        <v>720</v>
      </c>
      <c r="N61" s="202"/>
      <c r="O61" s="202"/>
    </row>
    <row r="62">
      <c r="A62" s="192">
        <v>1303.0</v>
      </c>
      <c r="B62" s="193" t="s">
        <v>721</v>
      </c>
      <c r="C62" s="194" t="s">
        <v>526</v>
      </c>
      <c r="D62" s="193" t="s">
        <v>520</v>
      </c>
      <c r="E62" s="193" t="s">
        <v>722</v>
      </c>
      <c r="F62" s="195">
        <v>6.3792531E7</v>
      </c>
      <c r="G62" s="196">
        <v>0.0</v>
      </c>
      <c r="H62" s="193"/>
      <c r="I62" s="197" t="str">
        <f>IF(iserror(vlookup($A62,Pagos!$B$5:L1241,4,false)),"Sin actividad",If(vlookup($A62,Pagos!$B$5:$L1241,5,false),vlookup($A62,Pagos!$B$5:$L1241,5,false),vlookup($A62,Pagos!$B$5:$L1241,4,false)))</f>
        <v>Sin actividad</v>
      </c>
      <c r="J62" s="198" t="s">
        <v>529</v>
      </c>
      <c r="K62" s="199">
        <v>40314.0</v>
      </c>
      <c r="L62" s="200">
        <v>41821.0</v>
      </c>
      <c r="M62" s="201" t="s">
        <v>656</v>
      </c>
      <c r="N62" s="202">
        <f>If(L62&gt;K62,   datedif(K62,L62,"Y") , If(K62&lt;Vitalicios!$C$4, datedif(K62,Vitalicios!$C$4,"Y"),0)  )</f>
        <v>4</v>
      </c>
      <c r="O62" s="202"/>
    </row>
    <row r="63">
      <c r="A63" s="192">
        <v>1471.0</v>
      </c>
      <c r="B63" s="193" t="s">
        <v>723</v>
      </c>
      <c r="C63" s="194" t="s">
        <v>526</v>
      </c>
      <c r="D63" s="193" t="s">
        <v>527</v>
      </c>
      <c r="E63" s="193" t="s">
        <v>724</v>
      </c>
      <c r="F63" s="195">
        <v>1.142091978E9</v>
      </c>
      <c r="G63" s="196">
        <v>0.0</v>
      </c>
      <c r="H63" s="193"/>
      <c r="I63" s="197" t="str">
        <f>IF(iserror(vlookup($A63,Pagos!$B$5:L1241,4,false)),"Sin actividad",If(vlookup($A63,Pagos!$B$5:$L1241,5,false),vlookup($A63,Pagos!$B$5:$L1241,5,false),vlookup($A63,Pagos!$B$5:$L1241,4,false)))</f>
        <v>Sin actividad</v>
      </c>
      <c r="J63" s="198" t="s">
        <v>529</v>
      </c>
      <c r="K63" s="199">
        <v>41496.0</v>
      </c>
      <c r="L63" s="200">
        <v>41973.0</v>
      </c>
      <c r="M63" s="201" t="s">
        <v>656</v>
      </c>
      <c r="N63" s="202">
        <f>If(L63&gt;K63,   datedif(K63,L63,"Y") , If(K63&lt;Vitalicios!$C$4, datedif(K63,Vitalicios!$C$4,"Y"),0)  )</f>
        <v>1</v>
      </c>
      <c r="O63" s="202"/>
    </row>
    <row r="64">
      <c r="A64" s="192">
        <v>1605.0</v>
      </c>
      <c r="B64" s="193" t="s">
        <v>725</v>
      </c>
      <c r="C64" s="194" t="s">
        <v>526</v>
      </c>
      <c r="D64" s="193" t="s">
        <v>709</v>
      </c>
      <c r="E64" s="193" t="s">
        <v>726</v>
      </c>
      <c r="F64" s="195">
        <v>5711713.0</v>
      </c>
      <c r="G64" s="196"/>
      <c r="H64" s="193" t="s">
        <v>727</v>
      </c>
      <c r="I64" s="197" t="str">
        <f>IF(iserror(vlookup($A64,Pagos!$B$5:L1241,4,false)),"Sin actividad",If(vlookup($A64,Pagos!$B$5:$L1241,5,false),vlookup($A64,Pagos!$B$5:$L1241,5,false),vlookup($A64,Pagos!$B$5:$L1241,4,false)))</f>
        <v>Sin actividad</v>
      </c>
      <c r="J64" s="198" t="s">
        <v>529</v>
      </c>
      <c r="K64" s="199">
        <v>42583.0</v>
      </c>
      <c r="L64" s="200">
        <v>44713.0</v>
      </c>
      <c r="M64" s="201"/>
      <c r="N64" s="202">
        <f>If(L64&gt;K64,   datedif(K64,L64,"Y") , If(K64&lt;Vitalicios!$C$4, datedif(K64,Vitalicios!$C$4,"Y"),0)  )</f>
        <v>5</v>
      </c>
      <c r="O64" s="202"/>
    </row>
    <row r="65">
      <c r="A65" s="192">
        <v>1793.0</v>
      </c>
      <c r="B65" s="193" t="s">
        <v>728</v>
      </c>
      <c r="C65" s="193" t="s">
        <v>526</v>
      </c>
      <c r="D65" s="193" t="s">
        <v>538</v>
      </c>
      <c r="E65" s="193" t="s">
        <v>729</v>
      </c>
      <c r="F65" s="195">
        <v>2.2140831E9</v>
      </c>
      <c r="G65" s="196"/>
      <c r="H65" s="193" t="s">
        <v>730</v>
      </c>
      <c r="I65" s="197" t="str">
        <f>IF(iserror(vlookup($A65,Pagos!$B$5:L1241,4,false)),"Sin actividad",If(vlookup($A65,Pagos!$B$5:$L1241,5,false),vlookup($A65,Pagos!$B$5:$L1241,5,false),vlookup($A65,Pagos!$B$5:$L1241,4,false)))</f>
        <v>Sin actividad</v>
      </c>
      <c r="J65" s="198" t="s">
        <v>529</v>
      </c>
      <c r="K65" s="204">
        <v>44044.0</v>
      </c>
      <c r="L65" s="200">
        <v>45505.0</v>
      </c>
      <c r="M65" s="201" t="s">
        <v>703</v>
      </c>
      <c r="N65" s="202"/>
      <c r="O65" s="202"/>
    </row>
    <row r="66">
      <c r="A66" s="192">
        <v>2292.0</v>
      </c>
      <c r="B66" s="193" t="s">
        <v>731</v>
      </c>
      <c r="C66" s="193" t="s">
        <v>537</v>
      </c>
      <c r="D66" s="193" t="s">
        <v>520</v>
      </c>
      <c r="E66" s="205" t="s">
        <v>732</v>
      </c>
      <c r="F66" s="195">
        <v>2.215450899E9</v>
      </c>
      <c r="G66" s="196"/>
      <c r="H66" s="193" t="s">
        <v>733</v>
      </c>
      <c r="I66" s="197"/>
      <c r="J66" s="198" t="s">
        <v>523</v>
      </c>
      <c r="K66" s="204">
        <v>45597.0</v>
      </c>
      <c r="L66" s="200"/>
      <c r="M66" s="201"/>
      <c r="N66" s="202"/>
      <c r="O66" s="202"/>
    </row>
    <row r="67">
      <c r="A67" s="192">
        <v>2018.0</v>
      </c>
      <c r="B67" s="193" t="s">
        <v>734</v>
      </c>
      <c r="C67" s="193" t="s">
        <v>537</v>
      </c>
      <c r="D67" s="193" t="s">
        <v>628</v>
      </c>
      <c r="E67" s="205" t="s">
        <v>735</v>
      </c>
      <c r="F67" s="195">
        <v>2.215063404E9</v>
      </c>
      <c r="G67" s="196"/>
      <c r="H67" s="193" t="s">
        <v>736</v>
      </c>
      <c r="I67" s="197" t="str">
        <f>IF(iserror(vlookup($A67,Pagos!$B$5:L1241,4,false)),"Sin actividad",If(vlookup($A67,Pagos!$B$5:$L1241,5,false),vlookup($A67,Pagos!$B$5:$L1241,5,false),vlookup($A67,Pagos!$B$5:$L1241,4,false)))</f>
        <v>Sin actividad</v>
      </c>
      <c r="J67" s="198" t="s">
        <v>529</v>
      </c>
      <c r="K67" s="204">
        <v>44682.0</v>
      </c>
      <c r="L67" s="200"/>
      <c r="M67" s="201" t="s">
        <v>312</v>
      </c>
      <c r="N67" s="202"/>
      <c r="O67" s="202"/>
    </row>
    <row r="68">
      <c r="A68" s="192">
        <v>2125.0</v>
      </c>
      <c r="B68" s="193" t="s">
        <v>737</v>
      </c>
      <c r="C68" s="193" t="s">
        <v>537</v>
      </c>
      <c r="D68" s="193" t="s">
        <v>532</v>
      </c>
      <c r="E68" s="205" t="s">
        <v>738</v>
      </c>
      <c r="F68" s="195">
        <v>2.215921274E9</v>
      </c>
      <c r="G68" s="196"/>
      <c r="H68" s="193" t="s">
        <v>739</v>
      </c>
      <c r="I68" s="197"/>
      <c r="J68" s="198" t="s">
        <v>523</v>
      </c>
      <c r="K68" s="204">
        <v>44927.0</v>
      </c>
      <c r="L68" s="200">
        <v>45717.0</v>
      </c>
      <c r="M68" s="201" t="s">
        <v>740</v>
      </c>
      <c r="N68" s="202"/>
      <c r="O68" s="202"/>
    </row>
    <row r="69">
      <c r="A69" s="192">
        <v>1458.0</v>
      </c>
      <c r="B69" s="193" t="s">
        <v>741</v>
      </c>
      <c r="C69" s="194" t="s">
        <v>577</v>
      </c>
      <c r="D69" s="193" t="s">
        <v>527</v>
      </c>
      <c r="E69" s="205" t="s">
        <v>742</v>
      </c>
      <c r="F69" s="195">
        <v>2.216418541E9</v>
      </c>
      <c r="G69" s="196"/>
      <c r="H69" s="193" t="s">
        <v>743</v>
      </c>
      <c r="I69" s="197" t="str">
        <f>IF(iserror(vlookup($A69,Pagos!$B$5:L1241,4,false)),"Sin actividad",If(vlookup($A69,Pagos!$B$5:$L1241,5,false),vlookup($A69,Pagos!$B$5:$L1241,5,false),vlookup($A69,Pagos!$B$5:$L1241,4,false)))</f>
        <v>Sin actividad</v>
      </c>
      <c r="J69" s="198" t="s">
        <v>529</v>
      </c>
      <c r="K69" s="199">
        <v>41398.0</v>
      </c>
      <c r="L69" s="200">
        <v>44986.0</v>
      </c>
      <c r="M69" s="201" t="s">
        <v>740</v>
      </c>
      <c r="N69" s="202">
        <f>If(L69&gt;K69,   datedif(K69,L69,"Y") , If(K69&lt;Vitalicios!$C$4, datedif(K69,Vitalicios!$C$4,"Y"),0)  )</f>
        <v>9</v>
      </c>
      <c r="O69" s="202"/>
    </row>
    <row r="70">
      <c r="A70" s="192">
        <v>1893.0</v>
      </c>
      <c r="B70" s="193" t="s">
        <v>744</v>
      </c>
      <c r="C70" s="193" t="s">
        <v>537</v>
      </c>
      <c r="D70" s="193" t="s">
        <v>538</v>
      </c>
      <c r="E70" s="205" t="s">
        <v>745</v>
      </c>
      <c r="F70" s="195">
        <v>2.214543386E9</v>
      </c>
      <c r="G70" s="196"/>
      <c r="H70" s="193" t="s">
        <v>746</v>
      </c>
      <c r="I70" s="197">
        <f>IF(iserror(vlookup($A70,Pagos!$B$5:L1241,4,false)),"Sin actividad",If(vlookup($A70,Pagos!$B$5:$L1241,5,false),vlookup($A70,Pagos!$B$5:$L1241,5,false),vlookup($A70,Pagos!$B$5:$L1241,4,false)))</f>
        <v>45870</v>
      </c>
      <c r="J70" s="198" t="s">
        <v>523</v>
      </c>
      <c r="K70" s="199">
        <v>44287.0</v>
      </c>
      <c r="L70" s="200"/>
      <c r="M70" s="201"/>
      <c r="N70" s="202"/>
      <c r="O70" s="202"/>
    </row>
    <row r="71">
      <c r="A71" s="192">
        <v>2301.0</v>
      </c>
      <c r="B71" s="193" t="s">
        <v>747</v>
      </c>
      <c r="C71" s="193" t="s">
        <v>537</v>
      </c>
      <c r="D71" s="193" t="s">
        <v>538</v>
      </c>
      <c r="E71" s="205" t="s">
        <v>748</v>
      </c>
      <c r="F71" s="195">
        <v>2.21641729E9</v>
      </c>
      <c r="G71" s="196"/>
      <c r="H71" s="193" t="s">
        <v>749</v>
      </c>
      <c r="I71" s="197">
        <v>45627.0</v>
      </c>
      <c r="J71" s="198" t="s">
        <v>523</v>
      </c>
      <c r="K71" s="199"/>
      <c r="L71" s="200"/>
      <c r="M71" s="201"/>
      <c r="N71" s="202"/>
      <c r="O71" s="202"/>
    </row>
    <row r="72">
      <c r="A72" s="192">
        <v>2104.0</v>
      </c>
      <c r="B72" s="193" t="s">
        <v>750</v>
      </c>
      <c r="C72" s="193" t="s">
        <v>537</v>
      </c>
      <c r="D72" s="193" t="s">
        <v>628</v>
      </c>
      <c r="E72" s="205" t="s">
        <v>751</v>
      </c>
      <c r="F72" s="195">
        <v>2.21355211E9</v>
      </c>
      <c r="G72" s="196"/>
      <c r="H72" s="193" t="s">
        <v>752</v>
      </c>
      <c r="I72" s="197"/>
      <c r="J72" s="198" t="s">
        <v>523</v>
      </c>
      <c r="K72" s="199">
        <v>44896.0</v>
      </c>
      <c r="L72" s="200"/>
      <c r="M72" s="201"/>
      <c r="N72" s="202"/>
      <c r="O72" s="202"/>
    </row>
    <row r="73">
      <c r="A73" s="192">
        <v>1299.0</v>
      </c>
      <c r="B73" s="193" t="s">
        <v>753</v>
      </c>
      <c r="C73" s="194" t="s">
        <v>577</v>
      </c>
      <c r="D73" s="193" t="s">
        <v>556</v>
      </c>
      <c r="E73" s="193">
        <v>0.0</v>
      </c>
      <c r="F73" s="195">
        <v>0.0</v>
      </c>
      <c r="G73" s="196">
        <v>0.0</v>
      </c>
      <c r="H73" s="193"/>
      <c r="I73" s="197" t="str">
        <f>IF(iserror(vlookup($A73,Pagos!$B$5:L1241,4,false)),"Sin actividad",If(vlookup($A73,Pagos!$B$5:$L1241,5,false),vlookup($A73,Pagos!$B$5:$L1241,5,false),vlookup($A73,Pagos!$B$5:$L1241,4,false)))</f>
        <v>Sin actividad</v>
      </c>
      <c r="J73" s="198" t="s">
        <v>529</v>
      </c>
      <c r="K73" s="199">
        <v>40279.0</v>
      </c>
      <c r="L73" s="206" t="s">
        <v>154</v>
      </c>
      <c r="M73" s="201"/>
      <c r="N73" s="202" t="str">
        <f>If(L73&gt;K73,   datedif(K73,L73,"Y") , If(K73&lt;Vitalicios!$C$4, datedif(K73,Vitalicios!$C$4,"Y"),0)  )</f>
        <v>#VALUE!</v>
      </c>
      <c r="O73" s="202"/>
    </row>
    <row r="74">
      <c r="A74" s="192">
        <v>2304.0</v>
      </c>
      <c r="B74" s="193" t="s">
        <v>754</v>
      </c>
      <c r="C74" s="193" t="s">
        <v>537</v>
      </c>
      <c r="D74" s="193" t="s">
        <v>755</v>
      </c>
      <c r="E74" s="193" t="s">
        <v>756</v>
      </c>
      <c r="F74" s="195">
        <v>2.216736253E9</v>
      </c>
      <c r="G74" s="196"/>
      <c r="H74" s="193" t="s">
        <v>757</v>
      </c>
      <c r="I74" s="197"/>
      <c r="J74" s="198" t="s">
        <v>523</v>
      </c>
      <c r="K74" s="199">
        <v>45627.0</v>
      </c>
      <c r="L74" s="206"/>
      <c r="M74" s="201"/>
      <c r="N74" s="202"/>
      <c r="O74" s="202"/>
    </row>
    <row r="75">
      <c r="A75" s="192">
        <v>2323.0</v>
      </c>
      <c r="B75" s="193" t="s">
        <v>758</v>
      </c>
      <c r="C75" s="193" t="s">
        <v>537</v>
      </c>
      <c r="D75" s="193" t="s">
        <v>538</v>
      </c>
      <c r="E75" s="193" t="s">
        <v>759</v>
      </c>
      <c r="F75" s="195">
        <v>1.132095235E9</v>
      </c>
      <c r="G75" s="196"/>
      <c r="H75" s="193" t="s">
        <v>760</v>
      </c>
      <c r="I75" s="197"/>
      <c r="J75" s="198" t="s">
        <v>523</v>
      </c>
      <c r="K75" s="199">
        <v>45689.0</v>
      </c>
      <c r="L75" s="206"/>
      <c r="M75" s="201"/>
      <c r="N75" s="202"/>
      <c r="O75" s="202"/>
    </row>
    <row r="76">
      <c r="A76" s="192">
        <v>1843.0</v>
      </c>
      <c r="B76" s="193" t="s">
        <v>761</v>
      </c>
      <c r="C76" s="193" t="s">
        <v>537</v>
      </c>
      <c r="D76" s="193" t="s">
        <v>538</v>
      </c>
      <c r="E76" s="193" t="s">
        <v>762</v>
      </c>
      <c r="F76" s="195">
        <v>1.1617653E9</v>
      </c>
      <c r="G76" s="196"/>
      <c r="H76" s="193" t="s">
        <v>763</v>
      </c>
      <c r="I76" s="197" t="str">
        <f>IF(iserror(vlookup($A76,Pagos!$B$5:L1241,4,false)),"Sin actividad",If(vlookup($A76,Pagos!$B$5:$L1241,5,false),vlookup($A76,Pagos!$B$5:$L1241,5,false),vlookup($A76,Pagos!$B$5:$L1241,4,false)))</f>
        <v>Sin actividad</v>
      </c>
      <c r="J76" s="198" t="s">
        <v>523</v>
      </c>
      <c r="K76" s="199">
        <v>44140.0</v>
      </c>
      <c r="L76" s="200"/>
      <c r="M76" s="201"/>
      <c r="N76" s="202"/>
      <c r="O76" s="202"/>
    </row>
    <row r="77">
      <c r="A77" s="192">
        <v>782.0</v>
      </c>
      <c r="B77" s="193" t="s">
        <v>764</v>
      </c>
      <c r="C77" s="194" t="s">
        <v>526</v>
      </c>
      <c r="D77" s="193" t="s">
        <v>520</v>
      </c>
      <c r="E77" s="193" t="s">
        <v>765</v>
      </c>
      <c r="F77" s="195" t="s">
        <v>766</v>
      </c>
      <c r="G77" s="196">
        <v>0.0</v>
      </c>
      <c r="H77" s="193"/>
      <c r="I77" s="197">
        <f>IF(iserror(vlookup($A77,Pagos!$B$5:L1241,4,false)),"Sin actividad",If(vlookup($A77,Pagos!$B$5:$L1241,5,false),vlookup($A77,Pagos!$B$5:$L1241,5,false),vlookup($A77,Pagos!$B$5:$L1241,4,false)))</f>
        <v>45870</v>
      </c>
      <c r="J77" s="198" t="s">
        <v>529</v>
      </c>
      <c r="K77" s="199">
        <v>36443.0</v>
      </c>
      <c r="L77" s="200">
        <v>45292.0</v>
      </c>
      <c r="M77" s="201" t="s">
        <v>535</v>
      </c>
      <c r="N77" s="202">
        <f>If(L77&gt;K77,   datedif(K77,L77,"Y") , If(K77&lt;Vitalicios!$C$4, datedif(K77,Vitalicios!$C$4,"Y"),0)  )</f>
        <v>24</v>
      </c>
      <c r="O77" s="202"/>
    </row>
    <row r="78">
      <c r="A78" s="192">
        <v>1528.0</v>
      </c>
      <c r="B78" s="193" t="s">
        <v>767</v>
      </c>
      <c r="C78" s="194" t="s">
        <v>526</v>
      </c>
      <c r="D78" s="193" t="s">
        <v>556</v>
      </c>
      <c r="E78" s="193" t="s">
        <v>768</v>
      </c>
      <c r="F78" s="195">
        <v>1.55010199E8</v>
      </c>
      <c r="G78" s="196">
        <v>0.0</v>
      </c>
      <c r="H78" s="193"/>
      <c r="I78" s="197" t="str">
        <f>IF(iserror(vlookup($A78,Pagos!$B$5:L1241,4,false)),"Sin actividad",If(vlookup($A78,Pagos!$B$5:$L1241,5,false),vlookup($A78,Pagos!$B$5:$L1241,5,false),vlookup($A78,Pagos!$B$5:$L1241,4,false)))</f>
        <v>Sin actividad</v>
      </c>
      <c r="J78" s="198" t="s">
        <v>529</v>
      </c>
      <c r="K78" s="199">
        <v>41951.0</v>
      </c>
      <c r="L78" s="200">
        <v>43374.0</v>
      </c>
      <c r="M78" s="201" t="s">
        <v>560</v>
      </c>
      <c r="N78" s="202">
        <f>If(L78&gt;K78,   datedif(K78,L78,"Y") , If(K78&lt;Vitalicios!$C$4, datedif(K78,Vitalicios!$C$4,"Y"),0)  )</f>
        <v>3</v>
      </c>
      <c r="O78" s="202"/>
    </row>
    <row r="79">
      <c r="A79" s="192">
        <v>1256.0</v>
      </c>
      <c r="B79" s="193" t="s">
        <v>769</v>
      </c>
      <c r="C79" s="194" t="s">
        <v>526</v>
      </c>
      <c r="D79" s="193" t="s">
        <v>770</v>
      </c>
      <c r="E79" s="193" t="s">
        <v>771</v>
      </c>
      <c r="F79" s="195">
        <v>1.540492618E9</v>
      </c>
      <c r="G79" s="196">
        <v>0.0</v>
      </c>
      <c r="H79" s="193"/>
      <c r="I79" s="197" t="str">
        <f>IF(iserror(vlookup($A79,Pagos!$B$5:L1241,4,false)),"Sin actividad",If(vlookup($A79,Pagos!$B$5:$L1241,5,false),vlookup($A79,Pagos!$B$5:$L1241,5,false),vlookup($A79,Pagos!$B$5:$L1241,4,false)))</f>
        <v>Sin actividad</v>
      </c>
      <c r="J79" s="198" t="s">
        <v>529</v>
      </c>
      <c r="K79" s="199">
        <v>40150.0</v>
      </c>
      <c r="L79" s="200">
        <v>42005.0</v>
      </c>
      <c r="M79" s="201" t="s">
        <v>772</v>
      </c>
      <c r="N79" s="202">
        <f>If(L79&gt;K79,   datedif(K79,L79,"Y") , If(K79&lt;Vitalicios!$C$4, datedif(K79,Vitalicios!$C$4,"Y"),0)  )</f>
        <v>5</v>
      </c>
      <c r="O79" s="202"/>
    </row>
    <row r="80">
      <c r="A80" s="192">
        <v>1362.0</v>
      </c>
      <c r="B80" s="193" t="s">
        <v>773</v>
      </c>
      <c r="C80" s="194" t="s">
        <v>526</v>
      </c>
      <c r="D80" s="193" t="s">
        <v>693</v>
      </c>
      <c r="E80" s="193" t="s">
        <v>774</v>
      </c>
      <c r="F80" s="195">
        <v>4529060.0</v>
      </c>
      <c r="G80" s="196">
        <v>0.0</v>
      </c>
      <c r="H80" s="193" t="s">
        <v>775</v>
      </c>
      <c r="I80" s="197">
        <f>IF(iserror(vlookup($A80,Pagos!$B$5:L1241,4,false)),"Sin actividad",If(vlookup($A80,Pagos!$B$5:$L1241,5,false),vlookup($A80,Pagos!$B$5:$L1241,5,false),vlookup($A80,Pagos!$B$5:$L1241,4,false)))</f>
        <v>45901</v>
      </c>
      <c r="J80" s="198" t="s">
        <v>523</v>
      </c>
      <c r="K80" s="199">
        <v>40594.0</v>
      </c>
      <c r="L80" s="200"/>
      <c r="M80" s="201"/>
      <c r="N80" s="202">
        <f>If(L80&gt;K80,   datedif(K80,L80,"Y") , If(K80&lt;Vitalicios!$C$4, datedif(K80,Vitalicios!$C$4,"Y"),0)  )</f>
        <v>14</v>
      </c>
      <c r="O80" s="202"/>
    </row>
    <row r="81">
      <c r="A81" s="192">
        <v>2052.0</v>
      </c>
      <c r="B81" s="193" t="s">
        <v>776</v>
      </c>
      <c r="C81" s="193" t="s">
        <v>537</v>
      </c>
      <c r="D81" s="193" t="s">
        <v>532</v>
      </c>
      <c r="E81" s="3" t="s">
        <v>777</v>
      </c>
      <c r="F81" s="195">
        <v>2.216691611E9</v>
      </c>
      <c r="G81" s="196"/>
      <c r="H81" s="193" t="s">
        <v>778</v>
      </c>
      <c r="I81" s="197"/>
      <c r="J81" s="198" t="s">
        <v>523</v>
      </c>
      <c r="K81" s="199">
        <v>44805.0</v>
      </c>
      <c r="L81" s="200"/>
      <c r="M81" s="201"/>
      <c r="N81" s="202"/>
      <c r="O81" s="202"/>
    </row>
    <row r="82">
      <c r="A82" s="192">
        <v>2106.0</v>
      </c>
      <c r="B82" s="193" t="s">
        <v>779</v>
      </c>
      <c r="C82" s="193" t="s">
        <v>537</v>
      </c>
      <c r="D82" s="193" t="s">
        <v>538</v>
      </c>
      <c r="E82" s="3" t="s">
        <v>780</v>
      </c>
      <c r="F82" s="195">
        <v>2.214183883E9</v>
      </c>
      <c r="G82" s="196"/>
      <c r="H82" s="193" t="s">
        <v>781</v>
      </c>
      <c r="I82" s="197"/>
      <c r="J82" s="198" t="s">
        <v>523</v>
      </c>
      <c r="K82" s="199">
        <v>44896.0</v>
      </c>
      <c r="L82" s="200"/>
      <c r="M82" s="201"/>
      <c r="N82" s="202"/>
      <c r="O82" s="202"/>
    </row>
    <row r="83">
      <c r="A83" s="192">
        <v>1761.0</v>
      </c>
      <c r="B83" s="193" t="s">
        <v>782</v>
      </c>
      <c r="C83" s="194" t="s">
        <v>519</v>
      </c>
      <c r="D83" s="193" t="s">
        <v>770</v>
      </c>
      <c r="E83" s="193" t="s">
        <v>783</v>
      </c>
      <c r="F83" s="195">
        <v>1.55673789E8</v>
      </c>
      <c r="G83" s="196"/>
      <c r="H83" s="193" t="s">
        <v>784</v>
      </c>
      <c r="I83" s="197" t="str">
        <f>IF(iserror(vlookup($A83,Pagos!$B$5:L1241,4,false)),"Sin actividad",If(vlookup($A83,Pagos!$B$5:$L1241,5,false),vlookup($A83,Pagos!$B$5:$L1241,5,false),vlookup($A83,Pagos!$B$5:$L1241,4,false)))</f>
        <v>Sin actividad</v>
      </c>
      <c r="J83" s="198" t="s">
        <v>529</v>
      </c>
      <c r="K83" s="199">
        <v>43800.0</v>
      </c>
      <c r="L83" s="200">
        <v>44228.0</v>
      </c>
      <c r="M83" s="201"/>
      <c r="N83" s="202">
        <f>IF(L83&gt;K83,   DATEDIF(K83,L83,"Y") , IF(K83&lt;Vitalicios!$C$4, DATEDIF(K83,Vitalicios!$C$4,"Y"),0)  )</f>
        <v>1</v>
      </c>
      <c r="O83" s="202"/>
    </row>
    <row r="84">
      <c r="A84" s="192">
        <v>657.0</v>
      </c>
      <c r="B84" s="193" t="s">
        <v>785</v>
      </c>
      <c r="C84" s="194" t="s">
        <v>526</v>
      </c>
      <c r="D84" s="193" t="s">
        <v>556</v>
      </c>
      <c r="E84" s="193">
        <v>0.0</v>
      </c>
      <c r="F84" s="195">
        <v>0.0</v>
      </c>
      <c r="G84" s="196">
        <v>0.0</v>
      </c>
      <c r="H84" s="193" t="s">
        <v>786</v>
      </c>
      <c r="I84" s="197" t="str">
        <f>IF(iserror(vlookup($A84,Pagos!$B$5:L1241,4,false)),"Sin actividad",If(vlookup($A84,Pagos!$B$5:$L1241,5,false),vlookup($A84,Pagos!$B$5:$L1241,5,false),vlookup($A84,Pagos!$B$5:$L1241,4,false)))</f>
        <v>Sin actividad</v>
      </c>
      <c r="J84" s="198" t="s">
        <v>529</v>
      </c>
      <c r="K84" s="199">
        <v>34762.0</v>
      </c>
      <c r="L84" s="200">
        <v>42461.0</v>
      </c>
      <c r="M84" s="201"/>
      <c r="N84" s="202">
        <f>If(L84&gt;K84,   datedif(K84,L84,"Y") , If(K84&lt;Vitalicios!$C$4, datedif(K84,Vitalicios!$C$4,"Y"),0)  )</f>
        <v>21</v>
      </c>
      <c r="O84" s="202"/>
    </row>
    <row r="85">
      <c r="A85" s="192">
        <v>2255.0</v>
      </c>
      <c r="B85" s="193" t="s">
        <v>787</v>
      </c>
      <c r="C85" s="193" t="s">
        <v>537</v>
      </c>
      <c r="D85" s="193" t="s">
        <v>788</v>
      </c>
      <c r="E85" s="193" t="s">
        <v>759</v>
      </c>
      <c r="F85" s="195">
        <v>1.15955627E9</v>
      </c>
      <c r="G85" s="196"/>
      <c r="H85" s="193" t="s">
        <v>789</v>
      </c>
      <c r="I85" s="197"/>
      <c r="J85" s="198" t="s">
        <v>523</v>
      </c>
      <c r="K85" s="199">
        <v>45352.0</v>
      </c>
      <c r="L85" s="200"/>
      <c r="M85" s="201"/>
      <c r="N85" s="202"/>
      <c r="O85" s="202"/>
    </row>
    <row r="86">
      <c r="A86" s="192">
        <v>1860.0</v>
      </c>
      <c r="B86" s="193" t="s">
        <v>790</v>
      </c>
      <c r="C86" s="193" t="s">
        <v>537</v>
      </c>
      <c r="D86" s="193" t="s">
        <v>532</v>
      </c>
      <c r="E86" s="193" t="s">
        <v>791</v>
      </c>
      <c r="F86" s="195"/>
      <c r="G86" s="196"/>
      <c r="H86" s="193" t="s">
        <v>792</v>
      </c>
      <c r="I86" s="197" t="str">
        <f>IF(iserror(vlookup($A86,Pagos!$B$5:L1241,4,false)),"Sin actividad",If(vlookup($A86,Pagos!$B$5:$L1241,5,false),vlookup($A86,Pagos!$B$5:$L1241,5,false),vlookup($A86,Pagos!$B$5:$L1241,4,false)))</f>
        <v>Sin actividad</v>
      </c>
      <c r="J86" s="198" t="s">
        <v>529</v>
      </c>
      <c r="K86" s="199">
        <v>44166.0</v>
      </c>
      <c r="L86" s="200"/>
      <c r="M86" s="201"/>
      <c r="N86" s="202"/>
      <c r="O86" s="202"/>
    </row>
    <row r="87">
      <c r="A87" s="192">
        <v>1242.0</v>
      </c>
      <c r="B87" s="193" t="s">
        <v>793</v>
      </c>
      <c r="C87" s="194" t="s">
        <v>526</v>
      </c>
      <c r="D87" s="193" t="s">
        <v>520</v>
      </c>
      <c r="E87" s="193" t="s">
        <v>794</v>
      </c>
      <c r="F87" s="195" t="s">
        <v>795</v>
      </c>
      <c r="G87" s="196">
        <v>0.0</v>
      </c>
      <c r="H87" s="193" t="s">
        <v>796</v>
      </c>
      <c r="I87" s="197" t="str">
        <f>IF(iserror(vlookup($A87,Pagos!$B$5:L1241,4,false)),"Sin actividad",If(vlookup($A87,Pagos!$B$5:$L1241,5,false),vlookup($A87,Pagos!$B$5:$L1241,5,false),vlookup($A87,Pagos!$B$5:$L1241,4,false)))</f>
        <v>Sin actividad</v>
      </c>
      <c r="J87" s="198" t="s">
        <v>529</v>
      </c>
      <c r="K87" s="199">
        <v>40096.0</v>
      </c>
      <c r="L87" s="200">
        <v>44197.0</v>
      </c>
      <c r="M87" s="201" t="s">
        <v>797</v>
      </c>
      <c r="N87" s="202">
        <f>If(L87&gt;K87,   datedif(K87,L87,"Y") , If(K87&lt;Vitalicios!$C$4, datedif(K87,Vitalicios!$C$4,"Y"),0)  )</f>
        <v>11</v>
      </c>
      <c r="O87" s="202"/>
    </row>
    <row r="88">
      <c r="A88" s="192">
        <v>2109.0</v>
      </c>
      <c r="B88" s="193" t="s">
        <v>798</v>
      </c>
      <c r="C88" s="193" t="s">
        <v>537</v>
      </c>
      <c r="D88" s="193" t="s">
        <v>538</v>
      </c>
      <c r="E88" s="193" t="s">
        <v>799</v>
      </c>
      <c r="F88" s="195">
        <v>2.215925571E9</v>
      </c>
      <c r="G88" s="196"/>
      <c r="H88" s="193" t="s">
        <v>800</v>
      </c>
      <c r="I88" s="197"/>
      <c r="J88" s="198" t="s">
        <v>523</v>
      </c>
      <c r="K88" s="199">
        <v>44927.0</v>
      </c>
      <c r="L88" s="200"/>
      <c r="M88" s="201"/>
      <c r="N88" s="202"/>
      <c r="O88" s="202"/>
    </row>
    <row r="89">
      <c r="A89" s="192">
        <v>2051.0</v>
      </c>
      <c r="B89" s="193" t="s">
        <v>801</v>
      </c>
      <c r="C89" s="193" t="s">
        <v>537</v>
      </c>
      <c r="D89" s="193" t="s">
        <v>532</v>
      </c>
      <c r="E89" s="193" t="s">
        <v>802</v>
      </c>
      <c r="F89" s="195" t="s">
        <v>803</v>
      </c>
      <c r="G89" s="196"/>
      <c r="H89" s="193" t="s">
        <v>804</v>
      </c>
      <c r="I89" s="197"/>
      <c r="J89" s="198" t="s">
        <v>523</v>
      </c>
      <c r="K89" s="199">
        <v>44805.0</v>
      </c>
      <c r="L89" s="200"/>
      <c r="M89" s="201"/>
      <c r="N89" s="202"/>
      <c r="O89" s="202"/>
    </row>
    <row r="90">
      <c r="A90" s="192">
        <v>1399.0</v>
      </c>
      <c r="B90" s="193" t="s">
        <v>805</v>
      </c>
      <c r="C90" s="194" t="s">
        <v>526</v>
      </c>
      <c r="D90" s="193" t="s">
        <v>527</v>
      </c>
      <c r="E90" s="193">
        <v>0.0</v>
      </c>
      <c r="F90" s="195">
        <v>0.0</v>
      </c>
      <c r="G90" s="196">
        <v>0.0</v>
      </c>
      <c r="H90" s="193"/>
      <c r="I90" s="197" t="str">
        <f>IF(iserror(vlookup($A90,Pagos!$B$5:L1241,4,false)),"Sin actividad",If(vlookup($A90,Pagos!$B$5:$L1241,5,false),vlookup($A90,Pagos!$B$5:$L1241,5,false),vlookup($A90,Pagos!$B$5:$L1241,4,false)))</f>
        <v>Sin actividad</v>
      </c>
      <c r="J90" s="198" t="s">
        <v>529</v>
      </c>
      <c r="K90" s="199">
        <v>40894.0</v>
      </c>
      <c r="L90" s="200"/>
      <c r="M90" s="201"/>
      <c r="N90" s="202">
        <f>If(L90&gt;K90,   datedif(K90,L90,"Y") , If(K90&lt;Vitalicios!$C$4, datedif(K90,Vitalicios!$C$4,"Y"),0)  )</f>
        <v>13</v>
      </c>
      <c r="O90" s="202"/>
    </row>
    <row r="91">
      <c r="A91" s="192">
        <v>1400.0</v>
      </c>
      <c r="B91" s="193" t="s">
        <v>806</v>
      </c>
      <c r="C91" s="194" t="s">
        <v>526</v>
      </c>
      <c r="D91" s="193" t="s">
        <v>527</v>
      </c>
      <c r="E91" s="193" t="s">
        <v>807</v>
      </c>
      <c r="F91" s="195">
        <v>4730070.0</v>
      </c>
      <c r="G91" s="196">
        <v>0.0</v>
      </c>
      <c r="H91" s="193"/>
      <c r="I91" s="197" t="str">
        <f>IF(iserror(vlookup($A91,Pagos!$B$5:L1241,4,false)),"Sin actividad",If(vlookup($A91,Pagos!$B$5:$L1241,5,false),vlookup($A91,Pagos!$B$5:$L1241,5,false),vlookup($A91,Pagos!$B$5:$L1241,4,false)))</f>
        <v>Sin actividad</v>
      </c>
      <c r="J91" s="198" t="s">
        <v>529</v>
      </c>
      <c r="K91" s="199">
        <v>40894.0</v>
      </c>
      <c r="L91" s="200"/>
      <c r="M91" s="201"/>
      <c r="N91" s="202">
        <f>If(L91&gt;K91,   datedif(K91,L91,"Y") , If(K91&lt;Vitalicios!$C$4, datedif(K91,Vitalicios!$C$4,"Y"),0)  )</f>
        <v>13</v>
      </c>
      <c r="O91" s="202"/>
    </row>
    <row r="92">
      <c r="A92" s="192">
        <v>1398.0</v>
      </c>
      <c r="B92" s="193" t="s">
        <v>808</v>
      </c>
      <c r="C92" s="194" t="s">
        <v>526</v>
      </c>
      <c r="D92" s="193" t="s">
        <v>527</v>
      </c>
      <c r="E92" s="193" t="s">
        <v>809</v>
      </c>
      <c r="F92" s="195">
        <v>4277180.0</v>
      </c>
      <c r="G92" s="196"/>
      <c r="H92" s="193"/>
      <c r="I92" s="197" t="str">
        <f>IF(iserror(vlookup($A92,Pagos!$B$5:L1241,4,false)),"Sin actividad",If(vlookup($A92,Pagos!$B$5:$L1241,5,false),vlookup($A92,Pagos!$B$5:$L1241,5,false),vlookup($A92,Pagos!$B$5:$L1241,4,false)))</f>
        <v>Sin actividad</v>
      </c>
      <c r="J92" s="198" t="s">
        <v>529</v>
      </c>
      <c r="K92" s="199">
        <v>40894.0</v>
      </c>
      <c r="L92" s="200"/>
      <c r="M92" s="201"/>
      <c r="N92" s="202">
        <f>If(L92&gt;K92,   datedif(K92,L92,"Y") , If(K92&lt;Vitalicios!$C$4, datedif(K92,Vitalicios!$C$4,"Y"),0)  )</f>
        <v>13</v>
      </c>
      <c r="O92" s="202"/>
    </row>
    <row r="93">
      <c r="A93" s="192">
        <v>2140.0</v>
      </c>
      <c r="B93" s="193" t="s">
        <v>810</v>
      </c>
      <c r="C93" s="193" t="s">
        <v>537</v>
      </c>
      <c r="D93" s="193" t="s">
        <v>538</v>
      </c>
      <c r="E93" s="193" t="s">
        <v>811</v>
      </c>
      <c r="F93" s="195">
        <v>2.215059594E9</v>
      </c>
      <c r="G93" s="196"/>
      <c r="H93" s="193" t="s">
        <v>812</v>
      </c>
      <c r="I93" s="197"/>
      <c r="J93" s="198" t="s">
        <v>529</v>
      </c>
      <c r="K93" s="199">
        <v>44986.0</v>
      </c>
      <c r="L93" s="200">
        <v>45292.0</v>
      </c>
      <c r="M93" s="201"/>
      <c r="N93" s="202"/>
      <c r="O93" s="202"/>
    </row>
    <row r="94">
      <c r="A94" s="192">
        <v>2141.0</v>
      </c>
      <c r="B94" s="193" t="s">
        <v>813</v>
      </c>
      <c r="C94" s="193" t="s">
        <v>537</v>
      </c>
      <c r="D94" s="193" t="s">
        <v>538</v>
      </c>
      <c r="E94" s="193" t="s">
        <v>811</v>
      </c>
      <c r="F94" s="195">
        <v>2.214288046E9</v>
      </c>
      <c r="G94" s="196"/>
      <c r="H94" s="193" t="s">
        <v>814</v>
      </c>
      <c r="I94" s="197"/>
      <c r="J94" s="198" t="s">
        <v>529</v>
      </c>
      <c r="K94" s="199">
        <v>44986.0</v>
      </c>
      <c r="L94" s="200">
        <v>45352.0</v>
      </c>
      <c r="M94" s="201" t="s">
        <v>535</v>
      </c>
      <c r="N94" s="202"/>
      <c r="O94" s="202"/>
    </row>
    <row r="95">
      <c r="A95" s="192">
        <v>2258.0</v>
      </c>
      <c r="B95" s="193" t="s">
        <v>815</v>
      </c>
      <c r="C95" s="193" t="s">
        <v>537</v>
      </c>
      <c r="D95" s="193" t="s">
        <v>628</v>
      </c>
      <c r="E95" s="193" t="s">
        <v>816</v>
      </c>
      <c r="F95" s="195">
        <v>2.214180025E9</v>
      </c>
      <c r="G95" s="196"/>
      <c r="H95" s="193" t="s">
        <v>817</v>
      </c>
      <c r="I95" s="197"/>
      <c r="J95" s="198" t="s">
        <v>529</v>
      </c>
      <c r="K95" s="199">
        <v>45352.0</v>
      </c>
      <c r="L95" s="200">
        <v>45505.0</v>
      </c>
      <c r="M95" s="201" t="s">
        <v>703</v>
      </c>
      <c r="N95" s="202"/>
      <c r="O95" s="202"/>
    </row>
    <row r="96">
      <c r="A96" s="192">
        <v>1342.0</v>
      </c>
      <c r="B96" s="193" t="s">
        <v>818</v>
      </c>
      <c r="C96" s="194" t="s">
        <v>526</v>
      </c>
      <c r="D96" s="193" t="s">
        <v>556</v>
      </c>
      <c r="E96" s="193" t="s">
        <v>819</v>
      </c>
      <c r="F96" s="195">
        <v>4.6563179E7</v>
      </c>
      <c r="G96" s="196">
        <v>0.0</v>
      </c>
      <c r="H96" s="193"/>
      <c r="I96" s="197" t="str">
        <f>IF(iserror(vlookup($A96,Pagos!$B$5:L1241,4,false)),"Sin actividad",If(vlookup($A96,Pagos!$B$5:$L1241,5,false),vlookup($A96,Pagos!$B$5:$L1241,5,false),vlookup($A96,Pagos!$B$5:$L1241,4,false)))</f>
        <v>Sin actividad</v>
      </c>
      <c r="J96" s="198" t="s">
        <v>529</v>
      </c>
      <c r="K96" s="199">
        <v>40545.0</v>
      </c>
      <c r="L96" s="200"/>
      <c r="M96" s="201" t="s">
        <v>820</v>
      </c>
      <c r="N96" s="202">
        <f>If(L96&gt;K96,   datedif(K96,L96,"Y") , If(K96&lt;Vitalicios!$C$4, datedif(K96,Vitalicios!$C$4,"Y"),0)  )</f>
        <v>14</v>
      </c>
      <c r="O96" s="202"/>
    </row>
    <row r="97">
      <c r="A97" s="192">
        <v>1592.0</v>
      </c>
      <c r="B97" s="193" t="s">
        <v>821</v>
      </c>
      <c r="C97" s="194" t="s">
        <v>526</v>
      </c>
      <c r="D97" s="193" t="s">
        <v>822</v>
      </c>
      <c r="E97" s="193" t="s">
        <v>823</v>
      </c>
      <c r="F97" s="195">
        <v>1.55314647E8</v>
      </c>
      <c r="G97" s="196">
        <v>0.0</v>
      </c>
      <c r="H97" s="193" t="s">
        <v>824</v>
      </c>
      <c r="I97" s="197" t="str">
        <f>IF(iserror(vlookup($A97,Pagos!$B$5:L1241,4,false)),"Sin actividad",If(vlookup($A97,Pagos!$B$5:$L1241,5,false),vlookup($A97,Pagos!$B$5:$L1241,5,false),vlookup($A97,Pagos!$B$5:$L1241,4,false)))</f>
        <v>Sin actividad</v>
      </c>
      <c r="J97" s="198" t="s">
        <v>529</v>
      </c>
      <c r="K97" s="199">
        <v>42401.0</v>
      </c>
      <c r="L97" s="200">
        <v>45292.0</v>
      </c>
      <c r="M97" s="201" t="s">
        <v>535</v>
      </c>
      <c r="N97" s="202">
        <f>If(L97&gt;K97,   datedif(K97,L97,"Y") , If(K97&lt;Vitalicios!$C$4, datedif(K97,Vitalicios!$C$4,"Y"),0)  )</f>
        <v>7</v>
      </c>
      <c r="O97" s="202"/>
    </row>
    <row r="98">
      <c r="A98" s="192">
        <v>1887.0</v>
      </c>
      <c r="B98" s="193" t="s">
        <v>825</v>
      </c>
      <c r="C98" s="193" t="s">
        <v>537</v>
      </c>
      <c r="D98" s="193" t="s">
        <v>538</v>
      </c>
      <c r="E98" s="193" t="s">
        <v>826</v>
      </c>
      <c r="F98" s="195">
        <v>2.216390389E9</v>
      </c>
      <c r="G98" s="196"/>
      <c r="H98" s="193" t="s">
        <v>827</v>
      </c>
      <c r="I98" s="197">
        <f>IF(iserror(vlookup($A98,Pagos!$B$5:L1241,4,false)),"Sin actividad",If(vlookup($A98,Pagos!$B$5:$L1241,5,false),vlookup($A98,Pagos!$B$5:$L1241,5,false),vlookup($A98,Pagos!$B$5:$L1241,4,false)))</f>
        <v>45870</v>
      </c>
      <c r="J98" s="198" t="s">
        <v>523</v>
      </c>
      <c r="K98" s="199">
        <v>44228.0</v>
      </c>
      <c r="L98" s="200"/>
      <c r="M98" s="201"/>
      <c r="N98" s="202"/>
      <c r="O98" s="202"/>
    </row>
    <row r="99">
      <c r="A99" s="192">
        <v>2333.0</v>
      </c>
      <c r="B99" s="193" t="s">
        <v>828</v>
      </c>
      <c r="C99" s="193" t="s">
        <v>537</v>
      </c>
      <c r="D99" s="193" t="s">
        <v>532</v>
      </c>
      <c r="E99" s="193" t="s">
        <v>829</v>
      </c>
      <c r="F99" s="195">
        <v>2.21316604E9</v>
      </c>
      <c r="G99" s="196"/>
      <c r="H99" s="193" t="s">
        <v>830</v>
      </c>
      <c r="I99" s="197"/>
      <c r="J99" s="198" t="s">
        <v>523</v>
      </c>
      <c r="K99" s="207">
        <v>45689.0</v>
      </c>
      <c r="L99" s="200"/>
      <c r="M99" s="201"/>
      <c r="N99" s="202"/>
      <c r="O99" s="202"/>
    </row>
    <row r="100">
      <c r="A100" s="192">
        <v>2341.0</v>
      </c>
      <c r="B100" s="193" t="s">
        <v>831</v>
      </c>
      <c r="C100" s="193" t="s">
        <v>537</v>
      </c>
      <c r="D100" s="193" t="s">
        <v>832</v>
      </c>
      <c r="E100" s="193" t="s">
        <v>833</v>
      </c>
      <c r="F100" s="195">
        <v>2.214957258E9</v>
      </c>
      <c r="G100" s="196"/>
      <c r="H100" s="193" t="s">
        <v>834</v>
      </c>
      <c r="I100" s="197"/>
      <c r="J100" s="198" t="s">
        <v>523</v>
      </c>
      <c r="K100" s="207">
        <v>45717.0</v>
      </c>
      <c r="L100" s="200"/>
      <c r="M100" s="201"/>
      <c r="N100" s="202"/>
      <c r="O100" s="202"/>
    </row>
    <row r="101">
      <c r="A101" s="192">
        <v>2029.0</v>
      </c>
      <c r="B101" s="193" t="s">
        <v>835</v>
      </c>
      <c r="C101" s="193" t="s">
        <v>537</v>
      </c>
      <c r="D101" s="193" t="s">
        <v>538</v>
      </c>
      <c r="E101" s="193" t="s">
        <v>836</v>
      </c>
      <c r="F101" s="195">
        <v>2.215437477E9</v>
      </c>
      <c r="G101" s="196"/>
      <c r="H101" s="193" t="s">
        <v>837</v>
      </c>
      <c r="I101" s="197"/>
      <c r="J101" s="198" t="s">
        <v>523</v>
      </c>
      <c r="K101" s="199">
        <v>44743.0</v>
      </c>
      <c r="L101" s="200"/>
      <c r="M101" s="201"/>
      <c r="N101" s="202"/>
      <c r="O101" s="202"/>
    </row>
    <row r="102">
      <c r="A102" s="192">
        <v>1541.0</v>
      </c>
      <c r="B102" s="193" t="s">
        <v>838</v>
      </c>
      <c r="C102" s="194" t="s">
        <v>526</v>
      </c>
      <c r="D102" s="193" t="s">
        <v>839</v>
      </c>
      <c r="E102" s="193" t="s">
        <v>840</v>
      </c>
      <c r="F102" s="195">
        <v>1.55115646E8</v>
      </c>
      <c r="G102" s="196">
        <v>0.0</v>
      </c>
      <c r="H102" s="193"/>
      <c r="I102" s="197" t="str">
        <f>IF(iserror(vlookup($A102,Pagos!$B$5:L1241,4,false)),"Sin actividad",If(vlookup($A102,Pagos!$B$5:$L1241,5,false),vlookup($A102,Pagos!$B$5:$L1241,5,false),vlookup($A102,Pagos!$B$5:$L1241,4,false)))</f>
        <v>Sin actividad</v>
      </c>
      <c r="J102" s="198" t="s">
        <v>529</v>
      </c>
      <c r="K102" s="199">
        <v>42017.0</v>
      </c>
      <c r="L102" s="200">
        <v>43374.0</v>
      </c>
      <c r="M102" s="201" t="s">
        <v>560</v>
      </c>
      <c r="N102" s="202">
        <f>If(L102&gt;K102,   datedif(K102,L102,"Y") , If(K102&lt;Vitalicios!$C$4, datedif(K102,Vitalicios!$C$4,"Y"),0)  )</f>
        <v>3</v>
      </c>
      <c r="O102" s="202"/>
    </row>
    <row r="103">
      <c r="A103" s="192">
        <v>1141.0</v>
      </c>
      <c r="B103" s="193" t="s">
        <v>841</v>
      </c>
      <c r="C103" s="194" t="s">
        <v>577</v>
      </c>
      <c r="D103" s="193" t="s">
        <v>556</v>
      </c>
      <c r="E103" s="193" t="s">
        <v>842</v>
      </c>
      <c r="F103" s="195">
        <v>0.0</v>
      </c>
      <c r="G103" s="196">
        <v>0.0</v>
      </c>
      <c r="H103" s="193" t="s">
        <v>843</v>
      </c>
      <c r="I103" s="197">
        <f>IF(iserror(vlookup($A103,Pagos!$B$5:L1241,4,false)),"Sin actividad",If(vlookup($A103,Pagos!$B$5:$L1241,5,false),vlookup($A103,Pagos!$B$5:$L1241,5,false),vlookup($A103,Pagos!$B$5:$L1241,4,false)))</f>
        <v>45870</v>
      </c>
      <c r="J103" s="198" t="s">
        <v>523</v>
      </c>
      <c r="K103" s="199">
        <v>39166.0</v>
      </c>
      <c r="L103" s="200"/>
      <c r="M103" s="201"/>
      <c r="N103" s="202">
        <f>If(L103&gt;K103,   datedif(K103,L103,"Y") , If(K103&lt;Vitalicios!$C$4, datedif(K103,Vitalicios!$C$4,"Y"),0)  )</f>
        <v>18</v>
      </c>
      <c r="O103" s="202"/>
    </row>
    <row r="104">
      <c r="A104" s="192">
        <v>504.0</v>
      </c>
      <c r="B104" s="193" t="s">
        <v>844</v>
      </c>
      <c r="C104" s="194" t="s">
        <v>577</v>
      </c>
      <c r="D104" s="193" t="s">
        <v>520</v>
      </c>
      <c r="E104" s="193" t="s">
        <v>845</v>
      </c>
      <c r="F104" s="195">
        <v>4643409.0</v>
      </c>
      <c r="G104" s="196">
        <v>0.0</v>
      </c>
      <c r="H104" s="193" t="s">
        <v>843</v>
      </c>
      <c r="I104" s="197">
        <f>IF(iserror(vlookup($A104,Pagos!$B$5:L1241,4,false)),"Sin actividad",If(vlookup($A104,Pagos!$B$5:$L1241,5,false),vlookup($A104,Pagos!$B$5:$L1241,5,false),vlookup($A104,Pagos!$B$5:$L1241,4,false)))</f>
        <v>45870</v>
      </c>
      <c r="J104" s="198" t="s">
        <v>846</v>
      </c>
      <c r="K104" s="199">
        <v>33181.0</v>
      </c>
      <c r="L104" s="200"/>
      <c r="M104" s="201"/>
      <c r="N104" s="202">
        <f>If(L104&gt;K104,   datedif(K104,L104,"Y") , If(K104&lt;Vitalicios!$C$4, datedif(K104,Vitalicios!$C$4,"Y"),0)  )</f>
        <v>34</v>
      </c>
      <c r="O104" s="202"/>
    </row>
    <row r="105">
      <c r="A105" s="192">
        <v>2331.0</v>
      </c>
      <c r="B105" s="193" t="s">
        <v>847</v>
      </c>
      <c r="C105" s="193" t="s">
        <v>537</v>
      </c>
      <c r="D105" s="193" t="s">
        <v>520</v>
      </c>
      <c r="E105" s="193" t="s">
        <v>848</v>
      </c>
      <c r="F105" s="195">
        <v>2.213593895E9</v>
      </c>
      <c r="G105" s="196"/>
      <c r="H105" s="193" t="s">
        <v>849</v>
      </c>
      <c r="I105" s="197"/>
      <c r="J105" s="198" t="s">
        <v>523</v>
      </c>
      <c r="K105" s="199">
        <v>45689.0</v>
      </c>
      <c r="L105" s="200"/>
      <c r="M105" s="201"/>
      <c r="N105" s="202"/>
      <c r="O105" s="202"/>
    </row>
    <row r="106">
      <c r="A106" s="192">
        <v>1306.0</v>
      </c>
      <c r="B106" s="193" t="s">
        <v>850</v>
      </c>
      <c r="C106" s="194" t="s">
        <v>526</v>
      </c>
      <c r="D106" s="193" t="s">
        <v>556</v>
      </c>
      <c r="E106" s="193" t="s">
        <v>851</v>
      </c>
      <c r="F106" s="195">
        <v>4847126.0</v>
      </c>
      <c r="G106" s="196">
        <v>0.0</v>
      </c>
      <c r="H106" s="193"/>
      <c r="I106" s="197" t="str">
        <f>IF(iserror(vlookup($A106,Pagos!$B$5:L1241,4,false)),"Sin actividad",If(vlookup($A106,Pagos!$B$5:$L1241,5,false),vlookup($A106,Pagos!$B$5:$L1241,5,false),vlookup($A106,Pagos!$B$5:$L1241,4,false)))</f>
        <v>Sin actividad</v>
      </c>
      <c r="J106" s="198" t="s">
        <v>529</v>
      </c>
      <c r="K106" s="199">
        <v>40411.0</v>
      </c>
      <c r="L106" s="200"/>
      <c r="M106" s="201" t="s">
        <v>852</v>
      </c>
      <c r="N106" s="202">
        <f>If(L106&gt;K106,   datedif(K106,L106,"Y") , If(K106&lt;Vitalicios!$C$4, datedif(K106,Vitalicios!$C$4,"Y"),0)  )</f>
        <v>15</v>
      </c>
      <c r="O106" s="202"/>
    </row>
    <row r="107">
      <c r="A107" s="192">
        <v>2033.0</v>
      </c>
      <c r="B107" s="193" t="s">
        <v>853</v>
      </c>
      <c r="C107" s="193" t="s">
        <v>537</v>
      </c>
      <c r="D107" s="193" t="s">
        <v>538</v>
      </c>
      <c r="E107" s="193" t="s">
        <v>854</v>
      </c>
      <c r="F107" s="195">
        <v>2.214953791E9</v>
      </c>
      <c r="G107" s="196"/>
      <c r="H107" s="205" t="s">
        <v>855</v>
      </c>
      <c r="I107" s="197"/>
      <c r="J107" s="198" t="s">
        <v>523</v>
      </c>
      <c r="K107" s="199">
        <v>44743.0</v>
      </c>
      <c r="L107" s="200"/>
      <c r="M107" s="201"/>
      <c r="N107" s="202"/>
      <c r="O107" s="202"/>
    </row>
    <row r="108">
      <c r="A108" s="192">
        <v>2069.0</v>
      </c>
      <c r="B108" s="193" t="s">
        <v>856</v>
      </c>
      <c r="C108" s="193" t="s">
        <v>537</v>
      </c>
      <c r="D108" s="193" t="s">
        <v>628</v>
      </c>
      <c r="E108" s="193"/>
      <c r="F108" s="195"/>
      <c r="G108" s="196"/>
      <c r="H108" s="205"/>
      <c r="I108" s="197"/>
      <c r="J108" s="198" t="s">
        <v>529</v>
      </c>
      <c r="K108" s="199">
        <v>44805.0</v>
      </c>
      <c r="L108" s="200">
        <v>45047.0</v>
      </c>
      <c r="M108" s="201" t="s">
        <v>857</v>
      </c>
      <c r="N108" s="202"/>
      <c r="O108" s="202"/>
    </row>
    <row r="109">
      <c r="A109" s="192">
        <v>2176.0</v>
      </c>
      <c r="B109" s="193" t="s">
        <v>858</v>
      </c>
      <c r="C109" s="194" t="s">
        <v>519</v>
      </c>
      <c r="D109" s="193" t="s">
        <v>527</v>
      </c>
      <c r="E109" s="193" t="s">
        <v>859</v>
      </c>
      <c r="F109" s="195">
        <v>2.216100826E9</v>
      </c>
      <c r="G109" s="196"/>
      <c r="H109" s="205" t="s">
        <v>860</v>
      </c>
      <c r="I109" s="197">
        <f>IF(iserror(vlookup($A109,Pagos!$B$5:L1241,4,false)),"Sin actividad",If(vlookup($A109,Pagos!$B$5:$L1241,5,false),vlookup($A109,Pagos!$B$5:$L1241,5,false),vlookup($A109,Pagos!$B$5:$L1241,4,false)))</f>
        <v>45839</v>
      </c>
      <c r="J109" s="198" t="s">
        <v>523</v>
      </c>
      <c r="K109" s="199">
        <v>45078.0</v>
      </c>
      <c r="L109" s="200"/>
      <c r="M109" s="201" t="s">
        <v>861</v>
      </c>
      <c r="N109" s="202">
        <f>If(L109&gt;K109,   datedif(K109,L109,"Y") , If(K109&lt;Vitalicios!$C$4, datedif(K109,Vitalicios!$C$4,"Y"),0)  )</f>
        <v>2</v>
      </c>
      <c r="O109" s="202"/>
    </row>
    <row r="110">
      <c r="A110" s="192">
        <v>1333.0</v>
      </c>
      <c r="B110" s="193" t="s">
        <v>862</v>
      </c>
      <c r="C110" s="194" t="s">
        <v>577</v>
      </c>
      <c r="D110" s="193" t="s">
        <v>556</v>
      </c>
      <c r="E110" s="193" t="s">
        <v>863</v>
      </c>
      <c r="F110" s="195">
        <v>4718837.0</v>
      </c>
      <c r="G110" s="196">
        <v>0.0</v>
      </c>
      <c r="H110" s="193"/>
      <c r="I110" s="197" t="str">
        <f>IF(iserror(vlookup($A110,Pagos!$B$5:L1241,4,false)),"Sin actividad",If(vlookup($A110,Pagos!$B$5:$L1241,5,false),vlookup($A110,Pagos!$B$5:$L1241,5,false),vlookup($A110,Pagos!$B$5:$L1241,4,false)))</f>
        <v>Sin actividad</v>
      </c>
      <c r="J110" s="198" t="s">
        <v>529</v>
      </c>
      <c r="K110" s="199">
        <v>40517.0</v>
      </c>
      <c r="L110" s="200">
        <v>43374.0</v>
      </c>
      <c r="M110" s="201" t="s">
        <v>560</v>
      </c>
      <c r="N110" s="202">
        <f>If(L110&gt;K110,   datedif(K110,L110,"Y") , If(K110&lt;Vitalicios!$C$4, datedif(K110,Vitalicios!$C$4,"Y"),0)  )</f>
        <v>7</v>
      </c>
      <c r="O110" s="202"/>
    </row>
    <row r="111">
      <c r="A111" s="192">
        <v>2356.0</v>
      </c>
      <c r="B111" s="193" t="s">
        <v>864</v>
      </c>
      <c r="C111" s="193" t="s">
        <v>537</v>
      </c>
      <c r="D111" s="193" t="s">
        <v>485</v>
      </c>
      <c r="E111" s="193" t="s">
        <v>865</v>
      </c>
      <c r="F111" s="195">
        <v>4814577.0</v>
      </c>
      <c r="G111" s="196"/>
      <c r="H111" s="193" t="s">
        <v>866</v>
      </c>
      <c r="I111" s="197"/>
      <c r="J111" s="198" t="s">
        <v>523</v>
      </c>
      <c r="K111" s="199">
        <v>45748.0</v>
      </c>
      <c r="L111" s="200"/>
      <c r="M111" s="201"/>
      <c r="N111" s="202"/>
      <c r="O111" s="202"/>
    </row>
    <row r="112">
      <c r="A112" s="192">
        <v>1483.0</v>
      </c>
      <c r="B112" s="193" t="s">
        <v>867</v>
      </c>
      <c r="C112" s="194" t="s">
        <v>526</v>
      </c>
      <c r="D112" s="193" t="s">
        <v>556</v>
      </c>
      <c r="E112" s="193" t="s">
        <v>868</v>
      </c>
      <c r="F112" s="195" t="s">
        <v>869</v>
      </c>
      <c r="G112" s="196">
        <v>0.0</v>
      </c>
      <c r="H112" s="193"/>
      <c r="I112" s="197" t="str">
        <f>IF(iserror(vlookup($A112,Pagos!$B$5:L1241,4,false)),"Sin actividad",If(vlookup($A112,Pagos!$B$5:$L1241,5,false),vlookup($A112,Pagos!$B$5:$L1241,5,false),vlookup($A112,Pagos!$B$5:$L1241,4,false)))</f>
        <v>Sin actividad</v>
      </c>
      <c r="J112" s="198" t="s">
        <v>529</v>
      </c>
      <c r="K112" s="199">
        <v>41615.0</v>
      </c>
      <c r="L112" s="200">
        <v>43374.0</v>
      </c>
      <c r="M112" s="201" t="s">
        <v>560</v>
      </c>
      <c r="N112" s="202">
        <f>If(L112&gt;K112,   datedif(K112,L112,"Y") , If(K112&lt;Vitalicios!$C$4, datedif(K112,Vitalicios!$C$4,"Y"),0)  )</f>
        <v>4</v>
      </c>
      <c r="O112" s="202"/>
    </row>
    <row r="113">
      <c r="A113" s="192">
        <v>2116.0</v>
      </c>
      <c r="B113" s="193" t="s">
        <v>870</v>
      </c>
      <c r="C113" s="193" t="s">
        <v>537</v>
      </c>
      <c r="D113" s="193" t="s">
        <v>538</v>
      </c>
      <c r="E113" s="193" t="s">
        <v>871</v>
      </c>
      <c r="F113" s="195">
        <v>1.161063331E9</v>
      </c>
      <c r="G113" s="196"/>
      <c r="H113" s="193" t="s">
        <v>872</v>
      </c>
      <c r="I113" s="197"/>
      <c r="J113" s="198" t="s">
        <v>523</v>
      </c>
      <c r="K113" s="199">
        <v>44927.0</v>
      </c>
      <c r="L113" s="200"/>
      <c r="M113" s="201"/>
      <c r="N113" s="202"/>
      <c r="O113" s="202"/>
    </row>
    <row r="114">
      <c r="A114" s="192">
        <v>1695.0</v>
      </c>
      <c r="B114" s="193" t="s">
        <v>873</v>
      </c>
      <c r="C114" s="194" t="s">
        <v>519</v>
      </c>
      <c r="D114" s="193" t="s">
        <v>520</v>
      </c>
      <c r="E114" s="193" t="s">
        <v>874</v>
      </c>
      <c r="F114" s="195">
        <v>1.136903661E9</v>
      </c>
      <c r="G114" s="196"/>
      <c r="H114" s="193" t="s">
        <v>875</v>
      </c>
      <c r="I114" s="197" t="str">
        <f>IF(iserror(vlookup($A114,Pagos!$B$5:L1241,4,false)),"Sin actividad",If(vlookup($A114,Pagos!$B$5:$L1241,5,false),vlookup($A114,Pagos!$B$5:$L1241,5,false),vlookup($A114,Pagos!$B$5:$L1241,4,false)))</f>
        <v>Sin actividad</v>
      </c>
      <c r="J114" s="198" t="s">
        <v>529</v>
      </c>
      <c r="K114" s="199">
        <v>43191.0</v>
      </c>
      <c r="L114" s="200">
        <v>43525.0</v>
      </c>
      <c r="M114" s="201"/>
      <c r="N114" s="202">
        <f>If(L114&gt;K114,   datedif(K114,L114,"Y") , If(K114&lt;Vitalicios!$C$4, datedif(K114,Vitalicios!$C$4,"Y"),0)  )</f>
        <v>0</v>
      </c>
      <c r="O114" s="202"/>
    </row>
    <row r="115">
      <c r="A115" s="192">
        <v>2232.0</v>
      </c>
      <c r="B115" s="193" t="s">
        <v>876</v>
      </c>
      <c r="C115" s="194" t="s">
        <v>526</v>
      </c>
      <c r="D115" s="193" t="s">
        <v>48</v>
      </c>
      <c r="E115" s="193" t="s">
        <v>877</v>
      </c>
      <c r="F115" s="195">
        <v>4223051.0</v>
      </c>
      <c r="G115" s="196">
        <v>1.55758177E8</v>
      </c>
      <c r="H115" s="193" t="s">
        <v>878</v>
      </c>
      <c r="I115" s="197" t="str">
        <f>IF(iserror(vlookup($A115,Pagos!$B$5:L1241,4,false)),"Sin actividad",If(vlookup($A115,Pagos!$B$5:$L1241,5,false),vlookup($A115,Pagos!$B$5:$L1241,5,false),vlookup($A115,Pagos!$B$5:$L1241,4,false)))</f>
        <v>Sin actividad</v>
      </c>
      <c r="J115" s="198" t="s">
        <v>529</v>
      </c>
      <c r="K115" s="199">
        <v>41882.0</v>
      </c>
      <c r="L115" s="200">
        <v>45474.0</v>
      </c>
      <c r="M115" s="201"/>
      <c r="N115" s="202">
        <f>If(L115&gt;K115,   datedif(K115,L115,"Y") , If(K115&lt;Vitalicios!$C$4, datedif(K115,Vitalicios!$C$4,"Y"),0)  )</f>
        <v>9</v>
      </c>
      <c r="O115" s="202"/>
    </row>
    <row r="116">
      <c r="A116" s="192">
        <v>666.0</v>
      </c>
      <c r="B116" s="193" t="s">
        <v>879</v>
      </c>
      <c r="C116" s="194" t="s">
        <v>526</v>
      </c>
      <c r="D116" s="193" t="s">
        <v>520</v>
      </c>
      <c r="E116" s="193" t="s">
        <v>880</v>
      </c>
      <c r="F116" s="195">
        <v>0.0</v>
      </c>
      <c r="G116" s="196">
        <v>0.0</v>
      </c>
      <c r="H116" s="208" t="s">
        <v>881</v>
      </c>
      <c r="I116" s="197" t="str">
        <f>IF(iserror(vlookup($A116,Pagos!$B$5:L1241,4,false)),"Sin actividad",If(vlookup($A116,Pagos!$B$5:$L1241,5,false),vlookup($A116,Pagos!$B$5:$L1241,5,false),vlookup($A116,Pagos!$B$5:$L1241,4,false)))</f>
        <v>Sin actividad</v>
      </c>
      <c r="J116" s="198" t="s">
        <v>529</v>
      </c>
      <c r="K116" s="199">
        <v>34753.0</v>
      </c>
      <c r="L116" s="200">
        <v>43282.0</v>
      </c>
      <c r="M116" s="201"/>
      <c r="N116" s="202">
        <f>If(L116&gt;K116,   datedif(K116,L116,"Y") , If(K116&lt;Vitalicios!$C$4, datedif(K116,Vitalicios!$C$4,"Y"),0)  )</f>
        <v>23</v>
      </c>
      <c r="O116" s="202"/>
    </row>
    <row r="117">
      <c r="A117" s="192">
        <v>1609.0</v>
      </c>
      <c r="B117" s="193" t="s">
        <v>882</v>
      </c>
      <c r="C117" s="194" t="s">
        <v>526</v>
      </c>
      <c r="D117" s="193" t="s">
        <v>709</v>
      </c>
      <c r="E117" s="193" t="s">
        <v>883</v>
      </c>
      <c r="F117" s="195" t="s">
        <v>884</v>
      </c>
      <c r="G117" s="196">
        <v>1.55245466E8</v>
      </c>
      <c r="H117" s="193" t="s">
        <v>885</v>
      </c>
      <c r="I117" s="197" t="str">
        <f>IF(iserror(vlookup($A117,Pagos!$B$5:L1241,4,false)),"Sin actividad",If(vlookup($A117,Pagos!$B$5:$L1241,5,false),vlookup($A117,Pagos!$B$5:$L1241,5,false),vlookup($A117,Pagos!$B$5:$L1241,4,false)))</f>
        <v>Sin actividad</v>
      </c>
      <c r="J117" s="198" t="s">
        <v>529</v>
      </c>
      <c r="K117" s="199">
        <v>42614.0</v>
      </c>
      <c r="L117" s="200">
        <v>44927.0</v>
      </c>
      <c r="M117" s="201" t="s">
        <v>614</v>
      </c>
      <c r="N117" s="202">
        <f>If(L117&gt;K117,   datedif(K117,L117,"Y") , If(K117&lt;Vitalicios!$C$4, datedif(K117,Vitalicios!$C$4,"Y"),0)  )</f>
        <v>6</v>
      </c>
      <c r="O117" s="202"/>
    </row>
    <row r="118">
      <c r="A118" s="192">
        <v>1684.0</v>
      </c>
      <c r="B118" s="193" t="s">
        <v>886</v>
      </c>
      <c r="C118" s="194" t="s">
        <v>519</v>
      </c>
      <c r="D118" s="193" t="s">
        <v>520</v>
      </c>
      <c r="E118" s="193" t="s">
        <v>887</v>
      </c>
      <c r="F118" s="195">
        <v>1.5504338E8</v>
      </c>
      <c r="G118" s="196"/>
      <c r="H118" s="193"/>
      <c r="I118" s="197">
        <f>IF(iserror(vlookup($A118,Pagos!$B$5:L1241,4,false)),"Sin actividad",If(vlookup($A118,Pagos!$B$5:$L1241,5,false),vlookup($A118,Pagos!$B$5:$L1241,5,false),vlookup($A118,Pagos!$B$5:$L1241,4,false)))</f>
        <v>45870</v>
      </c>
      <c r="J118" s="198" t="s">
        <v>523</v>
      </c>
      <c r="K118" s="199">
        <v>43101.0</v>
      </c>
      <c r="L118" s="200"/>
      <c r="M118" s="201"/>
      <c r="N118" s="202">
        <f>If(L118&gt;K118,   datedif(K118,L118,"Y") , If(K118&lt;Vitalicios!$C$4, datedif(K118,Vitalicios!$C$4,"Y"),0)  )</f>
        <v>7</v>
      </c>
      <c r="O118" s="202"/>
    </row>
    <row r="119">
      <c r="A119" s="192">
        <v>2086.0</v>
      </c>
      <c r="B119" s="193" t="s">
        <v>888</v>
      </c>
      <c r="C119" s="193" t="s">
        <v>537</v>
      </c>
      <c r="D119" s="193" t="s">
        <v>538</v>
      </c>
      <c r="E119" s="193" t="s">
        <v>889</v>
      </c>
      <c r="F119" s="195">
        <v>2.215556061E9</v>
      </c>
      <c r="G119" s="196"/>
      <c r="H119" s="193" t="s">
        <v>890</v>
      </c>
      <c r="I119" s="197"/>
      <c r="J119" s="198" t="s">
        <v>523</v>
      </c>
      <c r="K119" s="199">
        <v>44866.0</v>
      </c>
      <c r="L119" s="200"/>
      <c r="M119" s="201"/>
      <c r="N119" s="202"/>
      <c r="O119" s="202"/>
    </row>
    <row r="120">
      <c r="A120" s="192">
        <v>1244.0</v>
      </c>
      <c r="B120" s="193" t="s">
        <v>891</v>
      </c>
      <c r="C120" s="194" t="s">
        <v>526</v>
      </c>
      <c r="D120" s="193" t="s">
        <v>520</v>
      </c>
      <c r="E120" s="193" t="s">
        <v>892</v>
      </c>
      <c r="F120" s="195">
        <v>1.148221503E9</v>
      </c>
      <c r="G120" s="196">
        <v>0.0</v>
      </c>
      <c r="H120" s="193" t="s">
        <v>893</v>
      </c>
      <c r="I120" s="197" t="str">
        <f>IF(iserror(vlookup($A120,Pagos!$B$5:L1241,4,false)),"Sin actividad",If(vlookup($A120,Pagos!$B$5:$L1241,5,false),vlookup($A120,Pagos!$B$5:$L1241,5,false),vlookup($A120,Pagos!$B$5:$L1241,4,false)))</f>
        <v>Sin actividad</v>
      </c>
      <c r="J120" s="198" t="s">
        <v>529</v>
      </c>
      <c r="K120" s="199">
        <v>40111.0</v>
      </c>
      <c r="L120" s="200">
        <v>42583.0</v>
      </c>
      <c r="M120" s="201" t="s">
        <v>894</v>
      </c>
      <c r="N120" s="202">
        <f>If(L120&gt;K120,   datedif(K120,L120,"Y") , If(K120&lt;Vitalicios!$C$4, datedif(K120,Vitalicios!$C$4,"Y"),0)  )</f>
        <v>6</v>
      </c>
      <c r="O120" s="202"/>
    </row>
    <row r="121">
      <c r="A121" s="192">
        <v>1875.0</v>
      </c>
      <c r="B121" s="193" t="s">
        <v>895</v>
      </c>
      <c r="C121" s="194"/>
      <c r="D121" s="193"/>
      <c r="E121" s="193"/>
      <c r="F121" s="195">
        <v>2.215930556E9</v>
      </c>
      <c r="G121" s="196"/>
      <c r="H121" s="193" t="s">
        <v>896</v>
      </c>
      <c r="I121" s="197" t="str">
        <f>IF(iserror(vlookup($A121,Pagos!$B$5:L1241,4,false)),"Sin actividad",If(vlookup($A121,Pagos!$B$5:$L1241,5,false),vlookup($A121,Pagos!$B$5:$L1241,5,false),vlookup($A121,Pagos!$B$5:$L1241,4,false)))</f>
        <v>Sin actividad</v>
      </c>
      <c r="J121" s="198" t="s">
        <v>529</v>
      </c>
      <c r="K121" s="199">
        <v>44166.0</v>
      </c>
      <c r="L121" s="203">
        <v>44501.0</v>
      </c>
      <c r="M121" s="201" t="s">
        <v>897</v>
      </c>
      <c r="N121" s="202"/>
      <c r="O121" s="202"/>
    </row>
    <row r="122">
      <c r="A122" s="192">
        <v>598.0</v>
      </c>
      <c r="B122" s="193" t="s">
        <v>898</v>
      </c>
      <c r="C122" s="194" t="s">
        <v>564</v>
      </c>
      <c r="D122" s="193" t="s">
        <v>556</v>
      </c>
      <c r="E122" s="193">
        <v>0.0</v>
      </c>
      <c r="F122" s="195">
        <v>0.0</v>
      </c>
      <c r="G122" s="196">
        <v>0.0</v>
      </c>
      <c r="H122" s="193"/>
      <c r="I122" s="197" t="str">
        <f>IF(iserror(vlookup($A122,Pagos!$B$5:L1241,4,false)),"Sin actividad",If(vlookup($A122,Pagos!$B$5:$L1241,5,false),vlookup($A122,Pagos!$B$5:$L1241,5,false),vlookup($A122,Pagos!$B$5:$L1241,4,false)))</f>
        <v>Sin actividad</v>
      </c>
      <c r="J122" s="198" t="s">
        <v>529</v>
      </c>
      <c r="K122" s="199">
        <v>34028.0</v>
      </c>
      <c r="L122" s="200"/>
      <c r="M122" s="201"/>
      <c r="N122" s="202">
        <f>If(L122&gt;K122,   datedif(K122,L122,"Y") , If(K122&lt;Vitalicios!$C$4, datedif(K122,Vitalicios!$C$4,"Y"),0)  )</f>
        <v>32</v>
      </c>
      <c r="O122" s="202"/>
    </row>
    <row r="123">
      <c r="A123" s="192">
        <v>1723.0</v>
      </c>
      <c r="B123" s="193" t="s">
        <v>899</v>
      </c>
      <c r="C123" s="194" t="s">
        <v>519</v>
      </c>
      <c r="D123" s="193" t="s">
        <v>527</v>
      </c>
      <c r="E123" s="193" t="s">
        <v>900</v>
      </c>
      <c r="F123" s="195">
        <v>1.55243553E8</v>
      </c>
      <c r="G123" s="196"/>
      <c r="H123" s="193" t="s">
        <v>901</v>
      </c>
      <c r="I123" s="197" t="str">
        <f>IF(iserror(vlookup($A123,Pagos!$B$5:L1241,4,false)),"Sin actividad",If(vlookup($A123,Pagos!$B$5:$L1241,5,false),vlookup($A123,Pagos!$B$5:$L1241,5,false),vlookup($A123,Pagos!$B$5:$L1241,4,false)))</f>
        <v>Sin actividad</v>
      </c>
      <c r="J123" s="198" t="s">
        <v>529</v>
      </c>
      <c r="K123" s="199">
        <v>43435.0</v>
      </c>
      <c r="L123" s="200"/>
      <c r="M123" s="201"/>
      <c r="N123" s="202">
        <f>If(L123&gt;K123,   datedif(K123,L123,"Y") , If(K123&lt;Vitalicios!$C$4, datedif(K123,Vitalicios!$C$4,"Y"),0)  )</f>
        <v>6</v>
      </c>
      <c r="O123" s="202"/>
    </row>
    <row r="124">
      <c r="A124" s="192">
        <v>2016.0</v>
      </c>
      <c r="B124" s="193" t="s">
        <v>902</v>
      </c>
      <c r="C124" s="193" t="s">
        <v>537</v>
      </c>
      <c r="D124" s="193" t="s">
        <v>538</v>
      </c>
      <c r="E124" s="193" t="s">
        <v>903</v>
      </c>
      <c r="F124" s="195">
        <v>2.213629598E9</v>
      </c>
      <c r="G124" s="196"/>
      <c r="H124" s="193" t="s">
        <v>904</v>
      </c>
      <c r="I124" s="197">
        <f>IF(iserror(vlookup($A124,Pagos!$B$5:L1241,4,false)),"Sin actividad",If(vlookup($A124,Pagos!$B$5:$L1241,5,false),vlookup($A124,Pagos!$B$5:$L1241,5,false),vlookup($A124,Pagos!$B$5:$L1241,4,false)))</f>
        <v>45870</v>
      </c>
      <c r="J124" s="198" t="s">
        <v>523</v>
      </c>
      <c r="K124" s="199">
        <v>44652.0</v>
      </c>
      <c r="L124" s="200"/>
      <c r="M124" s="201"/>
      <c r="N124" s="202"/>
      <c r="O124" s="202"/>
    </row>
    <row r="125">
      <c r="A125" s="192">
        <v>1246.0</v>
      </c>
      <c r="B125" s="193" t="s">
        <v>905</v>
      </c>
      <c r="C125" s="194" t="s">
        <v>526</v>
      </c>
      <c r="D125" s="193" t="s">
        <v>520</v>
      </c>
      <c r="E125" s="193" t="s">
        <v>906</v>
      </c>
      <c r="F125" s="195">
        <v>1.55421473E8</v>
      </c>
      <c r="G125" s="196">
        <v>0.0</v>
      </c>
      <c r="H125" s="193"/>
      <c r="I125" s="197" t="str">
        <f>IF(iserror(vlookup($A125,Pagos!$B$5:L1241,4,false)),"Sin actividad",If(vlookup($A125,Pagos!$B$5:$L1241,5,false),vlookup($A125,Pagos!$B$5:$L1241,5,false),vlookup($A125,Pagos!$B$5:$L1241,4,false)))</f>
        <v>Sin actividad</v>
      </c>
      <c r="J125" s="198" t="s">
        <v>529</v>
      </c>
      <c r="K125" s="199">
        <v>40124.0</v>
      </c>
      <c r="L125" s="200">
        <v>42005.0</v>
      </c>
      <c r="M125" s="201" t="s">
        <v>907</v>
      </c>
      <c r="N125" s="202">
        <f>If(L125&gt;K125,   datedif(K125,L125,"Y") , If(K125&lt;Vitalicios!$C$4, datedif(K125,Vitalicios!$C$4,"Y"),0)  )</f>
        <v>5</v>
      </c>
      <c r="O125" s="202"/>
    </row>
    <row r="126">
      <c r="A126" s="192">
        <v>1127.0</v>
      </c>
      <c r="B126" s="193" t="s">
        <v>908</v>
      </c>
      <c r="C126" s="194" t="s">
        <v>564</v>
      </c>
      <c r="D126" s="193" t="s">
        <v>556</v>
      </c>
      <c r="E126" s="193">
        <v>0.0</v>
      </c>
      <c r="F126" s="195">
        <v>0.0</v>
      </c>
      <c r="G126" s="196">
        <v>0.0</v>
      </c>
      <c r="H126" s="193"/>
      <c r="I126" s="197" t="str">
        <f>IF(iserror(vlookup($A126,Pagos!$B$5:L1241,4,false)),"Sin actividad",If(vlookup($A126,Pagos!$B$5:$L1241,5,false),vlookup($A126,Pagos!$B$5:$L1241,5,false),vlookup($A126,Pagos!$B$5:$L1241,4,false)))</f>
        <v>Sin actividad</v>
      </c>
      <c r="J126" s="198" t="s">
        <v>529</v>
      </c>
      <c r="K126" s="199">
        <v>39040.0</v>
      </c>
      <c r="L126" s="200"/>
      <c r="M126" s="201"/>
      <c r="N126" s="202">
        <f>If(L126&gt;K126,   datedif(K126,L126,"Y") , If(K126&lt;Vitalicios!$C$4, datedif(K126,Vitalicios!$C$4,"Y"),0)  )</f>
        <v>18</v>
      </c>
      <c r="O126" s="202"/>
    </row>
    <row r="127">
      <c r="A127" s="192">
        <v>1996.0</v>
      </c>
      <c r="B127" s="193" t="s">
        <v>909</v>
      </c>
      <c r="C127" s="193" t="s">
        <v>537</v>
      </c>
      <c r="D127" s="193" t="s">
        <v>549</v>
      </c>
      <c r="E127" s="193" t="s">
        <v>910</v>
      </c>
      <c r="F127" s="195">
        <v>1.127589314E9</v>
      </c>
      <c r="G127" s="196"/>
      <c r="H127" s="193" t="s">
        <v>911</v>
      </c>
      <c r="I127" s="197">
        <f>IF(iserror(vlookup($A127,Pagos!$B$5:L1241,4,false)),"Sin actividad",If(vlookup($A127,Pagos!$B$5:$L1241,5,false),vlookup($A127,Pagos!$B$5:$L1241,5,false),vlookup($A127,Pagos!$B$5:$L1241,4,false)))</f>
        <v>45748</v>
      </c>
      <c r="J127" s="198" t="s">
        <v>523</v>
      </c>
      <c r="K127" s="199">
        <v>44562.0</v>
      </c>
      <c r="L127" s="200"/>
      <c r="M127" s="201"/>
      <c r="N127" s="202"/>
      <c r="O127" s="202"/>
    </row>
    <row r="128">
      <c r="A128" s="192">
        <v>2156.0</v>
      </c>
      <c r="B128" s="193" t="s">
        <v>912</v>
      </c>
      <c r="C128" s="193" t="s">
        <v>537</v>
      </c>
      <c r="D128" s="193" t="s">
        <v>485</v>
      </c>
      <c r="E128" s="193" t="s">
        <v>913</v>
      </c>
      <c r="F128" s="195">
        <v>2.216195551E9</v>
      </c>
      <c r="G128" s="196"/>
      <c r="H128" s="193" t="s">
        <v>914</v>
      </c>
      <c r="I128" s="197"/>
      <c r="J128" s="198" t="s">
        <v>529</v>
      </c>
      <c r="K128" s="199">
        <v>44986.0</v>
      </c>
      <c r="L128" s="200">
        <v>45413.0</v>
      </c>
      <c r="M128" s="201" t="s">
        <v>915</v>
      </c>
      <c r="N128" s="202"/>
      <c r="O128" s="202"/>
    </row>
    <row r="129">
      <c r="A129" s="192">
        <v>1259.0</v>
      </c>
      <c r="B129" s="193" t="s">
        <v>916</v>
      </c>
      <c r="C129" s="194" t="s">
        <v>526</v>
      </c>
      <c r="D129" s="193" t="s">
        <v>527</v>
      </c>
      <c r="E129" s="193" t="s">
        <v>917</v>
      </c>
      <c r="F129" s="195">
        <v>0.0</v>
      </c>
      <c r="G129" s="196">
        <v>0.0</v>
      </c>
      <c r="H129" s="193"/>
      <c r="I129" s="197" t="str">
        <f>IF(iserror(vlookup($A129,Pagos!$B$5:L1241,4,false)),"Sin actividad",If(vlookup($A129,Pagos!$B$5:$L1241,5,false),vlookup($A129,Pagos!$B$5:$L1241,5,false),vlookup($A129,Pagos!$B$5:$L1241,4,false)))</f>
        <v>Sin actividad</v>
      </c>
      <c r="J129" s="198" t="s">
        <v>529</v>
      </c>
      <c r="K129" s="199">
        <v>40155.0</v>
      </c>
      <c r="L129" s="200">
        <v>43252.0</v>
      </c>
      <c r="M129" s="201"/>
      <c r="N129" s="202">
        <f>If(L129&gt;K129,   datedif(K129,L129,"Y") , If(K129&lt;Vitalicios!$C$4, datedif(K129,Vitalicios!$C$4,"Y"),0)  )</f>
        <v>8</v>
      </c>
      <c r="O129" s="202"/>
    </row>
    <row r="130">
      <c r="A130" s="192">
        <v>1565.0</v>
      </c>
      <c r="B130" s="193" t="s">
        <v>918</v>
      </c>
      <c r="C130" s="194" t="s">
        <v>526</v>
      </c>
      <c r="D130" s="193" t="s">
        <v>693</v>
      </c>
      <c r="E130" s="193" t="s">
        <v>919</v>
      </c>
      <c r="F130" s="195" t="s">
        <v>920</v>
      </c>
      <c r="G130" s="196"/>
      <c r="H130" s="193" t="s">
        <v>921</v>
      </c>
      <c r="I130" s="197">
        <f>IF(iserror(vlookup($A130,Pagos!$B$5:L1241,4,false)),"Sin actividad",If(vlookup($A130,Pagos!$B$5:$L1241,5,false),vlookup($A130,Pagos!$B$5:$L1241,5,false),vlookup($A130,Pagos!$B$5:$L1241,4,false)))</f>
        <v>45870</v>
      </c>
      <c r="J130" s="198" t="s">
        <v>523</v>
      </c>
      <c r="K130" s="199">
        <v>42218.0</v>
      </c>
      <c r="L130" s="200"/>
      <c r="M130" s="201"/>
      <c r="N130" s="202">
        <f>If(L130&gt;K130,   datedif(K130,L130,"Y") , If(K130&lt;Vitalicios!$C$4, datedif(K130,Vitalicios!$C$4,"Y"),0)  )</f>
        <v>10</v>
      </c>
      <c r="O130" s="202"/>
    </row>
    <row r="131">
      <c r="A131" s="192">
        <v>2177.0</v>
      </c>
      <c r="B131" s="193" t="s">
        <v>922</v>
      </c>
      <c r="C131" s="193" t="s">
        <v>537</v>
      </c>
      <c r="D131" s="193" t="s">
        <v>628</v>
      </c>
      <c r="E131" s="193" t="s">
        <v>923</v>
      </c>
      <c r="F131" s="195">
        <v>2.215922937E9</v>
      </c>
      <c r="G131" s="196"/>
      <c r="H131" s="193" t="s">
        <v>924</v>
      </c>
      <c r="I131" s="197"/>
      <c r="J131" s="198" t="s">
        <v>523</v>
      </c>
      <c r="K131" s="199">
        <v>45108.0</v>
      </c>
      <c r="L131" s="200"/>
      <c r="M131" s="201"/>
      <c r="N131" s="202"/>
      <c r="O131" s="202"/>
    </row>
    <row r="132">
      <c r="A132" s="192">
        <v>1882.0</v>
      </c>
      <c r="B132" s="193" t="s">
        <v>925</v>
      </c>
      <c r="C132" s="193" t="s">
        <v>537</v>
      </c>
      <c r="D132" s="193" t="s">
        <v>538</v>
      </c>
      <c r="E132" s="193" t="s">
        <v>926</v>
      </c>
      <c r="F132" s="195">
        <v>1.161963607E9</v>
      </c>
      <c r="G132" s="196"/>
      <c r="H132" s="193" t="s">
        <v>927</v>
      </c>
      <c r="I132" s="197" t="str">
        <f>IF(iserror(vlookup($A132,Pagos!$B$5:L1241,4,false)),"Sin actividad",If(vlookup($A132,Pagos!$B$5:$L1241,5,false),vlookup($A132,Pagos!$B$5:$L1241,5,false),vlookup($A132,Pagos!$B$5:$L1241,4,false)))</f>
        <v>Sin actividad</v>
      </c>
      <c r="J132" s="198" t="s">
        <v>529</v>
      </c>
      <c r="K132" s="199">
        <v>44228.0</v>
      </c>
      <c r="L132" s="200">
        <v>45200.0</v>
      </c>
      <c r="M132" s="201" t="s">
        <v>535</v>
      </c>
      <c r="N132" s="202"/>
      <c r="O132" s="202"/>
    </row>
    <row r="133">
      <c r="A133" s="192">
        <v>1460.0</v>
      </c>
      <c r="B133" s="193" t="s">
        <v>928</v>
      </c>
      <c r="C133" s="194" t="s">
        <v>526</v>
      </c>
      <c r="D133" s="193" t="s">
        <v>527</v>
      </c>
      <c r="E133" s="193" t="s">
        <v>929</v>
      </c>
      <c r="F133" s="195">
        <v>4824604.0</v>
      </c>
      <c r="G133" s="196"/>
      <c r="H133" s="193"/>
      <c r="I133" s="197">
        <f>IF(iserror(vlookup($A133,Pagos!$B$5:L1241,4,false)),"Sin actividad",If(vlookup($A133,Pagos!$B$5:$L1241,5,false),vlookup($A133,Pagos!$B$5:$L1241,5,false),vlookup($A133,Pagos!$B$5:$L1241,4,false)))</f>
        <v>45870</v>
      </c>
      <c r="J133" s="198" t="s">
        <v>523</v>
      </c>
      <c r="K133" s="199">
        <v>41412.0</v>
      </c>
      <c r="L133" s="200"/>
      <c r="M133" s="201"/>
      <c r="N133" s="202">
        <f>If(L133&gt;K133,   datedif(K133,L133,"Y") , If(K133&lt;Vitalicios!$C$4, datedif(K133,Vitalicios!$C$4,"Y"),0)  )</f>
        <v>12</v>
      </c>
      <c r="O133" s="202"/>
    </row>
    <row r="134">
      <c r="A134" s="192">
        <v>1774.0</v>
      </c>
      <c r="B134" s="193" t="s">
        <v>930</v>
      </c>
      <c r="C134" s="194" t="s">
        <v>519</v>
      </c>
      <c r="D134" s="193" t="s">
        <v>538</v>
      </c>
      <c r="E134" s="193" t="s">
        <v>931</v>
      </c>
      <c r="F134" s="195" t="s">
        <v>932</v>
      </c>
      <c r="G134" s="196"/>
      <c r="H134" s="193" t="s">
        <v>933</v>
      </c>
      <c r="I134" s="197">
        <f>IF(iserror(vlookup($A134,Pagos!$B$5:L1241,4,false)),"Sin actividad",If(vlookup($A134,Pagos!$B$5:$L1241,5,false),vlookup($A134,Pagos!$B$5:$L1241,5,false),vlookup($A134,Pagos!$B$5:$L1241,4,false)))</f>
        <v>45870</v>
      </c>
      <c r="J134" s="198" t="s">
        <v>523</v>
      </c>
      <c r="K134" s="199">
        <v>43831.0</v>
      </c>
      <c r="L134" s="200"/>
      <c r="M134" s="201"/>
      <c r="N134" s="202">
        <f>If(L134&gt;K134,   datedif(K134,L134,"Y") , If(K134&lt;Vitalicios!$C$4, datedif(K134,Vitalicios!$C$4,"Y"),0)  )</f>
        <v>5</v>
      </c>
      <c r="O134" s="202"/>
    </row>
    <row r="135">
      <c r="A135" s="192">
        <v>1479.0</v>
      </c>
      <c r="B135" s="193" t="s">
        <v>934</v>
      </c>
      <c r="C135" s="194" t="s">
        <v>526</v>
      </c>
      <c r="D135" s="193" t="s">
        <v>520</v>
      </c>
      <c r="E135" s="193" t="s">
        <v>935</v>
      </c>
      <c r="F135" s="195" t="s">
        <v>936</v>
      </c>
      <c r="G135" s="196" t="s">
        <v>937</v>
      </c>
      <c r="H135" s="193"/>
      <c r="I135" s="197">
        <f>IF(iserror(vlookup($A135,Pagos!$B$5:L1241,4,false)),"Sin actividad",If(vlookup($A135,Pagos!$B$5:$L1241,5,false),vlookup($A135,Pagos!$B$5:$L1241,5,false),vlookup($A135,Pagos!$B$5:$L1241,4,false)))</f>
        <v>45901</v>
      </c>
      <c r="J135" s="198" t="s">
        <v>523</v>
      </c>
      <c r="K135" s="199">
        <v>41570.0</v>
      </c>
      <c r="L135" s="200"/>
      <c r="M135" s="201"/>
      <c r="N135" s="202">
        <f>If(L135&gt;K135,   datedif(K135,L135,"Y") , If(K135&lt;Vitalicios!$C$4, datedif(K135,Vitalicios!$C$4,"Y"),0)  )</f>
        <v>11</v>
      </c>
      <c r="O135" s="202"/>
    </row>
    <row r="136">
      <c r="A136" s="192">
        <v>2274.0</v>
      </c>
      <c r="B136" s="193" t="s">
        <v>938</v>
      </c>
      <c r="C136" s="193" t="s">
        <v>537</v>
      </c>
      <c r="D136" s="193" t="s">
        <v>628</v>
      </c>
      <c r="E136" s="193" t="s">
        <v>939</v>
      </c>
      <c r="F136" s="195">
        <v>2.314446535E9</v>
      </c>
      <c r="G136" s="196"/>
      <c r="H136" s="193" t="s">
        <v>940</v>
      </c>
      <c r="I136" s="197"/>
      <c r="J136" s="198" t="s">
        <v>523</v>
      </c>
      <c r="K136" s="199">
        <v>45474.0</v>
      </c>
      <c r="L136" s="200"/>
      <c r="M136" s="201"/>
      <c r="N136" s="202"/>
      <c r="O136" s="202"/>
    </row>
    <row r="137">
      <c r="A137" s="192">
        <v>1917.0</v>
      </c>
      <c r="B137" s="193" t="s">
        <v>941</v>
      </c>
      <c r="C137" s="193" t="s">
        <v>537</v>
      </c>
      <c r="D137" s="193" t="s">
        <v>538</v>
      </c>
      <c r="E137" s="193" t="s">
        <v>942</v>
      </c>
      <c r="F137" s="195">
        <v>1.130403988E9</v>
      </c>
      <c r="G137" s="196"/>
      <c r="H137" s="193" t="s">
        <v>943</v>
      </c>
      <c r="I137" s="197">
        <f>IF(iserror(vlookup($A137,Pagos!$B$5:L1241,4,false)),"Sin actividad",If(vlookup($A137,Pagos!$B$5:$L1241,5,false),vlookup($A137,Pagos!$B$5:$L1241,5,false),vlookup($A137,Pagos!$B$5:$L1241,4,false)))</f>
        <v>45870</v>
      </c>
      <c r="J137" s="198" t="s">
        <v>523</v>
      </c>
      <c r="K137" s="199">
        <v>44348.0</v>
      </c>
      <c r="L137" s="200"/>
      <c r="M137" s="201"/>
      <c r="N137" s="202"/>
      <c r="O137" s="202"/>
    </row>
    <row r="138">
      <c r="A138" s="192">
        <v>1191.0</v>
      </c>
      <c r="B138" s="193" t="s">
        <v>944</v>
      </c>
      <c r="C138" s="194" t="s">
        <v>526</v>
      </c>
      <c r="D138" s="193" t="s">
        <v>693</v>
      </c>
      <c r="E138" s="193" t="s">
        <v>945</v>
      </c>
      <c r="F138" s="195">
        <v>4820152.0</v>
      </c>
      <c r="G138" s="196">
        <v>1.5524728E8</v>
      </c>
      <c r="H138" s="193"/>
      <c r="I138" s="197" t="str">
        <f>IF(iserror(vlookup($A138,Pagos!$B$5:L1241,4,false)),"Sin actividad",If(vlookup($A138,Pagos!$B$5:$L1241,5,false),vlookup($A138,Pagos!$B$5:$L1241,5,false),vlookup($A138,Pagos!$B$5:$L1241,4,false)))</f>
        <v>Sin actividad</v>
      </c>
      <c r="J138" s="198" t="s">
        <v>529</v>
      </c>
      <c r="K138" s="199">
        <v>39767.0</v>
      </c>
      <c r="L138" s="200">
        <v>44256.0</v>
      </c>
      <c r="M138" s="201" t="s">
        <v>946</v>
      </c>
      <c r="N138" s="202">
        <f>If(L138&gt;K138,   datedif(K138,L138,"Y") , If(K138&lt;Vitalicios!$C$4, datedif(K138,Vitalicios!$C$4,"Y"),0)  )</f>
        <v>12</v>
      </c>
      <c r="O138" s="202"/>
    </row>
    <row r="139">
      <c r="A139" s="192">
        <v>1946.0</v>
      </c>
      <c r="B139" s="193" t="s">
        <v>947</v>
      </c>
      <c r="C139" s="193" t="s">
        <v>537</v>
      </c>
      <c r="D139" s="193" t="s">
        <v>532</v>
      </c>
      <c r="E139" s="193" t="s">
        <v>948</v>
      </c>
      <c r="F139" s="195">
        <v>2.216277819E9</v>
      </c>
      <c r="G139" s="196"/>
      <c r="H139" s="193" t="s">
        <v>949</v>
      </c>
      <c r="I139" s="197">
        <f>IF(iserror(vlookup($A139,Pagos!$B$5:L1241,4,false)),"Sin actividad",If(vlookup($A139,Pagos!$B$5:$L1241,5,false),vlookup($A139,Pagos!$B$5:$L1241,5,false),vlookup($A139,Pagos!$B$5:$L1241,4,false)))</f>
        <v>45870</v>
      </c>
      <c r="J139" s="198" t="s">
        <v>523</v>
      </c>
      <c r="K139" s="199">
        <v>44501.0</v>
      </c>
      <c r="L139" s="200"/>
      <c r="M139" s="201"/>
      <c r="N139" s="202"/>
      <c r="O139" s="202"/>
    </row>
    <row r="140">
      <c r="A140" s="192">
        <v>1750.0</v>
      </c>
      <c r="B140" s="193" t="s">
        <v>950</v>
      </c>
      <c r="C140" s="194" t="s">
        <v>951</v>
      </c>
      <c r="D140" s="193" t="s">
        <v>527</v>
      </c>
      <c r="E140" s="193"/>
      <c r="F140" s="195">
        <v>1.5678078E8</v>
      </c>
      <c r="G140" s="196"/>
      <c r="H140" s="193" t="s">
        <v>952</v>
      </c>
      <c r="I140" s="197" t="str">
        <f>IF(iserror(vlookup($A140,Pagos!$B$5:L1241,4,false)),"Sin actividad",If(vlookup($A140,Pagos!$B$5:$L1241,5,false),vlookup($A140,Pagos!$B$5:$L1241,5,false),vlookup($A140,Pagos!$B$5:$L1241,4,false)))</f>
        <v>Sin actividad</v>
      </c>
      <c r="J140" s="198" t="s">
        <v>529</v>
      </c>
      <c r="K140" s="199">
        <v>43678.0</v>
      </c>
      <c r="L140" s="200"/>
      <c r="M140" s="201" t="s">
        <v>953</v>
      </c>
      <c r="N140" s="202">
        <f>If(L140&gt;K140,   datedif(K140,L140,"Y") , If(K140&lt;Vitalicios!$C$4, datedif(K140,Vitalicios!$C$4,"Y"),0)  )</f>
        <v>6</v>
      </c>
      <c r="O140" s="202"/>
    </row>
    <row r="141">
      <c r="A141" s="192">
        <v>2064.0</v>
      </c>
      <c r="B141" s="193" t="s">
        <v>954</v>
      </c>
      <c r="C141" s="193" t="s">
        <v>679</v>
      </c>
      <c r="D141" s="193" t="s">
        <v>628</v>
      </c>
      <c r="E141" s="193" t="s">
        <v>955</v>
      </c>
      <c r="F141" s="195">
        <v>2.214951413E9</v>
      </c>
      <c r="G141" s="196"/>
      <c r="H141" s="193" t="s">
        <v>956</v>
      </c>
      <c r="I141" s="197"/>
      <c r="J141" s="198" t="s">
        <v>529</v>
      </c>
      <c r="K141" s="199">
        <v>44805.0</v>
      </c>
      <c r="L141" s="200">
        <v>45047.0</v>
      </c>
      <c r="M141" s="201" t="s">
        <v>857</v>
      </c>
      <c r="N141" s="202"/>
      <c r="O141" s="202"/>
    </row>
    <row r="142">
      <c r="A142" s="192">
        <v>1950.0</v>
      </c>
      <c r="B142" s="193" t="s">
        <v>957</v>
      </c>
      <c r="C142" s="193" t="s">
        <v>537</v>
      </c>
      <c r="D142" s="193" t="s">
        <v>532</v>
      </c>
      <c r="E142" s="193" t="s">
        <v>958</v>
      </c>
      <c r="F142" s="195">
        <v>1.155645521E9</v>
      </c>
      <c r="G142" s="196"/>
      <c r="H142" s="193" t="s">
        <v>959</v>
      </c>
      <c r="I142" s="197" t="str">
        <f>IF(iserror(vlookup($A142,Pagos!$B$5:L1241,4,false)),"Sin actividad",If(vlookup($A142,Pagos!$B$5:$L1241,5,false),vlookup($A142,Pagos!$B$5:$L1241,5,false),vlookup($A142,Pagos!$B$5:$L1241,4,false)))</f>
        <v>Sin actividad</v>
      </c>
      <c r="J142" s="198" t="s">
        <v>529</v>
      </c>
      <c r="K142" s="199">
        <v>44501.0</v>
      </c>
      <c r="L142" s="200">
        <v>45139.0</v>
      </c>
      <c r="M142" s="201" t="s">
        <v>535</v>
      </c>
      <c r="N142" s="202"/>
      <c r="O142" s="202"/>
    </row>
    <row r="143">
      <c r="A143" s="192">
        <v>1803.0</v>
      </c>
      <c r="B143" s="193" t="s">
        <v>960</v>
      </c>
      <c r="C143" s="193" t="s">
        <v>537</v>
      </c>
      <c r="D143" s="193" t="s">
        <v>538</v>
      </c>
      <c r="E143" s="193" t="s">
        <v>961</v>
      </c>
      <c r="F143" s="195">
        <v>2.216175435E9</v>
      </c>
      <c r="G143" s="196"/>
      <c r="H143" s="193" t="s">
        <v>962</v>
      </c>
      <c r="I143" s="197" t="str">
        <f>IF(iserror(vlookup($A143,Pagos!$B$5:L1241,4,false)),"Sin actividad",If(vlookup($A143,Pagos!$B$5:$L1241,5,false),vlookup($A143,Pagos!$B$5:$L1241,5,false),vlookup($A143,Pagos!$B$5:$L1241,4,false)))</f>
        <v>Sin actividad</v>
      </c>
      <c r="J143" s="198" t="s">
        <v>529</v>
      </c>
      <c r="K143" s="199">
        <v>44044.0</v>
      </c>
      <c r="L143" s="200">
        <v>44197.0</v>
      </c>
      <c r="M143" s="201"/>
      <c r="N143" s="202"/>
      <c r="O143" s="202"/>
    </row>
    <row r="144">
      <c r="A144" s="192">
        <v>1804.0</v>
      </c>
      <c r="B144" s="193" t="s">
        <v>963</v>
      </c>
      <c r="C144" s="193" t="s">
        <v>537</v>
      </c>
      <c r="D144" s="193" t="s">
        <v>538</v>
      </c>
      <c r="E144" s="193" t="s">
        <v>964</v>
      </c>
      <c r="F144" s="195">
        <v>2.215770571E9</v>
      </c>
      <c r="G144" s="196"/>
      <c r="H144" s="193" t="s">
        <v>965</v>
      </c>
      <c r="I144" s="197" t="str">
        <f>IF(iserror(vlookup($A144,Pagos!$B$5:L1241,4,false)),"Sin actividad",If(vlookup($A144,Pagos!$B$5:$L1241,5,false),vlookup($A144,Pagos!$B$5:$L1241,5,false),vlookup($A144,Pagos!$B$5:$L1241,4,false)))</f>
        <v>Sin actividad</v>
      </c>
      <c r="J144" s="198" t="s">
        <v>529</v>
      </c>
      <c r="K144" s="199">
        <v>44044.0</v>
      </c>
      <c r="L144" s="200">
        <v>44197.0</v>
      </c>
      <c r="M144" s="201"/>
      <c r="N144" s="202"/>
      <c r="O144" s="202"/>
    </row>
    <row r="145">
      <c r="A145" s="192">
        <v>1126.0</v>
      </c>
      <c r="B145" s="193" t="s">
        <v>966</v>
      </c>
      <c r="C145" s="194" t="s">
        <v>564</v>
      </c>
      <c r="D145" s="193" t="s">
        <v>556</v>
      </c>
      <c r="E145" s="193">
        <v>0.0</v>
      </c>
      <c r="F145" s="195">
        <v>0.0</v>
      </c>
      <c r="G145" s="196">
        <v>0.0</v>
      </c>
      <c r="H145" s="193"/>
      <c r="I145" s="197" t="str">
        <f>IF(iserror(vlookup($A145,Pagos!$B$5:L1241,4,false)),"Sin actividad",If(vlookup($A145,Pagos!$B$5:$L1241,5,false),vlookup($A145,Pagos!$B$5:$L1241,5,false),vlookup($A145,Pagos!$B$5:$L1241,4,false)))</f>
        <v>Sin actividad</v>
      </c>
      <c r="J145" s="198" t="s">
        <v>529</v>
      </c>
      <c r="K145" s="199">
        <v>39040.0</v>
      </c>
      <c r="L145" s="200"/>
      <c r="M145" s="201"/>
      <c r="N145" s="202">
        <f>If(L145&gt;K145,   datedif(K145,L145,"Y") , If(K145&lt;Vitalicios!$C$4, datedif(K145,Vitalicios!$C$4,"Y"),0)  )</f>
        <v>18</v>
      </c>
      <c r="O145" s="202"/>
    </row>
    <row r="146">
      <c r="A146" s="192">
        <v>1879.0</v>
      </c>
      <c r="B146" s="193" t="s">
        <v>967</v>
      </c>
      <c r="C146" s="193" t="s">
        <v>537</v>
      </c>
      <c r="D146" s="193" t="s">
        <v>532</v>
      </c>
      <c r="E146" s="193" t="s">
        <v>968</v>
      </c>
      <c r="F146" s="195">
        <v>2.215913061E9</v>
      </c>
      <c r="G146" s="196"/>
      <c r="H146" s="193" t="s">
        <v>969</v>
      </c>
      <c r="I146" s="197" t="str">
        <f>IF(iserror(vlookup($A146,Pagos!$B$5:L1241,4,false)),"Sin actividad",If(vlookup($A146,Pagos!$B$5:$L1241,5,false),vlookup($A146,Pagos!$B$5:$L1241,5,false),vlookup($A146,Pagos!$B$5:$L1241,4,false)))</f>
        <v>Sin actividad</v>
      </c>
      <c r="J146" s="198" t="s">
        <v>529</v>
      </c>
      <c r="K146" s="199">
        <v>44228.0</v>
      </c>
      <c r="L146" s="200">
        <v>44621.0</v>
      </c>
      <c r="M146" s="201" t="s">
        <v>716</v>
      </c>
      <c r="N146" s="202"/>
      <c r="O146" s="202"/>
    </row>
    <row r="147">
      <c r="A147" s="192">
        <v>1763.0</v>
      </c>
      <c r="B147" s="193" t="s">
        <v>970</v>
      </c>
      <c r="C147" s="194" t="s">
        <v>519</v>
      </c>
      <c r="D147" s="193" t="s">
        <v>527</v>
      </c>
      <c r="E147" s="193" t="s">
        <v>971</v>
      </c>
      <c r="F147" s="195">
        <v>1.54183415E8</v>
      </c>
      <c r="G147" s="196"/>
      <c r="H147" s="193" t="s">
        <v>972</v>
      </c>
      <c r="I147" s="197">
        <f>IF(iserror(vlookup($A147,Pagos!$B$5:L1241,4,false)),"Sin actividad",If(vlookup($A147,Pagos!$B$5:$L1241,5,false),vlookup($A147,Pagos!$B$5:$L1241,5,false),vlookup($A147,Pagos!$B$5:$L1241,4,false)))</f>
        <v>45839</v>
      </c>
      <c r="J147" s="198" t="s">
        <v>523</v>
      </c>
      <c r="K147" s="199">
        <v>43800.0</v>
      </c>
      <c r="L147" s="200"/>
      <c r="M147" s="201"/>
      <c r="N147" s="202">
        <f>IF(L147&gt;K147,   DATEDIF(K147,L147,"Y") , IF(K147&lt;Vitalicios!$C$4, DATEDIF(K147,Vitalicios!$C$4,"Y"),0)  )</f>
        <v>5</v>
      </c>
      <c r="O147" s="202"/>
    </row>
    <row r="148">
      <c r="A148" s="192">
        <v>1601.0</v>
      </c>
      <c r="B148" s="193" t="s">
        <v>973</v>
      </c>
      <c r="C148" s="194" t="s">
        <v>526</v>
      </c>
      <c r="D148" s="193" t="s">
        <v>527</v>
      </c>
      <c r="E148" s="193" t="s">
        <v>974</v>
      </c>
      <c r="F148" s="195">
        <v>4896329.0</v>
      </c>
      <c r="G148" s="196"/>
      <c r="H148" s="193" t="s">
        <v>975</v>
      </c>
      <c r="I148" s="197" t="str">
        <f>IF(iserror(vlookup($A148,Pagos!$B$5:L1241,4,false)),"Sin actividad",If(vlookup($A148,Pagos!$B$5:$L1241,5,false),vlookup($A148,Pagos!$B$5:$L1241,5,false),vlookup($A148,Pagos!$B$5:$L1241,4,false)))</f>
        <v>Sin actividad</v>
      </c>
      <c r="J148" s="198" t="s">
        <v>529</v>
      </c>
      <c r="K148" s="199">
        <v>42491.0</v>
      </c>
      <c r="L148" s="200"/>
      <c r="M148" s="201"/>
      <c r="N148" s="202">
        <f>If(L148&gt;K148,   datedif(K148,L148,"Y") , If(K148&lt;Vitalicios!$C$4, datedif(K148,Vitalicios!$C$4,"Y"),0)  )</f>
        <v>9</v>
      </c>
      <c r="O148" s="202"/>
    </row>
    <row r="149">
      <c r="A149" s="192">
        <v>1404.0</v>
      </c>
      <c r="B149" s="193" t="s">
        <v>976</v>
      </c>
      <c r="C149" s="194" t="s">
        <v>526</v>
      </c>
      <c r="D149" s="193" t="s">
        <v>556</v>
      </c>
      <c r="E149" s="193">
        <v>0.0</v>
      </c>
      <c r="F149" s="195">
        <v>0.0</v>
      </c>
      <c r="G149" s="196">
        <v>0.0</v>
      </c>
      <c r="H149" s="193"/>
      <c r="I149" s="197" t="str">
        <f>IF(iserror(vlookup($A149,Pagos!$B$5:L1241,4,false)),"Sin actividad",If(vlookup($A149,Pagos!$B$5:$L1241,5,false),vlookup($A149,Pagos!$B$5:$L1241,5,false),vlookup($A149,Pagos!$B$5:$L1241,4,false)))</f>
        <v>Sin actividad</v>
      </c>
      <c r="J149" s="198" t="s">
        <v>529</v>
      </c>
      <c r="K149" s="199">
        <v>40895.0</v>
      </c>
      <c r="L149" s="200"/>
      <c r="M149" s="201" t="s">
        <v>977</v>
      </c>
      <c r="N149" s="202">
        <f>If(L149&gt;K149,   datedif(K149,L149,"Y") , If(K149&lt;Vitalicios!$C$4, datedif(K149,Vitalicios!$C$4,"Y"),0)  )</f>
        <v>13</v>
      </c>
      <c r="O149" s="202"/>
    </row>
    <row r="150">
      <c r="A150" s="192">
        <v>1630.0</v>
      </c>
      <c r="B150" s="193" t="s">
        <v>978</v>
      </c>
      <c r="C150" s="194" t="s">
        <v>519</v>
      </c>
      <c r="D150" s="193" t="s">
        <v>709</v>
      </c>
      <c r="E150" s="193" t="s">
        <v>979</v>
      </c>
      <c r="F150" s="195"/>
      <c r="G150" s="196"/>
      <c r="H150" s="193" t="s">
        <v>980</v>
      </c>
      <c r="I150" s="197" t="str">
        <f>IF(iserror(vlookup($A150,Pagos!$B$5:L1241,4,false)),"Sin actividad",If(vlookup($A150,Pagos!$B$5:$L1241,5,false),vlookup($A150,Pagos!$B$5:$L1241,5,false),vlookup($A150,Pagos!$B$5:$L1241,4,false)))</f>
        <v>Sin actividad</v>
      </c>
      <c r="J150" s="198" t="s">
        <v>529</v>
      </c>
      <c r="K150" s="199">
        <v>42769.0</v>
      </c>
      <c r="L150" s="200">
        <v>43525.0</v>
      </c>
      <c r="M150" s="201"/>
      <c r="N150" s="202">
        <f>If(L150&gt;K150,   datedif(K150,L150,"Y") , If(K150&lt;Vitalicios!$C$4, datedif(K150,Vitalicios!$C$4,"Y"),0)  )</f>
        <v>2</v>
      </c>
      <c r="O150" s="202"/>
    </row>
    <row r="151">
      <c r="A151" s="192">
        <v>1948.0</v>
      </c>
      <c r="B151" s="193" t="s">
        <v>981</v>
      </c>
      <c r="C151" s="193" t="s">
        <v>982</v>
      </c>
      <c r="D151" s="193" t="s">
        <v>532</v>
      </c>
      <c r="E151" s="193" t="s">
        <v>983</v>
      </c>
      <c r="F151" s="195">
        <v>2.215547367E9</v>
      </c>
      <c r="G151" s="196"/>
      <c r="H151" s="193" t="s">
        <v>984</v>
      </c>
      <c r="I151" s="197">
        <f>IF(iserror(vlookup($A151,Pagos!$B$5:L1241,4,false)),"Sin actividad",If(vlookup($A151,Pagos!$B$5:$L1241,5,false),vlookup($A151,Pagos!$B$5:$L1241,5,false),vlookup($A151,Pagos!$B$5:$L1241,4,false)))</f>
        <v>45870</v>
      </c>
      <c r="J151" s="198" t="s">
        <v>523</v>
      </c>
      <c r="K151" s="199">
        <v>44501.0</v>
      </c>
      <c r="L151" s="200"/>
      <c r="M151" s="201"/>
      <c r="N151" s="202"/>
      <c r="O151" s="202"/>
    </row>
    <row r="152">
      <c r="A152" s="192">
        <v>2180.0</v>
      </c>
      <c r="B152" s="193" t="s">
        <v>985</v>
      </c>
      <c r="C152" s="193" t="s">
        <v>537</v>
      </c>
      <c r="D152" s="193" t="s">
        <v>986</v>
      </c>
      <c r="E152" s="193" t="s">
        <v>987</v>
      </c>
      <c r="F152" s="195">
        <v>2.2166894E9</v>
      </c>
      <c r="G152" s="196"/>
      <c r="H152" s="193" t="s">
        <v>988</v>
      </c>
      <c r="I152" s="197"/>
      <c r="J152" s="198" t="s">
        <v>529</v>
      </c>
      <c r="K152" s="199">
        <v>45108.0</v>
      </c>
      <c r="L152" s="200">
        <v>45383.0</v>
      </c>
      <c r="M152" s="201"/>
      <c r="N152" s="202"/>
      <c r="O152" s="202"/>
    </row>
    <row r="153">
      <c r="A153" s="192">
        <v>1826.0</v>
      </c>
      <c r="B153" s="193" t="s">
        <v>989</v>
      </c>
      <c r="C153" s="193" t="s">
        <v>537</v>
      </c>
      <c r="D153" s="193" t="s">
        <v>755</v>
      </c>
      <c r="E153" s="193" t="s">
        <v>990</v>
      </c>
      <c r="F153" s="195">
        <v>2.214985096E9</v>
      </c>
      <c r="G153" s="196"/>
      <c r="H153" s="209" t="s">
        <v>991</v>
      </c>
      <c r="I153" s="197" t="str">
        <f>IF(iserror(vlookup($A153,Pagos!$B$5:L1241,4,false)),"Sin actividad",If(vlookup($A153,Pagos!$B$5:$L1241,5,false),vlookup($A153,Pagos!$B$5:$L1241,5,false),vlookup($A153,Pagos!$B$5:$L1241,4,false)))</f>
        <v>Sin actividad</v>
      </c>
      <c r="J153" s="198" t="s">
        <v>529</v>
      </c>
      <c r="K153" s="199">
        <v>44075.0</v>
      </c>
      <c r="L153" s="200">
        <v>44774.0</v>
      </c>
      <c r="M153" s="201" t="s">
        <v>535</v>
      </c>
      <c r="N153" s="202"/>
      <c r="O153" s="202"/>
    </row>
    <row r="154">
      <c r="A154" s="192">
        <v>1530.0</v>
      </c>
      <c r="B154" s="193" t="s">
        <v>992</v>
      </c>
      <c r="C154" s="194" t="s">
        <v>526</v>
      </c>
      <c r="D154" s="193" t="s">
        <v>556</v>
      </c>
      <c r="E154" s="193" t="s">
        <v>993</v>
      </c>
      <c r="F154" s="195">
        <v>1.55895562E8</v>
      </c>
      <c r="G154" s="196">
        <v>0.0</v>
      </c>
      <c r="H154" s="193"/>
      <c r="I154" s="197" t="str">
        <f>IF(iserror(vlookup($A154,Pagos!$B$5:L1241,4,false)),"Sin actividad",If(vlookup($A154,Pagos!$B$5:$L1241,5,false),vlookup($A154,Pagos!$B$5:$L1241,5,false),vlookup($A154,Pagos!$B$5:$L1241,4,false)))</f>
        <v>Sin actividad</v>
      </c>
      <c r="J154" s="198" t="s">
        <v>529</v>
      </c>
      <c r="K154" s="199">
        <v>41951.0</v>
      </c>
      <c r="L154" s="200">
        <v>42705.0</v>
      </c>
      <c r="M154" s="201" t="s">
        <v>994</v>
      </c>
      <c r="N154" s="202">
        <f>If(L154&gt;K154,   datedif(K154,L154,"Y") , If(K154&lt;Vitalicios!$C$4, datedif(K154,Vitalicios!$C$4,"Y"),0)  )</f>
        <v>2</v>
      </c>
      <c r="O154" s="202"/>
    </row>
    <row r="155">
      <c r="A155" s="192">
        <v>1442.0</v>
      </c>
      <c r="B155" s="193" t="s">
        <v>995</v>
      </c>
      <c r="C155" s="194" t="s">
        <v>564</v>
      </c>
      <c r="D155" s="193" t="s">
        <v>556</v>
      </c>
      <c r="E155" s="193" t="s">
        <v>996</v>
      </c>
      <c r="F155" s="195">
        <v>4614342.0</v>
      </c>
      <c r="G155" s="196">
        <v>0.0</v>
      </c>
      <c r="H155" s="193" t="s">
        <v>997</v>
      </c>
      <c r="I155" s="197" t="str">
        <f>IF(iserror(vlookup($A155,Pagos!$B$5:L1241,4,false)),"Sin actividad",If(vlookup($A155,Pagos!$B$5:$L1241,5,false),vlookup($A155,Pagos!$B$5:$L1241,5,false),vlookup($A155,Pagos!$B$5:$L1241,4,false)))</f>
        <v>Sin actividad</v>
      </c>
      <c r="J155" s="198" t="s">
        <v>529</v>
      </c>
      <c r="K155" s="199">
        <v>41287.0</v>
      </c>
      <c r="L155" s="200"/>
      <c r="M155" s="201"/>
      <c r="N155" s="202">
        <f>If(L155&gt;K155,   datedif(K155,L155,"Y") , If(K155&lt;Vitalicios!$C$4, datedif(K155,Vitalicios!$C$4,"Y"),0)  )</f>
        <v>12</v>
      </c>
      <c r="O155" s="202"/>
    </row>
    <row r="156">
      <c r="A156" s="192">
        <v>1580.0</v>
      </c>
      <c r="B156" s="193" t="s">
        <v>998</v>
      </c>
      <c r="C156" s="194" t="s">
        <v>564</v>
      </c>
      <c r="D156" s="193" t="s">
        <v>556</v>
      </c>
      <c r="E156" s="193" t="s">
        <v>996</v>
      </c>
      <c r="F156" s="195">
        <v>4614342.0</v>
      </c>
      <c r="G156" s="196">
        <v>0.0</v>
      </c>
      <c r="H156" s="193"/>
      <c r="I156" s="197" t="str">
        <f>IF(iserror(vlookup($A156,Pagos!$B$5:L1241,4,false)),"Sin actividad",If(vlookup($A156,Pagos!$B$5:$L1241,5,false),vlookup($A156,Pagos!$B$5:$L1241,5,false),vlookup($A156,Pagos!$B$5:$L1241,4,false)))</f>
        <v>Sin actividad</v>
      </c>
      <c r="J156" s="198" t="s">
        <v>529</v>
      </c>
      <c r="K156" s="199">
        <v>41287.0</v>
      </c>
      <c r="L156" s="200">
        <v>42461.0</v>
      </c>
      <c r="M156" s="201"/>
      <c r="N156" s="202">
        <f>If(L156&gt;K156,   datedif(K156,L156,"Y") , If(K156&lt;Vitalicios!$C$4, datedif(K156,Vitalicios!$C$4,"Y"),0)  )</f>
        <v>3</v>
      </c>
      <c r="O156" s="202"/>
    </row>
    <row r="157">
      <c r="A157" s="192">
        <v>1918.0</v>
      </c>
      <c r="B157" s="193" t="s">
        <v>999</v>
      </c>
      <c r="C157" s="193" t="s">
        <v>537</v>
      </c>
      <c r="D157" s="193" t="s">
        <v>532</v>
      </c>
      <c r="E157" s="193" t="s">
        <v>1000</v>
      </c>
      <c r="F157" s="195">
        <v>2.215895779E9</v>
      </c>
      <c r="G157" s="196"/>
      <c r="H157" s="193" t="s">
        <v>1001</v>
      </c>
      <c r="I157" s="197">
        <f>IF(iserror(vlookup($A157,Pagos!$B$5:L1241,4,false)),"Sin actividad",If(vlookup($A157,Pagos!$B$5:$L1241,5,false),vlookup($A157,Pagos!$B$5:$L1241,5,false),vlookup($A157,Pagos!$B$5:$L1241,4,false)))</f>
        <v>45901</v>
      </c>
      <c r="J157" s="198" t="s">
        <v>523</v>
      </c>
      <c r="K157" s="199">
        <v>44348.0</v>
      </c>
      <c r="L157" s="200"/>
      <c r="M157" s="201"/>
      <c r="N157" s="202"/>
      <c r="O157" s="202"/>
    </row>
    <row r="158">
      <c r="A158" s="192">
        <v>1153.0</v>
      </c>
      <c r="B158" s="193" t="s">
        <v>1002</v>
      </c>
      <c r="C158" s="194" t="s">
        <v>577</v>
      </c>
      <c r="D158" s="193" t="s">
        <v>556</v>
      </c>
      <c r="E158" s="193" t="s">
        <v>1003</v>
      </c>
      <c r="F158" s="195">
        <v>0.0</v>
      </c>
      <c r="G158" s="196">
        <v>0.0</v>
      </c>
      <c r="H158" s="193"/>
      <c r="I158" s="197" t="str">
        <f>IF(iserror(vlookup($A158,Pagos!$B$5:L1241,4,false)),"Sin actividad",If(vlookup($A158,Pagos!$B$5:$L1241,5,false),vlookup($A158,Pagos!$B$5:$L1241,5,false),vlookup($A158,Pagos!$B$5:$L1241,4,false)))</f>
        <v>Sin actividad</v>
      </c>
      <c r="J158" s="198" t="s">
        <v>529</v>
      </c>
      <c r="K158" s="199">
        <v>39439.0</v>
      </c>
      <c r="L158" s="200">
        <v>42401.0</v>
      </c>
      <c r="M158" s="201"/>
      <c r="N158" s="202">
        <f>If(L158&gt;K158,   datedif(K158,L158,"Y") , If(K158&lt;Vitalicios!$C$4, datedif(K158,Vitalicios!$C$4,"Y"),0)  )</f>
        <v>8</v>
      </c>
      <c r="O158" s="202"/>
    </row>
    <row r="159">
      <c r="A159" s="192">
        <v>2308.0</v>
      </c>
      <c r="B159" s="193" t="s">
        <v>1004</v>
      </c>
      <c r="C159" s="193" t="s">
        <v>537</v>
      </c>
      <c r="D159" s="193" t="s">
        <v>538</v>
      </c>
      <c r="E159" s="193" t="s">
        <v>1005</v>
      </c>
      <c r="F159" s="195">
        <v>2.216133457E10</v>
      </c>
      <c r="G159" s="196"/>
      <c r="H159" s="193" t="s">
        <v>1006</v>
      </c>
      <c r="I159" s="197"/>
      <c r="J159" s="198" t="s">
        <v>523</v>
      </c>
      <c r="K159" s="199">
        <v>45658.0</v>
      </c>
      <c r="L159" s="200"/>
      <c r="M159" s="201"/>
      <c r="N159" s="202"/>
      <c r="O159" s="202"/>
    </row>
    <row r="160">
      <c r="A160" s="192">
        <v>1993.0</v>
      </c>
      <c r="B160" s="193" t="s">
        <v>1007</v>
      </c>
      <c r="C160" s="193" t="s">
        <v>537</v>
      </c>
      <c r="D160" s="193" t="s">
        <v>538</v>
      </c>
      <c r="E160" s="193" t="s">
        <v>1008</v>
      </c>
      <c r="F160" s="195">
        <v>2.215083181E9</v>
      </c>
      <c r="G160" s="196"/>
      <c r="H160" s="193" t="s">
        <v>1009</v>
      </c>
      <c r="I160" s="197" t="str">
        <f>IF(iserror(vlookup($A160,Pagos!$B$5:L1241,4,false)),"Sin actividad",If(vlookup($A160,Pagos!$B$5:$L1241,5,false),vlookup($A160,Pagos!$B$5:$L1241,5,false),vlookup($A160,Pagos!$B$5:$L1241,4,false)))</f>
        <v>Sin actividad</v>
      </c>
      <c r="J160" s="198" t="s">
        <v>529</v>
      </c>
      <c r="K160" s="199">
        <v>44562.0</v>
      </c>
      <c r="L160" s="200">
        <v>45078.0</v>
      </c>
      <c r="M160" s="201" t="s">
        <v>535</v>
      </c>
      <c r="N160" s="202"/>
      <c r="O160" s="202"/>
    </row>
    <row r="161">
      <c r="A161" s="192">
        <v>2089.0</v>
      </c>
      <c r="B161" s="193" t="s">
        <v>1010</v>
      </c>
      <c r="C161" s="193" t="s">
        <v>537</v>
      </c>
      <c r="D161" s="193" t="s">
        <v>538</v>
      </c>
      <c r="E161" s="193" t="s">
        <v>1011</v>
      </c>
      <c r="F161" s="195">
        <v>4955592.0</v>
      </c>
      <c r="G161" s="196"/>
      <c r="H161" s="193" t="s">
        <v>1012</v>
      </c>
      <c r="I161" s="197"/>
      <c r="J161" s="198" t="s">
        <v>529</v>
      </c>
      <c r="K161" s="199">
        <v>44866.0</v>
      </c>
      <c r="L161" s="200">
        <v>45870.0</v>
      </c>
      <c r="M161" s="201" t="s">
        <v>1013</v>
      </c>
      <c r="N161" s="202"/>
      <c r="O161" s="202"/>
    </row>
    <row r="162">
      <c r="A162" s="192">
        <v>2288.0</v>
      </c>
      <c r="B162" s="193" t="s">
        <v>1014</v>
      </c>
      <c r="C162" s="193" t="s">
        <v>537</v>
      </c>
      <c r="D162" s="193" t="s">
        <v>538</v>
      </c>
      <c r="E162" s="193" t="s">
        <v>1015</v>
      </c>
      <c r="F162" s="195">
        <v>1.168038499E9</v>
      </c>
      <c r="G162" s="196"/>
      <c r="H162" s="193" t="s">
        <v>1016</v>
      </c>
      <c r="I162" s="197"/>
      <c r="J162" s="198" t="s">
        <v>523</v>
      </c>
      <c r="K162" s="199">
        <v>45566.0</v>
      </c>
      <c r="L162" s="200"/>
      <c r="M162" s="201"/>
      <c r="N162" s="202"/>
      <c r="O162" s="202"/>
    </row>
    <row r="163">
      <c r="A163" s="192">
        <v>1927.0</v>
      </c>
      <c r="B163" s="193" t="s">
        <v>1017</v>
      </c>
      <c r="C163" s="193" t="s">
        <v>537</v>
      </c>
      <c r="D163" s="193" t="s">
        <v>538</v>
      </c>
      <c r="E163" s="193" t="s">
        <v>1018</v>
      </c>
      <c r="F163" s="195">
        <v>2.216380607E9</v>
      </c>
      <c r="G163" s="196"/>
      <c r="H163" s="193" t="s">
        <v>1019</v>
      </c>
      <c r="I163" s="197">
        <f>IF(iserror(vlookup($A163,Pagos!$B$5:L1241,4,false)),"Sin actividad",If(vlookup($A163,Pagos!$B$5:$L1241,5,false),vlookup($A163,Pagos!$B$5:$L1241,5,false),vlookup($A163,Pagos!$B$5:$L1241,4,false)))</f>
        <v>45839</v>
      </c>
      <c r="J163" s="198" t="s">
        <v>523</v>
      </c>
      <c r="K163" s="199">
        <v>44440.0</v>
      </c>
      <c r="L163" s="200"/>
      <c r="M163" s="201"/>
      <c r="N163" s="202"/>
      <c r="O163" s="202"/>
    </row>
    <row r="164" ht="16.5" customHeight="1">
      <c r="A164" s="192">
        <v>1394.0</v>
      </c>
      <c r="B164" s="193" t="s">
        <v>1020</v>
      </c>
      <c r="C164" s="194" t="s">
        <v>537</v>
      </c>
      <c r="D164" s="193" t="s">
        <v>520</v>
      </c>
      <c r="E164" s="193" t="s">
        <v>1021</v>
      </c>
      <c r="F164" s="195" t="s">
        <v>1022</v>
      </c>
      <c r="G164" s="196">
        <v>0.0</v>
      </c>
      <c r="H164" s="193"/>
      <c r="I164" s="197" t="str">
        <f>IF(iserror(vlookup($A164,Pagos!$B$5:L1241,4,false)),"Sin actividad",If(vlookup($A164,Pagos!$B$5:$L1241,5,false),vlookup($A164,Pagos!$B$5:$L1241,5,false),vlookup($A164,Pagos!$B$5:$L1241,4,false)))</f>
        <v>Sin actividad</v>
      </c>
      <c r="J164" s="198" t="s">
        <v>529</v>
      </c>
      <c r="K164" s="199">
        <v>40886.0</v>
      </c>
      <c r="L164" s="200">
        <v>42430.0</v>
      </c>
      <c r="M164" s="201" t="s">
        <v>1023</v>
      </c>
      <c r="N164" s="202">
        <f>If(L164&gt;K164,   datedif(K164,L164,"Y") , If(K164&lt;Vitalicios!$C$4, datedif(K164,Vitalicios!$C$4,"Y"),0)  )</f>
        <v>4</v>
      </c>
      <c r="O164" s="202"/>
    </row>
    <row r="165">
      <c r="A165" s="192">
        <v>1392.0</v>
      </c>
      <c r="B165" s="193" t="s">
        <v>1024</v>
      </c>
      <c r="C165" s="194" t="s">
        <v>577</v>
      </c>
      <c r="D165" s="193" t="s">
        <v>1025</v>
      </c>
      <c r="E165" s="193" t="s">
        <v>1026</v>
      </c>
      <c r="F165" s="195">
        <v>4259592.0</v>
      </c>
      <c r="G165" s="196">
        <v>2.216030152E9</v>
      </c>
      <c r="H165" s="193" t="s">
        <v>1027</v>
      </c>
      <c r="I165" s="197" t="str">
        <f>IF(iserror(vlookup($A165,Pagos!$B$5:L1241,4,false)),"Sin actividad",If(vlookup($A165,Pagos!$B$5:$L1241,5,false),vlookup($A165,Pagos!$B$5:$L1241,5,false),vlookup($A165,Pagos!$B$5:$L1241,4,false)))</f>
        <v>Sin actividad</v>
      </c>
      <c r="J165" s="198" t="s">
        <v>529</v>
      </c>
      <c r="K165" s="199">
        <v>40884.0</v>
      </c>
      <c r="L165" s="200">
        <v>42005.0</v>
      </c>
      <c r="M165" s="201" t="s">
        <v>1023</v>
      </c>
      <c r="N165" s="202">
        <f>If(L165&gt;K165,   datedif(K165,L165,"Y") , If(K165&lt;Vitalicios!$C$4, datedif(K165,Vitalicios!$C$4,"Y"),0)  )</f>
        <v>3</v>
      </c>
      <c r="O165" s="202"/>
    </row>
    <row r="166">
      <c r="A166" s="192">
        <v>25.0</v>
      </c>
      <c r="B166" s="193" t="s">
        <v>1028</v>
      </c>
      <c r="C166" s="194" t="s">
        <v>577</v>
      </c>
      <c r="D166" s="193" t="s">
        <v>520</v>
      </c>
      <c r="E166" s="193" t="s">
        <v>1029</v>
      </c>
      <c r="F166" s="195">
        <v>4229592.0</v>
      </c>
      <c r="G166" s="196">
        <v>0.0</v>
      </c>
      <c r="H166" s="193"/>
      <c r="I166" s="197" t="str">
        <f>IF(iserror(vlookup($A166,Pagos!$B$5:L1241,4,false)),"Sin actividad",If(vlookup($A166,Pagos!$B$5:$L1241,5,false),vlookup($A166,Pagos!$B$5:$L1241,5,false),vlookup($A166,Pagos!$B$5:$L1241,4,false)))</f>
        <v>Sin actividad</v>
      </c>
      <c r="J166" s="198" t="s">
        <v>529</v>
      </c>
      <c r="K166" s="199">
        <v>31514.0</v>
      </c>
      <c r="L166" s="200">
        <v>43952.0</v>
      </c>
      <c r="M166" s="201" t="s">
        <v>1030</v>
      </c>
      <c r="N166" s="202">
        <f>If(L166&gt;K166,   datedif(K166,L166,"Y") , If(K166&lt;Vitalicios!$C$4, datedif(K166,Vitalicios!$C$4,"Y"),0)  )</f>
        <v>34</v>
      </c>
      <c r="O166" s="202" t="s">
        <v>1031</v>
      </c>
    </row>
    <row r="167">
      <c r="A167" s="192">
        <v>14.0</v>
      </c>
      <c r="B167" s="193" t="s">
        <v>1032</v>
      </c>
      <c r="C167" s="194" t="s">
        <v>577</v>
      </c>
      <c r="D167" s="193" t="s">
        <v>520</v>
      </c>
      <c r="E167" s="193" t="s">
        <v>1033</v>
      </c>
      <c r="F167" s="195">
        <v>0.0</v>
      </c>
      <c r="G167" s="196">
        <v>0.0</v>
      </c>
      <c r="H167" s="193" t="s">
        <v>1034</v>
      </c>
      <c r="I167" s="197" t="str">
        <f>IF(iserror(vlookup($A167,Pagos!$B$5:L1241,4,false)),"Sin actividad",If(vlookup($A167,Pagos!$B$5:$L1241,5,false),vlookup($A167,Pagos!$B$5:$L1241,5,false),vlookup($A167,Pagos!$B$5:$L1241,4,false)))</f>
        <v>Sin actividad</v>
      </c>
      <c r="J167" s="198" t="s">
        <v>846</v>
      </c>
      <c r="K167" s="199">
        <v>31514.0</v>
      </c>
      <c r="L167" s="200"/>
      <c r="M167" s="201"/>
      <c r="N167" s="202">
        <f>If(L167&gt;K167,   datedif(K167,L167,"Y") , If(K167&lt;Vitalicios!$C$4, datedif(K167,Vitalicios!$C$4,"Y"),0)  )</f>
        <v>39</v>
      </c>
      <c r="O167" s="202"/>
    </row>
    <row r="168">
      <c r="A168" s="192">
        <v>1311.0</v>
      </c>
      <c r="B168" s="193" t="s">
        <v>1035</v>
      </c>
      <c r="C168" s="194" t="s">
        <v>526</v>
      </c>
      <c r="D168" s="193" t="s">
        <v>556</v>
      </c>
      <c r="E168" s="193" t="s">
        <v>1036</v>
      </c>
      <c r="F168" s="195">
        <v>1.115665632688E12</v>
      </c>
      <c r="G168" s="196">
        <v>0.0</v>
      </c>
      <c r="H168" s="193"/>
      <c r="I168" s="197" t="str">
        <f>IF(iserror(vlookup($A168,Pagos!$B$5:L1241,4,false)),"Sin actividad",If(vlookup($A168,Pagos!$B$5:$L1241,5,false),vlookup($A168,Pagos!$B$5:$L1241,5,false),vlookup($A168,Pagos!$B$5:$L1241,4,false)))</f>
        <v>Sin actividad</v>
      </c>
      <c r="J168" s="198" t="s">
        <v>529</v>
      </c>
      <c r="K168" s="199">
        <v>40450.0</v>
      </c>
      <c r="L168" s="200">
        <v>41821.0</v>
      </c>
      <c r="M168" s="201" t="s">
        <v>656</v>
      </c>
      <c r="N168" s="202">
        <f>If(L168&gt;K168,   datedif(K168,L168,"Y") , If(K168&lt;Vitalicios!$C$4, datedif(K168,Vitalicios!$C$4,"Y"),0)  )</f>
        <v>3</v>
      </c>
      <c r="O168" s="202"/>
    </row>
    <row r="169">
      <c r="A169" s="192">
        <v>2338.0</v>
      </c>
      <c r="B169" s="193" t="s">
        <v>1037</v>
      </c>
      <c r="C169" s="193" t="s">
        <v>537</v>
      </c>
      <c r="D169" s="193" t="s">
        <v>532</v>
      </c>
      <c r="E169" s="193" t="s">
        <v>1038</v>
      </c>
      <c r="F169" s="195">
        <v>2.216010597E9</v>
      </c>
      <c r="G169" s="196"/>
      <c r="H169" s="193" t="s">
        <v>1039</v>
      </c>
      <c r="I169" s="197"/>
      <c r="J169" s="198" t="s">
        <v>529</v>
      </c>
      <c r="K169" s="199">
        <v>45689.0</v>
      </c>
      <c r="L169" s="200"/>
      <c r="M169" s="201"/>
      <c r="N169" s="202"/>
      <c r="O169" s="202"/>
    </row>
    <row r="170">
      <c r="A170" s="192">
        <v>1988.0</v>
      </c>
      <c r="B170" s="193" t="s">
        <v>1040</v>
      </c>
      <c r="C170" s="193" t="s">
        <v>537</v>
      </c>
      <c r="D170" s="193" t="s">
        <v>538</v>
      </c>
      <c r="E170" s="193" t="s">
        <v>1041</v>
      </c>
      <c r="F170" s="195">
        <v>2.216261259E9</v>
      </c>
      <c r="G170" s="196"/>
      <c r="H170" s="193" t="s">
        <v>1042</v>
      </c>
      <c r="I170" s="197">
        <f>IF(iserror(vlookup($A170,Pagos!$B$5:L1241,4,false)),"Sin actividad",If(vlookup($A170,Pagos!$B$5:$L1241,5,false),vlookup($A170,Pagos!$B$5:$L1241,5,false),vlookup($A170,Pagos!$B$5:$L1241,4,false)))</f>
        <v>45931</v>
      </c>
      <c r="J170" s="198" t="s">
        <v>523</v>
      </c>
      <c r="K170" s="199">
        <v>44562.0</v>
      </c>
      <c r="L170" s="200"/>
      <c r="M170" s="201"/>
      <c r="N170" s="202"/>
      <c r="O170" s="202"/>
    </row>
    <row r="171">
      <c r="A171" s="192">
        <v>1583.0</v>
      </c>
      <c r="B171" s="193" t="s">
        <v>1043</v>
      </c>
      <c r="C171" s="194" t="s">
        <v>526</v>
      </c>
      <c r="D171" s="193" t="s">
        <v>48</v>
      </c>
      <c r="E171" s="193" t="s">
        <v>1044</v>
      </c>
      <c r="F171" s="195">
        <v>4825804.0</v>
      </c>
      <c r="G171" s="196">
        <v>0.0</v>
      </c>
      <c r="H171" s="193" t="s">
        <v>1045</v>
      </c>
      <c r="I171" s="197" t="str">
        <f>IF(iserror(vlookup($A171,Pagos!$B$5:L1241,4,false)),"Sin actividad",If(vlookup($A171,Pagos!$B$5:$L1241,5,false),vlookup($A171,Pagos!$B$5:$L1241,5,false),vlookup($A171,Pagos!$B$5:$L1241,4,false)))</f>
        <v>Sin actividad</v>
      </c>
      <c r="J171" s="198" t="s">
        <v>529</v>
      </c>
      <c r="K171" s="199">
        <v>42365.0</v>
      </c>
      <c r="L171" s="200">
        <v>44713.0</v>
      </c>
      <c r="M171" s="201" t="s">
        <v>614</v>
      </c>
      <c r="N171" s="202">
        <f>If(L171&gt;K171,   datedif(K171,L171,"Y") , If(K171&lt;Vitalicios!$C$4, datedif(K171,Vitalicios!$C$4,"Y"),0)  )</f>
        <v>6</v>
      </c>
      <c r="O171" s="202"/>
    </row>
    <row r="172">
      <c r="A172" s="192">
        <v>1574.0</v>
      </c>
      <c r="B172" s="193" t="s">
        <v>1046</v>
      </c>
      <c r="C172" s="194" t="s">
        <v>577</v>
      </c>
      <c r="D172" s="193" t="s">
        <v>520</v>
      </c>
      <c r="E172" s="193" t="s">
        <v>1047</v>
      </c>
      <c r="F172" s="195" t="s">
        <v>1048</v>
      </c>
      <c r="G172" s="196">
        <v>0.0</v>
      </c>
      <c r="H172" s="193" t="s">
        <v>1049</v>
      </c>
      <c r="I172" s="197" t="str">
        <f>IF(iserror(vlookup($A172,Pagos!$B$5:L1241,4,false)),"Sin actividad",If(vlookup($A172,Pagos!$B$5:$L1241,5,false),vlookup($A172,Pagos!$B$5:$L1241,5,false),vlookup($A172,Pagos!$B$5:$L1241,4,false)))</f>
        <v>Sin actividad</v>
      </c>
      <c r="J172" s="198" t="s">
        <v>529</v>
      </c>
      <c r="K172" s="199">
        <v>42322.0</v>
      </c>
      <c r="L172" s="200">
        <v>43525.0</v>
      </c>
      <c r="M172" s="201" t="s">
        <v>1050</v>
      </c>
      <c r="N172" s="202">
        <f>If(L172&gt;K172,   datedif(K172,L172,"Y") , If(K172&lt;Vitalicios!$C$4, datedif(K172,Vitalicios!$C$4,"Y"),0)  )</f>
        <v>3</v>
      </c>
      <c r="O172" s="202"/>
    </row>
    <row r="173">
      <c r="A173" s="192">
        <v>1290.0</v>
      </c>
      <c r="B173" s="193" t="s">
        <v>1051</v>
      </c>
      <c r="C173" s="194" t="s">
        <v>577</v>
      </c>
      <c r="D173" s="193" t="s">
        <v>520</v>
      </c>
      <c r="E173" s="193" t="s">
        <v>1052</v>
      </c>
      <c r="F173" s="195">
        <v>1.54947148E8</v>
      </c>
      <c r="G173" s="196">
        <v>0.0</v>
      </c>
      <c r="H173" s="193"/>
      <c r="I173" s="197" t="str">
        <f>IF(iserror(vlookup($A173,Pagos!$B$5:L1241,4,false)),"Sin actividad",If(vlookup($A173,Pagos!$B$5:$L1241,5,false),vlookup($A173,Pagos!$B$5:$L1241,5,false),vlookup($A173,Pagos!$B$5:$L1241,4,false)))</f>
        <v>Sin actividad</v>
      </c>
      <c r="J173" s="198" t="s">
        <v>529</v>
      </c>
      <c r="K173" s="199">
        <v>40300.0</v>
      </c>
      <c r="L173" s="200">
        <v>43525.0</v>
      </c>
      <c r="M173" s="201" t="s">
        <v>1053</v>
      </c>
      <c r="N173" s="202">
        <f>If(L173&gt;K173,   datedif(K173,L173,"Y") , If(K173&lt;Vitalicios!$C$4, datedif(K173,Vitalicios!$C$4,"Y"),0)  )</f>
        <v>8</v>
      </c>
      <c r="O173" s="202"/>
    </row>
    <row r="174">
      <c r="A174" s="192">
        <v>2038.0</v>
      </c>
      <c r="B174" s="193" t="s">
        <v>1054</v>
      </c>
      <c r="C174" s="193" t="s">
        <v>537</v>
      </c>
      <c r="D174" s="193" t="s">
        <v>538</v>
      </c>
      <c r="E174" s="193" t="s">
        <v>1055</v>
      </c>
      <c r="F174" s="195">
        <v>2.215701418E9</v>
      </c>
      <c r="G174" s="196"/>
      <c r="H174" s="193" t="s">
        <v>1056</v>
      </c>
      <c r="I174" s="197"/>
      <c r="J174" s="198" t="s">
        <v>523</v>
      </c>
      <c r="K174" s="199">
        <v>44774.0</v>
      </c>
      <c r="L174" s="200"/>
      <c r="M174" s="201"/>
      <c r="N174" s="202"/>
      <c r="O174" s="202"/>
    </row>
    <row r="175">
      <c r="A175" s="192">
        <v>752.0</v>
      </c>
      <c r="B175" s="193" t="s">
        <v>1057</v>
      </c>
      <c r="C175" s="193" t="s">
        <v>526</v>
      </c>
      <c r="D175" s="193" t="s">
        <v>770</v>
      </c>
      <c r="E175" s="193" t="s">
        <v>1058</v>
      </c>
      <c r="F175" s="195">
        <v>0.0</v>
      </c>
      <c r="G175" s="196">
        <v>0.0</v>
      </c>
      <c r="H175" s="193" t="s">
        <v>1059</v>
      </c>
      <c r="I175" s="197" t="str">
        <f>IF(iserror(vlookup($A175,Pagos!$B$5:L1241,4,false)),"Sin actividad",If(vlookup($A175,Pagos!$B$5:$L1241,5,false),vlookup($A175,Pagos!$B$5:$L1241,5,false),vlookup($A175,Pagos!$B$5:$L1241,4,false)))</f>
        <v>Sin actividad</v>
      </c>
      <c r="J175" s="198" t="s">
        <v>529</v>
      </c>
      <c r="K175" s="199">
        <v>36062.0</v>
      </c>
      <c r="L175" s="200">
        <v>44136.0</v>
      </c>
      <c r="M175" s="201" t="s">
        <v>1060</v>
      </c>
      <c r="N175" s="202">
        <f>If(L175&gt;K175,   datedif(K175,L175,"Y") , If(K175&lt;Vitalicios!$C$4, datedif(K175,Vitalicios!$C$4,"Y"),0)  )</f>
        <v>22</v>
      </c>
      <c r="O175" s="202"/>
    </row>
    <row r="176">
      <c r="A176" s="192">
        <v>1859.0</v>
      </c>
      <c r="B176" s="193" t="s">
        <v>1061</v>
      </c>
      <c r="C176" s="193" t="s">
        <v>537</v>
      </c>
      <c r="D176" s="193" t="s">
        <v>538</v>
      </c>
      <c r="E176" s="193" t="s">
        <v>1062</v>
      </c>
      <c r="F176" s="195">
        <v>2.215033427E9</v>
      </c>
      <c r="G176" s="196"/>
      <c r="H176" s="193" t="s">
        <v>1063</v>
      </c>
      <c r="I176" s="197">
        <f>IF(iserror(vlookup($A176,Pagos!$B$5:L1241,4,false)),"Sin actividad",If(vlookup($A176,Pagos!$B$5:$L1241,5,false),vlookup($A176,Pagos!$B$5:$L1241,5,false),vlookup($A176,Pagos!$B$5:$L1241,4,false)))</f>
        <v>45870</v>
      </c>
      <c r="J176" s="198" t="s">
        <v>523</v>
      </c>
      <c r="K176" s="199">
        <v>44177.0</v>
      </c>
      <c r="L176" s="200"/>
      <c r="M176" s="201"/>
      <c r="N176" s="202"/>
      <c r="O176" s="202"/>
    </row>
    <row r="177">
      <c r="A177" s="192">
        <v>1585.0</v>
      </c>
      <c r="B177" s="193" t="s">
        <v>1064</v>
      </c>
      <c r="C177" s="194" t="s">
        <v>526</v>
      </c>
      <c r="D177" s="193" t="s">
        <v>709</v>
      </c>
      <c r="E177" s="193" t="s">
        <v>1065</v>
      </c>
      <c r="F177" s="195">
        <v>1.55904326E8</v>
      </c>
      <c r="G177" s="196"/>
      <c r="H177" s="193" t="s">
        <v>1066</v>
      </c>
      <c r="I177" s="197" t="str">
        <f>IF(iserror(vlookup($A177,Pagos!$B$5:L1241,4,false)),"Sin actividad",If(vlookup($A177,Pagos!$B$5:$L1241,5,false),vlookup($A177,Pagos!$B$5:$L1241,5,false),vlookup($A177,Pagos!$B$5:$L1241,4,false)))</f>
        <v>Sin actividad</v>
      </c>
      <c r="J177" s="198" t="s">
        <v>529</v>
      </c>
      <c r="K177" s="199">
        <v>42371.0</v>
      </c>
      <c r="L177" s="200"/>
      <c r="M177" s="201"/>
      <c r="N177" s="202">
        <f>If(L177&gt;K177,   datedif(K177,L177,"Y") , If(K177&lt;Vitalicios!$C$4, datedif(K177,Vitalicios!$C$4,"Y"),0)  )</f>
        <v>9</v>
      </c>
      <c r="O177" s="202"/>
    </row>
    <row r="178">
      <c r="A178" s="192">
        <v>1737.0</v>
      </c>
      <c r="B178" s="193" t="s">
        <v>1067</v>
      </c>
      <c r="C178" s="194" t="s">
        <v>519</v>
      </c>
      <c r="D178" s="193" t="s">
        <v>538</v>
      </c>
      <c r="E178" s="193" t="s">
        <v>1068</v>
      </c>
      <c r="F178" s="195">
        <v>6415806.0</v>
      </c>
      <c r="G178" s="196"/>
      <c r="H178" s="193" t="s">
        <v>1069</v>
      </c>
      <c r="I178" s="197">
        <f>IF(iserror(vlookup($A178,Pagos!$B$5:L1241,4,false)),"Sin actividad",If(vlookup($A178,Pagos!$B$5:$L1241,5,false),vlookup($A178,Pagos!$B$5:$L1241,5,false),vlookup($A178,Pagos!$B$5:$L1241,4,false)))</f>
        <v>45992</v>
      </c>
      <c r="J178" s="198" t="s">
        <v>523</v>
      </c>
      <c r="K178" s="199">
        <v>43556.0</v>
      </c>
      <c r="L178" s="200"/>
      <c r="M178" s="201"/>
      <c r="N178" s="202">
        <f>If(L178&gt;K178,   datedif(K178,L178,"Y") , If(K178&lt;Vitalicios!$C$4, datedif(K178,Vitalicios!$C$4,"Y"),0)  )</f>
        <v>6</v>
      </c>
      <c r="O178" s="202"/>
    </row>
    <row r="179">
      <c r="A179" s="192">
        <v>2152.0</v>
      </c>
      <c r="B179" s="193" t="s">
        <v>1070</v>
      </c>
      <c r="C179" s="193" t="s">
        <v>537</v>
      </c>
      <c r="D179" s="193" t="s">
        <v>485</v>
      </c>
      <c r="E179" s="193" t="s">
        <v>1071</v>
      </c>
      <c r="F179" s="195">
        <v>2.804727107E9</v>
      </c>
      <c r="G179" s="196"/>
      <c r="H179" s="193" t="s">
        <v>1072</v>
      </c>
      <c r="I179" s="197"/>
      <c r="J179" s="198" t="s">
        <v>529</v>
      </c>
      <c r="K179" s="199">
        <v>44986.0</v>
      </c>
      <c r="L179" s="206" t="s">
        <v>1073</v>
      </c>
      <c r="M179" s="201" t="s">
        <v>614</v>
      </c>
      <c r="N179" s="202"/>
      <c r="O179" s="202"/>
    </row>
    <row r="180">
      <c r="A180" s="192">
        <v>1960.0</v>
      </c>
      <c r="B180" s="193" t="s">
        <v>1074</v>
      </c>
      <c r="C180" s="193" t="s">
        <v>537</v>
      </c>
      <c r="D180" s="193" t="s">
        <v>549</v>
      </c>
      <c r="E180" s="193" t="s">
        <v>1075</v>
      </c>
      <c r="F180" s="195">
        <v>2.215118059E9</v>
      </c>
      <c r="G180" s="196"/>
      <c r="H180" s="193" t="s">
        <v>1076</v>
      </c>
      <c r="I180" s="197">
        <f>IF(iserror(vlookup($A180,Pagos!$B$5:L1241,4,false)),"Sin actividad",If(vlookup($A180,Pagos!$B$5:$L1241,5,false),vlookup($A180,Pagos!$B$5:$L1241,5,false),vlookup($A180,Pagos!$B$5:$L1241,4,false)))</f>
        <v>45870</v>
      </c>
      <c r="J180" s="198" t="s">
        <v>523</v>
      </c>
      <c r="K180" s="199">
        <v>44531.0</v>
      </c>
      <c r="L180" s="200"/>
      <c r="M180" s="201"/>
      <c r="N180" s="202"/>
      <c r="O180" s="202"/>
    </row>
    <row r="181">
      <c r="A181" s="192">
        <v>1501.0</v>
      </c>
      <c r="B181" s="193" t="s">
        <v>1077</v>
      </c>
      <c r="C181" s="193" t="s">
        <v>537</v>
      </c>
      <c r="D181" s="193" t="s">
        <v>48</v>
      </c>
      <c r="E181" s="193" t="s">
        <v>1078</v>
      </c>
      <c r="F181" s="195">
        <v>1.55481194E8</v>
      </c>
      <c r="G181" s="196">
        <v>0.0</v>
      </c>
      <c r="H181" s="193" t="s">
        <v>1079</v>
      </c>
      <c r="I181" s="197">
        <f>IF(iserror(vlookup($A181,Pagos!$B$5:L1241,4,false)),"Sin actividad",If(vlookup($A181,Pagos!$B$5:$L1241,5,false),vlookup($A181,Pagos!$B$5:$L1241,5,false),vlookup($A181,Pagos!$B$5:$L1241,4,false)))</f>
        <v>45870</v>
      </c>
      <c r="J181" s="198" t="s">
        <v>529</v>
      </c>
      <c r="K181" s="199">
        <v>41707.0</v>
      </c>
      <c r="L181" s="200">
        <v>43374.0</v>
      </c>
      <c r="M181" s="201" t="s">
        <v>861</v>
      </c>
      <c r="N181" s="202">
        <f>If(L181&gt;K181,   datedif(K181,L181,"Y") , If(K181&lt;Vitalicios!$C$4, datedif(K181,Vitalicios!$C$4,"Y"),0)  )</f>
        <v>4</v>
      </c>
      <c r="O181" s="202"/>
    </row>
    <row r="182">
      <c r="A182" s="192">
        <v>1387.0</v>
      </c>
      <c r="B182" s="193" t="s">
        <v>1080</v>
      </c>
      <c r="C182" s="194" t="s">
        <v>526</v>
      </c>
      <c r="D182" s="193" t="s">
        <v>527</v>
      </c>
      <c r="E182" s="193">
        <v>0.0</v>
      </c>
      <c r="F182" s="195">
        <v>0.0</v>
      </c>
      <c r="G182" s="196">
        <v>0.0</v>
      </c>
      <c r="H182" s="193"/>
      <c r="I182" s="197" t="str">
        <f>IF(iserror(vlookup($A182,Pagos!$B$5:L1241,4,false)),"Sin actividad",If(vlookup($A182,Pagos!$B$5:$L1241,5,false),vlookup($A182,Pagos!$B$5:$L1241,5,false),vlookup($A182,Pagos!$B$5:$L1241,4,false)))</f>
        <v>Sin actividad</v>
      </c>
      <c r="J182" s="198" t="s">
        <v>529</v>
      </c>
      <c r="K182" s="199">
        <v>40880.0</v>
      </c>
      <c r="L182" s="200"/>
      <c r="M182" s="201"/>
      <c r="N182" s="202">
        <f>If(L182&gt;K182,   datedif(K182,L182,"Y") , If(K182&lt;Vitalicios!$C$4, datedif(K182,Vitalicios!$C$4,"Y"),0)  )</f>
        <v>13</v>
      </c>
      <c r="O182" s="202"/>
    </row>
    <row r="183">
      <c r="A183" s="192">
        <v>1575.0</v>
      </c>
      <c r="B183" s="193" t="s">
        <v>1081</v>
      </c>
      <c r="C183" s="194" t="s">
        <v>526</v>
      </c>
      <c r="D183" s="193" t="s">
        <v>1082</v>
      </c>
      <c r="E183" s="193" t="s">
        <v>1083</v>
      </c>
      <c r="F183" s="195">
        <v>1.164643419E9</v>
      </c>
      <c r="G183" s="196">
        <v>0.0</v>
      </c>
      <c r="H183" s="193" t="s">
        <v>1084</v>
      </c>
      <c r="I183" s="197" t="str">
        <f>IF(iserror(vlookup($A183,Pagos!$B$5:L1241,4,false)),"Sin actividad",If(vlookup($A183,Pagos!$B$5:$L1241,5,false),vlookup($A183,Pagos!$B$5:$L1241,5,false),vlookup($A183,Pagos!$B$5:$L1241,4,false)))</f>
        <v>Sin actividad</v>
      </c>
      <c r="J183" s="198" t="s">
        <v>529</v>
      </c>
      <c r="K183" s="199">
        <v>42323.0</v>
      </c>
      <c r="L183" s="200"/>
      <c r="M183" s="201" t="s">
        <v>1085</v>
      </c>
      <c r="N183" s="202">
        <f>If(L183&gt;K183,   datedif(K183,L183,"Y") , If(K183&lt;Vitalicios!$C$4, datedif(K183,Vitalicios!$C$4,"Y"),0)  )</f>
        <v>9</v>
      </c>
      <c r="O183" s="202"/>
    </row>
    <row r="184">
      <c r="A184" s="192">
        <v>2013.0</v>
      </c>
      <c r="B184" s="193" t="s">
        <v>1086</v>
      </c>
      <c r="C184" s="193" t="s">
        <v>537</v>
      </c>
      <c r="D184" s="193" t="s">
        <v>538</v>
      </c>
      <c r="E184" s="205" t="s">
        <v>1087</v>
      </c>
      <c r="F184" s="195">
        <v>1.163730574E9</v>
      </c>
      <c r="G184" s="196"/>
      <c r="H184" s="193" t="s">
        <v>1088</v>
      </c>
      <c r="I184" s="197">
        <f>IF(iserror(vlookup($A184,Pagos!$B$5:L1241,4,false)),"Sin actividad",If(vlookup($A184,Pagos!$B$5:$L1241,5,false),vlookup($A184,Pagos!$B$5:$L1241,5,false),vlookup($A184,Pagos!$B$5:$L1241,4,false)))</f>
        <v>45870</v>
      </c>
      <c r="J184" s="198" t="s">
        <v>523</v>
      </c>
      <c r="K184" s="199">
        <v>44652.0</v>
      </c>
      <c r="L184" s="200"/>
      <c r="M184" s="201"/>
      <c r="N184" s="202"/>
      <c r="O184" s="202"/>
    </row>
    <row r="185">
      <c r="A185" s="192">
        <v>2283.0</v>
      </c>
      <c r="B185" s="193" t="s">
        <v>1089</v>
      </c>
      <c r="C185" s="193" t="s">
        <v>537</v>
      </c>
      <c r="D185" s="193" t="s">
        <v>1090</v>
      </c>
      <c r="E185" s="205" t="s">
        <v>1091</v>
      </c>
      <c r="F185" s="195">
        <v>2.215343702E9</v>
      </c>
      <c r="G185" s="196"/>
      <c r="H185" s="193" t="s">
        <v>1092</v>
      </c>
      <c r="I185" s="197"/>
      <c r="J185" s="198" t="s">
        <v>523</v>
      </c>
      <c r="K185" s="199">
        <v>45566.0</v>
      </c>
      <c r="L185" s="200"/>
      <c r="M185" s="201"/>
      <c r="N185" s="202"/>
      <c r="O185" s="202"/>
    </row>
    <row r="186">
      <c r="A186" s="192">
        <v>1939.0</v>
      </c>
      <c r="B186" s="193" t="s">
        <v>1093</v>
      </c>
      <c r="C186" s="193" t="s">
        <v>537</v>
      </c>
      <c r="D186" s="193" t="s">
        <v>628</v>
      </c>
      <c r="E186" s="205" t="s">
        <v>1094</v>
      </c>
      <c r="F186" s="195">
        <v>2.214186369E9</v>
      </c>
      <c r="G186" s="196"/>
      <c r="H186" s="193" t="s">
        <v>1095</v>
      </c>
      <c r="I186" s="197">
        <f>IF(iserror(vlookup($A186,Pagos!$B$5:L1241,4,false)),"Sin actividad",If(vlookup($A186,Pagos!$B$5:$L1241,5,false),vlookup($A186,Pagos!$B$5:$L1241,5,false),vlookup($A186,Pagos!$B$5:$L1241,4,false)))</f>
        <v>45870</v>
      </c>
      <c r="J186" s="198" t="s">
        <v>523</v>
      </c>
      <c r="K186" s="199">
        <v>44501.0</v>
      </c>
      <c r="L186" s="200"/>
      <c r="M186" s="201" t="s">
        <v>1096</v>
      </c>
      <c r="N186" s="202"/>
      <c r="O186" s="202"/>
    </row>
    <row r="187">
      <c r="A187" s="192">
        <v>1940.0</v>
      </c>
      <c r="B187" s="193" t="s">
        <v>1097</v>
      </c>
      <c r="C187" s="193" t="s">
        <v>537</v>
      </c>
      <c r="D187" s="193" t="s">
        <v>628</v>
      </c>
      <c r="E187" s="205" t="s">
        <v>1098</v>
      </c>
      <c r="F187" s="195">
        <v>2.215678544E9</v>
      </c>
      <c r="G187" s="196"/>
      <c r="H187" s="193" t="s">
        <v>1099</v>
      </c>
      <c r="I187" s="197" t="str">
        <f>IF(iserror(vlookup($A187,Pagos!$B$5:L1241,4,false)),"Sin actividad",If(vlookup($A187,Pagos!$B$5:$L1241,5,false),vlookup($A187,Pagos!$B$5:$L1241,5,false),vlookup($A187,Pagos!$B$5:$L1241,4,false)))</f>
        <v>Sin actividad</v>
      </c>
      <c r="J187" s="198" t="s">
        <v>529</v>
      </c>
      <c r="K187" s="199">
        <v>44501.0</v>
      </c>
      <c r="L187" s="200"/>
      <c r="M187" s="201" t="s">
        <v>1100</v>
      </c>
      <c r="N187" s="202"/>
      <c r="O187" s="202"/>
    </row>
    <row r="188">
      <c r="A188" s="192">
        <v>2365.0</v>
      </c>
      <c r="B188" s="193" t="s">
        <v>1101</v>
      </c>
      <c r="C188" s="193" t="s">
        <v>537</v>
      </c>
      <c r="D188" s="193" t="s">
        <v>485</v>
      </c>
      <c r="E188" s="205" t="s">
        <v>1102</v>
      </c>
      <c r="F188" s="195">
        <v>6393588.0</v>
      </c>
      <c r="G188" s="196"/>
      <c r="H188" s="193" t="s">
        <v>1103</v>
      </c>
      <c r="I188" s="197"/>
      <c r="J188" s="198" t="s">
        <v>523</v>
      </c>
      <c r="K188" s="199">
        <v>45748.0</v>
      </c>
      <c r="L188" s="200"/>
      <c r="M188" s="201"/>
      <c r="N188" s="202"/>
      <c r="O188" s="202"/>
    </row>
    <row r="189">
      <c r="A189" s="192">
        <v>2299.0</v>
      </c>
      <c r="B189" s="193" t="s">
        <v>1104</v>
      </c>
      <c r="C189" s="193" t="s">
        <v>537</v>
      </c>
      <c r="D189" s="193" t="s">
        <v>538</v>
      </c>
      <c r="E189" s="205" t="s">
        <v>1105</v>
      </c>
      <c r="F189" s="195">
        <v>2.214371093E9</v>
      </c>
      <c r="G189" s="196"/>
      <c r="H189" s="193" t="s">
        <v>1106</v>
      </c>
      <c r="I189" s="197"/>
      <c r="J189" s="198" t="s">
        <v>523</v>
      </c>
      <c r="K189" s="199">
        <v>45627.0</v>
      </c>
      <c r="L189" s="200"/>
      <c r="M189" s="201"/>
      <c r="N189" s="202"/>
      <c r="O189" s="202"/>
    </row>
    <row r="190">
      <c r="A190" s="192">
        <v>1549.0</v>
      </c>
      <c r="B190" s="193" t="s">
        <v>1107</v>
      </c>
      <c r="C190" s="194" t="s">
        <v>577</v>
      </c>
      <c r="D190" s="193" t="s">
        <v>770</v>
      </c>
      <c r="E190" s="193" t="s">
        <v>1108</v>
      </c>
      <c r="F190" s="195">
        <v>1.55452052E8</v>
      </c>
      <c r="G190" s="196"/>
      <c r="H190" s="193" t="s">
        <v>1109</v>
      </c>
      <c r="I190" s="197" t="str">
        <f>IF(iserror(vlookup($A190,Pagos!$B$5:L1241,4,false)),"Sin actividad",If(vlookup($A190,Pagos!$B$5:$L1241,5,false),vlookup($A190,Pagos!$B$5:$L1241,5,false),vlookup($A190,Pagos!$B$5:$L1241,4,false)))</f>
        <v>Sin actividad</v>
      </c>
      <c r="J190" s="198" t="s">
        <v>529</v>
      </c>
      <c r="K190" s="199">
        <v>42049.0</v>
      </c>
      <c r="L190" s="200">
        <v>43374.0</v>
      </c>
      <c r="M190" s="201" t="s">
        <v>560</v>
      </c>
      <c r="N190" s="202">
        <f>If(L190&gt;K190,   datedif(K190,L190,"Y") , If(K190&lt;Vitalicios!$C$4, datedif(K190,Vitalicios!$C$4,"Y"),0)  )</f>
        <v>3</v>
      </c>
      <c r="O190" s="202"/>
    </row>
    <row r="191">
      <c r="A191" s="192">
        <v>813.0</v>
      </c>
      <c r="B191" s="193" t="s">
        <v>1110</v>
      </c>
      <c r="C191" s="194" t="s">
        <v>564</v>
      </c>
      <c r="D191" s="193" t="s">
        <v>520</v>
      </c>
      <c r="E191" s="193" t="s">
        <v>1111</v>
      </c>
      <c r="F191" s="195">
        <v>4505075.0</v>
      </c>
      <c r="G191" s="196">
        <v>1.54115579E8</v>
      </c>
      <c r="H191" s="193"/>
      <c r="I191" s="197" t="str">
        <f>IF(iserror(vlookup($A191,Pagos!$B$5:L1241,4,false)),"Sin actividad",If(vlookup($A191,Pagos!$B$5:$L1241,5,false),vlookup($A191,Pagos!$B$5:$L1241,5,false),vlookup($A191,Pagos!$B$5:$L1241,4,false)))</f>
        <v>Sin actividad</v>
      </c>
      <c r="J191" s="198" t="s">
        <v>529</v>
      </c>
      <c r="K191" s="199">
        <v>36548.0</v>
      </c>
      <c r="L191" s="200">
        <v>41883.0</v>
      </c>
      <c r="M191" s="201"/>
      <c r="N191" s="202">
        <f>If(L191&gt;K191,   datedif(K191,L191,"Y") , If(K191&lt;Vitalicios!$C$4, datedif(K191,Vitalicios!$C$4,"Y"),0)  )</f>
        <v>14</v>
      </c>
      <c r="O191" s="202"/>
    </row>
    <row r="192">
      <c r="A192" s="192">
        <v>2041.0</v>
      </c>
      <c r="B192" s="193" t="s">
        <v>1112</v>
      </c>
      <c r="C192" s="193" t="s">
        <v>537</v>
      </c>
      <c r="D192" s="193" t="s">
        <v>538</v>
      </c>
      <c r="E192" s="193" t="s">
        <v>1113</v>
      </c>
      <c r="F192" s="195">
        <v>2.216191258E9</v>
      </c>
      <c r="G192" s="196"/>
      <c r="H192" s="193" t="s">
        <v>1114</v>
      </c>
      <c r="I192" s="197"/>
      <c r="J192" s="198" t="s">
        <v>523</v>
      </c>
      <c r="K192" s="199">
        <v>44774.0</v>
      </c>
      <c r="L192" s="200"/>
      <c r="M192" s="201"/>
      <c r="N192" s="202"/>
      <c r="O192" s="202"/>
    </row>
    <row r="193">
      <c r="A193" s="192">
        <v>2082.0</v>
      </c>
      <c r="B193" s="193" t="s">
        <v>1115</v>
      </c>
      <c r="C193" s="193" t="s">
        <v>537</v>
      </c>
      <c r="D193" s="193" t="s">
        <v>532</v>
      </c>
      <c r="E193" s="193" t="s">
        <v>1116</v>
      </c>
      <c r="F193" s="195">
        <v>2.216471306E9</v>
      </c>
      <c r="G193" s="196"/>
      <c r="H193" s="193" t="s">
        <v>1117</v>
      </c>
      <c r="I193" s="197"/>
      <c r="J193" s="198" t="s">
        <v>523</v>
      </c>
      <c r="K193" s="199">
        <v>44835.0</v>
      </c>
      <c r="L193" s="200"/>
      <c r="M193" s="201"/>
      <c r="N193" s="202"/>
      <c r="O193" s="202"/>
    </row>
    <row r="194">
      <c r="A194" s="192">
        <v>605.0</v>
      </c>
      <c r="B194" s="193" t="s">
        <v>1118</v>
      </c>
      <c r="C194" s="194" t="s">
        <v>526</v>
      </c>
      <c r="D194" s="193" t="s">
        <v>520</v>
      </c>
      <c r="E194" s="193" t="s">
        <v>1119</v>
      </c>
      <c r="F194" s="195">
        <v>0.0</v>
      </c>
      <c r="G194" s="196">
        <v>0.0</v>
      </c>
      <c r="H194" s="193" t="s">
        <v>1120</v>
      </c>
      <c r="I194" s="197">
        <f>IF(iserror(vlookup($A194,Pagos!$B$5:L1241,4,false)),"Sin actividad",If(vlookup($A194,Pagos!$B$5:$L1241,5,false),vlookup($A194,Pagos!$B$5:$L1241,5,false),vlookup($A194,Pagos!$B$5:$L1241,4,false)))</f>
        <v>45870</v>
      </c>
      <c r="J194" s="198" t="s">
        <v>523</v>
      </c>
      <c r="K194" s="199">
        <v>34216.0</v>
      </c>
      <c r="L194" s="200"/>
      <c r="M194" s="201" t="s">
        <v>1121</v>
      </c>
      <c r="N194" s="202">
        <f>If(L194&gt;K194,   datedif(K194,L194,"Y") , If(K194&lt;Vitalicios!$C$4, datedif(K194,Vitalicios!$C$4,"Y"),0)  )</f>
        <v>32</v>
      </c>
      <c r="O194" s="202"/>
    </row>
    <row r="195">
      <c r="A195" s="192">
        <v>2197.0</v>
      </c>
      <c r="B195" s="193" t="s">
        <v>1122</v>
      </c>
      <c r="C195" s="193" t="s">
        <v>537</v>
      </c>
      <c r="D195" s="193"/>
      <c r="E195" s="193"/>
      <c r="F195" s="195">
        <v>2.215909825E9</v>
      </c>
      <c r="G195" s="196"/>
      <c r="H195" s="193" t="s">
        <v>1123</v>
      </c>
      <c r="I195" s="197"/>
      <c r="J195" s="198" t="s">
        <v>529</v>
      </c>
      <c r="K195" s="199">
        <v>45139.0</v>
      </c>
      <c r="L195" s="200">
        <v>45505.0</v>
      </c>
      <c r="M195" s="201" t="s">
        <v>703</v>
      </c>
      <c r="N195" s="202"/>
      <c r="O195" s="202"/>
    </row>
    <row r="196" ht="25.5" customHeight="1">
      <c r="A196" s="192">
        <v>1490.0</v>
      </c>
      <c r="B196" s="193" t="s">
        <v>1124</v>
      </c>
      <c r="C196" s="194" t="s">
        <v>526</v>
      </c>
      <c r="D196" s="193" t="s">
        <v>556</v>
      </c>
      <c r="E196" s="193" t="s">
        <v>1125</v>
      </c>
      <c r="F196" s="195">
        <v>0.0</v>
      </c>
      <c r="G196" s="196" t="s">
        <v>1126</v>
      </c>
      <c r="H196" s="193"/>
      <c r="I196" s="197" t="str">
        <f>IF(iserror(vlookup($A196,Pagos!$B$5:L1241,4,false)),"Sin actividad",If(vlookup($A196,Pagos!$B$5:$L1241,5,false),vlookup($A196,Pagos!$B$5:$L1241,5,false),vlookup($A196,Pagos!$B$5:$L1241,4,false)))</f>
        <v>Sin actividad</v>
      </c>
      <c r="J196" s="198" t="s">
        <v>529</v>
      </c>
      <c r="K196" s="199">
        <v>41665.0</v>
      </c>
      <c r="L196" s="200">
        <v>43374.0</v>
      </c>
      <c r="M196" s="201" t="s">
        <v>560</v>
      </c>
      <c r="N196" s="202">
        <f>If(L196&gt;K196,   datedif(K196,L196,"Y") , If(K196&lt;Vitalicios!$C$4, datedif(K196,Vitalicios!$C$4,"Y"),0)  )</f>
        <v>4</v>
      </c>
      <c r="O196" s="202"/>
    </row>
    <row r="197" ht="25.5" customHeight="1">
      <c r="A197" s="192">
        <v>2078.0</v>
      </c>
      <c r="B197" s="193" t="s">
        <v>1127</v>
      </c>
      <c r="C197" s="193" t="s">
        <v>537</v>
      </c>
      <c r="D197" s="193" t="s">
        <v>538</v>
      </c>
      <c r="E197" s="193" t="s">
        <v>1128</v>
      </c>
      <c r="F197" s="195">
        <v>2.216002851E9</v>
      </c>
      <c r="G197" s="196"/>
      <c r="H197" s="193" t="s">
        <v>1129</v>
      </c>
      <c r="I197" s="197"/>
      <c r="J197" s="198" t="s">
        <v>523</v>
      </c>
      <c r="K197" s="199">
        <v>44835.0</v>
      </c>
      <c r="L197" s="200"/>
      <c r="M197" s="201"/>
      <c r="N197" s="202"/>
      <c r="O197" s="202"/>
    </row>
    <row r="198" ht="25.5" customHeight="1">
      <c r="A198" s="192">
        <v>2302.0</v>
      </c>
      <c r="B198" s="193" t="s">
        <v>1130</v>
      </c>
      <c r="C198" s="193" t="s">
        <v>537</v>
      </c>
      <c r="D198" s="193" t="s">
        <v>538</v>
      </c>
      <c r="E198" s="193" t="s">
        <v>1131</v>
      </c>
      <c r="F198" s="195">
        <v>2.216403652E9</v>
      </c>
      <c r="G198" s="196"/>
      <c r="H198" s="193" t="s">
        <v>1132</v>
      </c>
      <c r="I198" s="197"/>
      <c r="J198" s="198" t="s">
        <v>523</v>
      </c>
      <c r="K198" s="199">
        <v>45627.0</v>
      </c>
      <c r="L198" s="200"/>
      <c r="M198" s="201"/>
      <c r="N198" s="202"/>
      <c r="O198" s="202"/>
    </row>
    <row r="199">
      <c r="A199" s="192">
        <v>1676.0</v>
      </c>
      <c r="B199" s="193" t="s">
        <v>1133</v>
      </c>
      <c r="C199" s="194" t="s">
        <v>519</v>
      </c>
      <c r="D199" s="193" t="s">
        <v>538</v>
      </c>
      <c r="E199" s="193" t="s">
        <v>1134</v>
      </c>
      <c r="F199" s="195">
        <v>1.55525541E8</v>
      </c>
      <c r="G199" s="196"/>
      <c r="H199" s="193" t="s">
        <v>1135</v>
      </c>
      <c r="I199" s="197" t="str">
        <f>IF(iserror(vlookup($A199,Pagos!$B$5:L1241,4,false)),"Sin actividad",If(vlookup($A199,Pagos!$B$5:$L1241,5,false),vlookup($A199,Pagos!$B$5:$L1241,5,false),vlookup($A199,Pagos!$B$5:$L1241,4,false)))</f>
        <v>Sin actividad</v>
      </c>
      <c r="J199" s="198" t="s">
        <v>529</v>
      </c>
      <c r="K199" s="199">
        <v>43101.0</v>
      </c>
      <c r="L199" s="200">
        <v>44470.0</v>
      </c>
      <c r="M199" s="201" t="s">
        <v>1136</v>
      </c>
      <c r="N199" s="202">
        <f>If(L199&gt;K199,   datedif(K199,L199,"Y") , If(K199&lt;Vitalicios!$C$4, datedif(K199,Vitalicios!$C$4,"Y"),0)  )</f>
        <v>3</v>
      </c>
      <c r="O199" s="202"/>
    </row>
    <row r="200">
      <c r="A200" s="192">
        <v>2088.0</v>
      </c>
      <c r="B200" s="193" t="s">
        <v>1137</v>
      </c>
      <c r="C200" s="193" t="s">
        <v>537</v>
      </c>
      <c r="D200" s="193" t="s">
        <v>666</v>
      </c>
      <c r="E200" s="193" t="s">
        <v>1138</v>
      </c>
      <c r="F200" s="195">
        <v>4332328.0</v>
      </c>
      <c r="G200" s="196"/>
      <c r="H200" s="193" t="s">
        <v>1139</v>
      </c>
      <c r="I200" s="197"/>
      <c r="J200" s="198" t="s">
        <v>529</v>
      </c>
      <c r="K200" s="199">
        <v>44866.0</v>
      </c>
      <c r="L200" s="203">
        <v>45017.0</v>
      </c>
      <c r="M200" s="201" t="s">
        <v>535</v>
      </c>
      <c r="N200" s="202"/>
      <c r="O200" s="202"/>
    </row>
    <row r="201">
      <c r="A201" s="192">
        <v>1754.0</v>
      </c>
      <c r="B201" s="193" t="s">
        <v>1140</v>
      </c>
      <c r="C201" s="194" t="s">
        <v>519</v>
      </c>
      <c r="D201" s="193" t="s">
        <v>709</v>
      </c>
      <c r="E201" s="193" t="s">
        <v>1141</v>
      </c>
      <c r="F201" s="195">
        <v>1.56732519E8</v>
      </c>
      <c r="G201" s="196"/>
      <c r="H201" s="193" t="s">
        <v>1142</v>
      </c>
      <c r="I201" s="197" t="str">
        <f>IF(iserror(vlookup($A201,Pagos!$B$5:L1241,4,false)),"Sin actividad",If(vlookup($A201,Pagos!$B$5:$L1241,5,false),vlookup($A201,Pagos!$B$5:$L1241,5,false),vlookup($A201,Pagos!$B$5:$L1241,4,false)))</f>
        <v>Sin actividad</v>
      </c>
      <c r="J201" s="198" t="s">
        <v>529</v>
      </c>
      <c r="K201" s="199">
        <v>43739.0</v>
      </c>
      <c r="L201" s="200">
        <v>44621.0</v>
      </c>
      <c r="M201" s="201" t="s">
        <v>535</v>
      </c>
      <c r="N201" s="202">
        <f>If(L201&gt;K201,   datedif(K201,L201,"Y") , If(K201&lt;Vitalicios!$C$4, datedif(K201,Vitalicios!$C$4,"Y"),0)  )</f>
        <v>2</v>
      </c>
      <c r="O201" s="202"/>
    </row>
    <row r="202">
      <c r="A202" s="192">
        <v>389.0</v>
      </c>
      <c r="B202" s="193" t="s">
        <v>1143</v>
      </c>
      <c r="C202" s="194" t="s">
        <v>577</v>
      </c>
      <c r="D202" s="193" t="s">
        <v>556</v>
      </c>
      <c r="E202" s="193" t="s">
        <v>1144</v>
      </c>
      <c r="F202" s="195">
        <v>4252384.0</v>
      </c>
      <c r="G202" s="196">
        <v>1.55908598E8</v>
      </c>
      <c r="H202" s="193"/>
      <c r="I202" s="197">
        <f>IF(iserror(vlookup($A202,Pagos!$B$5:L1241,4,false)),"Sin actividad",If(vlookup($A202,Pagos!$B$5:$L1241,5,false),vlookup($A202,Pagos!$B$5:$L1241,5,false),vlookup($A202,Pagos!$B$5:$L1241,4,false)))</f>
        <v>45870</v>
      </c>
      <c r="J202" s="198" t="s">
        <v>846</v>
      </c>
      <c r="K202" s="199">
        <v>32474.0</v>
      </c>
      <c r="L202" s="200"/>
      <c r="M202" s="201"/>
      <c r="N202" s="202">
        <f>If(L202&gt;K202,   datedif(K202,L202,"Y") , If(K202&lt;Vitalicios!$C$4, datedif(K202,Vitalicios!$C$4,"Y"),0)  )</f>
        <v>36</v>
      </c>
      <c r="O202" s="202"/>
    </row>
    <row r="203">
      <c r="A203" s="192">
        <v>1668.0</v>
      </c>
      <c r="B203" s="193" t="s">
        <v>1145</v>
      </c>
      <c r="C203" s="194" t="s">
        <v>519</v>
      </c>
      <c r="D203" s="193" t="s">
        <v>520</v>
      </c>
      <c r="E203" s="193" t="s">
        <v>1146</v>
      </c>
      <c r="F203" s="195">
        <v>1.54810606E8</v>
      </c>
      <c r="G203" s="196"/>
      <c r="H203" s="193"/>
      <c r="I203" s="197" t="str">
        <f>IF(iserror(vlookup($A203,Pagos!$B$5:L1241,4,false)),"Sin actividad",If(vlookup($A203,Pagos!$B$5:$L1241,5,false),vlookup($A203,Pagos!$B$5:$L1241,5,false),vlookup($A203,Pagos!$B$5:$L1241,4,false)))</f>
        <v>Sin actividad</v>
      </c>
      <c r="J203" s="198" t="s">
        <v>529</v>
      </c>
      <c r="K203" s="199">
        <v>43045.0</v>
      </c>
      <c r="L203" s="200">
        <v>45413.0</v>
      </c>
      <c r="M203" s="201" t="s">
        <v>1147</v>
      </c>
      <c r="N203" s="202">
        <f>If(L203&gt;K203,   datedif(K203,L203,"Y") , If(K203&lt;Vitalicios!$C$4, datedif(K203,Vitalicios!$C$4,"Y"),0)  )</f>
        <v>6</v>
      </c>
      <c r="O203" s="202"/>
    </row>
    <row r="204">
      <c r="A204" s="192">
        <v>1464.0</v>
      </c>
      <c r="B204" s="193" t="s">
        <v>1148</v>
      </c>
      <c r="C204" s="194" t="s">
        <v>526</v>
      </c>
      <c r="D204" s="193" t="s">
        <v>693</v>
      </c>
      <c r="E204" s="193" t="s">
        <v>1149</v>
      </c>
      <c r="F204" s="195">
        <v>1.146998333E9</v>
      </c>
      <c r="G204" s="196"/>
      <c r="H204" s="193"/>
      <c r="I204" s="197" t="str">
        <f>IF(iserror(vlookup($A204,Pagos!$B$5:L1241,4,false)),"Sin actividad",If(vlookup($A204,Pagos!$B$5:$L1241,5,false),vlookup($A204,Pagos!$B$5:$L1241,5,false),vlookup($A204,Pagos!$B$5:$L1241,4,false)))</f>
        <v>Sin actividad</v>
      </c>
      <c r="J204" s="198" t="s">
        <v>529</v>
      </c>
      <c r="K204" s="199">
        <v>41461.0</v>
      </c>
      <c r="L204" s="200">
        <v>43617.0</v>
      </c>
      <c r="M204" s="201"/>
      <c r="N204" s="202">
        <f>If(L204&gt;K204,   datedif(K204,L204,"Y") , If(K204&lt;Vitalicios!$C$4, datedif(K204,Vitalicios!$C$4,"Y"),0)  )</f>
        <v>5</v>
      </c>
      <c r="O204" s="202"/>
    </row>
    <row r="205">
      <c r="A205" s="192">
        <v>2219.0</v>
      </c>
      <c r="B205" s="193" t="s">
        <v>1150</v>
      </c>
      <c r="C205" s="193" t="s">
        <v>537</v>
      </c>
      <c r="D205" s="193" t="s">
        <v>1151</v>
      </c>
      <c r="E205" s="193" t="s">
        <v>1152</v>
      </c>
      <c r="F205" s="195">
        <v>2.216180993E9</v>
      </c>
      <c r="G205" s="196"/>
      <c r="H205" s="193" t="s">
        <v>1153</v>
      </c>
      <c r="I205" s="197"/>
      <c r="J205" s="198" t="s">
        <v>523</v>
      </c>
      <c r="K205" s="199">
        <v>45231.0</v>
      </c>
      <c r="L205" s="200"/>
      <c r="M205" s="201"/>
      <c r="N205" s="202"/>
      <c r="O205" s="202"/>
    </row>
    <row r="206">
      <c r="A206" s="192">
        <v>1977.0</v>
      </c>
      <c r="B206" s="193" t="s">
        <v>1154</v>
      </c>
      <c r="C206" s="193" t="s">
        <v>537</v>
      </c>
      <c r="D206" s="193" t="s">
        <v>538</v>
      </c>
      <c r="E206" s="193" t="s">
        <v>1155</v>
      </c>
      <c r="F206" s="195">
        <v>2.215367985E9</v>
      </c>
      <c r="G206" s="196"/>
      <c r="H206" s="193" t="s">
        <v>1156</v>
      </c>
      <c r="I206" s="197" t="str">
        <f>IF(iserror(vlookup($A206,Pagos!$B$5:L1241,4,false)),"Sin actividad",If(vlookup($A206,Pagos!$B$5:$L1241,5,false),vlookup($A206,Pagos!$B$5:$L1241,5,false),vlookup($A206,Pagos!$B$5:$L1241,4,false)))</f>
        <v>Sin actividad</v>
      </c>
      <c r="J206" s="198" t="s">
        <v>529</v>
      </c>
      <c r="K206" s="199">
        <v>44562.0</v>
      </c>
      <c r="L206" s="200">
        <v>45108.0</v>
      </c>
      <c r="M206" s="201" t="s">
        <v>535</v>
      </c>
      <c r="N206" s="202"/>
      <c r="O206" s="202"/>
    </row>
    <row r="207">
      <c r="A207" s="192">
        <v>2085.0</v>
      </c>
      <c r="B207" s="193" t="s">
        <v>1157</v>
      </c>
      <c r="C207" s="193" t="s">
        <v>537</v>
      </c>
      <c r="D207" s="193" t="s">
        <v>538</v>
      </c>
      <c r="E207" s="193" t="s">
        <v>1158</v>
      </c>
      <c r="F207" s="195">
        <v>2.215385242E9</v>
      </c>
      <c r="G207" s="196"/>
      <c r="H207" s="193" t="s">
        <v>1159</v>
      </c>
      <c r="I207" s="197"/>
      <c r="J207" s="198" t="s">
        <v>523</v>
      </c>
      <c r="K207" s="199">
        <v>44835.0</v>
      </c>
      <c r="L207" s="203"/>
      <c r="M207" s="201"/>
      <c r="N207" s="202"/>
      <c r="O207" s="202"/>
    </row>
    <row r="208">
      <c r="A208" s="192">
        <v>1421.0</v>
      </c>
      <c r="B208" s="193" t="s">
        <v>1160</v>
      </c>
      <c r="C208" s="194" t="s">
        <v>526</v>
      </c>
      <c r="D208" s="193" t="s">
        <v>556</v>
      </c>
      <c r="E208" s="193" t="s">
        <v>1161</v>
      </c>
      <c r="F208" s="195">
        <v>1.5411221E8</v>
      </c>
      <c r="G208" s="196">
        <v>0.0</v>
      </c>
      <c r="H208" s="193"/>
      <c r="I208" s="197" t="str">
        <f>IF(iserror(vlookup($A208,Pagos!$B$5:L1241,4,false)),"Sin actividad",If(vlookup($A208,Pagos!$B$5:$L1241,5,false),vlookup($A208,Pagos!$B$5:$L1241,5,false),vlookup($A208,Pagos!$B$5:$L1241,4,false)))</f>
        <v>Sin actividad</v>
      </c>
      <c r="J208" s="198" t="s">
        <v>529</v>
      </c>
      <c r="K208" s="199">
        <v>41098.0</v>
      </c>
      <c r="L208" s="200"/>
      <c r="M208" s="201"/>
      <c r="N208" s="202">
        <f>If(L208&gt;K208,   datedif(K208,L208,"Y") , If(K208&lt;Vitalicios!$C$4, datedif(K208,Vitalicios!$C$4,"Y"),0)  )</f>
        <v>13</v>
      </c>
      <c r="O208" s="202"/>
    </row>
    <row r="209">
      <c r="A209" s="192">
        <v>1341.0</v>
      </c>
      <c r="B209" s="193" t="s">
        <v>1162</v>
      </c>
      <c r="C209" s="194" t="s">
        <v>526</v>
      </c>
      <c r="D209" s="193" t="s">
        <v>693</v>
      </c>
      <c r="E209" s="193" t="s">
        <v>1163</v>
      </c>
      <c r="F209" s="195">
        <v>1.54116526E8</v>
      </c>
      <c r="G209" s="196">
        <v>0.0</v>
      </c>
      <c r="H209" s="193"/>
      <c r="I209" s="197" t="str">
        <f>IF(iserror(vlookup($A209,Pagos!$B$5:L1241,4,false)),"Sin actividad",If(vlookup($A209,Pagos!$B$5:$L1241,5,false),vlookup($A209,Pagos!$B$5:$L1241,5,false),vlookup($A209,Pagos!$B$5:$L1241,4,false)))</f>
        <v>Sin actividad</v>
      </c>
      <c r="J209" s="198" t="s">
        <v>529</v>
      </c>
      <c r="K209" s="199">
        <v>40545.0</v>
      </c>
      <c r="L209" s="200"/>
      <c r="M209" s="201"/>
      <c r="N209" s="202">
        <f>If(L209&gt;K209,   datedif(K209,L209,"Y") , If(K209&lt;Vitalicios!$C$4, datedif(K209,Vitalicios!$C$4,"Y"),0)  )</f>
        <v>14</v>
      </c>
      <c r="O209" s="202"/>
    </row>
    <row r="210">
      <c r="A210" s="192">
        <v>1403.0</v>
      </c>
      <c r="B210" s="193" t="s">
        <v>1164</v>
      </c>
      <c r="C210" s="194" t="s">
        <v>526</v>
      </c>
      <c r="D210" s="193" t="s">
        <v>556</v>
      </c>
      <c r="E210" s="193" t="s">
        <v>1165</v>
      </c>
      <c r="F210" s="195">
        <v>1.553112355E9</v>
      </c>
      <c r="G210" s="196">
        <v>0.0</v>
      </c>
      <c r="H210" s="193" t="s">
        <v>1166</v>
      </c>
      <c r="I210" s="197">
        <f>IF(iserror(vlookup($A210,Pagos!$B$5:L1241,4,false)),"Sin actividad",If(vlookup($A210,Pagos!$B$5:$L1241,5,false),vlookup($A210,Pagos!$B$5:$L1241,5,false),vlookup($A210,Pagos!$B$5:$L1241,4,false)))</f>
        <v>45839</v>
      </c>
      <c r="J210" s="198" t="s">
        <v>523</v>
      </c>
      <c r="K210" s="199">
        <v>40895.0</v>
      </c>
      <c r="L210" s="200"/>
      <c r="M210" s="201"/>
      <c r="N210" s="202">
        <f>If(L210&gt;K210,   datedif(K210,L210,"Y") , If(K210&lt;Vitalicios!$C$4, datedif(K210,Vitalicios!$C$4,"Y"),0)  )</f>
        <v>13</v>
      </c>
      <c r="O210" s="202"/>
    </row>
    <row r="211">
      <c r="A211" s="192">
        <v>2273.0</v>
      </c>
      <c r="B211" s="193" t="s">
        <v>1167</v>
      </c>
      <c r="C211" s="193" t="s">
        <v>526</v>
      </c>
      <c r="D211" s="193" t="s">
        <v>628</v>
      </c>
      <c r="E211" s="193" t="s">
        <v>1168</v>
      </c>
      <c r="F211" s="195">
        <v>2.2153111186E10</v>
      </c>
      <c r="G211" s="196"/>
      <c r="H211" s="193" t="s">
        <v>1169</v>
      </c>
      <c r="I211" s="197"/>
      <c r="J211" s="198" t="s">
        <v>529</v>
      </c>
      <c r="K211" s="199">
        <v>45505.0</v>
      </c>
      <c r="L211" s="200">
        <v>45658.0</v>
      </c>
      <c r="M211" s="201" t="s">
        <v>1170</v>
      </c>
      <c r="N211" s="202"/>
      <c r="O211" s="202"/>
    </row>
    <row r="212">
      <c r="A212" s="192">
        <v>1048.0</v>
      </c>
      <c r="B212" s="193" t="s">
        <v>1171</v>
      </c>
      <c r="C212" s="194" t="s">
        <v>577</v>
      </c>
      <c r="D212" s="193" t="s">
        <v>520</v>
      </c>
      <c r="E212" s="193" t="s">
        <v>1172</v>
      </c>
      <c r="F212" s="195">
        <v>0.0</v>
      </c>
      <c r="G212" s="196">
        <v>0.0</v>
      </c>
      <c r="H212" s="193" t="s">
        <v>1173</v>
      </c>
      <c r="I212" s="197">
        <f>IF(iserror(vlookup($A212,Pagos!$B$5:L1241,4,false)),"Sin actividad",If(vlookup($A212,Pagos!$B$5:$L1241,5,false),vlookup($A212,Pagos!$B$5:$L1241,5,false),vlookup($A212,Pagos!$B$5:$L1241,4,false)))</f>
        <v>45870</v>
      </c>
      <c r="J212" s="198" t="s">
        <v>523</v>
      </c>
      <c r="K212" s="199">
        <v>38326.0</v>
      </c>
      <c r="L212" s="200"/>
      <c r="M212" s="201"/>
      <c r="N212" s="202">
        <f>If(L212&gt;K212,   datedif(K212,L212,"Y") , If(K212&lt;Vitalicios!$C$4, datedif(K212,Vitalicios!$C$4,"Y"),0)  )</f>
        <v>20</v>
      </c>
      <c r="O212" s="202"/>
    </row>
    <row r="213">
      <c r="A213" s="192">
        <v>988.0</v>
      </c>
      <c r="B213" s="193" t="s">
        <v>1174</v>
      </c>
      <c r="C213" s="194" t="s">
        <v>577</v>
      </c>
      <c r="D213" s="193" t="s">
        <v>520</v>
      </c>
      <c r="E213" s="193" t="s">
        <v>1172</v>
      </c>
      <c r="F213" s="195">
        <v>0.0</v>
      </c>
      <c r="G213" s="196">
        <v>0.0</v>
      </c>
      <c r="H213" s="193" t="s">
        <v>1175</v>
      </c>
      <c r="I213" s="197">
        <f>IF(iserror(vlookup($A213,Pagos!$B$5:L1241,4,false)),"Sin actividad",If(vlookup($A213,Pagos!$B$5:$L1241,5,false),vlookup($A213,Pagos!$B$5:$L1241,5,false),vlookup($A213,Pagos!$B$5:$L1241,4,false)))</f>
        <v>45870</v>
      </c>
      <c r="J213" s="198" t="s">
        <v>523</v>
      </c>
      <c r="K213" s="199">
        <v>37948.0</v>
      </c>
      <c r="L213" s="200"/>
      <c r="M213" s="201"/>
      <c r="N213" s="202">
        <f>If(L213&gt;K213,   datedif(K213,L213,"Y") , If(K213&lt;Vitalicios!$C$4, datedif(K213,Vitalicios!$C$4,"Y"),0)  )</f>
        <v>21</v>
      </c>
      <c r="O213" s="202"/>
    </row>
    <row r="214">
      <c r="A214" s="192">
        <v>1410.0</v>
      </c>
      <c r="B214" s="193" t="s">
        <v>1176</v>
      </c>
      <c r="C214" s="194" t="s">
        <v>526</v>
      </c>
      <c r="D214" s="193" t="s">
        <v>770</v>
      </c>
      <c r="E214" s="193" t="s">
        <v>1177</v>
      </c>
      <c r="F214" s="195">
        <v>1.54110603E8</v>
      </c>
      <c r="G214" s="196">
        <v>0.0</v>
      </c>
      <c r="H214" s="193"/>
      <c r="I214" s="197" t="str">
        <f>IF(iserror(vlookup($A214,Pagos!$B$5:L1241,4,false)),"Sin actividad",If(vlookup($A214,Pagos!$B$5:$L1241,5,false),vlookup($A214,Pagos!$B$5:$L1241,5,false),vlookup($A214,Pagos!$B$5:$L1241,4,false)))</f>
        <v>Sin actividad</v>
      </c>
      <c r="J214" s="198" t="s">
        <v>529</v>
      </c>
      <c r="K214" s="199">
        <v>40971.0</v>
      </c>
      <c r="L214" s="200"/>
      <c r="M214" s="201"/>
      <c r="N214" s="202">
        <f>If(L214&gt;K214,   datedif(K214,L214,"Y") , If(K214&lt;Vitalicios!$C$4, datedif(K214,Vitalicios!$C$4,"Y"),0)  )</f>
        <v>13</v>
      </c>
      <c r="O214" s="202"/>
    </row>
    <row r="215">
      <c r="A215" s="192">
        <v>2123.0</v>
      </c>
      <c r="B215" s="193" t="s">
        <v>1178</v>
      </c>
      <c r="C215" s="193" t="s">
        <v>537</v>
      </c>
      <c r="D215" s="193" t="s">
        <v>549</v>
      </c>
      <c r="E215" s="193" t="s">
        <v>1179</v>
      </c>
      <c r="F215" s="195">
        <v>2.215867174E9</v>
      </c>
      <c r="G215" s="196"/>
      <c r="H215" s="193" t="s">
        <v>1180</v>
      </c>
      <c r="I215" s="197"/>
      <c r="J215" s="198" t="s">
        <v>523</v>
      </c>
      <c r="K215" s="199">
        <v>44927.0</v>
      </c>
      <c r="L215" s="200"/>
      <c r="M215" s="201"/>
      <c r="N215" s="202"/>
      <c r="O215" s="202"/>
    </row>
    <row r="216">
      <c r="A216" s="192">
        <v>1971.0</v>
      </c>
      <c r="B216" s="193" t="s">
        <v>1181</v>
      </c>
      <c r="C216" s="193" t="s">
        <v>537</v>
      </c>
      <c r="D216" s="193" t="s">
        <v>628</v>
      </c>
      <c r="E216" s="193" t="s">
        <v>1182</v>
      </c>
      <c r="F216" s="195">
        <v>2.215374265E9</v>
      </c>
      <c r="G216" s="196"/>
      <c r="H216" s="193" t="s">
        <v>1183</v>
      </c>
      <c r="I216" s="197" t="str">
        <f>IF(iserror(vlookup($A216,Pagos!$B$5:L1241,4,false)),"Sin actividad",If(vlookup($A216,Pagos!$B$5:$L1241,5,false),vlookup($A216,Pagos!$B$5:$L1241,5,false),vlookup($A216,Pagos!$B$5:$L1241,4,false)))</f>
        <v>Sin actividad</v>
      </c>
      <c r="J216" s="198" t="s">
        <v>529</v>
      </c>
      <c r="K216" s="199">
        <v>44562.0</v>
      </c>
      <c r="L216" s="200"/>
      <c r="M216" s="201" t="s">
        <v>312</v>
      </c>
      <c r="N216" s="202"/>
      <c r="O216" s="202"/>
    </row>
    <row r="217">
      <c r="A217" s="192">
        <v>2386.0</v>
      </c>
      <c r="B217" s="193" t="s">
        <v>1184</v>
      </c>
      <c r="C217" s="193" t="s">
        <v>537</v>
      </c>
      <c r="D217" s="193" t="s">
        <v>538</v>
      </c>
      <c r="E217" s="193" t="s">
        <v>1185</v>
      </c>
      <c r="F217" s="195">
        <v>1.13478045E8</v>
      </c>
      <c r="G217" s="196"/>
      <c r="H217" s="193" t="s">
        <v>1186</v>
      </c>
      <c r="I217" s="197"/>
      <c r="J217" s="198" t="s">
        <v>523</v>
      </c>
      <c r="K217" s="199">
        <v>45870.0</v>
      </c>
      <c r="L217" s="200"/>
      <c r="M217" s="201"/>
      <c r="N217" s="202"/>
      <c r="O217" s="202"/>
    </row>
    <row r="218">
      <c r="A218" s="192">
        <v>2065.0</v>
      </c>
      <c r="B218" s="193" t="s">
        <v>1187</v>
      </c>
      <c r="C218" s="193" t="s">
        <v>537</v>
      </c>
      <c r="D218" s="193" t="s">
        <v>628</v>
      </c>
      <c r="E218" s="193" t="s">
        <v>1188</v>
      </c>
      <c r="F218" s="195">
        <v>1.144157695E9</v>
      </c>
      <c r="G218" s="196"/>
      <c r="H218" s="193" t="s">
        <v>1189</v>
      </c>
      <c r="I218" s="197"/>
      <c r="J218" s="198" t="s">
        <v>529</v>
      </c>
      <c r="K218" s="199">
        <v>44805.0</v>
      </c>
      <c r="L218" s="200">
        <v>45047.0</v>
      </c>
      <c r="M218" s="201" t="s">
        <v>857</v>
      </c>
      <c r="N218" s="202"/>
      <c r="O218" s="202"/>
    </row>
    <row r="219">
      <c r="A219" s="192">
        <v>1089.0</v>
      </c>
      <c r="B219" s="193" t="s">
        <v>1190</v>
      </c>
      <c r="C219" s="194" t="s">
        <v>577</v>
      </c>
      <c r="D219" s="193" t="s">
        <v>556</v>
      </c>
      <c r="E219" s="193" t="s">
        <v>1191</v>
      </c>
      <c r="F219" s="195">
        <v>1.54632216E8</v>
      </c>
      <c r="G219" s="196">
        <v>0.0</v>
      </c>
      <c r="H219" s="193"/>
      <c r="I219" s="197" t="str">
        <f>IF(iserror(vlookup($A219,Pagos!$B$5:L1241,4,false)),"Sin actividad",If(vlookup($A219,Pagos!$B$5:$L1241,5,false),vlookup($A219,Pagos!$B$5:$L1241,5,false),vlookup($A219,Pagos!$B$5:$L1241,4,false)))</f>
        <v>Sin actividad</v>
      </c>
      <c r="J219" s="198" t="s">
        <v>529</v>
      </c>
      <c r="K219" s="199">
        <v>38699.0</v>
      </c>
      <c r="L219" s="200">
        <v>44197.0</v>
      </c>
      <c r="M219" s="201" t="s">
        <v>716</v>
      </c>
      <c r="N219" s="202">
        <f>If(L219&gt;K219,   datedif(K219,L219,"Y") , If(K219&lt;Vitalicios!$C$4, datedif(K219,Vitalicios!$C$4,"Y"),0)  )</f>
        <v>15</v>
      </c>
      <c r="O219" s="202"/>
    </row>
    <row r="220">
      <c r="A220" s="192">
        <v>661.0</v>
      </c>
      <c r="B220" s="193" t="s">
        <v>1192</v>
      </c>
      <c r="C220" s="194" t="s">
        <v>526</v>
      </c>
      <c r="D220" s="193" t="s">
        <v>556</v>
      </c>
      <c r="E220" s="193">
        <v>0.0</v>
      </c>
      <c r="F220" s="195">
        <v>0.0</v>
      </c>
      <c r="G220" s="196">
        <v>0.0</v>
      </c>
      <c r="H220" s="193" t="s">
        <v>1193</v>
      </c>
      <c r="I220" s="197">
        <f>IF(iserror(vlookup($A220,Pagos!$B$5:L1241,4,false)),"Sin actividad",If(vlookup($A220,Pagos!$B$5:$L1241,5,false),vlookup($A220,Pagos!$B$5:$L1241,5,false),vlookup($A220,Pagos!$B$5:$L1241,4,false)))</f>
        <v>45870</v>
      </c>
      <c r="J220" s="198" t="s">
        <v>523</v>
      </c>
      <c r="K220" s="199">
        <v>34959.0</v>
      </c>
      <c r="L220" s="200"/>
      <c r="M220" s="201"/>
      <c r="N220" s="202">
        <f>If(L220&gt;K220,   datedif(K220,L220,"Y") , If(K220&lt;Vitalicios!$C$4, datedif(K220,Vitalicios!$C$4,"Y"),0)  )</f>
        <v>30</v>
      </c>
      <c r="O220" s="202"/>
    </row>
    <row r="221">
      <c r="A221" s="192">
        <v>2126.0</v>
      </c>
      <c r="B221" s="193" t="s">
        <v>1194</v>
      </c>
      <c r="C221" s="193" t="s">
        <v>537</v>
      </c>
      <c r="D221" s="193" t="s">
        <v>538</v>
      </c>
      <c r="E221" s="193" t="s">
        <v>1195</v>
      </c>
      <c r="F221" s="195">
        <v>2.21408521E9</v>
      </c>
      <c r="G221" s="196"/>
      <c r="H221" s="193" t="s">
        <v>1196</v>
      </c>
      <c r="I221" s="197"/>
      <c r="J221" s="198" t="s">
        <v>523</v>
      </c>
      <c r="K221" s="199">
        <v>44927.0</v>
      </c>
      <c r="L221" s="200"/>
      <c r="M221" s="201"/>
      <c r="N221" s="202"/>
      <c r="O221" s="202"/>
    </row>
    <row r="222">
      <c r="A222" s="192">
        <v>1476.0</v>
      </c>
      <c r="B222" s="193" t="s">
        <v>1197</v>
      </c>
      <c r="C222" s="194" t="s">
        <v>526</v>
      </c>
      <c r="D222" s="193" t="s">
        <v>556</v>
      </c>
      <c r="E222" s="193" t="s">
        <v>1198</v>
      </c>
      <c r="F222" s="195">
        <v>1.54184067E8</v>
      </c>
      <c r="G222" s="196">
        <v>0.0</v>
      </c>
      <c r="H222" s="193" t="s">
        <v>1199</v>
      </c>
      <c r="I222" s="197">
        <f>IF(iserror(vlookup($A222,Pagos!$B$5:L1241,4,false)),"Sin actividad",If(vlookup($A222,Pagos!$B$5:$L1241,5,false),vlookup($A222,Pagos!$B$5:$L1241,5,false),vlookup($A222,Pagos!$B$5:$L1241,4,false)))</f>
        <v>45931</v>
      </c>
      <c r="J222" s="198" t="s">
        <v>523</v>
      </c>
      <c r="K222" s="199">
        <v>41566.0</v>
      </c>
      <c r="L222" s="200"/>
      <c r="M222" s="201"/>
      <c r="N222" s="202">
        <f>If(L222&gt;K222,   datedif(K222,L222,"Y") , If(K222&lt;Vitalicios!$C$4, datedif(K222,Vitalicios!$C$4,"Y"),0)  )</f>
        <v>11</v>
      </c>
      <c r="O222" s="202"/>
    </row>
    <row r="223">
      <c r="A223" s="192">
        <v>1122.0</v>
      </c>
      <c r="B223" s="193" t="s">
        <v>1200</v>
      </c>
      <c r="C223" s="194" t="s">
        <v>577</v>
      </c>
      <c r="D223" s="193" t="s">
        <v>556</v>
      </c>
      <c r="E223" s="193" t="s">
        <v>1191</v>
      </c>
      <c r="F223" s="195">
        <v>0.0</v>
      </c>
      <c r="G223" s="196">
        <v>0.0</v>
      </c>
      <c r="H223" s="193"/>
      <c r="I223" s="197" t="str">
        <f>IF(iserror(vlookup($A223,Pagos!$B$5:L1241,4,false)),"Sin actividad",If(vlookup($A223,Pagos!$B$5:$L1241,5,false),vlookup($A223,Pagos!$B$5:$L1241,5,false),vlookup($A223,Pagos!$B$5:$L1241,4,false)))</f>
        <v>Sin actividad</v>
      </c>
      <c r="J223" s="198" t="s">
        <v>529</v>
      </c>
      <c r="K223" s="199">
        <v>39027.0</v>
      </c>
      <c r="L223" s="200">
        <v>41974.0</v>
      </c>
      <c r="M223" s="201" t="s">
        <v>1201</v>
      </c>
      <c r="N223" s="202">
        <f>If(L223&gt;K223,   datedif(K223,L223,"Y") , If(K223&lt;Vitalicios!$C$4, datedif(K223,Vitalicios!$C$4,"Y"),0)  )</f>
        <v>8</v>
      </c>
      <c r="O223" s="202"/>
    </row>
    <row r="224">
      <c r="A224" s="192">
        <v>2122.0</v>
      </c>
      <c r="B224" s="193" t="s">
        <v>1202</v>
      </c>
      <c r="C224" s="193" t="s">
        <v>537</v>
      </c>
      <c r="D224" s="193" t="s">
        <v>1203</v>
      </c>
      <c r="E224" s="193" t="s">
        <v>1204</v>
      </c>
      <c r="F224" s="195">
        <v>2.215347752E9</v>
      </c>
      <c r="G224" s="196"/>
      <c r="H224" s="193" t="s">
        <v>1205</v>
      </c>
      <c r="I224" s="197"/>
      <c r="J224" s="198" t="s">
        <v>523</v>
      </c>
      <c r="K224" s="199">
        <v>44927.0</v>
      </c>
      <c r="L224" s="200"/>
      <c r="M224" s="201"/>
      <c r="N224" s="202"/>
      <c r="O224" s="202"/>
    </row>
    <row r="225">
      <c r="A225" s="192">
        <v>1429.0</v>
      </c>
      <c r="B225" s="193" t="s">
        <v>1206</v>
      </c>
      <c r="C225" s="194" t="s">
        <v>526</v>
      </c>
      <c r="D225" s="193" t="s">
        <v>556</v>
      </c>
      <c r="E225" s="193" t="s">
        <v>1207</v>
      </c>
      <c r="F225" s="195">
        <v>4200215.0</v>
      </c>
      <c r="G225" s="196">
        <v>0.0</v>
      </c>
      <c r="H225" s="193"/>
      <c r="I225" s="197" t="str">
        <f>IF(iserror(vlookup($A225,Pagos!$B$5:L1241,4,false)),"Sin actividad",If(vlookup($A225,Pagos!$B$5:$L1241,5,false),vlookup($A225,Pagos!$B$5:$L1241,5,false),vlookup($A225,Pagos!$B$5:$L1241,4,false)))</f>
        <v>Sin actividad</v>
      </c>
      <c r="J225" s="198" t="s">
        <v>529</v>
      </c>
      <c r="K225" s="199">
        <v>41176.0</v>
      </c>
      <c r="L225" s="200"/>
      <c r="M225" s="201"/>
      <c r="N225" s="202">
        <f>If(L225&gt;K225,   datedif(K225,L225,"Y") , If(K225&lt;Vitalicios!$C$4, datedif(K225,Vitalicios!$C$4,"Y"),0)  )</f>
        <v>13</v>
      </c>
      <c r="O225" s="202"/>
    </row>
    <row r="226">
      <c r="A226" s="192">
        <v>1562.0</v>
      </c>
      <c r="B226" s="193" t="s">
        <v>1208</v>
      </c>
      <c r="C226" s="194" t="s">
        <v>526</v>
      </c>
      <c r="D226" s="193" t="s">
        <v>1209</v>
      </c>
      <c r="E226" s="193" t="s">
        <v>1210</v>
      </c>
      <c r="F226" s="195">
        <v>4564412.0</v>
      </c>
      <c r="G226" s="196">
        <v>0.0</v>
      </c>
      <c r="H226" s="193"/>
      <c r="I226" s="197" t="str">
        <f>IF(iserror(vlookup($A226,Pagos!$B$5:L1241,4,false)),"Sin actividad",If(vlookup($A226,Pagos!$B$5:$L1241,5,false),vlookup($A226,Pagos!$B$5:$L1241,5,false),vlookup($A226,Pagos!$B$5:$L1241,4,false)))</f>
        <v>Sin actividad</v>
      </c>
      <c r="J226" s="198" t="s">
        <v>529</v>
      </c>
      <c r="K226" s="199">
        <v>42168.0</v>
      </c>
      <c r="L226" s="200">
        <v>43374.0</v>
      </c>
      <c r="M226" s="201" t="s">
        <v>560</v>
      </c>
      <c r="N226" s="202">
        <f>If(L226&gt;K226,   datedif(K226,L226,"Y") , If(K226&lt;Vitalicios!$C$4, datedif(K226,Vitalicios!$C$4,"Y"),0)  )</f>
        <v>3</v>
      </c>
      <c r="O226" s="202"/>
    </row>
    <row r="227">
      <c r="A227" s="192">
        <v>2361.0</v>
      </c>
      <c r="B227" s="193" t="s">
        <v>1211</v>
      </c>
      <c r="C227" s="193" t="s">
        <v>537</v>
      </c>
      <c r="D227" s="193" t="s">
        <v>485</v>
      </c>
      <c r="E227" s="193" t="s">
        <v>1212</v>
      </c>
      <c r="F227" s="195">
        <v>2.215996008E9</v>
      </c>
      <c r="G227" s="196"/>
      <c r="H227" s="193" t="s">
        <v>1213</v>
      </c>
      <c r="I227" s="197"/>
      <c r="J227" s="198" t="s">
        <v>523</v>
      </c>
      <c r="K227" s="199">
        <v>45748.0</v>
      </c>
      <c r="L227" s="200"/>
      <c r="M227" s="201"/>
      <c r="N227" s="202"/>
      <c r="O227" s="202"/>
    </row>
    <row r="228">
      <c r="A228" s="192">
        <v>1178.0</v>
      </c>
      <c r="B228" s="193" t="s">
        <v>1214</v>
      </c>
      <c r="C228" s="194" t="s">
        <v>526</v>
      </c>
      <c r="D228" s="193" t="s">
        <v>1215</v>
      </c>
      <c r="E228" s="193" t="s">
        <v>1216</v>
      </c>
      <c r="F228" s="195">
        <v>4.6992582E7</v>
      </c>
      <c r="G228" s="196">
        <v>4.6992532E7</v>
      </c>
      <c r="H228" s="193" t="s">
        <v>1217</v>
      </c>
      <c r="I228" s="197" t="str">
        <f>IF(iserror(vlookup($A228,Pagos!$B$5:L1241,4,false)),"Sin actividad",If(vlookup($A228,Pagos!$B$5:$L1241,5,false),vlookup($A228,Pagos!$B$5:$L1241,5,false),vlookup($A228,Pagos!$B$5:$L1241,4,false)))</f>
        <v>Sin actividad</v>
      </c>
      <c r="J228" s="198" t="s">
        <v>529</v>
      </c>
      <c r="K228" s="199">
        <v>39495.0</v>
      </c>
      <c r="L228" s="200"/>
      <c r="M228" s="201"/>
      <c r="N228" s="202">
        <f>If(L228&gt;K228,   datedif(K228,L228,"Y") , If(K228&lt;Vitalicios!$C$4, datedif(K228,Vitalicios!$C$4,"Y"),0)  )</f>
        <v>17</v>
      </c>
      <c r="O228" s="202"/>
    </row>
    <row r="229">
      <c r="A229" s="192">
        <v>2266.0</v>
      </c>
      <c r="B229" s="193" t="s">
        <v>1218</v>
      </c>
      <c r="C229" s="194"/>
      <c r="D229" s="193" t="s">
        <v>628</v>
      </c>
      <c r="E229" s="193" t="s">
        <v>1219</v>
      </c>
      <c r="F229" s="195">
        <v>2.2153434E9</v>
      </c>
      <c r="G229" s="196"/>
      <c r="H229" s="193" t="s">
        <v>1220</v>
      </c>
      <c r="I229" s="197"/>
      <c r="J229" s="198" t="s">
        <v>529</v>
      </c>
      <c r="K229" s="199">
        <v>45383.0</v>
      </c>
      <c r="L229" s="200">
        <v>45658.0</v>
      </c>
      <c r="M229" s="201" t="s">
        <v>1221</v>
      </c>
      <c r="N229" s="202"/>
      <c r="O229" s="202"/>
    </row>
    <row r="230">
      <c r="A230" s="192">
        <v>2053.0</v>
      </c>
      <c r="B230" s="193" t="s">
        <v>1222</v>
      </c>
      <c r="C230" s="194" t="s">
        <v>526</v>
      </c>
      <c r="D230" s="193" t="s">
        <v>527</v>
      </c>
      <c r="E230" s="193" t="s">
        <v>1223</v>
      </c>
      <c r="F230" s="195">
        <v>2.213564281E9</v>
      </c>
      <c r="G230" s="196">
        <v>0.0</v>
      </c>
      <c r="H230" s="193" t="s">
        <v>1224</v>
      </c>
      <c r="I230" s="197">
        <f>IF(iserror(vlookup($A230,Pagos!$B$5:L1241,4,false)),"Sin actividad",If(vlookup($A230,Pagos!$B$5:$L1241,5,false),vlookup($A230,Pagos!$B$5:$L1241,5,false),vlookup($A230,Pagos!$B$5:$L1241,4,false)))</f>
        <v>45870</v>
      </c>
      <c r="J230" s="198" t="s">
        <v>523</v>
      </c>
      <c r="K230" s="199">
        <v>44805.0</v>
      </c>
      <c r="L230" s="200"/>
      <c r="M230" s="201"/>
      <c r="N230" s="202">
        <f>If(L230&gt;K230,   datedif(K230,L230,"Y") , If(K230&lt;Vitalicios!$C$4, datedif(K230,Vitalicios!$C$4,"Y"),0)  )</f>
        <v>3</v>
      </c>
      <c r="O230" s="202"/>
    </row>
    <row r="231">
      <c r="A231" s="192">
        <v>2060.0</v>
      </c>
      <c r="B231" s="193" t="s">
        <v>1225</v>
      </c>
      <c r="C231" s="193" t="s">
        <v>537</v>
      </c>
      <c r="D231" s="193" t="s">
        <v>628</v>
      </c>
      <c r="E231" s="193" t="s">
        <v>1226</v>
      </c>
      <c r="F231" s="195">
        <v>1.16418964E9</v>
      </c>
      <c r="G231" s="196"/>
      <c r="H231" s="193" t="s">
        <v>1227</v>
      </c>
      <c r="I231" s="197"/>
      <c r="J231" s="198" t="s">
        <v>529</v>
      </c>
      <c r="K231" s="199">
        <v>44805.0</v>
      </c>
      <c r="L231" s="200">
        <v>45413.0</v>
      </c>
      <c r="M231" s="201" t="s">
        <v>1228</v>
      </c>
      <c r="N231" s="202"/>
      <c r="O231" s="202"/>
    </row>
    <row r="232">
      <c r="A232" s="192">
        <v>2090.0</v>
      </c>
      <c r="B232" s="193" t="s">
        <v>1229</v>
      </c>
      <c r="C232" s="193" t="s">
        <v>537</v>
      </c>
      <c r="D232" s="193" t="s">
        <v>538</v>
      </c>
      <c r="E232" s="193" t="s">
        <v>1230</v>
      </c>
      <c r="F232" s="195">
        <v>2.2160233262E10</v>
      </c>
      <c r="G232" s="196"/>
      <c r="H232" s="193" t="s">
        <v>1231</v>
      </c>
      <c r="I232" s="197"/>
      <c r="J232" s="198" t="s">
        <v>523</v>
      </c>
      <c r="K232" s="199">
        <v>44866.0</v>
      </c>
      <c r="L232" s="200"/>
      <c r="M232" s="201"/>
      <c r="N232" s="202"/>
      <c r="O232" s="202"/>
    </row>
    <row r="233">
      <c r="A233" s="192">
        <v>2142.0</v>
      </c>
      <c r="B233" s="193" t="s">
        <v>1232</v>
      </c>
      <c r="C233" s="193" t="s">
        <v>537</v>
      </c>
      <c r="D233" s="193" t="s">
        <v>628</v>
      </c>
      <c r="E233" s="193" t="s">
        <v>1233</v>
      </c>
      <c r="F233" s="195">
        <v>2.214980917E9</v>
      </c>
      <c r="G233" s="196"/>
      <c r="H233" s="193" t="s">
        <v>1234</v>
      </c>
      <c r="I233" s="197"/>
      <c r="J233" s="198" t="s">
        <v>523</v>
      </c>
      <c r="K233" s="199">
        <v>44986.0</v>
      </c>
      <c r="L233" s="200"/>
      <c r="M233" s="201"/>
      <c r="N233" s="202"/>
      <c r="O233" s="202"/>
    </row>
    <row r="234">
      <c r="A234" s="192">
        <v>2190.0</v>
      </c>
      <c r="B234" s="193" t="s">
        <v>1235</v>
      </c>
      <c r="C234" s="193" t="s">
        <v>537</v>
      </c>
      <c r="D234" s="193"/>
      <c r="E234" s="193"/>
      <c r="F234" s="195">
        <v>2.216396035E9</v>
      </c>
      <c r="G234" s="196"/>
      <c r="H234" s="193" t="s">
        <v>1236</v>
      </c>
      <c r="I234" s="197"/>
      <c r="J234" s="198" t="s">
        <v>529</v>
      </c>
      <c r="K234" s="199">
        <v>45139.0</v>
      </c>
      <c r="L234" s="200">
        <v>45505.0</v>
      </c>
      <c r="M234" s="201" t="s">
        <v>703</v>
      </c>
      <c r="N234" s="202"/>
      <c r="O234" s="202"/>
    </row>
    <row r="235">
      <c r="A235" s="192">
        <v>2267.0</v>
      </c>
      <c r="B235" s="193" t="s">
        <v>1237</v>
      </c>
      <c r="C235" s="193" t="s">
        <v>537</v>
      </c>
      <c r="D235" s="193" t="s">
        <v>628</v>
      </c>
      <c r="E235" s="193" t="s">
        <v>1238</v>
      </c>
      <c r="F235" s="195">
        <v>1.156414434E9</v>
      </c>
      <c r="G235" s="196"/>
      <c r="H235" s="193" t="s">
        <v>1239</v>
      </c>
      <c r="I235" s="197"/>
      <c r="J235" s="198" t="s">
        <v>529</v>
      </c>
      <c r="K235" s="199">
        <v>45413.0</v>
      </c>
      <c r="L235" s="200">
        <v>45839.0</v>
      </c>
      <c r="M235" s="201"/>
      <c r="N235" s="202"/>
      <c r="O235" s="202"/>
    </row>
    <row r="236">
      <c r="A236" s="192">
        <v>2172.0</v>
      </c>
      <c r="B236" s="193" t="s">
        <v>1240</v>
      </c>
      <c r="C236" s="193" t="s">
        <v>537</v>
      </c>
      <c r="D236" s="193" t="s">
        <v>532</v>
      </c>
      <c r="E236" s="193" t="s">
        <v>1241</v>
      </c>
      <c r="F236" s="195">
        <v>2.215224161E9</v>
      </c>
      <c r="G236" s="196"/>
      <c r="H236" s="193" t="s">
        <v>1242</v>
      </c>
      <c r="I236" s="197"/>
      <c r="J236" s="198" t="s">
        <v>523</v>
      </c>
      <c r="K236" s="199">
        <v>45017.0</v>
      </c>
      <c r="L236" s="200"/>
      <c r="M236" s="201"/>
      <c r="N236" s="202"/>
      <c r="O236" s="202"/>
    </row>
    <row r="237">
      <c r="A237" s="192">
        <v>1402.0</v>
      </c>
      <c r="B237" s="193" t="s">
        <v>1243</v>
      </c>
      <c r="C237" s="194" t="s">
        <v>526</v>
      </c>
      <c r="D237" s="193" t="s">
        <v>520</v>
      </c>
      <c r="E237" s="193" t="s">
        <v>1244</v>
      </c>
      <c r="F237" s="195">
        <v>1.568622798E9</v>
      </c>
      <c r="G237" s="196">
        <v>0.0</v>
      </c>
      <c r="H237" s="193"/>
      <c r="I237" s="197" t="str">
        <f>IF(iserror(vlookup($A237,Pagos!$B$5:L1241,4,false)),"Sin actividad",If(vlookup($A237,Pagos!$B$5:$L1241,5,false),vlookup($A237,Pagos!$B$5:$L1241,5,false),vlookup($A237,Pagos!$B$5:$L1241,4,false)))</f>
        <v>Sin actividad</v>
      </c>
      <c r="J237" s="198" t="s">
        <v>529</v>
      </c>
      <c r="K237" s="199">
        <v>40894.0</v>
      </c>
      <c r="L237" s="200"/>
      <c r="M237" s="201"/>
      <c r="N237" s="202">
        <f>If(L237&gt;K237,   datedif(K237,L237,"Y") , If(K237&lt;Vitalicios!$C$4, datedif(K237,Vitalicios!$C$4,"Y"),0)  )</f>
        <v>13</v>
      </c>
      <c r="O237" s="202"/>
    </row>
    <row r="238">
      <c r="A238" s="192">
        <v>1759.0</v>
      </c>
      <c r="B238" s="193" t="s">
        <v>1245</v>
      </c>
      <c r="C238" s="194" t="s">
        <v>519</v>
      </c>
      <c r="D238" s="193" t="s">
        <v>538</v>
      </c>
      <c r="E238" s="193" t="s">
        <v>1246</v>
      </c>
      <c r="F238" s="195">
        <v>1.56375843E8</v>
      </c>
      <c r="G238" s="196"/>
      <c r="H238" s="193" t="s">
        <v>1247</v>
      </c>
      <c r="I238" s="197" t="str">
        <f>IF(iserror(vlookup($A238,Pagos!$B$5:L1241,4,false)),"Sin actividad",If(vlookup($A238,Pagos!$B$5:$L1241,5,false),vlookup($A238,Pagos!$B$5:$L1241,5,false),vlookup($A238,Pagos!$B$5:$L1241,4,false)))</f>
        <v>Sin actividad</v>
      </c>
      <c r="J238" s="198" t="s">
        <v>529</v>
      </c>
      <c r="K238" s="199">
        <v>43770.0</v>
      </c>
      <c r="L238" s="200">
        <v>44682.0</v>
      </c>
      <c r="M238" s="201" t="s">
        <v>716</v>
      </c>
      <c r="N238" s="202">
        <f>If(L238&gt;K238,   datedif(K238,L238,"Y") , If(K238&lt;Vitalicios!$C$4, datedif(K238,Vitalicios!$C$4,"Y"),0)  )</f>
        <v>2</v>
      </c>
      <c r="O238" s="202"/>
    </row>
    <row r="239">
      <c r="A239" s="192">
        <v>584.0</v>
      </c>
      <c r="B239" s="193" t="s">
        <v>1248</v>
      </c>
      <c r="C239" s="194" t="s">
        <v>526</v>
      </c>
      <c r="D239" s="193" t="s">
        <v>520</v>
      </c>
      <c r="E239" s="193" t="s">
        <v>1249</v>
      </c>
      <c r="F239" s="195">
        <v>0.0</v>
      </c>
      <c r="G239" s="196">
        <v>0.0</v>
      </c>
      <c r="H239" s="193"/>
      <c r="I239" s="197">
        <f>IF(iserror(vlookup($A239,Pagos!$B$5:L1241,4,false)),"Sin actividad",If(vlookup($A239,Pagos!$B$5:$L1241,5,false),vlookup($A239,Pagos!$B$5:$L1241,5,false),vlookup($A239,Pagos!$B$5:$L1241,4,false)))</f>
        <v>45870</v>
      </c>
      <c r="J239" s="198" t="s">
        <v>523</v>
      </c>
      <c r="K239" s="199">
        <v>33970.0</v>
      </c>
      <c r="L239" s="200"/>
      <c r="M239" s="201"/>
      <c r="N239" s="202">
        <f>If(L239&gt;K239,   datedif(K239,L239,"Y") , If(K239&lt;Vitalicios!$C$4, datedif(K239,Vitalicios!$C$4,"Y"),0)  )</f>
        <v>32</v>
      </c>
      <c r="O239" s="202"/>
    </row>
    <row r="240">
      <c r="A240" s="192">
        <v>1766.0</v>
      </c>
      <c r="B240" s="193" t="s">
        <v>1250</v>
      </c>
      <c r="C240" s="194" t="s">
        <v>519</v>
      </c>
      <c r="D240" s="193" t="s">
        <v>538</v>
      </c>
      <c r="E240" s="193" t="s">
        <v>1251</v>
      </c>
      <c r="F240" s="195"/>
      <c r="G240" s="196"/>
      <c r="H240" s="193"/>
      <c r="I240" s="197" t="str">
        <f>IF(iserror(vlookup($A240,Pagos!$B$5:L1241,4,false)),"Sin actividad",If(vlookup($A240,Pagos!$B$5:$L1241,5,false),vlookup($A240,Pagos!$B$5:$L1241,5,false),vlookup($A240,Pagos!$B$5:$L1241,4,false)))</f>
        <v>Sin actividad</v>
      </c>
      <c r="J240" s="198" t="s">
        <v>1252</v>
      </c>
      <c r="K240" s="199">
        <v>43800.0</v>
      </c>
      <c r="L240" s="200"/>
      <c r="M240" s="201" t="s">
        <v>1253</v>
      </c>
      <c r="N240" s="202">
        <f>IF(L240&gt;K240,   DATEDIF(K240,L240,"Y") , IF(K240&lt;Vitalicios!$C$4, DATEDIF(K240,Vitalicios!$C$4,"Y"),0)  )</f>
        <v>5</v>
      </c>
      <c r="O240" s="202"/>
    </row>
    <row r="241">
      <c r="A241" s="192">
        <v>1708.0</v>
      </c>
      <c r="B241" s="193" t="s">
        <v>1254</v>
      </c>
      <c r="C241" s="194" t="s">
        <v>519</v>
      </c>
      <c r="D241" s="193" t="s">
        <v>527</v>
      </c>
      <c r="E241" s="193" t="s">
        <v>1255</v>
      </c>
      <c r="F241" s="195">
        <v>1.55246823E8</v>
      </c>
      <c r="G241" s="196"/>
      <c r="H241" s="193" t="s">
        <v>1256</v>
      </c>
      <c r="I241" s="197">
        <f>IF(iserror(vlookup($A241,Pagos!$B$5:L1241,4,false)),"Sin actividad",If(vlookup($A241,Pagos!$B$5:$L1241,5,false),vlookup($A241,Pagos!$B$5:$L1241,5,false),vlookup($A241,Pagos!$B$5:$L1241,4,false)))</f>
        <v>45870</v>
      </c>
      <c r="J241" s="198" t="s">
        <v>523</v>
      </c>
      <c r="K241" s="199">
        <v>43374.0</v>
      </c>
      <c r="L241" s="200"/>
      <c r="M241" s="201"/>
      <c r="N241" s="202">
        <f>If(L241&gt;K241,   datedif(K241,L241,"Y") , If(K241&lt;Vitalicios!$C$4, datedif(K241,Vitalicios!$C$4,"Y"),0)  )</f>
        <v>6</v>
      </c>
      <c r="O241" s="202"/>
    </row>
    <row r="242">
      <c r="A242" s="192">
        <v>1741.0</v>
      </c>
      <c r="B242" s="193" t="s">
        <v>1257</v>
      </c>
      <c r="C242" s="194" t="s">
        <v>519</v>
      </c>
      <c r="D242" s="193" t="s">
        <v>538</v>
      </c>
      <c r="E242" s="193" t="s">
        <v>1258</v>
      </c>
      <c r="F242" s="195">
        <v>1.554330012E9</v>
      </c>
      <c r="G242" s="196"/>
      <c r="H242" s="193" t="s">
        <v>1259</v>
      </c>
      <c r="I242" s="197" t="str">
        <f>IF(iserror(vlookup($A242,Pagos!$B$5:L1241,4,false)),"Sin actividad",If(vlookup($A242,Pagos!$B$5:$L1241,5,false),vlookup($A242,Pagos!$B$5:$L1241,5,false),vlookup($A242,Pagos!$B$5:$L1241,4,false)))</f>
        <v>Sin actividad</v>
      </c>
      <c r="J242" s="198" t="s">
        <v>529</v>
      </c>
      <c r="K242" s="199">
        <v>43556.0</v>
      </c>
      <c r="L242" s="200">
        <v>45170.0</v>
      </c>
      <c r="M242" s="201" t="s">
        <v>1260</v>
      </c>
      <c r="N242" s="202">
        <f>If(L242&gt;K242,   datedif(K242,L242,"Y") , If(K242&lt;Vitalicios!$C$4, datedif(K242,Vitalicios!$C$4,"Y"),0)  )</f>
        <v>4</v>
      </c>
      <c r="O242" s="202"/>
    </row>
    <row r="243">
      <c r="A243" s="192">
        <v>1779.0</v>
      </c>
      <c r="B243" s="193" t="s">
        <v>1261</v>
      </c>
      <c r="C243" s="194" t="s">
        <v>519</v>
      </c>
      <c r="D243" s="193" t="s">
        <v>538</v>
      </c>
      <c r="E243" s="193" t="s">
        <v>1262</v>
      </c>
      <c r="F243" s="195">
        <v>3.447510387E9</v>
      </c>
      <c r="G243" s="196"/>
      <c r="H243" s="193" t="s">
        <v>1263</v>
      </c>
      <c r="I243" s="197" t="str">
        <f>IF(iserror(vlookup($A243,Pagos!$B$5:L1241,4,false)),"Sin actividad",If(vlookup($A243,Pagos!$B$5:$L1241,5,false),vlookup($A243,Pagos!$B$5:$L1241,5,false),vlookup($A243,Pagos!$B$5:$L1241,4,false)))</f>
        <v>Sin actividad</v>
      </c>
      <c r="J243" s="198" t="s">
        <v>529</v>
      </c>
      <c r="K243" s="199">
        <v>43862.0</v>
      </c>
      <c r="L243" s="200">
        <v>44501.0</v>
      </c>
      <c r="M243" s="201" t="s">
        <v>535</v>
      </c>
      <c r="N243" s="202">
        <f>If(L243&gt;K243,   datedif(K243,L243,"Y") , If(K243&lt;Vitalicios!$C$4, datedif(K243,Vitalicios!$C$4,"Y"),0)  )</f>
        <v>1</v>
      </c>
      <c r="O243" s="202"/>
    </row>
    <row r="244">
      <c r="A244" s="192">
        <v>1112.0</v>
      </c>
      <c r="B244" s="193" t="s">
        <v>1264</v>
      </c>
      <c r="C244" s="194" t="s">
        <v>537</v>
      </c>
      <c r="D244" s="193" t="s">
        <v>520</v>
      </c>
      <c r="E244" s="193" t="s">
        <v>1265</v>
      </c>
      <c r="F244" s="195">
        <v>4257809.0</v>
      </c>
      <c r="G244" s="196">
        <v>0.0</v>
      </c>
      <c r="H244" s="193" t="s">
        <v>1266</v>
      </c>
      <c r="I244" s="197" t="str">
        <f>IF(iserror(vlookup($A244,Pagos!$B$5:L1241,4,false)),"Sin actividad",If(vlookup($A244,Pagos!$B$5:$L1241,5,false),vlookup($A244,Pagos!$B$5:$L1241,5,false),vlookup($A244,Pagos!$B$5:$L1241,4,false)))</f>
        <v>Sin actividad</v>
      </c>
      <c r="J244" s="198" t="s">
        <v>529</v>
      </c>
      <c r="K244" s="199">
        <v>38991.0</v>
      </c>
      <c r="L244" s="200">
        <v>41699.0</v>
      </c>
      <c r="M244" s="201" t="s">
        <v>1201</v>
      </c>
      <c r="N244" s="202">
        <f>If(L244&gt;K244,   datedif(K244,L244,"Y") , If(K244&lt;Vitalicios!$C$4, datedif(K244,Vitalicios!$C$4,"Y"),0)  )</f>
        <v>7</v>
      </c>
      <c r="O244" s="202"/>
    </row>
    <row r="245">
      <c r="A245" s="192">
        <v>1469.0</v>
      </c>
      <c r="B245" s="193" t="s">
        <v>1267</v>
      </c>
      <c r="C245" s="194" t="s">
        <v>526</v>
      </c>
      <c r="D245" s="193" t="s">
        <v>556</v>
      </c>
      <c r="E245" s="193" t="s">
        <v>1268</v>
      </c>
      <c r="F245" s="195">
        <v>4525543.0</v>
      </c>
      <c r="G245" s="196">
        <v>1.11536814026E11</v>
      </c>
      <c r="H245" s="193"/>
      <c r="I245" s="197" t="str">
        <f>IF(iserror(vlookup($A245,Pagos!$B$5:L1241,4,false)),"Sin actividad",If(vlookup($A245,Pagos!$B$5:$L1241,5,false),vlookup($A245,Pagos!$B$5:$L1241,5,false),vlookup($A245,Pagos!$B$5:$L1241,4,false)))</f>
        <v>Sin actividad</v>
      </c>
      <c r="J245" s="198" t="s">
        <v>529</v>
      </c>
      <c r="K245" s="199">
        <v>41469.0</v>
      </c>
      <c r="L245" s="200">
        <v>45047.0</v>
      </c>
      <c r="M245" s="201" t="s">
        <v>535</v>
      </c>
      <c r="N245" s="202">
        <f>If(L245&gt;K245,   datedif(K245,L245,"Y") , If(K245&lt;Vitalicios!$C$4, datedif(K245,Vitalicios!$C$4,"Y"),0)  )</f>
        <v>9</v>
      </c>
      <c r="O245" s="202"/>
    </row>
    <row r="246">
      <c r="A246" s="192">
        <v>1743.0</v>
      </c>
      <c r="B246" s="193" t="s">
        <v>1269</v>
      </c>
      <c r="C246" s="194" t="s">
        <v>519</v>
      </c>
      <c r="D246" s="193" t="s">
        <v>538</v>
      </c>
      <c r="E246" s="193" t="s">
        <v>1270</v>
      </c>
      <c r="F246" s="195">
        <v>1.56161641E8</v>
      </c>
      <c r="G246" s="196"/>
      <c r="H246" s="193" t="s">
        <v>1271</v>
      </c>
      <c r="I246" s="197">
        <f>IF(iserror(vlookup($A246,Pagos!$B$5:L1241,4,false)),"Sin actividad",If(vlookup($A246,Pagos!$B$5:$L1241,5,false),vlookup($A246,Pagos!$B$5:$L1241,5,false),vlookup($A246,Pagos!$B$5:$L1241,4,false)))</f>
        <v>45870</v>
      </c>
      <c r="J246" s="198" t="s">
        <v>523</v>
      </c>
      <c r="K246" s="199">
        <v>43556.0</v>
      </c>
      <c r="L246" s="200"/>
      <c r="M246" s="201"/>
      <c r="N246" s="202">
        <f>If(L246&gt;K246,   datedif(K246,L246,"Y") , If(K246&lt;Vitalicios!$C$4, datedif(K246,Vitalicios!$C$4,"Y"),0)  )</f>
        <v>6</v>
      </c>
      <c r="O246" s="202"/>
    </row>
    <row r="247">
      <c r="A247" s="192">
        <v>1451.0</v>
      </c>
      <c r="B247" s="193" t="s">
        <v>1272</v>
      </c>
      <c r="C247" s="194" t="s">
        <v>526</v>
      </c>
      <c r="D247" s="193" t="s">
        <v>556</v>
      </c>
      <c r="E247" s="193" t="s">
        <v>1273</v>
      </c>
      <c r="F247" s="195">
        <v>4231099.0</v>
      </c>
      <c r="G247" s="196">
        <v>1.55754292E8</v>
      </c>
      <c r="H247" s="193"/>
      <c r="I247" s="197" t="str">
        <f>IF(iserror(vlookup($A247,Pagos!$B$5:L1241,4,false)),"Sin actividad",If(vlookup($A247,Pagos!$B$5:$L1241,5,false),vlookup($A247,Pagos!$B$5:$L1241,5,false),vlookup($A247,Pagos!$B$5:$L1241,4,false)))</f>
        <v>Sin actividad</v>
      </c>
      <c r="J247" s="198" t="s">
        <v>529</v>
      </c>
      <c r="K247" s="199">
        <v>41328.0</v>
      </c>
      <c r="L247" s="200">
        <v>42036.0</v>
      </c>
      <c r="M247" s="201" t="s">
        <v>1274</v>
      </c>
      <c r="N247" s="202">
        <f>If(L247&gt;K247,   datedif(K247,L247,"Y") , If(K247&lt;Vitalicios!$C$4, datedif(K247,Vitalicios!$C$4,"Y"),0)  )</f>
        <v>1</v>
      </c>
      <c r="O247" s="202"/>
    </row>
    <row r="248">
      <c r="A248" s="192">
        <v>1614.0</v>
      </c>
      <c r="B248" s="193" t="s">
        <v>1275</v>
      </c>
      <c r="C248" s="194" t="s">
        <v>519</v>
      </c>
      <c r="D248" s="193" t="s">
        <v>527</v>
      </c>
      <c r="E248" s="193" t="s">
        <v>1276</v>
      </c>
      <c r="F248" s="195">
        <v>1.555806E8</v>
      </c>
      <c r="G248" s="196"/>
      <c r="H248" s="193" t="s">
        <v>1277</v>
      </c>
      <c r="I248" s="197" t="str">
        <f>IF(iserror(vlookup($A248,Pagos!$B$5:L1241,4,false)),"Sin actividad",If(vlookup($A248,Pagos!$B$5:$L1241,5,false),vlookup($A248,Pagos!$B$5:$L1241,5,false),vlookup($A248,Pagos!$B$5:$L1241,4,false)))</f>
        <v>Sin actividad</v>
      </c>
      <c r="J248" s="198" t="s">
        <v>529</v>
      </c>
      <c r="K248" s="199">
        <v>42705.0</v>
      </c>
      <c r="L248" s="200">
        <v>44348.0</v>
      </c>
      <c r="M248" s="201" t="s">
        <v>1278</v>
      </c>
      <c r="N248" s="202">
        <f>If(L248&gt;K248,   datedif(K248,L248,"Y") , If(K248&lt;Vitalicios!$C$4, datedif(K248,Vitalicios!$C$4,"Y"),0)  )</f>
        <v>4</v>
      </c>
      <c r="O248" s="202"/>
    </row>
    <row r="249" ht="12.75" customHeight="1">
      <c r="A249" s="192">
        <v>1964.0</v>
      </c>
      <c r="B249" s="193" t="s">
        <v>1279</v>
      </c>
      <c r="C249" s="193" t="s">
        <v>537</v>
      </c>
      <c r="D249" s="193" t="s">
        <v>628</v>
      </c>
      <c r="E249" s="193" t="s">
        <v>1280</v>
      </c>
      <c r="F249" s="195">
        <v>2.21155407696E11</v>
      </c>
      <c r="G249" s="196"/>
      <c r="H249" s="193" t="s">
        <v>1281</v>
      </c>
      <c r="I249" s="197" t="str">
        <f>IF(iserror(vlookup($A249,Pagos!$B$5:L1241,4,false)),"Sin actividad",If(vlookup($A249,Pagos!$B$5:$L1241,5,false),vlookup($A249,Pagos!$B$5:$L1241,5,false),vlookup($A249,Pagos!$B$5:$L1241,4,false)))</f>
        <v>Sin actividad</v>
      </c>
      <c r="J249" s="198" t="s">
        <v>529</v>
      </c>
      <c r="K249" s="199">
        <v>44531.0</v>
      </c>
      <c r="L249" s="200"/>
      <c r="M249" s="201" t="s">
        <v>620</v>
      </c>
      <c r="N249" s="202"/>
      <c r="O249" s="202"/>
    </row>
    <row r="250" ht="12.75" customHeight="1">
      <c r="A250" s="192">
        <v>2343.0</v>
      </c>
      <c r="B250" s="193" t="s">
        <v>1282</v>
      </c>
      <c r="C250" s="193" t="s">
        <v>537</v>
      </c>
      <c r="D250" s="193" t="s">
        <v>538</v>
      </c>
      <c r="E250" s="193" t="s">
        <v>1283</v>
      </c>
      <c r="F250" s="195">
        <v>2.216056358E9</v>
      </c>
      <c r="G250" s="196"/>
      <c r="H250" s="193" t="s">
        <v>1284</v>
      </c>
      <c r="I250" s="197"/>
      <c r="J250" s="198" t="s">
        <v>523</v>
      </c>
      <c r="K250" s="199">
        <v>45717.0</v>
      </c>
      <c r="L250" s="200"/>
      <c r="M250" s="201"/>
      <c r="N250" s="202"/>
      <c r="O250" s="202"/>
    </row>
    <row r="251">
      <c r="A251" s="192">
        <v>1347.0</v>
      </c>
      <c r="B251" s="193" t="s">
        <v>1285</v>
      </c>
      <c r="C251" s="194" t="s">
        <v>526</v>
      </c>
      <c r="D251" s="193" t="s">
        <v>556</v>
      </c>
      <c r="E251" s="193" t="s">
        <v>1286</v>
      </c>
      <c r="F251" s="195">
        <v>4724647.0</v>
      </c>
      <c r="G251" s="196">
        <v>1.55735702E8</v>
      </c>
      <c r="H251" s="193"/>
      <c r="I251" s="197" t="str">
        <f>IF(iserror(vlookup($A251,Pagos!$B$5:L1241,4,false)),"Sin actividad",If(vlookup($A251,Pagos!$B$5:$L1241,5,false),vlookup($A251,Pagos!$B$5:$L1241,5,false),vlookup($A251,Pagos!$B$5:$L1241,4,false)))</f>
        <v>Sin actividad</v>
      </c>
      <c r="J251" s="198" t="s">
        <v>529</v>
      </c>
      <c r="K251" s="199">
        <v>40558.0</v>
      </c>
      <c r="L251" s="200"/>
      <c r="M251" s="201" t="s">
        <v>820</v>
      </c>
      <c r="N251" s="202">
        <f>If(L251&gt;K251,   datedif(K251,L251,"Y") , If(K251&lt;Vitalicios!$C$4, datedif(K251,Vitalicios!$C$4,"Y"),0)  )</f>
        <v>14</v>
      </c>
      <c r="O251" s="202"/>
    </row>
    <row r="252">
      <c r="A252" s="192">
        <v>943.0</v>
      </c>
      <c r="B252" s="193" t="s">
        <v>1287</v>
      </c>
      <c r="C252" s="194" t="s">
        <v>526</v>
      </c>
      <c r="D252" s="193" t="s">
        <v>556</v>
      </c>
      <c r="E252" s="193" t="s">
        <v>1288</v>
      </c>
      <c r="F252" s="195">
        <v>4861179.0</v>
      </c>
      <c r="G252" s="196">
        <v>0.0</v>
      </c>
      <c r="H252" s="193"/>
      <c r="I252" s="197">
        <f>IF(iserror(vlookup($A252,Pagos!$B$5:L1241,4,false)),"Sin actividad",If(vlookup($A252,Pagos!$B$5:$L1241,5,false),vlookup($A252,Pagos!$B$5:$L1241,5,false),vlookup($A252,Pagos!$B$5:$L1241,4,false)))</f>
        <v>45870</v>
      </c>
      <c r="J252" s="198" t="s">
        <v>523</v>
      </c>
      <c r="K252" s="199">
        <v>37638.0</v>
      </c>
      <c r="L252" s="200"/>
      <c r="M252" s="201"/>
      <c r="N252" s="202">
        <f>If(L252&gt;K252,   datedif(K252,L252,"Y") , If(K252&lt;Vitalicios!$C$4, datedif(K252,Vitalicios!$C$4,"Y"),0)  )</f>
        <v>22</v>
      </c>
      <c r="O252" s="202"/>
    </row>
    <row r="253">
      <c r="A253" s="192">
        <v>1626.0</v>
      </c>
      <c r="B253" s="193" t="s">
        <v>1289</v>
      </c>
      <c r="C253" s="193" t="s">
        <v>679</v>
      </c>
      <c r="D253" s="193" t="s">
        <v>709</v>
      </c>
      <c r="E253" s="193" t="s">
        <v>1290</v>
      </c>
      <c r="F253" s="195"/>
      <c r="G253" s="196"/>
      <c r="H253" s="193" t="s">
        <v>1291</v>
      </c>
      <c r="I253" s="197" t="str">
        <f>IF(iserror(vlookup($A253,Pagos!$B$5:L1241,4,false)),"Sin actividad",If(vlookup($A253,Pagos!$B$5:$L1241,5,false),vlookup($A253,Pagos!$B$5:$L1241,5,false),vlookup($A253,Pagos!$B$5:$L1241,4,false)))</f>
        <v>Sin actividad</v>
      </c>
      <c r="J253" s="198" t="s">
        <v>529</v>
      </c>
      <c r="K253" s="199">
        <v>42772.0</v>
      </c>
      <c r="L253" s="200">
        <v>45839.0</v>
      </c>
      <c r="M253" s="201" t="s">
        <v>1292</v>
      </c>
      <c r="N253" s="202">
        <f>If(L253&gt;K253,   datedif(K253,L253,"Y") , If(K253&lt;Vitalicios!$C$4, datedif(K253,Vitalicios!$C$4,"Y"),0)  )</f>
        <v>8</v>
      </c>
      <c r="O253" s="202"/>
    </row>
    <row r="254">
      <c r="A254" s="192">
        <v>1657.0</v>
      </c>
      <c r="B254" s="193" t="s">
        <v>1293</v>
      </c>
      <c r="C254" s="194" t="s">
        <v>519</v>
      </c>
      <c r="D254" s="193" t="s">
        <v>770</v>
      </c>
      <c r="E254" s="193" t="s">
        <v>1294</v>
      </c>
      <c r="F254" s="195">
        <v>1.55869034E8</v>
      </c>
      <c r="G254" s="196"/>
      <c r="H254" s="193" t="s">
        <v>1295</v>
      </c>
      <c r="I254" s="197" t="str">
        <f>IF(iserror(vlookup($A254,Pagos!$B$5:L1241,4,false)),"Sin actividad",If(vlookup($A254,Pagos!$B$5:$L1241,5,false),vlookup($A254,Pagos!$B$5:$L1241,5,false),vlookup($A254,Pagos!$B$5:$L1241,4,false)))</f>
        <v>Sin actividad</v>
      </c>
      <c r="J254" s="198" t="s">
        <v>529</v>
      </c>
      <c r="K254" s="199">
        <v>43010.0</v>
      </c>
      <c r="L254" s="200">
        <v>43525.0</v>
      </c>
      <c r="M254" s="201"/>
      <c r="N254" s="202">
        <f>If(L254&gt;K254,   datedif(K254,L254,"Y") , If(K254&lt;Vitalicios!$C$4, datedif(K254,Vitalicios!$C$4,"Y"),0)  )</f>
        <v>1</v>
      </c>
      <c r="O254" s="202"/>
    </row>
    <row r="255">
      <c r="A255" s="192">
        <v>1603.0</v>
      </c>
      <c r="B255" s="193" t="s">
        <v>1296</v>
      </c>
      <c r="C255" s="194" t="s">
        <v>526</v>
      </c>
      <c r="D255" s="193" t="s">
        <v>709</v>
      </c>
      <c r="E255" s="193" t="s">
        <v>1297</v>
      </c>
      <c r="F255" s="195">
        <v>1.5590907E8</v>
      </c>
      <c r="G255" s="196"/>
      <c r="H255" s="193" t="s">
        <v>1298</v>
      </c>
      <c r="I255" s="197" t="str">
        <f>IF(iserror(vlookup($A255,Pagos!$B$5:L1241,4,false)),"Sin actividad",If(vlookup($A255,Pagos!$B$5:$L1241,5,false),vlookup($A255,Pagos!$B$5:$L1241,5,false),vlookup($A255,Pagos!$B$5:$L1241,4,false)))</f>
        <v>Sin actividad</v>
      </c>
      <c r="J255" s="198" t="s">
        <v>529</v>
      </c>
      <c r="K255" s="199">
        <v>42522.0</v>
      </c>
      <c r="L255" s="200">
        <v>44044.0</v>
      </c>
      <c r="M255" s="201" t="s">
        <v>535</v>
      </c>
      <c r="N255" s="202">
        <f>If(L255&gt;K255,   datedif(K255,L255,"Y") , If(K255&lt;Vitalicios!$C$4, datedif(K255,Vitalicios!$C$4,"Y"),0)  )</f>
        <v>4</v>
      </c>
      <c r="O255" s="202"/>
    </row>
    <row r="256">
      <c r="A256" s="192">
        <v>2277.0</v>
      </c>
      <c r="B256" s="193" t="s">
        <v>1299</v>
      </c>
      <c r="C256" s="193" t="s">
        <v>537</v>
      </c>
      <c r="D256" s="193" t="s">
        <v>538</v>
      </c>
      <c r="E256" s="193" t="s">
        <v>1300</v>
      </c>
      <c r="F256" s="195">
        <v>4083269.0</v>
      </c>
      <c r="G256" s="196"/>
      <c r="H256" s="193" t="s">
        <v>1301</v>
      </c>
      <c r="I256" s="197"/>
      <c r="J256" s="198" t="s">
        <v>523</v>
      </c>
      <c r="K256" s="199">
        <v>45536.0</v>
      </c>
      <c r="L256" s="200"/>
      <c r="M256" s="201"/>
      <c r="N256" s="202"/>
      <c r="O256" s="202"/>
    </row>
    <row r="257">
      <c r="A257" s="192">
        <v>2370.0</v>
      </c>
      <c r="B257" s="193" t="s">
        <v>1302</v>
      </c>
      <c r="C257" s="193" t="s">
        <v>537</v>
      </c>
      <c r="D257" s="193" t="s">
        <v>485</v>
      </c>
      <c r="E257" s="193" t="s">
        <v>1303</v>
      </c>
      <c r="F257" s="195">
        <v>2.215383298E9</v>
      </c>
      <c r="G257" s="196"/>
      <c r="H257" s="193" t="s">
        <v>1304</v>
      </c>
      <c r="I257" s="197"/>
      <c r="J257" s="198" t="s">
        <v>523</v>
      </c>
      <c r="K257" s="199">
        <v>45748.0</v>
      </c>
      <c r="L257" s="200"/>
      <c r="M257" s="201"/>
      <c r="N257" s="202"/>
      <c r="O257" s="202"/>
    </row>
    <row r="258">
      <c r="A258" s="192">
        <v>1406.0</v>
      </c>
      <c r="B258" s="193" t="s">
        <v>1305</v>
      </c>
      <c r="C258" s="194" t="s">
        <v>526</v>
      </c>
      <c r="D258" s="193" t="s">
        <v>770</v>
      </c>
      <c r="E258" s="193" t="s">
        <v>1306</v>
      </c>
      <c r="F258" s="195">
        <v>1.154525138E9</v>
      </c>
      <c r="G258" s="196">
        <v>0.0</v>
      </c>
      <c r="H258" s="193" t="s">
        <v>1307</v>
      </c>
      <c r="I258" s="197" t="str">
        <f>IF(iserror(vlookup($A258,Pagos!$B$5:L1241,4,false)),"Sin actividad",If(vlookup($A258,Pagos!$B$5:$L1241,5,false),vlookup($A258,Pagos!$B$5:$L1241,5,false),vlookup($A258,Pagos!$B$5:$L1241,4,false)))</f>
        <v>Sin actividad</v>
      </c>
      <c r="J258" s="198" t="s">
        <v>529</v>
      </c>
      <c r="K258" s="199">
        <v>40911.0</v>
      </c>
      <c r="L258" s="200">
        <v>43525.0</v>
      </c>
      <c r="M258" s="201"/>
      <c r="N258" s="202">
        <f>If(L258&gt;K258,   datedif(K258,L258,"Y") , If(K258&lt;Vitalicios!$C$4, datedif(K258,Vitalicios!$C$4,"Y"),0)  )</f>
        <v>7</v>
      </c>
      <c r="O258" s="202"/>
    </row>
    <row r="259">
      <c r="A259" s="192">
        <v>2057.0</v>
      </c>
      <c r="B259" s="193" t="s">
        <v>1308</v>
      </c>
      <c r="C259" s="193" t="s">
        <v>537</v>
      </c>
      <c r="D259" s="193" t="s">
        <v>628</v>
      </c>
      <c r="E259" s="193" t="s">
        <v>1309</v>
      </c>
      <c r="F259" s="195">
        <v>2.215343741E9</v>
      </c>
      <c r="G259" s="196"/>
      <c r="H259" s="193" t="s">
        <v>1310</v>
      </c>
      <c r="I259" s="197"/>
      <c r="J259" s="198" t="s">
        <v>523</v>
      </c>
      <c r="K259" s="199">
        <v>44805.0</v>
      </c>
      <c r="L259" s="200"/>
      <c r="M259" s="201"/>
      <c r="N259" s="202"/>
      <c r="O259" s="202"/>
    </row>
    <row r="260">
      <c r="A260" s="192">
        <v>2102.0</v>
      </c>
      <c r="B260" s="193" t="s">
        <v>1311</v>
      </c>
      <c r="C260" s="193" t="s">
        <v>537</v>
      </c>
      <c r="D260" s="193" t="s">
        <v>628</v>
      </c>
      <c r="E260" s="193" t="s">
        <v>1312</v>
      </c>
      <c r="F260" s="195">
        <v>2.216491113E9</v>
      </c>
      <c r="G260" s="196"/>
      <c r="H260" s="193" t="s">
        <v>1313</v>
      </c>
      <c r="I260" s="197"/>
      <c r="J260" s="198" t="s">
        <v>529</v>
      </c>
      <c r="K260" s="199">
        <v>44896.0</v>
      </c>
      <c r="L260" s="200">
        <v>45505.0</v>
      </c>
      <c r="M260" s="201" t="s">
        <v>703</v>
      </c>
      <c r="N260" s="202"/>
      <c r="O260" s="202"/>
    </row>
    <row r="261">
      <c r="A261" s="192">
        <v>1640.0</v>
      </c>
      <c r="B261" s="193" t="s">
        <v>1314</v>
      </c>
      <c r="C261" s="193" t="s">
        <v>537</v>
      </c>
      <c r="D261" s="193" t="s">
        <v>527</v>
      </c>
      <c r="E261" s="193" t="s">
        <v>1315</v>
      </c>
      <c r="F261" s="195">
        <v>1.54818498E8</v>
      </c>
      <c r="G261" s="196"/>
      <c r="H261" s="193" t="s">
        <v>1316</v>
      </c>
      <c r="I261" s="197">
        <f>IF(iserror(vlookup($A261,Pagos!$B$5:L1241,4,false)),"Sin actividad",If(vlookup($A261,Pagos!$B$5:$L1241,5,false),vlookup($A261,Pagos!$B$5:$L1241,5,false),vlookup($A261,Pagos!$B$5:$L1241,4,false)))</f>
        <v>45839</v>
      </c>
      <c r="J261" s="198" t="s">
        <v>523</v>
      </c>
      <c r="K261" s="199">
        <v>42826.0</v>
      </c>
      <c r="L261" s="200"/>
      <c r="M261" s="201"/>
      <c r="N261" s="202">
        <f>If(L261&gt;K261,   datedif(K261,L261,"Y") , If(K261&lt;Vitalicios!$C$4, datedif(K261,Vitalicios!$C$4,"Y"),0)  )</f>
        <v>8</v>
      </c>
      <c r="O261" s="202"/>
    </row>
    <row r="262">
      <c r="A262" s="192">
        <v>2211.0</v>
      </c>
      <c r="B262" s="193" t="s">
        <v>1317</v>
      </c>
      <c r="C262" s="193" t="s">
        <v>537</v>
      </c>
      <c r="D262" s="193" t="s">
        <v>532</v>
      </c>
      <c r="E262" s="193" t="s">
        <v>1318</v>
      </c>
      <c r="F262" s="195">
        <v>2.2149529E9</v>
      </c>
      <c r="G262" s="196"/>
      <c r="H262" s="193" t="s">
        <v>1319</v>
      </c>
      <c r="I262" s="197"/>
      <c r="J262" s="198" t="s">
        <v>523</v>
      </c>
      <c r="K262" s="199">
        <v>45231.0</v>
      </c>
      <c r="L262" s="200"/>
      <c r="M262" s="201"/>
      <c r="N262" s="202"/>
      <c r="O262" s="202"/>
    </row>
    <row r="263">
      <c r="A263" s="192">
        <v>1823.0</v>
      </c>
      <c r="B263" s="193" t="s">
        <v>1320</v>
      </c>
      <c r="C263" s="193" t="s">
        <v>537</v>
      </c>
      <c r="D263" s="193" t="s">
        <v>755</v>
      </c>
      <c r="E263" s="193" t="s">
        <v>1321</v>
      </c>
      <c r="F263" s="195">
        <v>2.214205655E9</v>
      </c>
      <c r="G263" s="196"/>
      <c r="H263" s="210" t="s">
        <v>1322</v>
      </c>
      <c r="I263" s="197" t="str">
        <f>IF(iserror(vlookup($A263,Pagos!$B$5:L1241,4,false)),"Sin actividad",If(vlookup($A263,Pagos!$B$5:$L1241,5,false),vlookup($A263,Pagos!$B$5:$L1241,5,false),vlookup($A263,Pagos!$B$5:$L1241,4,false)))</f>
        <v>Sin actividad</v>
      </c>
      <c r="J263" s="198" t="s">
        <v>529</v>
      </c>
      <c r="K263" s="199">
        <v>44075.0</v>
      </c>
      <c r="L263" s="200">
        <v>45292.0</v>
      </c>
      <c r="M263" s="201" t="s">
        <v>535</v>
      </c>
      <c r="N263" s="202"/>
      <c r="O263" s="202"/>
    </row>
    <row r="264">
      <c r="A264" s="192">
        <v>1522.0</v>
      </c>
      <c r="B264" s="193" t="s">
        <v>1323</v>
      </c>
      <c r="C264" s="194" t="s">
        <v>526</v>
      </c>
      <c r="D264" s="193" t="s">
        <v>556</v>
      </c>
      <c r="E264" s="193" t="s">
        <v>1324</v>
      </c>
      <c r="F264" s="195">
        <v>1.55484354E8</v>
      </c>
      <c r="G264" s="196">
        <v>0.0</v>
      </c>
      <c r="H264" s="193"/>
      <c r="I264" s="197" t="str">
        <f>IF(iserror(vlookup($A264,Pagos!$B$5:L1241,4,false)),"Sin actividad",If(vlookup($A264,Pagos!$B$5:$L1241,5,false),vlookup($A264,Pagos!$B$5:$L1241,5,false),vlookup($A264,Pagos!$B$5:$L1241,4,false)))</f>
        <v>Sin actividad</v>
      </c>
      <c r="J264" s="198" t="s">
        <v>529</v>
      </c>
      <c r="K264" s="199">
        <v>41902.0</v>
      </c>
      <c r="L264" s="200">
        <v>43191.0</v>
      </c>
      <c r="M264" s="201"/>
      <c r="N264" s="202">
        <f>If(L264&gt;K264,   datedif(K264,L264,"Y") , If(K264&lt;Vitalicios!$C$4, datedif(K264,Vitalicios!$C$4,"Y"),0)  )</f>
        <v>3</v>
      </c>
      <c r="O264" s="202"/>
    </row>
    <row r="265">
      <c r="A265" s="192">
        <v>1540.0</v>
      </c>
      <c r="B265" s="193" t="s">
        <v>1325</v>
      </c>
      <c r="C265" s="194" t="s">
        <v>526</v>
      </c>
      <c r="D265" s="193" t="s">
        <v>822</v>
      </c>
      <c r="E265" s="193" t="s">
        <v>1326</v>
      </c>
      <c r="F265" s="195" t="s">
        <v>1327</v>
      </c>
      <c r="G265" s="196">
        <v>0.0</v>
      </c>
      <c r="H265" s="193"/>
      <c r="I265" s="197" t="str">
        <f>IF(iserror(vlookup($A265,Pagos!$B$5:L1241,4,false)),"Sin actividad",If(vlookup($A265,Pagos!$B$5:$L1241,5,false),vlookup($A265,Pagos!$B$5:$L1241,5,false),vlookup($A265,Pagos!$B$5:$L1241,4,false)))</f>
        <v>Sin actividad</v>
      </c>
      <c r="J265" s="198" t="s">
        <v>529</v>
      </c>
      <c r="K265" s="199">
        <v>42015.0</v>
      </c>
      <c r="L265" s="200">
        <v>43374.0</v>
      </c>
      <c r="M265" s="201" t="s">
        <v>560</v>
      </c>
      <c r="N265" s="202">
        <f>If(L265&gt;K265,   datedif(K265,L265,"Y") , If(K265&lt;Vitalicios!$C$4, datedif(K265,Vitalicios!$C$4,"Y"),0)  )</f>
        <v>3</v>
      </c>
      <c r="O265" s="202"/>
    </row>
    <row r="266">
      <c r="A266" s="192">
        <v>1488.0</v>
      </c>
      <c r="B266" s="193" t="s">
        <v>1328</v>
      </c>
      <c r="C266" s="194" t="s">
        <v>577</v>
      </c>
      <c r="D266" s="193" t="s">
        <v>527</v>
      </c>
      <c r="E266" s="193" t="s">
        <v>1329</v>
      </c>
      <c r="F266" s="195">
        <v>1.54112009E8</v>
      </c>
      <c r="G266" s="196">
        <v>0.0</v>
      </c>
      <c r="H266" s="193"/>
      <c r="I266" s="197" t="str">
        <f>IF(iserror(vlookup($A266,Pagos!$B$5:L1241,4,false)),"Sin actividad",If(vlookup($A266,Pagos!$B$5:$L1241,5,false),vlookup($A266,Pagos!$B$5:$L1241,5,false),vlookup($A266,Pagos!$B$5:$L1241,4,false)))</f>
        <v>Sin actividad</v>
      </c>
      <c r="J266" s="198" t="s">
        <v>529</v>
      </c>
      <c r="K266" s="199">
        <v>41658.0</v>
      </c>
      <c r="L266" s="200">
        <v>42064.0</v>
      </c>
      <c r="M266" s="201" t="s">
        <v>1201</v>
      </c>
      <c r="N266" s="202">
        <f>If(L266&gt;K266,   datedif(K266,L266,"Y") , If(K266&lt;Vitalicios!$C$4, datedif(K266,Vitalicios!$C$4,"Y"),0)  )</f>
        <v>1</v>
      </c>
      <c r="O266" s="202"/>
    </row>
    <row r="267">
      <c r="A267" s="192">
        <v>1871.0</v>
      </c>
      <c r="B267" s="193" t="s">
        <v>1330</v>
      </c>
      <c r="C267" s="193" t="s">
        <v>537</v>
      </c>
      <c r="D267" s="193" t="s">
        <v>538</v>
      </c>
      <c r="E267" s="193" t="s">
        <v>1331</v>
      </c>
      <c r="F267" s="195">
        <v>1.154933163E9</v>
      </c>
      <c r="G267" s="196"/>
      <c r="H267" s="193" t="s">
        <v>1332</v>
      </c>
      <c r="I267" s="197">
        <f>IF(iserror(vlookup($A267,Pagos!$B$5:L1241,4,false)),"Sin actividad",If(vlookup($A267,Pagos!$B$5:$L1241,5,false),vlookup($A267,Pagos!$B$5:$L1241,5,false),vlookup($A267,Pagos!$B$5:$L1241,4,false)))</f>
        <v>45992</v>
      </c>
      <c r="J267" s="198" t="s">
        <v>523</v>
      </c>
      <c r="K267" s="199">
        <v>44228.0</v>
      </c>
      <c r="L267" s="200"/>
      <c r="M267" s="201"/>
      <c r="N267" s="202"/>
      <c r="O267" s="202"/>
    </row>
    <row r="268">
      <c r="A268" s="192">
        <v>1345.0</v>
      </c>
      <c r="B268" s="193" t="s">
        <v>1333</v>
      </c>
      <c r="C268" s="194" t="s">
        <v>526</v>
      </c>
      <c r="D268" s="193" t="s">
        <v>556</v>
      </c>
      <c r="E268" s="193" t="s">
        <v>1334</v>
      </c>
      <c r="F268" s="195">
        <v>0.0</v>
      </c>
      <c r="G268" s="196">
        <v>0.0</v>
      </c>
      <c r="H268" s="193" t="s">
        <v>1335</v>
      </c>
      <c r="I268" s="197" t="str">
        <f>IF(iserror(vlookup($A268,Pagos!$B$5:L1241,4,false)),"Sin actividad",If(vlookup($A268,Pagos!$B$5:$L1241,5,false),vlookup($A268,Pagos!$B$5:$L1241,5,false),vlookup($A268,Pagos!$B$5:$L1241,4,false)))</f>
        <v>Sin actividad</v>
      </c>
      <c r="J268" s="198" t="s">
        <v>529</v>
      </c>
      <c r="K268" s="199">
        <v>40552.0</v>
      </c>
      <c r="L268" s="200">
        <v>42461.0</v>
      </c>
      <c r="M268" s="201"/>
      <c r="N268" s="202">
        <f>If(L268&gt;K268,   datedif(K268,L268,"Y") , If(K268&lt;Vitalicios!$C$4, datedif(K268,Vitalicios!$C$4,"Y"),0)  )</f>
        <v>5</v>
      </c>
      <c r="O268" s="202"/>
    </row>
    <row r="269">
      <c r="A269" s="192">
        <v>2084.0</v>
      </c>
      <c r="B269" s="193" t="s">
        <v>1336</v>
      </c>
      <c r="C269" s="193" t="s">
        <v>537</v>
      </c>
      <c r="D269" s="193" t="s">
        <v>538</v>
      </c>
      <c r="E269" s="193" t="s">
        <v>1337</v>
      </c>
      <c r="F269" s="195">
        <v>2.944619263E9</v>
      </c>
      <c r="G269" s="196"/>
      <c r="H269" s="193" t="s">
        <v>1338</v>
      </c>
      <c r="I269" s="197"/>
      <c r="J269" s="198" t="s">
        <v>529</v>
      </c>
      <c r="K269" s="199">
        <v>44835.0</v>
      </c>
      <c r="L269" s="200">
        <v>44986.0</v>
      </c>
      <c r="M269" s="201" t="s">
        <v>535</v>
      </c>
      <c r="N269" s="202"/>
      <c r="O269" s="202"/>
    </row>
    <row r="270">
      <c r="A270" s="192">
        <v>1405.0</v>
      </c>
      <c r="B270" s="193" t="s">
        <v>1339</v>
      </c>
      <c r="C270" s="194" t="s">
        <v>526</v>
      </c>
      <c r="D270" s="193" t="s">
        <v>556</v>
      </c>
      <c r="E270" s="193" t="s">
        <v>1340</v>
      </c>
      <c r="F270" s="195">
        <v>4277943.0</v>
      </c>
      <c r="G270" s="196">
        <v>0.0</v>
      </c>
      <c r="H270" s="193"/>
      <c r="I270" s="197">
        <f>IF(iserror(vlookup($A270,Pagos!$B$5:L1241,4,false)),"Sin actividad",If(vlookup($A270,Pagos!$B$5:$L1241,5,false),vlookup($A270,Pagos!$B$5:$L1241,5,false),vlookup($A270,Pagos!$B$5:$L1241,4,false)))</f>
        <v>45870</v>
      </c>
      <c r="J270" s="198" t="s">
        <v>523</v>
      </c>
      <c r="K270" s="199">
        <v>40903.0</v>
      </c>
      <c r="L270" s="200"/>
      <c r="M270" s="201"/>
      <c r="N270" s="202">
        <f>If(L270&gt;K270,   datedif(K270,L270,"Y") , If(K270&lt;Vitalicios!$C$4, datedif(K270,Vitalicios!$C$4,"Y"),0)  )</f>
        <v>13</v>
      </c>
      <c r="O270" s="202"/>
    </row>
    <row r="271">
      <c r="A271" s="192">
        <v>1674.0</v>
      </c>
      <c r="B271" s="193" t="s">
        <v>1341</v>
      </c>
      <c r="C271" s="194" t="s">
        <v>519</v>
      </c>
      <c r="D271" s="193" t="s">
        <v>527</v>
      </c>
      <c r="E271" s="193" t="s">
        <v>1342</v>
      </c>
      <c r="F271" s="195">
        <v>1.55406906E8</v>
      </c>
      <c r="G271" s="196"/>
      <c r="H271" s="193" t="s">
        <v>1343</v>
      </c>
      <c r="I271" s="197" t="str">
        <f>IF(iserror(vlookup($A271,Pagos!$B$5:L1241,4,false)),"Sin actividad",If(vlookup($A271,Pagos!$B$5:$L1241,5,false),vlookup($A271,Pagos!$B$5:$L1241,5,false),vlookup($A271,Pagos!$B$5:$L1241,4,false)))</f>
        <v>Sin actividad</v>
      </c>
      <c r="J271" s="198" t="s">
        <v>529</v>
      </c>
      <c r="K271" s="199">
        <v>43070.0</v>
      </c>
      <c r="L271" s="200">
        <v>43831.0</v>
      </c>
      <c r="M271" s="201"/>
      <c r="N271" s="202">
        <f>If(L271&gt;K271,   datedif(K271,L271,"Y") , If(K271&lt;Vitalicios!$C$4, datedif(K271,Vitalicios!$C$4,"Y"),0)  )</f>
        <v>2</v>
      </c>
      <c r="O271" s="202"/>
    </row>
    <row r="272">
      <c r="A272" s="192">
        <v>2144.0</v>
      </c>
      <c r="B272" s="193" t="s">
        <v>1344</v>
      </c>
      <c r="C272" s="193" t="s">
        <v>679</v>
      </c>
      <c r="D272" s="193" t="s">
        <v>1345</v>
      </c>
      <c r="E272" s="193" t="s">
        <v>1346</v>
      </c>
      <c r="F272" s="195">
        <v>2.215526604E9</v>
      </c>
      <c r="G272" s="196"/>
      <c r="H272" s="193" t="s">
        <v>1347</v>
      </c>
      <c r="I272" s="197"/>
      <c r="J272" s="198" t="s">
        <v>529</v>
      </c>
      <c r="K272" s="199">
        <v>44986.0</v>
      </c>
      <c r="L272" s="200">
        <v>45170.0</v>
      </c>
      <c r="M272" s="201" t="s">
        <v>614</v>
      </c>
      <c r="N272" s="202"/>
      <c r="O272" s="202"/>
    </row>
    <row r="273">
      <c r="A273" s="192">
        <v>1733.0</v>
      </c>
      <c r="B273" s="193" t="s">
        <v>1348</v>
      </c>
      <c r="C273" s="194" t="s">
        <v>519</v>
      </c>
      <c r="D273" s="193" t="s">
        <v>520</v>
      </c>
      <c r="E273" s="193" t="s">
        <v>1349</v>
      </c>
      <c r="F273" s="195">
        <v>1.5342674E7</v>
      </c>
      <c r="G273" s="196"/>
      <c r="H273" s="193"/>
      <c r="I273" s="197" t="str">
        <f>IF(iserror(vlookup($A273,Pagos!$B$5:L1241,4,false)),"Sin actividad",If(vlookup($A273,Pagos!$B$5:$L1241,5,false),vlookup($A273,Pagos!$B$5:$L1241,5,false),vlookup($A273,Pagos!$B$5:$L1241,4,false)))</f>
        <v>Sin actividad</v>
      </c>
      <c r="J273" s="198" t="s">
        <v>529</v>
      </c>
      <c r="K273" s="199">
        <v>43525.0</v>
      </c>
      <c r="L273" s="200">
        <v>45292.0</v>
      </c>
      <c r="M273" s="201" t="s">
        <v>614</v>
      </c>
      <c r="N273" s="202">
        <f>If(L273&gt;K273,   datedif(K273,L273,"Y") , If(K273&lt;Vitalicios!$C$4, datedif(K273,Vitalicios!$C$4,"Y"),0)  )</f>
        <v>4</v>
      </c>
      <c r="O273" s="202"/>
    </row>
    <row r="274">
      <c r="A274" s="192">
        <v>1719.0</v>
      </c>
      <c r="B274" s="193" t="s">
        <v>1350</v>
      </c>
      <c r="C274" s="194" t="s">
        <v>519</v>
      </c>
      <c r="D274" s="193" t="s">
        <v>520</v>
      </c>
      <c r="E274" s="193" t="s">
        <v>1351</v>
      </c>
      <c r="F274" s="195">
        <v>1.54987568E8</v>
      </c>
      <c r="G274" s="196"/>
      <c r="H274" s="193" t="s">
        <v>1352</v>
      </c>
      <c r="I274" s="197" t="str">
        <f>IF(iserror(vlookup($A274,Pagos!$B$5:L1241,4,false)),"Sin actividad",If(vlookup($A274,Pagos!$B$5:$L1241,5,false),vlookup($A274,Pagos!$B$5:$L1241,5,false),vlookup($A274,Pagos!$B$5:$L1241,4,false)))</f>
        <v>Sin actividad</v>
      </c>
      <c r="J274" s="198" t="s">
        <v>529</v>
      </c>
      <c r="K274" s="199">
        <v>43435.0</v>
      </c>
      <c r="L274" s="200">
        <v>44013.0</v>
      </c>
      <c r="M274" s="201"/>
      <c r="N274" s="202">
        <f>If(L274&gt;K274,   datedif(K274,L274,"Y") , If(K274&lt;Vitalicios!$C$4, datedif(K274,Vitalicios!$C$4,"Y"),0)  )</f>
        <v>1</v>
      </c>
      <c r="O274" s="202"/>
    </row>
    <row r="275">
      <c r="A275" s="192">
        <v>1563.0</v>
      </c>
      <c r="B275" s="193" t="s">
        <v>1353</v>
      </c>
      <c r="C275" s="194" t="s">
        <v>526</v>
      </c>
      <c r="D275" s="193" t="s">
        <v>527</v>
      </c>
      <c r="E275" s="193" t="s">
        <v>1354</v>
      </c>
      <c r="F275" s="195">
        <v>1.142370703E9</v>
      </c>
      <c r="G275" s="196"/>
      <c r="H275" s="193" t="s">
        <v>1355</v>
      </c>
      <c r="I275" s="197" t="str">
        <f>IF(iserror(vlookup($A275,Pagos!$B$5:L1241,4,false)),"Sin actividad",If(vlookup($A275,Pagos!$B$5:$L1241,5,false),vlookup($A275,Pagos!$B$5:$L1241,5,false),vlookup($A275,Pagos!$B$5:$L1241,4,false)))</f>
        <v>Sin actividad</v>
      </c>
      <c r="J275" s="198" t="s">
        <v>529</v>
      </c>
      <c r="K275" s="199">
        <v>42218.0</v>
      </c>
      <c r="L275" s="200">
        <v>43374.0</v>
      </c>
      <c r="M275" s="201" t="s">
        <v>560</v>
      </c>
      <c r="N275" s="202">
        <f>If(L275&gt;K275,   datedif(K275,L275,"Y") , If(K275&lt;Vitalicios!$C$4, datedif(K275,Vitalicios!$C$4,"Y"),0)  )</f>
        <v>3</v>
      </c>
      <c r="O275" s="202"/>
    </row>
    <row r="276">
      <c r="A276" s="192">
        <v>1423.0</v>
      </c>
      <c r="B276" s="193" t="s">
        <v>1356</v>
      </c>
      <c r="C276" s="194" t="s">
        <v>526</v>
      </c>
      <c r="D276" s="193" t="s">
        <v>556</v>
      </c>
      <c r="E276" s="193" t="s">
        <v>1357</v>
      </c>
      <c r="F276" s="195">
        <v>4530750.0</v>
      </c>
      <c r="G276" s="196">
        <v>1.54970962E8</v>
      </c>
      <c r="H276" s="193"/>
      <c r="I276" s="197" t="str">
        <f>IF(iserror(vlookup($A276,Pagos!$B$5:L1241,4,false)),"Sin actividad",If(vlookup($A276,Pagos!$B$5:$L1241,5,false),vlookup($A276,Pagos!$B$5:$L1241,5,false),vlookup($A276,Pagos!$B$5:$L1241,4,false)))</f>
        <v>Sin actividad</v>
      </c>
      <c r="J276" s="198" t="s">
        <v>529</v>
      </c>
      <c r="K276" s="199">
        <v>41365.0</v>
      </c>
      <c r="L276" s="200">
        <v>41579.0</v>
      </c>
      <c r="M276" s="201" t="s">
        <v>1358</v>
      </c>
      <c r="N276" s="202">
        <f>If(L276&gt;K276,   datedif(K276,L276,"Y") , If(K276&lt;Vitalicios!$C$4, datedif(K276,Vitalicios!$C$4,"Y"),0)  )</f>
        <v>0</v>
      </c>
      <c r="O276" s="202"/>
    </row>
    <row r="277">
      <c r="A277" s="192">
        <v>1518.0</v>
      </c>
      <c r="B277" s="193" t="s">
        <v>1356</v>
      </c>
      <c r="C277" s="194" t="s">
        <v>526</v>
      </c>
      <c r="D277" s="193" t="s">
        <v>556</v>
      </c>
      <c r="E277" s="193" t="s">
        <v>1357</v>
      </c>
      <c r="F277" s="195">
        <v>4530750.0</v>
      </c>
      <c r="G277" s="196">
        <v>1.54970962E8</v>
      </c>
      <c r="H277" s="193"/>
      <c r="I277" s="197" t="str">
        <f>IF(iserror(vlookup($A277,Pagos!$B$5:L1241,4,false)),"Sin actividad",If(vlookup($A277,Pagos!$B$5:$L1241,5,false),vlookup($A277,Pagos!$B$5:$L1241,5,false),vlookup($A277,Pagos!$B$5:$L1241,4,false)))</f>
        <v>Sin actividad</v>
      </c>
      <c r="J277" s="198" t="s">
        <v>529</v>
      </c>
      <c r="K277" s="199">
        <v>41889.0</v>
      </c>
      <c r="L277" s="200">
        <v>42155.0</v>
      </c>
      <c r="M277" s="201" t="s">
        <v>1201</v>
      </c>
      <c r="N277" s="202">
        <f>If(L277&gt;K277,   datedif(K277,L277,"Y") , If(K277&lt;Vitalicios!$C$4, datedif(K277,Vitalicios!$C$4,"Y"),0)  )</f>
        <v>0</v>
      </c>
      <c r="O277" s="202"/>
    </row>
    <row r="278">
      <c r="A278" s="192">
        <v>2043.0</v>
      </c>
      <c r="B278" s="193" t="s">
        <v>1359</v>
      </c>
      <c r="C278" s="193" t="s">
        <v>537</v>
      </c>
      <c r="D278" s="193" t="s">
        <v>538</v>
      </c>
      <c r="E278" s="193" t="s">
        <v>1360</v>
      </c>
      <c r="F278" s="195">
        <v>2.214081031E9</v>
      </c>
      <c r="G278" s="196"/>
      <c r="H278" s="193" t="s">
        <v>1361</v>
      </c>
      <c r="I278" s="197"/>
      <c r="J278" s="198" t="s">
        <v>523</v>
      </c>
      <c r="K278" s="199">
        <v>44774.0</v>
      </c>
      <c r="L278" s="200"/>
      <c r="M278" s="201"/>
      <c r="N278" s="202"/>
      <c r="O278" s="202"/>
    </row>
    <row r="279">
      <c r="A279" s="192">
        <v>1726.0</v>
      </c>
      <c r="B279" s="193" t="s">
        <v>1362</v>
      </c>
      <c r="C279" s="194" t="s">
        <v>519</v>
      </c>
      <c r="D279" s="193" t="s">
        <v>538</v>
      </c>
      <c r="E279" s="193" t="s">
        <v>1363</v>
      </c>
      <c r="F279" s="195">
        <v>1.55366598E8</v>
      </c>
      <c r="G279" s="196"/>
      <c r="H279" s="193" t="s">
        <v>1364</v>
      </c>
      <c r="I279" s="197" t="str">
        <f>IF(iserror(vlookup($A279,Pagos!$B$5:L1241,4,false)),"Sin actividad",If(vlookup($A279,Pagos!$B$5:$L1241,5,false),vlookup($A279,Pagos!$B$5:$L1241,5,false),vlookup($A279,Pagos!$B$5:$L1241,4,false)))</f>
        <v>Sin actividad</v>
      </c>
      <c r="J279" s="198" t="s">
        <v>529</v>
      </c>
      <c r="K279" s="199">
        <v>43497.0</v>
      </c>
      <c r="L279" s="200">
        <v>45170.0</v>
      </c>
      <c r="M279" s="201" t="s">
        <v>535</v>
      </c>
      <c r="N279" s="202">
        <f>If(L279&gt;K279,   datedif(K279,L279,"Y") , If(K279&lt;Vitalicios!$C$4, datedif(K279,Vitalicios!$C$4,"Y"),0)  )</f>
        <v>4</v>
      </c>
      <c r="O279" s="202"/>
    </row>
    <row r="280">
      <c r="A280" s="192">
        <v>1900.0</v>
      </c>
      <c r="B280" s="193" t="s">
        <v>1365</v>
      </c>
      <c r="C280" s="193" t="s">
        <v>679</v>
      </c>
      <c r="D280" s="193" t="s">
        <v>628</v>
      </c>
      <c r="E280" s="193"/>
      <c r="F280" s="195"/>
      <c r="G280" s="196"/>
      <c r="H280" s="193"/>
      <c r="I280" s="197" t="str">
        <f>IF(iserror(vlookup($A280,Pagos!$B$5:L1241,4,false)),"Sin actividad",If(vlookup($A280,Pagos!$B$5:$L1241,5,false),vlookup($A280,Pagos!$B$5:$L1241,5,false),vlookup($A280,Pagos!$B$5:$L1241,4,false)))</f>
        <v>Sin actividad</v>
      </c>
      <c r="J280" s="198" t="s">
        <v>529</v>
      </c>
      <c r="K280" s="199"/>
      <c r="L280" s="200">
        <v>44501.0</v>
      </c>
      <c r="M280" s="201" t="s">
        <v>1366</v>
      </c>
      <c r="N280" s="202"/>
      <c r="O280" s="202"/>
    </row>
    <row r="281">
      <c r="A281" s="192">
        <v>1415.0</v>
      </c>
      <c r="B281" s="193" t="s">
        <v>1367</v>
      </c>
      <c r="C281" s="194" t="s">
        <v>526</v>
      </c>
      <c r="D281" s="193" t="s">
        <v>556</v>
      </c>
      <c r="E281" s="193" t="s">
        <v>1368</v>
      </c>
      <c r="F281" s="195">
        <v>4255351.0</v>
      </c>
      <c r="G281" s="196">
        <v>0.0</v>
      </c>
      <c r="H281" s="193"/>
      <c r="I281" s="197" t="str">
        <f>IF(iserror(vlookup($A281,Pagos!$B$5:L1241,4,false)),"Sin actividad",If(vlookup($A281,Pagos!$B$5:$L1241,5,false),vlookup($A281,Pagos!$B$5:$L1241,5,false),vlookup($A281,Pagos!$B$5:$L1241,4,false)))</f>
        <v>Sin actividad</v>
      </c>
      <c r="J281" s="198" t="s">
        <v>529</v>
      </c>
      <c r="K281" s="199">
        <v>40999.0</v>
      </c>
      <c r="L281" s="200"/>
      <c r="M281" s="201" t="s">
        <v>1201</v>
      </c>
      <c r="N281" s="202">
        <f>If(L281&gt;K281,   datedif(K281,L281,"Y") , If(K281&lt;Vitalicios!$C$4, datedif(K281,Vitalicios!$C$4,"Y"),0)  )</f>
        <v>13</v>
      </c>
      <c r="O281" s="202"/>
    </row>
    <row r="282">
      <c r="A282" s="192">
        <v>1414.0</v>
      </c>
      <c r="B282" s="193" t="s">
        <v>1369</v>
      </c>
      <c r="C282" s="194" t="s">
        <v>526</v>
      </c>
      <c r="D282" s="193" t="s">
        <v>770</v>
      </c>
      <c r="E282" s="193" t="s">
        <v>1368</v>
      </c>
      <c r="F282" s="195">
        <v>4255351.0</v>
      </c>
      <c r="G282" s="196">
        <v>2.215383677E9</v>
      </c>
      <c r="H282" s="193" t="s">
        <v>1370</v>
      </c>
      <c r="I282" s="197">
        <f>IF(iserror(vlookup($A282,Pagos!$B$5:L1241,4,false)),"Sin actividad",If(vlookup($A282,Pagos!$B$5:$L1241,5,false),vlookup($A282,Pagos!$B$5:$L1241,5,false),vlookup($A282,Pagos!$B$5:$L1241,4,false)))</f>
        <v>45870</v>
      </c>
      <c r="J282" s="198" t="s">
        <v>523</v>
      </c>
      <c r="K282" s="199">
        <v>40999.0</v>
      </c>
      <c r="L282" s="200"/>
      <c r="M282" s="201"/>
      <c r="N282" s="202">
        <f>If(L282&gt;K282,   datedif(K282,L282,"Y") , If(K282&lt;Vitalicios!$C$4, datedif(K282,Vitalicios!$C$4,"Y"),0)  )</f>
        <v>13</v>
      </c>
      <c r="O282" s="202"/>
    </row>
    <row r="283">
      <c r="A283" s="192">
        <v>1599.0</v>
      </c>
      <c r="B283" s="193" t="s">
        <v>1371</v>
      </c>
      <c r="C283" s="194" t="s">
        <v>526</v>
      </c>
      <c r="D283" s="193" t="s">
        <v>770</v>
      </c>
      <c r="E283" s="193" t="s">
        <v>1372</v>
      </c>
      <c r="F283" s="195">
        <v>1.56093501E8</v>
      </c>
      <c r="G283" s="196">
        <v>0.0</v>
      </c>
      <c r="H283" s="193" t="s">
        <v>1373</v>
      </c>
      <c r="I283" s="197" t="str">
        <f>IF(iserror(vlookup($A283,Pagos!$B$5:L1241,4,false)),"Sin actividad",If(vlookup($A283,Pagos!$B$5:$L1241,5,false),vlookup($A283,Pagos!$B$5:$L1241,5,false),vlookup($A283,Pagos!$B$5:$L1241,4,false)))</f>
        <v>Sin actividad</v>
      </c>
      <c r="J283" s="198" t="s">
        <v>529</v>
      </c>
      <c r="K283" s="199">
        <v>42460.0</v>
      </c>
      <c r="L283" s="200">
        <v>43374.0</v>
      </c>
      <c r="M283" s="201" t="s">
        <v>560</v>
      </c>
      <c r="N283" s="202">
        <f>If(L283&gt;K283,   datedif(K283,L283,"Y") , If(K283&lt;Vitalicios!$C$4, datedif(K283,Vitalicios!$C$4,"Y"),0)  )</f>
        <v>2</v>
      </c>
      <c r="O283" s="202"/>
    </row>
    <row r="284">
      <c r="A284" s="192">
        <v>1357.0</v>
      </c>
      <c r="B284" s="193" t="s">
        <v>1374</v>
      </c>
      <c r="C284" s="194" t="s">
        <v>526</v>
      </c>
      <c r="D284" s="193" t="s">
        <v>693</v>
      </c>
      <c r="E284" s="193" t="s">
        <v>1375</v>
      </c>
      <c r="F284" s="195">
        <v>1.56093501E8</v>
      </c>
      <c r="G284" s="196">
        <v>0.0</v>
      </c>
      <c r="H284" s="193"/>
      <c r="I284" s="197" t="str">
        <f>IF(iserror(vlookup($A284,Pagos!$B$5:L1241,4,false)),"Sin actividad",If(vlookup($A284,Pagos!$B$5:$L1241,5,false),vlookup($A284,Pagos!$B$5:$L1241,5,false),vlookup($A284,Pagos!$B$5:$L1241,4,false)))</f>
        <v>Sin actividad</v>
      </c>
      <c r="J284" s="198" t="s">
        <v>529</v>
      </c>
      <c r="K284" s="199">
        <v>40589.0</v>
      </c>
      <c r="L284" s="200">
        <v>41821.0</v>
      </c>
      <c r="M284" s="201"/>
      <c r="N284" s="202">
        <f>If(L284&gt;K284,   datedif(K284,L284,"Y") , If(K284&lt;Vitalicios!$C$4, datedif(K284,Vitalicios!$C$4,"Y"),0)  )</f>
        <v>3</v>
      </c>
      <c r="O284" s="202"/>
    </row>
    <row r="285">
      <c r="A285" s="192">
        <v>2179.0</v>
      </c>
      <c r="B285" s="193" t="s">
        <v>1376</v>
      </c>
      <c r="C285" s="193" t="s">
        <v>537</v>
      </c>
      <c r="D285" s="193" t="s">
        <v>1377</v>
      </c>
      <c r="E285" s="193" t="s">
        <v>1378</v>
      </c>
      <c r="F285" s="195">
        <v>2.215037576E9</v>
      </c>
      <c r="G285" s="196"/>
      <c r="H285" s="193" t="s">
        <v>1379</v>
      </c>
      <c r="I285" s="197"/>
      <c r="J285" s="198" t="s">
        <v>529</v>
      </c>
      <c r="K285" s="199">
        <v>45108.0</v>
      </c>
      <c r="L285" s="200">
        <v>45413.0</v>
      </c>
      <c r="M285" s="201" t="s">
        <v>915</v>
      </c>
      <c r="N285" s="202"/>
      <c r="O285" s="202"/>
    </row>
    <row r="286">
      <c r="A286" s="192">
        <v>2008.0</v>
      </c>
      <c r="B286" s="193" t="s">
        <v>1380</v>
      </c>
      <c r="C286" s="193" t="s">
        <v>537</v>
      </c>
      <c r="D286" s="193" t="s">
        <v>538</v>
      </c>
      <c r="E286" s="193" t="s">
        <v>1381</v>
      </c>
      <c r="F286" s="195">
        <v>1.153310003E9</v>
      </c>
      <c r="G286" s="196"/>
      <c r="H286" s="193" t="s">
        <v>1382</v>
      </c>
      <c r="I286" s="197">
        <f>IF(iserror(vlookup($A286,Pagos!$B$5:L1241,4,false)),"Sin actividad",If(vlookup($A286,Pagos!$B$5:$L1241,5,false),vlookup($A286,Pagos!$B$5:$L1241,5,false),vlookup($A286,Pagos!$B$5:$L1241,4,false)))</f>
        <v>45778</v>
      </c>
      <c r="J286" s="198" t="s">
        <v>523</v>
      </c>
      <c r="K286" s="199">
        <v>44621.0</v>
      </c>
      <c r="L286" s="200"/>
      <c r="M286" s="201"/>
      <c r="N286" s="202"/>
      <c r="O286" s="202"/>
    </row>
    <row r="287">
      <c r="A287" s="192">
        <v>1703.0</v>
      </c>
      <c r="B287" s="193" t="s">
        <v>1383</v>
      </c>
      <c r="C287" s="194" t="s">
        <v>519</v>
      </c>
      <c r="D287" s="193" t="s">
        <v>538</v>
      </c>
      <c r="E287" s="193" t="s">
        <v>1384</v>
      </c>
      <c r="F287" s="195"/>
      <c r="G287" s="196"/>
      <c r="H287" s="193" t="s">
        <v>1385</v>
      </c>
      <c r="I287" s="197" t="str">
        <f>IF(iserror(vlookup($A287,Pagos!$B$5:L1241,4,false)),"Sin actividad",If(vlookup($A287,Pagos!$B$5:$L1241,5,false),vlookup($A287,Pagos!$B$5:$L1241,5,false),vlookup($A287,Pagos!$B$5:$L1241,4,false)))</f>
        <v>Sin actividad</v>
      </c>
      <c r="J287" s="198" t="s">
        <v>529</v>
      </c>
      <c r="K287" s="199">
        <v>43313.0</v>
      </c>
      <c r="L287" s="200"/>
      <c r="M287" s="201"/>
      <c r="N287" s="202">
        <f>If(L287&gt;K287,   datedif(K287,L287,"Y") , If(K287&lt;Vitalicios!$C$4, datedif(K287,Vitalicios!$C$4,"Y"),0)  )</f>
        <v>7</v>
      </c>
      <c r="O287" s="202"/>
    </row>
    <row r="288">
      <c r="A288" s="192">
        <v>1524.0</v>
      </c>
      <c r="B288" s="193" t="s">
        <v>1386</v>
      </c>
      <c r="C288" s="194" t="s">
        <v>526</v>
      </c>
      <c r="D288" s="193" t="s">
        <v>556</v>
      </c>
      <c r="E288" s="193" t="s">
        <v>1387</v>
      </c>
      <c r="F288" s="195">
        <v>1.142580896E9</v>
      </c>
      <c r="G288" s="196">
        <v>0.0</v>
      </c>
      <c r="H288" s="193" t="s">
        <v>1388</v>
      </c>
      <c r="I288" s="197" t="str">
        <f>IF(iserror(vlookup($A288,Pagos!$B$5:L1241,4,false)),"Sin actividad",If(vlookup($A288,Pagos!$B$5:$L1241,5,false),vlookup($A288,Pagos!$B$5:$L1241,5,false),vlookup($A288,Pagos!$B$5:$L1241,4,false)))</f>
        <v>Sin actividad</v>
      </c>
      <c r="J288" s="198" t="s">
        <v>529</v>
      </c>
      <c r="K288" s="199">
        <v>41923.0</v>
      </c>
      <c r="L288" s="200">
        <v>43374.0</v>
      </c>
      <c r="M288" s="201" t="s">
        <v>560</v>
      </c>
      <c r="N288" s="202">
        <f>If(L288&gt;K288,   datedif(K288,L288,"Y") , If(K288&lt;Vitalicios!$C$4, datedif(K288,Vitalicios!$C$4,"Y"),0)  )</f>
        <v>3</v>
      </c>
      <c r="O288" s="202"/>
    </row>
    <row r="289">
      <c r="A289" s="192">
        <v>1175.0</v>
      </c>
      <c r="B289" s="193" t="s">
        <v>1389</v>
      </c>
      <c r="C289" s="194" t="s">
        <v>577</v>
      </c>
      <c r="D289" s="193" t="s">
        <v>556</v>
      </c>
      <c r="E289" s="193" t="s">
        <v>1390</v>
      </c>
      <c r="F289" s="195">
        <v>4252493.0</v>
      </c>
      <c r="G289" s="196">
        <v>0.0</v>
      </c>
      <c r="H289" s="193" t="s">
        <v>1391</v>
      </c>
      <c r="I289" s="197">
        <f>IF(iserror(vlookup($A289,Pagos!$B$5:L1241,4,false)),"Sin actividad",If(vlookup($A289,Pagos!$B$5:$L1241,5,false),vlookup($A289,Pagos!$B$5:$L1241,5,false),vlookup($A289,Pagos!$B$5:$L1241,4,false)))</f>
        <v>45870</v>
      </c>
      <c r="J289" s="198" t="s">
        <v>523</v>
      </c>
      <c r="K289" s="199">
        <v>39488.0</v>
      </c>
      <c r="L289" s="200"/>
      <c r="M289" s="201"/>
      <c r="N289" s="202">
        <f>If(L289&gt;K289,   datedif(K289,L289,"Y") , If(K289&lt;Vitalicios!$C$4, datedif(K289,Vitalicios!$C$4,"Y"),0)  )</f>
        <v>17</v>
      </c>
      <c r="O289" s="202"/>
    </row>
    <row r="290">
      <c r="A290" s="192">
        <v>593.0</v>
      </c>
      <c r="B290" s="193" t="s">
        <v>1392</v>
      </c>
      <c r="C290" s="194" t="s">
        <v>577</v>
      </c>
      <c r="D290" s="193" t="s">
        <v>520</v>
      </c>
      <c r="E290" s="193" t="s">
        <v>1393</v>
      </c>
      <c r="F290" s="195">
        <v>0.0</v>
      </c>
      <c r="G290" s="196">
        <v>0.0</v>
      </c>
      <c r="H290" s="193" t="s">
        <v>1394</v>
      </c>
      <c r="I290" s="197">
        <f>IF(iserror(vlookup($A290,Pagos!$B$5:L1241,4,false)),"Sin actividad",If(vlookup($A290,Pagos!$B$5:$L1241,5,false),vlookup($A290,Pagos!$B$5:$L1241,5,false),vlookup($A290,Pagos!$B$5:$L1241,4,false)))</f>
        <v>45870</v>
      </c>
      <c r="J290" s="198" t="s">
        <v>523</v>
      </c>
      <c r="K290" s="199">
        <v>33991.0</v>
      </c>
      <c r="L290" s="200"/>
      <c r="M290" s="201"/>
      <c r="N290" s="202">
        <f>If(L290&gt;K290,   datedif(K290,L290,"Y") , If(K290&lt;Vitalicios!$C$4, datedif(K290,Vitalicios!$C$4,"Y"),0)  )</f>
        <v>32</v>
      </c>
      <c r="O290" s="202"/>
    </row>
    <row r="291">
      <c r="A291" s="192">
        <v>1889.0</v>
      </c>
      <c r="B291" s="193" t="s">
        <v>1395</v>
      </c>
      <c r="C291" s="193" t="s">
        <v>537</v>
      </c>
      <c r="D291" s="193" t="s">
        <v>549</v>
      </c>
      <c r="E291" s="193" t="s">
        <v>1396</v>
      </c>
      <c r="F291" s="195">
        <v>2.214772266E9</v>
      </c>
      <c r="G291" s="196"/>
      <c r="H291" s="193" t="s">
        <v>1397</v>
      </c>
      <c r="I291" s="197" t="str">
        <f>IF(iserror(vlookup($A291,Pagos!$B$5:L1241,4,false)),"Sin actividad",If(vlookup($A291,Pagos!$B$5:$L1241,5,false),vlookup($A291,Pagos!$B$5:$L1241,5,false),vlookup($A291,Pagos!$B$5:$L1241,4,false)))</f>
        <v>Sin actividad</v>
      </c>
      <c r="J291" s="198" t="s">
        <v>529</v>
      </c>
      <c r="K291" s="199">
        <v>44256.0</v>
      </c>
      <c r="L291" s="200">
        <v>45627.0</v>
      </c>
      <c r="M291" s="201"/>
      <c r="N291" s="202"/>
      <c r="O291" s="202"/>
    </row>
    <row r="292">
      <c r="A292" s="192">
        <v>1796.0</v>
      </c>
      <c r="B292" s="193" t="s">
        <v>1398</v>
      </c>
      <c r="C292" s="193" t="s">
        <v>537</v>
      </c>
      <c r="D292" s="193" t="s">
        <v>1399</v>
      </c>
      <c r="E292" s="193" t="s">
        <v>1400</v>
      </c>
      <c r="F292" s="195">
        <v>2.21408319E9</v>
      </c>
      <c r="G292" s="196"/>
      <c r="H292" s="193" t="s">
        <v>1401</v>
      </c>
      <c r="I292" s="197" t="str">
        <f>IF(iserror(vlookup($A292,Pagos!$B$5:L1241,4,false)),"Sin actividad",If(vlookup($A292,Pagos!$B$5:$L1241,5,false),vlookup($A292,Pagos!$B$5:$L1241,5,false),vlookup($A292,Pagos!$B$5:$L1241,4,false)))</f>
        <v>Sin actividad</v>
      </c>
      <c r="J292" s="198" t="s">
        <v>529</v>
      </c>
      <c r="K292" s="199">
        <v>44044.0</v>
      </c>
      <c r="L292" s="200">
        <v>44501.0</v>
      </c>
      <c r="M292" s="201" t="s">
        <v>1402</v>
      </c>
      <c r="N292" s="202"/>
      <c r="O292" s="202"/>
    </row>
    <row r="293">
      <c r="A293" s="192">
        <v>1249.0</v>
      </c>
      <c r="B293" s="193" t="s">
        <v>1403</v>
      </c>
      <c r="C293" s="194" t="s">
        <v>577</v>
      </c>
      <c r="D293" s="193" t="s">
        <v>556</v>
      </c>
      <c r="E293" s="193">
        <v>0.0</v>
      </c>
      <c r="F293" s="195">
        <v>0.0</v>
      </c>
      <c r="G293" s="196">
        <v>0.0</v>
      </c>
      <c r="H293" s="193"/>
      <c r="I293" s="197" t="str">
        <f>IF(iserror(vlookup($A293,Pagos!$B$5:L1241,4,false)),"Sin actividad",If(vlookup($A293,Pagos!$B$5:$L1241,5,false),vlookup($A293,Pagos!$B$5:$L1241,5,false),vlookup($A293,Pagos!$B$5:$L1241,4,false)))</f>
        <v>Sin actividad</v>
      </c>
      <c r="J293" s="198" t="s">
        <v>529</v>
      </c>
      <c r="K293" s="199">
        <v>40131.0</v>
      </c>
      <c r="L293" s="200"/>
      <c r="M293" s="201"/>
      <c r="N293" s="202">
        <f>If(L293&gt;K293,   datedif(K293,L293,"Y") , If(K293&lt;Vitalicios!$C$4, datedif(K293,Vitalicios!$C$4,"Y"),0)  )</f>
        <v>15</v>
      </c>
      <c r="O293" s="202"/>
    </row>
    <row r="294" ht="19.5" customHeight="1">
      <c r="A294" s="192">
        <v>1461.0</v>
      </c>
      <c r="B294" s="193" t="s">
        <v>1404</v>
      </c>
      <c r="C294" s="194" t="s">
        <v>526</v>
      </c>
      <c r="D294" s="193" t="s">
        <v>709</v>
      </c>
      <c r="E294" s="193" t="s">
        <v>1405</v>
      </c>
      <c r="F294" s="195">
        <v>4280183.0</v>
      </c>
      <c r="G294" s="196"/>
      <c r="H294" s="193" t="s">
        <v>1406</v>
      </c>
      <c r="I294" s="197">
        <f>IF(iserror(vlookup($A294,Pagos!$B$5:L1241,4,false)),"Sin actividad",If(vlookup($A294,Pagos!$B$5:$L1241,5,false),vlookup($A294,Pagos!$B$5:$L1241,5,false),vlookup($A294,Pagos!$B$5:$L1241,4,false)))</f>
        <v>45901</v>
      </c>
      <c r="J294" s="198" t="s">
        <v>529</v>
      </c>
      <c r="K294" s="199">
        <v>41445.0</v>
      </c>
      <c r="L294" s="200"/>
      <c r="M294" s="201"/>
      <c r="N294" s="202">
        <f>If(L294&gt;K294,   datedif(K294,L294,"Y") , If(K294&lt;Vitalicios!$C$4, datedif(K294,Vitalicios!$C$4,"Y"),0)  )</f>
        <v>12</v>
      </c>
      <c r="O294" s="202"/>
    </row>
    <row r="295" ht="19.5" customHeight="1">
      <c r="A295" s="192">
        <v>2099.0</v>
      </c>
      <c r="B295" s="193" t="s">
        <v>1407</v>
      </c>
      <c r="C295" s="193" t="s">
        <v>537</v>
      </c>
      <c r="D295" s="193" t="s">
        <v>538</v>
      </c>
      <c r="E295" s="3" t="s">
        <v>1408</v>
      </c>
      <c r="F295" s="195">
        <v>2.214203182E9</v>
      </c>
      <c r="G295" s="196"/>
      <c r="H295" s="193" t="s">
        <v>1409</v>
      </c>
      <c r="I295" s="197"/>
      <c r="J295" s="198" t="s">
        <v>529</v>
      </c>
      <c r="K295" s="199">
        <v>44896.0</v>
      </c>
      <c r="L295" s="200">
        <v>45444.0</v>
      </c>
      <c r="M295" s="201" t="s">
        <v>535</v>
      </c>
      <c r="N295" s="202"/>
      <c r="O295" s="202"/>
    </row>
    <row r="296">
      <c r="A296" s="192">
        <v>1251.0</v>
      </c>
      <c r="B296" s="193" t="s">
        <v>1410</v>
      </c>
      <c r="C296" s="194" t="s">
        <v>577</v>
      </c>
      <c r="D296" s="193" t="s">
        <v>556</v>
      </c>
      <c r="E296" s="193" t="s">
        <v>1411</v>
      </c>
      <c r="F296" s="195">
        <v>0.0</v>
      </c>
      <c r="G296" s="196">
        <v>0.0</v>
      </c>
      <c r="H296" s="193"/>
      <c r="I296" s="197" t="str">
        <f>IF(iserror(vlookup($A296,Pagos!$B$5:L1241,4,false)),"Sin actividad",If(vlookup($A296,Pagos!$B$5:$L1241,5,false),vlookup($A296,Pagos!$B$5:$L1241,5,false),vlookup($A296,Pagos!$B$5:$L1241,4,false)))</f>
        <v>Sin actividad</v>
      </c>
      <c r="J296" s="198" t="s">
        <v>529</v>
      </c>
      <c r="K296" s="199">
        <v>40137.0</v>
      </c>
      <c r="L296" s="200">
        <v>42522.0</v>
      </c>
      <c r="M296" s="201" t="s">
        <v>1201</v>
      </c>
      <c r="N296" s="202">
        <f>If(L296&gt;K296,   datedif(K296,L296,"Y") , If(K296&lt;Vitalicios!$C$4, datedif(K296,Vitalicios!$C$4,"Y"),0)  )</f>
        <v>6</v>
      </c>
      <c r="O296" s="202"/>
    </row>
    <row r="297">
      <c r="A297" s="192">
        <v>965.0</v>
      </c>
      <c r="B297" s="193" t="s">
        <v>1412</v>
      </c>
      <c r="C297" s="194" t="s">
        <v>577</v>
      </c>
      <c r="D297" s="193" t="s">
        <v>770</v>
      </c>
      <c r="E297" s="193" t="s">
        <v>1413</v>
      </c>
      <c r="F297" s="195">
        <v>0.0</v>
      </c>
      <c r="G297" s="196">
        <v>0.0</v>
      </c>
      <c r="H297" s="193" t="s">
        <v>1414</v>
      </c>
      <c r="I297" s="197" t="str">
        <f>IF(iserror(vlookup($A297,Pagos!$B$5:L1241,4,false)),"Sin actividad",If(vlookup($A297,Pagos!$B$5:$L1241,5,false),vlookup($A297,Pagos!$B$5:$L1241,5,false),vlookup($A297,Pagos!$B$5:$L1241,4,false)))</f>
        <v>Sin actividad</v>
      </c>
      <c r="J297" s="198" t="s">
        <v>529</v>
      </c>
      <c r="K297" s="199">
        <v>37712.0</v>
      </c>
      <c r="L297" s="200">
        <v>43252.0</v>
      </c>
      <c r="M297" s="201"/>
      <c r="N297" s="202">
        <f>If(L297&gt;K297,   datedif(K297,L297,"Y") , If(K297&lt;Vitalicios!$C$4, datedif(K297,Vitalicios!$C$4,"Y"),0)  )</f>
        <v>15</v>
      </c>
      <c r="O297" s="202"/>
    </row>
    <row r="298">
      <c r="A298" s="192">
        <v>1025.0</v>
      </c>
      <c r="B298" s="193" t="s">
        <v>1415</v>
      </c>
      <c r="C298" s="194" t="s">
        <v>577</v>
      </c>
      <c r="D298" s="193" t="s">
        <v>520</v>
      </c>
      <c r="E298" s="193" t="s">
        <v>1416</v>
      </c>
      <c r="F298" s="195">
        <v>0.0</v>
      </c>
      <c r="G298" s="196">
        <v>0.0</v>
      </c>
      <c r="H298" s="193"/>
      <c r="I298" s="197" t="str">
        <f>IF(iserror(vlookup($A298,Pagos!$B$5:L1241,4,false)),"Sin actividad",If(vlookup($A298,Pagos!$B$5:$L1241,5,false),vlookup($A298,Pagos!$B$5:$L1241,5,false),vlookup($A298,Pagos!$B$5:$L1241,4,false)))</f>
        <v>Sin actividad</v>
      </c>
      <c r="J298" s="198" t="s">
        <v>529</v>
      </c>
      <c r="K298" s="199">
        <v>38047.0</v>
      </c>
      <c r="L298" s="200">
        <v>42705.0</v>
      </c>
      <c r="M298" s="201"/>
      <c r="N298" s="202">
        <f>If(L298&gt;K298,   datedif(K298,L298,"Y") , If(K298&lt;Vitalicios!$C$4, datedif(K298,Vitalicios!$C$4,"Y"),0)  )</f>
        <v>12</v>
      </c>
      <c r="O298" s="202"/>
    </row>
    <row r="299">
      <c r="A299" s="211">
        <v>1751.0</v>
      </c>
      <c r="B299" s="212" t="s">
        <v>1417</v>
      </c>
      <c r="C299" s="212" t="s">
        <v>951</v>
      </c>
      <c r="D299" s="212" t="s">
        <v>709</v>
      </c>
      <c r="E299" s="212" t="s">
        <v>1418</v>
      </c>
      <c r="F299" s="213" t="s">
        <v>1419</v>
      </c>
      <c r="G299" s="214"/>
      <c r="H299" s="212" t="s">
        <v>1420</v>
      </c>
      <c r="I299" s="197" t="str">
        <f>IF(iserror(vlookup($A299,Pagos!$B$5:L1241,4,false)),"Sin actividad",If(vlookup($A299,Pagos!$B$5:$L1241,5,false),vlookup($A299,Pagos!$B$5:$L1241,5,false),vlookup($A299,Pagos!$B$5:$L1241,4,false)))</f>
        <v>Sin actividad</v>
      </c>
      <c r="J299" s="32" t="s">
        <v>529</v>
      </c>
      <c r="K299" s="215">
        <v>43709.0</v>
      </c>
      <c r="L299" s="215">
        <v>43831.0</v>
      </c>
      <c r="M299" s="216" t="s">
        <v>1201</v>
      </c>
      <c r="N299" s="217">
        <f>IF(L299&gt;K299,   DATEDIF(K299,L299,"Y") , IF(K299&lt;Vitalicios!$C$4, DATEDIF(K299,Vitalicios!$C$4,"Y"),0)  )</f>
        <v>0</v>
      </c>
      <c r="O299" s="217"/>
    </row>
    <row r="300">
      <c r="A300" s="192">
        <v>1688.0</v>
      </c>
      <c r="B300" s="193" t="s">
        <v>1421</v>
      </c>
      <c r="C300" s="194" t="s">
        <v>519</v>
      </c>
      <c r="D300" s="193" t="s">
        <v>538</v>
      </c>
      <c r="E300" s="193" t="s">
        <v>1422</v>
      </c>
      <c r="F300" s="195">
        <v>4232126.0</v>
      </c>
      <c r="G300" s="196"/>
      <c r="H300" s="193" t="s">
        <v>1423</v>
      </c>
      <c r="I300" s="197">
        <f>IF(iserror(vlookup($A300,Pagos!$B$5:L1241,4,false)),"Sin actividad",If(vlookup($A300,Pagos!$B$5:$L1241,5,false),vlookup($A300,Pagos!$B$5:$L1241,5,false),vlookup($A300,Pagos!$B$5:$L1241,4,false)))</f>
        <v>45870</v>
      </c>
      <c r="J300" s="198" t="s">
        <v>523</v>
      </c>
      <c r="K300" s="199">
        <v>43160.0</v>
      </c>
      <c r="L300" s="200"/>
      <c r="M300" s="201"/>
      <c r="N300" s="202">
        <f>If(L300&gt;K300,   datedif(K300,L300,"Y") , If(K300&lt;Vitalicios!$C$4, datedif(K300,Vitalicios!$C$4,"Y"),0)  )</f>
        <v>7</v>
      </c>
      <c r="O300" s="202"/>
    </row>
    <row r="301">
      <c r="A301" s="192">
        <v>2345.0</v>
      </c>
      <c r="B301" s="193" t="s">
        <v>1424</v>
      </c>
      <c r="C301" s="193" t="s">
        <v>951</v>
      </c>
      <c r="D301" s="193" t="s">
        <v>538</v>
      </c>
      <c r="E301" s="193" t="s">
        <v>1425</v>
      </c>
      <c r="F301" s="195">
        <v>2.216300029E9</v>
      </c>
      <c r="G301" s="196"/>
      <c r="H301" s="193" t="s">
        <v>1426</v>
      </c>
      <c r="I301" s="197">
        <v>45717.0</v>
      </c>
      <c r="J301" s="198" t="s">
        <v>523</v>
      </c>
      <c r="K301" s="199"/>
      <c r="L301" s="200"/>
      <c r="M301" s="201"/>
      <c r="N301" s="202"/>
      <c r="O301" s="202"/>
    </row>
    <row r="302">
      <c r="A302" s="192">
        <v>1869.0</v>
      </c>
      <c r="B302" s="193" t="s">
        <v>1427</v>
      </c>
      <c r="C302" s="193" t="s">
        <v>526</v>
      </c>
      <c r="D302" s="193" t="s">
        <v>538</v>
      </c>
      <c r="E302" s="193" t="s">
        <v>1428</v>
      </c>
      <c r="F302" s="195">
        <v>1.141900814E9</v>
      </c>
      <c r="G302" s="196"/>
      <c r="H302" s="193" t="s">
        <v>1429</v>
      </c>
      <c r="I302" s="197">
        <f>IF(iserror(vlookup($A302,Pagos!$B$5:L1241,4,false)),"Sin actividad",If(vlookup($A302,Pagos!$B$5:$L1241,5,false),vlookup($A302,Pagos!$B$5:$L1241,5,false),vlookup($A302,Pagos!$B$5:$L1241,4,false)))</f>
        <v>45870</v>
      </c>
      <c r="J302" s="198" t="s">
        <v>523</v>
      </c>
      <c r="K302" s="199">
        <v>44228.0</v>
      </c>
      <c r="L302" s="200"/>
      <c r="M302" s="201"/>
      <c r="N302" s="202"/>
      <c r="O302" s="202"/>
    </row>
    <row r="303">
      <c r="A303" s="192">
        <v>1440.0</v>
      </c>
      <c r="B303" s="193" t="s">
        <v>1430</v>
      </c>
      <c r="C303" s="194" t="s">
        <v>526</v>
      </c>
      <c r="D303" s="193" t="s">
        <v>556</v>
      </c>
      <c r="E303" s="193" t="s">
        <v>1431</v>
      </c>
      <c r="F303" s="195">
        <v>1.54948861E8</v>
      </c>
      <c r="G303" s="196">
        <v>0.0</v>
      </c>
      <c r="H303" s="193" t="s">
        <v>1432</v>
      </c>
      <c r="I303" s="197" t="str">
        <f>IF(iserror(vlookup($A303,Pagos!$B$5:L1241,4,false)),"Sin actividad",If(vlookup($A303,Pagos!$B$5:$L1241,5,false),vlookup($A303,Pagos!$B$5:$L1241,5,false),vlookup($A303,Pagos!$B$5:$L1241,4,false)))</f>
        <v>Sin actividad</v>
      </c>
      <c r="J303" s="198" t="s">
        <v>529</v>
      </c>
      <c r="K303" s="199">
        <v>41279.0</v>
      </c>
      <c r="L303" s="200">
        <v>43525.0</v>
      </c>
      <c r="M303" s="201"/>
      <c r="N303" s="202">
        <f>If(L303&gt;K303,   datedif(K303,L303,"Y") , If(K303&lt;Vitalicios!$C$4, datedif(K303,Vitalicios!$C$4,"Y"),0)  )</f>
        <v>6</v>
      </c>
      <c r="O303" s="202"/>
    </row>
    <row r="304">
      <c r="A304" s="192">
        <v>2376.0</v>
      </c>
      <c r="B304" s="193" t="s">
        <v>1433</v>
      </c>
      <c r="C304" s="193" t="s">
        <v>526</v>
      </c>
      <c r="D304" s="193" t="s">
        <v>538</v>
      </c>
      <c r="E304" s="193" t="s">
        <v>1434</v>
      </c>
      <c r="F304" s="195">
        <v>2.216189797E9</v>
      </c>
      <c r="G304" s="196"/>
      <c r="H304" s="193" t="s">
        <v>1435</v>
      </c>
      <c r="I304" s="197"/>
      <c r="J304" s="198" t="s">
        <v>523</v>
      </c>
      <c r="K304" s="199">
        <v>45778.0</v>
      </c>
      <c r="L304" s="200"/>
      <c r="M304" s="201"/>
      <c r="N304" s="202"/>
      <c r="O304" s="202"/>
    </row>
    <row r="305">
      <c r="A305" s="192">
        <v>1623.0</v>
      </c>
      <c r="B305" s="193" t="s">
        <v>1436</v>
      </c>
      <c r="C305" s="194" t="s">
        <v>519</v>
      </c>
      <c r="D305" s="193" t="s">
        <v>520</v>
      </c>
      <c r="E305" s="193" t="s">
        <v>1437</v>
      </c>
      <c r="F305" s="195">
        <v>1.56018989E8</v>
      </c>
      <c r="G305" s="196"/>
      <c r="H305" s="193" t="s">
        <v>1438</v>
      </c>
      <c r="I305" s="197" t="str">
        <f>IF(iserror(vlookup($A305,Pagos!$B$5:L1241,4,false)),"Sin actividad",If(vlookup($A305,Pagos!$B$5:$L1241,5,false),vlookup($A305,Pagos!$B$5:$L1241,5,false),vlookup($A305,Pagos!$B$5:$L1241,4,false)))</f>
        <v>Sin actividad</v>
      </c>
      <c r="J305" s="198" t="s">
        <v>529</v>
      </c>
      <c r="K305" s="199">
        <v>42769.0</v>
      </c>
      <c r="L305" s="200">
        <v>43525.0</v>
      </c>
      <c r="M305" s="201"/>
      <c r="N305" s="202">
        <f>If(L305&gt;K305,   datedif(K305,L305,"Y") , If(K305&lt;Vitalicios!$C$4, datedif(K305,Vitalicios!$C$4,"Y"),0)  )</f>
        <v>2</v>
      </c>
      <c r="O305" s="202"/>
    </row>
    <row r="306">
      <c r="A306" s="192">
        <v>2315.0</v>
      </c>
      <c r="B306" s="193" t="s">
        <v>1439</v>
      </c>
      <c r="C306" s="193" t="s">
        <v>951</v>
      </c>
      <c r="D306" s="193" t="s">
        <v>549</v>
      </c>
      <c r="E306" s="193" t="s">
        <v>1440</v>
      </c>
      <c r="F306" s="195">
        <v>2.214557112E9</v>
      </c>
      <c r="G306" s="196"/>
      <c r="H306" s="193" t="s">
        <v>1441</v>
      </c>
      <c r="I306" s="197"/>
      <c r="J306" s="198" t="s">
        <v>523</v>
      </c>
      <c r="K306" s="199">
        <v>45689.0</v>
      </c>
      <c r="L306" s="200"/>
      <c r="M306" s="201"/>
      <c r="N306" s="202"/>
      <c r="O306" s="202"/>
    </row>
    <row r="307">
      <c r="A307" s="192">
        <v>1707.0</v>
      </c>
      <c r="B307" s="193" t="s">
        <v>1442</v>
      </c>
      <c r="C307" s="194" t="s">
        <v>519</v>
      </c>
      <c r="D307" s="193" t="s">
        <v>520</v>
      </c>
      <c r="E307" s="193" t="s">
        <v>1443</v>
      </c>
      <c r="F307" s="195">
        <v>1.550071055E9</v>
      </c>
      <c r="G307" s="196"/>
      <c r="H307" s="193" t="s">
        <v>1444</v>
      </c>
      <c r="I307" s="197" t="str">
        <f>IF(iserror(vlookup($A307,Pagos!$B$5:L1241,4,false)),"Sin actividad",If(vlookup($A307,Pagos!$B$5:$L1241,5,false),vlookup($A307,Pagos!$B$5:$L1241,5,false),vlookup($A307,Pagos!$B$5:$L1241,4,false)))</f>
        <v>Sin actividad</v>
      </c>
      <c r="J307" s="198" t="s">
        <v>523</v>
      </c>
      <c r="K307" s="199">
        <v>43344.0</v>
      </c>
      <c r="L307" s="200"/>
      <c r="M307" s="201"/>
      <c r="N307" s="202">
        <f>If(L307&gt;K307,   datedif(K307,L307,"Y") , If(K307&lt;Vitalicios!$C$4, datedif(K307,Vitalicios!$C$4,"Y"),0)  )</f>
        <v>7</v>
      </c>
      <c r="O307" s="202"/>
    </row>
    <row r="308">
      <c r="A308" s="192">
        <v>2378.0</v>
      </c>
      <c r="B308" s="193" t="s">
        <v>1445</v>
      </c>
      <c r="C308" s="193" t="s">
        <v>951</v>
      </c>
      <c r="D308" s="193" t="s">
        <v>538</v>
      </c>
      <c r="E308" s="193" t="s">
        <v>1446</v>
      </c>
      <c r="F308" s="195">
        <v>1.124058337E9</v>
      </c>
      <c r="G308" s="196"/>
      <c r="H308" s="193" t="s">
        <v>1447</v>
      </c>
      <c r="I308" s="197"/>
      <c r="J308" s="198" t="s">
        <v>523</v>
      </c>
      <c r="K308" s="199">
        <v>45778.0</v>
      </c>
      <c r="L308" s="200"/>
      <c r="M308" s="201"/>
      <c r="N308" s="202"/>
      <c r="O308" s="202"/>
    </row>
    <row r="309">
      <c r="A309" s="192">
        <v>1380.0</v>
      </c>
      <c r="B309" s="193" t="s">
        <v>1448</v>
      </c>
      <c r="C309" s="194" t="s">
        <v>526</v>
      </c>
      <c r="D309" s="193" t="s">
        <v>520</v>
      </c>
      <c r="E309" s="193" t="s">
        <v>1449</v>
      </c>
      <c r="F309" s="195" t="s">
        <v>1450</v>
      </c>
      <c r="G309" s="196">
        <v>0.0</v>
      </c>
      <c r="H309" s="193"/>
      <c r="I309" s="197" t="str">
        <f>IF(iserror(vlookup($A309,Pagos!$B$5:L1241,4,false)),"Sin actividad",If(vlookup($A309,Pagos!$B$5:$L1241,5,false),vlookup($A309,Pagos!$B$5:$L1241,5,false),vlookup($A309,Pagos!$B$5:$L1241,4,false)))</f>
        <v>Sin actividad</v>
      </c>
      <c r="J309" s="198" t="s">
        <v>529</v>
      </c>
      <c r="K309" s="199">
        <v>40808.0</v>
      </c>
      <c r="L309" s="200">
        <v>43374.0</v>
      </c>
      <c r="M309" s="201" t="s">
        <v>560</v>
      </c>
      <c r="N309" s="202">
        <f>If(L309&gt;K309,   datedif(K309,L309,"Y") , If(K309&lt;Vitalicios!$C$4, datedif(K309,Vitalicios!$C$4,"Y"),0)  )</f>
        <v>7</v>
      </c>
      <c r="O309" s="202"/>
    </row>
    <row r="310">
      <c r="A310" s="192">
        <v>1273.0</v>
      </c>
      <c r="B310" s="193" t="s">
        <v>1451</v>
      </c>
      <c r="C310" s="194" t="s">
        <v>526</v>
      </c>
      <c r="D310" s="193" t="s">
        <v>520</v>
      </c>
      <c r="E310" s="193" t="s">
        <v>1452</v>
      </c>
      <c r="F310" s="195">
        <v>4109817.0</v>
      </c>
      <c r="G310" s="196">
        <v>0.0</v>
      </c>
      <c r="H310" s="193"/>
      <c r="I310" s="197" t="str">
        <f>IF(iserror(vlookup($A310,Pagos!$B$5:L1241,4,false)),"Sin actividad",If(vlookup($A310,Pagos!$B$5:$L1241,5,false),vlookup($A310,Pagos!$B$5:$L1241,5,false),vlookup($A310,Pagos!$B$5:$L1241,4,false)))</f>
        <v>Sin actividad</v>
      </c>
      <c r="J310" s="198" t="s">
        <v>529</v>
      </c>
      <c r="K310" s="199">
        <v>40174.0</v>
      </c>
      <c r="L310" s="200">
        <v>42401.0</v>
      </c>
      <c r="M310" s="201"/>
      <c r="N310" s="202">
        <f>If(L310&gt;K310,   datedif(K310,L310,"Y") , If(K310&lt;Vitalicios!$C$4, datedif(K310,Vitalicios!$C$4,"Y"),0)  )</f>
        <v>6</v>
      </c>
      <c r="O310" s="202"/>
    </row>
    <row r="311">
      <c r="A311" s="192">
        <v>1755.0</v>
      </c>
      <c r="B311" s="193" t="s">
        <v>1453</v>
      </c>
      <c r="C311" s="194" t="s">
        <v>519</v>
      </c>
      <c r="D311" s="193" t="s">
        <v>538</v>
      </c>
      <c r="E311" s="193" t="s">
        <v>1454</v>
      </c>
      <c r="F311" s="195">
        <v>1.63160002E8</v>
      </c>
      <c r="G311" s="196"/>
      <c r="H311" s="193" t="s">
        <v>1455</v>
      </c>
      <c r="I311" s="197" t="str">
        <f>IF(iserror(vlookup($A311,Pagos!$B$5:L1241,4,false)),"Sin actividad",If(vlookup($A311,Pagos!$B$5:$L1241,5,false),vlookup($A311,Pagos!$B$5:$L1241,5,false),vlookup($A311,Pagos!$B$5:$L1241,4,false)))</f>
        <v>Sin actividad</v>
      </c>
      <c r="J311" s="198" t="s">
        <v>529</v>
      </c>
      <c r="K311" s="199">
        <v>43739.0</v>
      </c>
      <c r="L311" s="200">
        <v>44105.0</v>
      </c>
      <c r="M311" s="201"/>
      <c r="N311" s="202">
        <f>If(L311&gt;K311,   datedif(K311,L311,"Y") , If(K311&lt;Vitalicios!$C$4, datedif(K311,Vitalicios!$C$4,"Y"),0)  )</f>
        <v>1</v>
      </c>
      <c r="O311" s="202"/>
    </row>
    <row r="312">
      <c r="A312" s="192">
        <v>2034.0</v>
      </c>
      <c r="B312" s="193" t="s">
        <v>1456</v>
      </c>
      <c r="C312" s="194" t="s">
        <v>519</v>
      </c>
      <c r="D312" s="193" t="s">
        <v>709</v>
      </c>
      <c r="E312" s="193" t="s">
        <v>1457</v>
      </c>
      <c r="F312" s="195" t="s">
        <v>1458</v>
      </c>
      <c r="G312" s="196"/>
      <c r="H312" s="193" t="s">
        <v>1459</v>
      </c>
      <c r="I312" s="197" t="str">
        <f>IF(iserror(vlookup($A312,Pagos!$B$5:L1241,4,false)),"Sin actividad",If(vlookup($A312,Pagos!$B$5:$L1241,5,false),vlookup($A312,Pagos!$B$5:$L1241,5,false),vlookup($A312,Pagos!$B$5:$L1241,4,false)))</f>
        <v>Sin actividad</v>
      </c>
      <c r="J312" s="198" t="s">
        <v>529</v>
      </c>
      <c r="K312" s="199">
        <v>42768.0</v>
      </c>
      <c r="L312" s="200">
        <v>45658.0</v>
      </c>
      <c r="M312" s="201" t="s">
        <v>535</v>
      </c>
      <c r="N312" s="202">
        <f>If(L312&gt;K312,   datedif(K312,L312,"Y") , If(K312&lt;Vitalicios!$C$4, datedif(K312,Vitalicios!$C$4,"Y"),0)  )</f>
        <v>7</v>
      </c>
      <c r="O312" s="202"/>
    </row>
    <row r="313">
      <c r="A313" s="192">
        <v>1617.0</v>
      </c>
      <c r="B313" s="193" t="s">
        <v>1460</v>
      </c>
      <c r="C313" s="194" t="s">
        <v>519</v>
      </c>
      <c r="D313" s="193" t="s">
        <v>770</v>
      </c>
      <c r="E313" s="193" t="s">
        <v>1461</v>
      </c>
      <c r="F313" s="195">
        <v>1.55266888E8</v>
      </c>
      <c r="G313" s="196"/>
      <c r="H313" s="193" t="s">
        <v>1462</v>
      </c>
      <c r="I313" s="197" t="str">
        <f>IF(iserror(vlookup($A313,Pagos!$B$5:L1241,4,false)),"Sin actividad",If(vlookup($A313,Pagos!$B$5:$L1241,5,false),vlookup($A313,Pagos!$B$5:$L1241,5,false),vlookup($A313,Pagos!$B$5:$L1241,4,false)))</f>
        <v>Sin actividad</v>
      </c>
      <c r="J313" s="198" t="s">
        <v>529</v>
      </c>
      <c r="K313" s="199">
        <v>42736.0</v>
      </c>
      <c r="L313" s="200">
        <v>43525.0</v>
      </c>
      <c r="M313" s="201"/>
      <c r="N313" s="202">
        <f>If(L313&gt;K313,   datedif(K313,L313,"Y") , If(K313&lt;Vitalicios!$C$4, datedif(K313,Vitalicios!$C$4,"Y"),0)  )</f>
        <v>2</v>
      </c>
      <c r="O313" s="202"/>
    </row>
    <row r="314">
      <c r="A314" s="192">
        <v>1384.0</v>
      </c>
      <c r="B314" s="193" t="s">
        <v>1463</v>
      </c>
      <c r="C314" s="194" t="s">
        <v>526</v>
      </c>
      <c r="D314" s="193" t="s">
        <v>1464</v>
      </c>
      <c r="E314" s="193" t="s">
        <v>1465</v>
      </c>
      <c r="F314" s="195">
        <v>2.215724715E9</v>
      </c>
      <c r="G314" s="196">
        <v>0.0</v>
      </c>
      <c r="H314" s="193" t="s">
        <v>1466</v>
      </c>
      <c r="I314" s="197">
        <f>IF(iserror(vlookup($A314,Pagos!$B$5:L1241,4,false)),"Sin actividad",If(vlookup($A314,Pagos!$B$5:$L1241,5,false),vlookup($A314,Pagos!$B$5:$L1241,5,false),vlookup($A314,Pagos!$B$5:$L1241,4,false)))</f>
        <v>45901</v>
      </c>
      <c r="J314" s="198" t="s">
        <v>523</v>
      </c>
      <c r="K314" s="199">
        <v>40855.0</v>
      </c>
      <c r="L314" s="200"/>
      <c r="M314" s="201"/>
      <c r="N314" s="202">
        <f>If(L314&gt;K314,   datedif(K314,L314,"Y") , If(K314&lt;Vitalicios!$C$4, datedif(K314,Vitalicios!$C$4,"Y"),0)  )</f>
        <v>13</v>
      </c>
      <c r="O314" s="202"/>
    </row>
    <row r="315">
      <c r="A315" s="192">
        <v>1610.0</v>
      </c>
      <c r="B315" s="193" t="s">
        <v>1467</v>
      </c>
      <c r="C315" s="194" t="s">
        <v>526</v>
      </c>
      <c r="D315" s="193" t="s">
        <v>770</v>
      </c>
      <c r="E315" s="193" t="s">
        <v>1468</v>
      </c>
      <c r="F315" s="195">
        <v>4711088.0</v>
      </c>
      <c r="G315" s="196"/>
      <c r="H315" s="193" t="s">
        <v>1469</v>
      </c>
      <c r="I315" s="197" t="str">
        <f>IF(iserror(vlookup($A315,Pagos!$B$5:L1241,4,false)),"Sin actividad",If(vlookup($A315,Pagos!$B$5:$L1241,5,false),vlookup($A315,Pagos!$B$5:$L1241,5,false),vlookup($A315,Pagos!$B$5:$L1241,4,false)))</f>
        <v>Sin actividad</v>
      </c>
      <c r="J315" s="198" t="s">
        <v>529</v>
      </c>
      <c r="K315" s="199">
        <v>43466.0</v>
      </c>
      <c r="L315" s="200">
        <v>43617.0</v>
      </c>
      <c r="M315" s="201"/>
      <c r="N315" s="202">
        <f>If(L315&gt;K315,   datedif(K315,L315,"Y") , If(K315&lt;Vitalicios!$C$4, datedif(K315,Vitalicios!$C$4,"Y"),0)  )</f>
        <v>0</v>
      </c>
      <c r="O315" s="202"/>
    </row>
    <row r="316">
      <c r="A316" s="192">
        <v>2235.0</v>
      </c>
      <c r="B316" s="193" t="s">
        <v>1470</v>
      </c>
      <c r="C316" s="193" t="s">
        <v>537</v>
      </c>
      <c r="D316" s="193" t="s">
        <v>549</v>
      </c>
      <c r="E316" s="193" t="s">
        <v>1471</v>
      </c>
      <c r="F316" s="195">
        <v>2.216780043E9</v>
      </c>
      <c r="G316" s="196"/>
      <c r="H316" s="193" t="s">
        <v>1472</v>
      </c>
      <c r="I316" s="197"/>
      <c r="J316" s="198" t="s">
        <v>529</v>
      </c>
      <c r="K316" s="199">
        <v>45292.0</v>
      </c>
      <c r="L316" s="218">
        <v>45352.0</v>
      </c>
      <c r="M316" s="201" t="s">
        <v>535</v>
      </c>
      <c r="N316" s="202"/>
      <c r="O316" s="202"/>
    </row>
    <row r="317">
      <c r="A317" s="192">
        <v>1899.0</v>
      </c>
      <c r="B317" s="193" t="s">
        <v>1473</v>
      </c>
      <c r="C317" s="193" t="s">
        <v>537</v>
      </c>
      <c r="D317" s="193" t="s">
        <v>628</v>
      </c>
      <c r="E317" s="193" t="s">
        <v>1474</v>
      </c>
      <c r="F317" s="195">
        <v>2.215556539E9</v>
      </c>
      <c r="G317" s="196"/>
      <c r="H317" s="193" t="s">
        <v>1475</v>
      </c>
      <c r="I317" s="197" t="str">
        <f>IF(iserror(vlookup($A317,Pagos!$B$5:L1241,4,false)),"Sin actividad",If(vlookup($A317,Pagos!$B$5:$L1241,5,false),vlookup($A317,Pagos!$B$5:$L1241,5,false),vlookup($A317,Pagos!$B$5:$L1241,4,false)))</f>
        <v>Sin actividad</v>
      </c>
      <c r="J317" s="198" t="s">
        <v>529</v>
      </c>
      <c r="K317" s="199">
        <v>44256.0</v>
      </c>
      <c r="L317" s="200">
        <v>44531.0</v>
      </c>
      <c r="M317" s="201" t="s">
        <v>535</v>
      </c>
      <c r="N317" s="202"/>
      <c r="O317" s="202"/>
    </row>
    <row r="318">
      <c r="A318" s="192">
        <v>1370.0</v>
      </c>
      <c r="B318" s="193" t="s">
        <v>1476</v>
      </c>
      <c r="C318" s="194" t="s">
        <v>526</v>
      </c>
      <c r="D318" s="193" t="s">
        <v>520</v>
      </c>
      <c r="E318" s="193" t="s">
        <v>1477</v>
      </c>
      <c r="F318" s="195">
        <v>4511766.0</v>
      </c>
      <c r="G318" s="196">
        <v>1.54007898E8</v>
      </c>
      <c r="H318" s="193" t="s">
        <v>1478</v>
      </c>
      <c r="I318" s="197" t="str">
        <f>IF(iserror(vlookup($A318,Pagos!$B$5:L1241,4,false)),"Sin actividad",If(vlookup($A318,Pagos!$B$5:$L1241,5,false),vlookup($A318,Pagos!$B$5:$L1241,5,false),vlookup($A318,Pagos!$B$5:$L1241,4,false)))</f>
        <v>Sin actividad</v>
      </c>
      <c r="J318" s="198" t="s">
        <v>529</v>
      </c>
      <c r="K318" s="199">
        <v>40635.0</v>
      </c>
      <c r="L318" s="200">
        <v>45536.0</v>
      </c>
      <c r="M318" s="201" t="s">
        <v>535</v>
      </c>
      <c r="N318" s="202">
        <f>If(L318&gt;K318,   datedif(K318,L318,"Y") , If(K318&lt;Vitalicios!$C$4, datedif(K318,Vitalicios!$C$4,"Y"),0)  )</f>
        <v>13</v>
      </c>
      <c r="O318" s="202"/>
    </row>
    <row r="319">
      <c r="A319" s="192">
        <v>1450.0</v>
      </c>
      <c r="B319" s="193" t="s">
        <v>1479</v>
      </c>
      <c r="C319" s="194" t="s">
        <v>526</v>
      </c>
      <c r="D319" s="193" t="s">
        <v>556</v>
      </c>
      <c r="E319" s="193" t="s">
        <v>1480</v>
      </c>
      <c r="F319" s="195">
        <v>4176050.0</v>
      </c>
      <c r="G319" s="196" t="s">
        <v>1481</v>
      </c>
      <c r="H319" s="193"/>
      <c r="I319" s="197" t="str">
        <f>IF(iserror(vlookup($A319,Pagos!$B$5:L1241,4,false)),"Sin actividad",If(vlookup($A319,Pagos!$B$5:$L1241,5,false),vlookup($A319,Pagos!$B$5:$L1241,5,false),vlookup($A319,Pagos!$B$5:$L1241,4,false)))</f>
        <v>Sin actividad</v>
      </c>
      <c r="J319" s="198" t="s">
        <v>529</v>
      </c>
      <c r="K319" s="199">
        <v>41328.0</v>
      </c>
      <c r="L319" s="200">
        <v>41883.0</v>
      </c>
      <c r="M319" s="201" t="s">
        <v>656</v>
      </c>
      <c r="N319" s="202">
        <f>If(L319&gt;K319,   datedif(K319,L319,"Y") , If(K319&lt;Vitalicios!$C$4, datedif(K319,Vitalicios!$C$4,"Y"),0)  )</f>
        <v>1</v>
      </c>
      <c r="O319" s="202"/>
    </row>
    <row r="320">
      <c r="A320" s="192">
        <v>802.0</v>
      </c>
      <c r="B320" s="193" t="s">
        <v>1482</v>
      </c>
      <c r="C320" s="194" t="s">
        <v>526</v>
      </c>
      <c r="D320" s="193" t="s">
        <v>520</v>
      </c>
      <c r="E320" s="193" t="s">
        <v>1483</v>
      </c>
      <c r="F320" s="195">
        <v>4612468.0</v>
      </c>
      <c r="G320" s="196">
        <v>0.0</v>
      </c>
      <c r="H320" s="193" t="s">
        <v>1484</v>
      </c>
      <c r="I320" s="197" t="str">
        <f>IF(iserror(vlookup($A320,Pagos!$B$5:L1241,4,false)),"Sin actividad",If(vlookup($A320,Pagos!$B$5:$L1241,5,false),vlookup($A320,Pagos!$B$5:$L1241,5,false),vlookup($A320,Pagos!$B$5:$L1241,4,false)))</f>
        <v>Sin actividad</v>
      </c>
      <c r="J320" s="198" t="s">
        <v>529</v>
      </c>
      <c r="K320" s="199">
        <v>36527.0</v>
      </c>
      <c r="L320" s="200">
        <v>44258.0</v>
      </c>
      <c r="M320" s="201"/>
      <c r="N320" s="202">
        <f>If(L320&gt;K320,   datedif(K320,L320,"Y") , If(K320&lt;Vitalicios!$C$4, datedif(K320,Vitalicios!$C$4,"Y"),0)  )</f>
        <v>21</v>
      </c>
      <c r="O320" s="202"/>
    </row>
    <row r="321">
      <c r="A321" s="192">
        <v>801.0</v>
      </c>
      <c r="B321" s="193" t="s">
        <v>1485</v>
      </c>
      <c r="C321" s="194" t="s">
        <v>526</v>
      </c>
      <c r="D321" s="193" t="s">
        <v>520</v>
      </c>
      <c r="E321" s="193" t="s">
        <v>1486</v>
      </c>
      <c r="F321" s="195">
        <v>1.56008565E8</v>
      </c>
      <c r="G321" s="196">
        <v>0.0</v>
      </c>
      <c r="H321" s="193"/>
      <c r="I321" s="197" t="str">
        <f>IF(iserror(vlookup($A321,Pagos!$B$5:L1241,4,false)),"Sin actividad",If(vlookup($A321,Pagos!$B$5:$L1241,5,false),vlookup($A321,Pagos!$B$5:$L1241,5,false),vlookup($A321,Pagos!$B$5:$L1241,4,false)))</f>
        <v>Sin actividad</v>
      </c>
      <c r="J321" s="198" t="s">
        <v>529</v>
      </c>
      <c r="K321" s="199">
        <v>36520.0</v>
      </c>
      <c r="L321" s="200">
        <v>43525.0</v>
      </c>
      <c r="M321" s="201"/>
      <c r="N321" s="202">
        <f>If(L321&gt;K321,   datedif(K321,L321,"Y") , If(K321&lt;Vitalicios!$C$4, datedif(K321,Vitalicios!$C$4,"Y"),0)  )</f>
        <v>19</v>
      </c>
      <c r="O321" s="202"/>
    </row>
    <row r="322">
      <c r="A322" s="192">
        <v>1625.0</v>
      </c>
      <c r="B322" s="193" t="s">
        <v>1487</v>
      </c>
      <c r="C322" s="194" t="s">
        <v>519</v>
      </c>
      <c r="D322" s="193" t="s">
        <v>527</v>
      </c>
      <c r="E322" s="193" t="s">
        <v>1488</v>
      </c>
      <c r="F322" s="195">
        <v>1.55643099E8</v>
      </c>
      <c r="G322" s="196"/>
      <c r="H322" s="193" t="s">
        <v>1489</v>
      </c>
      <c r="I322" s="197" t="str">
        <f>IF(iserror(vlookup($A322,Pagos!$B$5:L1241,4,false)),"Sin actividad",If(vlookup($A322,Pagos!$B$5:$L1241,5,false),vlookup($A322,Pagos!$B$5:$L1241,5,false),vlookup($A322,Pagos!$B$5:$L1241,4,false)))</f>
        <v>Sin actividad</v>
      </c>
      <c r="J322" s="198" t="s">
        <v>529</v>
      </c>
      <c r="K322" s="199">
        <v>42771.0</v>
      </c>
      <c r="L322" s="200">
        <v>43952.0</v>
      </c>
      <c r="M322" s="201"/>
      <c r="N322" s="202">
        <f>If(L322&gt;K322,   datedif(K322,L322,"Y") , If(K322&lt;Vitalicios!$C$4, datedif(K322,Vitalicios!$C$4,"Y"),0)  )</f>
        <v>3</v>
      </c>
      <c r="O322" s="202"/>
    </row>
    <row r="323">
      <c r="A323" s="192">
        <v>184.0</v>
      </c>
      <c r="B323" s="193" t="s">
        <v>1490</v>
      </c>
      <c r="C323" s="194" t="s">
        <v>526</v>
      </c>
      <c r="D323" s="193" t="s">
        <v>1491</v>
      </c>
      <c r="E323" s="193" t="s">
        <v>1492</v>
      </c>
      <c r="F323" s="195">
        <v>4529781.0</v>
      </c>
      <c r="G323" s="196">
        <v>0.0</v>
      </c>
      <c r="H323" s="193" t="s">
        <v>1493</v>
      </c>
      <c r="I323" s="197">
        <f>IF(iserror(vlookup($A323,Pagos!$B$5:L1241,4,false)),"Sin actividad",If(vlookup($A323,Pagos!$B$5:$L1241,5,false),vlookup($A323,Pagos!$B$5:$L1241,5,false),vlookup($A323,Pagos!$B$5:$L1241,4,false)))</f>
        <v>45870</v>
      </c>
      <c r="J323" s="198" t="s">
        <v>846</v>
      </c>
      <c r="K323" s="199">
        <v>31787.0</v>
      </c>
      <c r="L323" s="200"/>
      <c r="M323" s="201"/>
      <c r="N323" s="202">
        <f>If(L323&gt;K323,   datedif(K323,L323,"Y") , If(K323&lt;Vitalicios!$C$4, datedif(K323,Vitalicios!$C$4,"Y"),0)  )</f>
        <v>38</v>
      </c>
      <c r="O323" s="202"/>
    </row>
    <row r="324">
      <c r="A324" s="192">
        <v>1649.0</v>
      </c>
      <c r="B324" s="193" t="s">
        <v>1494</v>
      </c>
      <c r="C324" s="194" t="s">
        <v>519</v>
      </c>
      <c r="D324" s="193" t="s">
        <v>527</v>
      </c>
      <c r="E324" s="193" t="s">
        <v>1495</v>
      </c>
      <c r="F324" s="195">
        <v>1.56047242E8</v>
      </c>
      <c r="G324" s="196"/>
      <c r="H324" s="193" t="s">
        <v>1496</v>
      </c>
      <c r="I324" s="197">
        <f>IF(iserror(vlookup($A324,Pagos!$B$5:L1241,4,false)),"Sin actividad",If(vlookup($A324,Pagos!$B$5:$L1241,5,false),vlookup($A324,Pagos!$B$5:$L1241,5,false),vlookup($A324,Pagos!$B$5:$L1241,4,false)))</f>
        <v>45901</v>
      </c>
      <c r="J324" s="198" t="s">
        <v>523</v>
      </c>
      <c r="K324" s="199">
        <v>42949.0</v>
      </c>
      <c r="L324" s="200"/>
      <c r="M324" s="201"/>
      <c r="N324" s="202">
        <f>If(L324&gt;K324,   datedif(K324,L324,"Y") , If(K324&lt;Vitalicios!$C$4, datedif(K324,Vitalicios!$C$4,"Y"),0)  )</f>
        <v>8</v>
      </c>
      <c r="O324" s="202"/>
    </row>
    <row r="325">
      <c r="A325" s="192">
        <v>1553.0</v>
      </c>
      <c r="B325" s="193" t="s">
        <v>1497</v>
      </c>
      <c r="C325" s="194" t="s">
        <v>526</v>
      </c>
      <c r="D325" s="193" t="s">
        <v>1209</v>
      </c>
      <c r="E325" s="193" t="s">
        <v>1498</v>
      </c>
      <c r="F325" s="195" t="s">
        <v>1499</v>
      </c>
      <c r="G325" s="196">
        <v>0.0</v>
      </c>
      <c r="H325" s="193" t="s">
        <v>1500</v>
      </c>
      <c r="I325" s="197" t="str">
        <f>IF(iserror(vlookup($A325,Pagos!$B$5:L1241,4,false)),"Sin actividad",If(vlookup($A325,Pagos!$B$5:$L1241,5,false),vlookup($A325,Pagos!$B$5:$L1241,5,false),vlookup($A325,Pagos!$B$5:$L1241,4,false)))</f>
        <v>Sin actividad</v>
      </c>
      <c r="J325" s="198" t="s">
        <v>529</v>
      </c>
      <c r="K325" s="199">
        <v>42070.0</v>
      </c>
      <c r="L325" s="200"/>
      <c r="M325" s="201" t="s">
        <v>1501</v>
      </c>
      <c r="N325" s="202">
        <f>If(L325&gt;K325,   datedif(K325,L325,"Y") , If(K325&lt;Vitalicios!$C$4, datedif(K325,Vitalicios!$C$4,"Y"),0)  )</f>
        <v>10</v>
      </c>
      <c r="O325" s="202" t="s">
        <v>1502</v>
      </c>
    </row>
    <row r="326">
      <c r="A326" s="192">
        <v>1539.0</v>
      </c>
      <c r="B326" s="193" t="s">
        <v>1503</v>
      </c>
      <c r="C326" s="194" t="s">
        <v>526</v>
      </c>
      <c r="D326" s="193" t="s">
        <v>1209</v>
      </c>
      <c r="E326" s="193" t="s">
        <v>1504</v>
      </c>
      <c r="F326" s="195" t="s">
        <v>1505</v>
      </c>
      <c r="G326" s="196">
        <v>0.0</v>
      </c>
      <c r="H326" s="193"/>
      <c r="I326" s="197" t="str">
        <f>IF(iserror(vlookup($A326,Pagos!$B$5:L1241,4,false)),"Sin actividad",If(vlookup($A326,Pagos!$B$5:$L1241,5,false),vlookup($A326,Pagos!$B$5:$L1241,5,false),vlookup($A326,Pagos!$B$5:$L1241,4,false)))</f>
        <v>Sin actividad</v>
      </c>
      <c r="J326" s="198" t="s">
        <v>529</v>
      </c>
      <c r="K326" s="199">
        <v>42014.0</v>
      </c>
      <c r="L326" s="200"/>
      <c r="M326" s="201"/>
      <c r="N326" s="202">
        <f>If(L326&gt;K326,   datedif(K326,L326,"Y") , If(K326&lt;Vitalicios!$C$4, datedif(K326,Vitalicios!$C$4,"Y"),0)  )</f>
        <v>10</v>
      </c>
      <c r="O326" s="202"/>
    </row>
    <row r="327">
      <c r="A327" s="192">
        <v>2227.0</v>
      </c>
      <c r="B327" s="193" t="s">
        <v>1506</v>
      </c>
      <c r="C327" s="193" t="s">
        <v>577</v>
      </c>
      <c r="D327" s="193" t="s">
        <v>538</v>
      </c>
      <c r="E327" s="193" t="s">
        <v>1507</v>
      </c>
      <c r="F327" s="195">
        <v>2.214184836E9</v>
      </c>
      <c r="G327" s="196"/>
      <c r="H327" s="193" t="s">
        <v>1508</v>
      </c>
      <c r="I327" s="197"/>
      <c r="J327" s="198" t="s">
        <v>523</v>
      </c>
      <c r="K327" s="199">
        <v>45292.0</v>
      </c>
      <c r="L327" s="200"/>
      <c r="M327" s="201"/>
      <c r="N327" s="202"/>
      <c r="O327" s="202"/>
    </row>
    <row r="328">
      <c r="A328" s="192">
        <v>1375.0</v>
      </c>
      <c r="B328" s="193" t="s">
        <v>1509</v>
      </c>
      <c r="C328" s="194" t="s">
        <v>526</v>
      </c>
      <c r="D328" s="193" t="s">
        <v>520</v>
      </c>
      <c r="E328" s="193" t="s">
        <v>1510</v>
      </c>
      <c r="F328" s="195">
        <v>1.54195913E8</v>
      </c>
      <c r="G328" s="196">
        <v>0.0</v>
      </c>
      <c r="H328" s="193" t="s">
        <v>1511</v>
      </c>
      <c r="I328" s="197" t="str">
        <f>IF(iserror(vlookup($A328,Pagos!$B$5:L1241,4,false)),"Sin actividad",If(vlookup($A328,Pagos!$B$5:$L1241,5,false),vlookup($A328,Pagos!$B$5:$L1241,5,false),vlookup($A328,Pagos!$B$5:$L1241,4,false)))</f>
        <v>Sin actividad</v>
      </c>
      <c r="J328" s="198" t="s">
        <v>529</v>
      </c>
      <c r="K328" s="199">
        <v>40705.0</v>
      </c>
      <c r="L328" s="200">
        <v>43070.0</v>
      </c>
      <c r="M328" s="201"/>
      <c r="N328" s="202">
        <f>If(L328&gt;K328,   datedif(K328,L328,"Y") , If(K328&lt;Vitalicios!$C$4, datedif(K328,Vitalicios!$C$4,"Y"),0)  )</f>
        <v>6</v>
      </c>
      <c r="O328" s="202"/>
    </row>
    <row r="329">
      <c r="A329" s="192">
        <v>2307.0</v>
      </c>
      <c r="B329" s="193" t="s">
        <v>1512</v>
      </c>
      <c r="C329" s="194"/>
      <c r="D329" s="193"/>
      <c r="E329" s="193"/>
      <c r="F329" s="195"/>
      <c r="G329" s="196"/>
      <c r="H329" s="193"/>
      <c r="I329" s="197"/>
      <c r="J329" s="198"/>
      <c r="K329" s="199"/>
      <c r="L329" s="200"/>
      <c r="M329" s="201"/>
      <c r="N329" s="202"/>
      <c r="O329" s="202"/>
    </row>
    <row r="330">
      <c r="A330" s="192">
        <v>1459.0</v>
      </c>
      <c r="B330" s="193" t="s">
        <v>1513</v>
      </c>
      <c r="C330" s="194" t="s">
        <v>526</v>
      </c>
      <c r="D330" s="193" t="s">
        <v>556</v>
      </c>
      <c r="E330" s="193" t="s">
        <v>1514</v>
      </c>
      <c r="F330" s="195" t="s">
        <v>1515</v>
      </c>
      <c r="G330" s="196">
        <v>4.2022063E7</v>
      </c>
      <c r="H330" s="193"/>
      <c r="I330" s="197" t="str">
        <f>IF(iserror(vlookup($A330,Pagos!$B$5:L1241,4,false)),"Sin actividad",If(vlookup($A330,Pagos!$B$5:$L1241,5,false),vlookup($A330,Pagos!$B$5:$L1241,5,false),vlookup($A330,Pagos!$B$5:$L1241,4,false)))</f>
        <v>Sin actividad</v>
      </c>
      <c r="J330" s="198" t="s">
        <v>529</v>
      </c>
      <c r="K330" s="199">
        <v>41405.0</v>
      </c>
      <c r="L330" s="200"/>
      <c r="M330" s="201"/>
      <c r="N330" s="202">
        <f>If(L330&gt;K330,   datedif(K330,L330,"Y") , If(K330&lt;Vitalicios!$C$4, datedif(K330,Vitalicios!$C$4,"Y"),0)  )</f>
        <v>12</v>
      </c>
      <c r="O330" s="202"/>
    </row>
    <row r="331">
      <c r="A331" s="192">
        <v>2252.0</v>
      </c>
      <c r="B331" s="193" t="s">
        <v>1516</v>
      </c>
      <c r="C331" s="193" t="s">
        <v>537</v>
      </c>
      <c r="D331" s="193" t="s">
        <v>538</v>
      </c>
      <c r="E331" s="193"/>
      <c r="F331" s="195">
        <v>2.215589501E9</v>
      </c>
      <c r="G331" s="196"/>
      <c r="H331" s="193" t="s">
        <v>1517</v>
      </c>
      <c r="I331" s="197"/>
      <c r="J331" s="198" t="s">
        <v>523</v>
      </c>
      <c r="K331" s="199">
        <v>45352.0</v>
      </c>
      <c r="L331" s="200"/>
      <c r="M331" s="201"/>
      <c r="N331" s="202"/>
      <c r="O331" s="202"/>
    </row>
    <row r="332">
      <c r="A332" s="192">
        <v>2284.0</v>
      </c>
      <c r="B332" s="193" t="s">
        <v>1518</v>
      </c>
      <c r="C332" s="193" t="s">
        <v>537</v>
      </c>
      <c r="D332" s="193" t="s">
        <v>538</v>
      </c>
      <c r="E332" s="193" t="s">
        <v>1519</v>
      </c>
      <c r="F332" s="195">
        <v>2.2143895E9</v>
      </c>
      <c r="G332" s="196"/>
      <c r="H332" s="193" t="s">
        <v>1520</v>
      </c>
      <c r="I332" s="197"/>
      <c r="J332" s="198" t="s">
        <v>523</v>
      </c>
      <c r="K332" s="199">
        <v>45566.0</v>
      </c>
      <c r="L332" s="200"/>
      <c r="M332" s="201"/>
      <c r="N332" s="202"/>
      <c r="O332" s="202"/>
    </row>
    <row r="333">
      <c r="A333" s="192">
        <v>1044.0</v>
      </c>
      <c r="B333" s="193" t="s">
        <v>1521</v>
      </c>
      <c r="C333" s="194" t="s">
        <v>526</v>
      </c>
      <c r="D333" s="193" t="s">
        <v>520</v>
      </c>
      <c r="E333" s="193" t="s">
        <v>1522</v>
      </c>
      <c r="F333" s="195">
        <v>4.2104091E7</v>
      </c>
      <c r="G333" s="196" t="s">
        <v>1523</v>
      </c>
      <c r="H333" s="193"/>
      <c r="I333" s="197" t="str">
        <f>IF(iserror(vlookup($A333,Pagos!$B$5:L1241,4,false)),"Sin actividad",If(vlookup($A333,Pagos!$B$5:$L1241,5,false),vlookup($A333,Pagos!$B$5:$L1241,5,false),vlookup($A333,Pagos!$B$5:$L1241,4,false)))</f>
        <v>Sin actividad</v>
      </c>
      <c r="J333" s="198" t="s">
        <v>529</v>
      </c>
      <c r="K333" s="199">
        <v>38298.0</v>
      </c>
      <c r="L333" s="200">
        <v>42401.0</v>
      </c>
      <c r="M333" s="201" t="s">
        <v>1524</v>
      </c>
      <c r="N333" s="202">
        <f>If(L333&gt;K333,   datedif(K333,L333,"Y") , If(K333&lt;Vitalicios!$C$4, datedif(K333,Vitalicios!$C$4,"Y"),0)  )</f>
        <v>11</v>
      </c>
      <c r="O333" s="202"/>
    </row>
    <row r="334">
      <c r="A334" s="192">
        <v>1285.0</v>
      </c>
      <c r="B334" s="193" t="s">
        <v>1525</v>
      </c>
      <c r="C334" s="194" t="s">
        <v>577</v>
      </c>
      <c r="D334" s="193" t="s">
        <v>556</v>
      </c>
      <c r="E334" s="193" t="s">
        <v>1526</v>
      </c>
      <c r="F334" s="195">
        <v>4252674.0</v>
      </c>
      <c r="G334" s="196">
        <v>0.0</v>
      </c>
      <c r="H334" s="193"/>
      <c r="I334" s="197" t="str">
        <f>IF(iserror(vlookup($A334,Pagos!$B$5:L1241,4,false)),"Sin actividad",If(vlookup($A334,Pagos!$B$5:$L1241,5,false),vlookup($A334,Pagos!$B$5:$L1241,5,false),vlookup($A334,Pagos!$B$5:$L1241,4,false)))</f>
        <v>Sin actividad</v>
      </c>
      <c r="J334" s="198" t="s">
        <v>529</v>
      </c>
      <c r="K334" s="199">
        <v>40187.0</v>
      </c>
      <c r="L334" s="200">
        <v>42644.0</v>
      </c>
      <c r="M334" s="201" t="s">
        <v>1201</v>
      </c>
      <c r="N334" s="202">
        <f>If(L334&gt;K334,   datedif(K334,L334,"Y") , If(K334&lt;Vitalicios!$C$4, datedif(K334,Vitalicios!$C$4,"Y"),0)  )</f>
        <v>6</v>
      </c>
      <c r="O334" s="202"/>
    </row>
    <row r="335">
      <c r="A335" s="192">
        <v>1200.0</v>
      </c>
      <c r="B335" s="193" t="s">
        <v>1527</v>
      </c>
      <c r="C335" s="194" t="s">
        <v>526</v>
      </c>
      <c r="D335" s="193" t="s">
        <v>556</v>
      </c>
      <c r="E335" s="193" t="s">
        <v>1528</v>
      </c>
      <c r="F335" s="195">
        <v>1.55646001E8</v>
      </c>
      <c r="G335" s="196">
        <v>0.0</v>
      </c>
      <c r="H335" s="193"/>
      <c r="I335" s="197" t="str">
        <f>IF(iserror(vlookup($A335,Pagos!$B$5:L1241,4,false)),"Sin actividad",If(vlookup($A335,Pagos!$B$5:$L1241,5,false),vlookup($A335,Pagos!$B$5:$L1241,5,false),vlookup($A335,Pagos!$B$5:$L1241,4,false)))</f>
        <v>Sin actividad</v>
      </c>
      <c r="J335" s="198" t="s">
        <v>529</v>
      </c>
      <c r="K335" s="199">
        <v>39814.0</v>
      </c>
      <c r="L335" s="200">
        <v>41755.0</v>
      </c>
      <c r="M335" s="201" t="s">
        <v>1201</v>
      </c>
      <c r="N335" s="202">
        <f>If(L335&gt;K335,   datedif(K335,L335,"Y") , If(K335&lt;Vitalicios!$C$4, datedif(K335,Vitalicios!$C$4,"Y"),0)  )</f>
        <v>5</v>
      </c>
      <c r="O335" s="202"/>
    </row>
    <row r="336">
      <c r="A336" s="192">
        <v>1870.0</v>
      </c>
      <c r="B336" s="193" t="s">
        <v>1529</v>
      </c>
      <c r="C336" s="193" t="s">
        <v>537</v>
      </c>
      <c r="D336" s="193" t="s">
        <v>538</v>
      </c>
      <c r="E336" s="193" t="s">
        <v>1530</v>
      </c>
      <c r="F336" s="195">
        <v>1.154871951E9</v>
      </c>
      <c r="G336" s="196"/>
      <c r="H336" s="193" t="s">
        <v>1531</v>
      </c>
      <c r="I336" s="197">
        <f>IF(iserror(vlookup($A336,Pagos!$B$5:L1241,4,false)),"Sin actividad",If(vlookup($A336,Pagos!$B$5:$L1241,5,false),vlookup($A336,Pagos!$B$5:$L1241,5,false),vlookup($A336,Pagos!$B$5:$L1241,4,false)))</f>
        <v>45870</v>
      </c>
      <c r="J336" s="198" t="s">
        <v>523</v>
      </c>
      <c r="K336" s="199">
        <v>44228.0</v>
      </c>
      <c r="L336" s="200"/>
      <c r="M336" s="201"/>
      <c r="N336" s="202"/>
      <c r="O336" s="202"/>
    </row>
    <row r="337">
      <c r="A337" s="192">
        <v>1978.0</v>
      </c>
      <c r="B337" s="193" t="s">
        <v>1532</v>
      </c>
      <c r="C337" s="193" t="s">
        <v>679</v>
      </c>
      <c r="D337" s="193" t="s">
        <v>538</v>
      </c>
      <c r="E337" s="193" t="s">
        <v>1533</v>
      </c>
      <c r="F337" s="195">
        <v>1.151118046E9</v>
      </c>
      <c r="G337" s="196"/>
      <c r="H337" s="193" t="s">
        <v>1534</v>
      </c>
      <c r="I337" s="197" t="str">
        <f>IF(iserror(vlookup($A337,Pagos!$B$5:L1241,4,false)),"Sin actividad",If(vlookup($A337,Pagos!$B$5:$L1241,5,false),vlookup($A337,Pagos!$B$5:$L1241,5,false),vlookup($A337,Pagos!$B$5:$L1241,4,false)))</f>
        <v>Sin actividad</v>
      </c>
      <c r="J337" s="198" t="s">
        <v>529</v>
      </c>
      <c r="K337" s="199">
        <v>44562.0</v>
      </c>
      <c r="L337" s="203">
        <v>45170.0</v>
      </c>
      <c r="M337" s="201" t="s">
        <v>535</v>
      </c>
      <c r="N337" s="202"/>
      <c r="O337" s="202"/>
    </row>
    <row r="338">
      <c r="A338" s="192">
        <v>1956.0</v>
      </c>
      <c r="B338" s="193" t="s">
        <v>1535</v>
      </c>
      <c r="C338" s="193" t="s">
        <v>679</v>
      </c>
      <c r="D338" s="193" t="s">
        <v>538</v>
      </c>
      <c r="E338" s="193" t="s">
        <v>1536</v>
      </c>
      <c r="F338" s="195">
        <v>2.215972449E9</v>
      </c>
      <c r="G338" s="196"/>
      <c r="H338" s="193" t="s">
        <v>1537</v>
      </c>
      <c r="I338" s="197">
        <f>IF(iserror(vlookup($A338,Pagos!$B$5:L1241,4,false)),"Sin actividad",If(vlookup($A338,Pagos!$B$5:$L1241,5,false),vlookup($A338,Pagos!$B$5:$L1241,5,false),vlookup($A338,Pagos!$B$5:$L1241,4,false)))</f>
        <v>45809</v>
      </c>
      <c r="J338" s="198"/>
      <c r="K338" s="199"/>
      <c r="L338" s="200"/>
      <c r="M338" s="201"/>
      <c r="N338" s="202"/>
      <c r="O338" s="202"/>
    </row>
    <row r="339">
      <c r="A339" s="192">
        <v>1312.0</v>
      </c>
      <c r="B339" s="193" t="s">
        <v>1538</v>
      </c>
      <c r="C339" s="194" t="s">
        <v>526</v>
      </c>
      <c r="D339" s="193" t="s">
        <v>556</v>
      </c>
      <c r="E339" s="193" t="s">
        <v>1539</v>
      </c>
      <c r="F339" s="195">
        <v>4660655.0</v>
      </c>
      <c r="G339" s="196">
        <v>0.0</v>
      </c>
      <c r="H339" s="193"/>
      <c r="I339" s="197" t="str">
        <f>IF(iserror(vlookup($A339,Pagos!$B$5:L1241,4,false)),"Sin actividad",If(vlookup($A339,Pagos!$B$5:$L1241,5,false),vlookup($A339,Pagos!$B$5:$L1241,5,false),vlookup($A339,Pagos!$B$5:$L1241,4,false)))</f>
        <v>Sin actividad</v>
      </c>
      <c r="J339" s="198" t="s">
        <v>529</v>
      </c>
      <c r="K339" s="199">
        <v>40454.0</v>
      </c>
      <c r="L339" s="200"/>
      <c r="M339" s="201" t="s">
        <v>1540</v>
      </c>
      <c r="N339" s="202">
        <f>If(L339&gt;K339,   datedif(K339,L339,"Y") , If(K339&lt;Vitalicios!$C$4, datedif(K339,Vitalicios!$C$4,"Y"),0)  )</f>
        <v>14</v>
      </c>
      <c r="O339" s="202"/>
    </row>
    <row r="340">
      <c r="A340" s="192">
        <v>1579.0</v>
      </c>
      <c r="B340" s="193" t="s">
        <v>1541</v>
      </c>
      <c r="C340" s="194" t="s">
        <v>526</v>
      </c>
      <c r="D340" s="193" t="s">
        <v>822</v>
      </c>
      <c r="E340" s="193" t="s">
        <v>1542</v>
      </c>
      <c r="F340" s="195">
        <v>4613329.0</v>
      </c>
      <c r="G340" s="196">
        <v>0.0</v>
      </c>
      <c r="H340" s="193" t="s">
        <v>1543</v>
      </c>
      <c r="I340" s="197" t="str">
        <f>IF(iserror(vlookup($A340,Pagos!$B$5:L1241,4,false)),"Sin actividad",If(vlookup($A340,Pagos!$B$5:$L1241,5,false),vlookup($A340,Pagos!$B$5:$L1241,5,false),vlookup($A340,Pagos!$B$5:$L1241,4,false)))</f>
        <v>Sin actividad</v>
      </c>
      <c r="J340" s="198" t="s">
        <v>529</v>
      </c>
      <c r="K340" s="199">
        <v>42350.0</v>
      </c>
      <c r="L340" s="200"/>
      <c r="M340" s="201"/>
      <c r="N340" s="202">
        <f>If(L340&gt;K340,   datedif(K340,L340,"Y") , If(K340&lt;Vitalicios!$C$4, datedif(K340,Vitalicios!$C$4,"Y"),0)  )</f>
        <v>9</v>
      </c>
      <c r="O340" s="202"/>
    </row>
    <row r="341">
      <c r="A341" s="192">
        <v>1608.0</v>
      </c>
      <c r="B341" s="193" t="s">
        <v>1544</v>
      </c>
      <c r="C341" s="194" t="s">
        <v>526</v>
      </c>
      <c r="D341" s="193" t="s">
        <v>822</v>
      </c>
      <c r="E341" s="193" t="s">
        <v>1545</v>
      </c>
      <c r="F341" s="195">
        <v>1.54188063E8</v>
      </c>
      <c r="G341" s="196"/>
      <c r="H341" s="193" t="s">
        <v>1546</v>
      </c>
      <c r="I341" s="197" t="str">
        <f>IF(iserror(vlookup($A341,Pagos!$B$5:L1241,4,false)),"Sin actividad",If(vlookup($A341,Pagos!$B$5:$L1241,5,false),vlookup($A341,Pagos!$B$5:$L1241,5,false),vlookup($A341,Pagos!$B$5:$L1241,4,false)))</f>
        <v>Sin actividad</v>
      </c>
      <c r="J341" s="198" t="s">
        <v>529</v>
      </c>
      <c r="K341" s="199">
        <v>42614.0</v>
      </c>
      <c r="L341" s="200">
        <v>45627.0</v>
      </c>
      <c r="M341" s="201" t="s">
        <v>535</v>
      </c>
      <c r="N341" s="202">
        <f>If(L341&gt;K341,   datedif(K341,L341,"Y") , If(K341&lt;Vitalicios!$C$4, datedif(K341,Vitalicios!$C$4,"Y"),0)  )</f>
        <v>8</v>
      </c>
      <c r="O341" s="202"/>
    </row>
    <row r="342">
      <c r="A342" s="192">
        <v>1330.0</v>
      </c>
      <c r="B342" s="193" t="s">
        <v>1547</v>
      </c>
      <c r="C342" s="194" t="s">
        <v>577</v>
      </c>
      <c r="D342" s="193" t="s">
        <v>520</v>
      </c>
      <c r="E342" s="193" t="s">
        <v>1548</v>
      </c>
      <c r="F342" s="195">
        <v>4249143.0</v>
      </c>
      <c r="G342" s="196">
        <v>0.0</v>
      </c>
      <c r="H342" s="193" t="s">
        <v>1549</v>
      </c>
      <c r="I342" s="197" t="str">
        <f>IF(iserror(vlookup($A342,Pagos!$B$5:L1241,4,false)),"Sin actividad",If(vlookup($A342,Pagos!$B$5:$L1241,5,false),vlookup($A342,Pagos!$B$5:$L1241,5,false),vlookup($A342,Pagos!$B$5:$L1241,4,false)))</f>
        <v>Sin actividad</v>
      </c>
      <c r="J342" s="198" t="s">
        <v>529</v>
      </c>
      <c r="K342" s="199">
        <v>40509.0</v>
      </c>
      <c r="L342" s="200">
        <v>44044.0</v>
      </c>
      <c r="M342" s="201"/>
      <c r="N342" s="202">
        <f>If(L342&gt;K342,   datedif(K342,L342,"Y") , If(K342&lt;Vitalicios!$C$4, datedif(K342,Vitalicios!$C$4,"Y"),0)  )</f>
        <v>9</v>
      </c>
      <c r="O342" s="202"/>
    </row>
    <row r="343">
      <c r="A343" s="192">
        <v>1320.0</v>
      </c>
      <c r="B343" s="193" t="s">
        <v>1550</v>
      </c>
      <c r="C343" s="194" t="s">
        <v>577</v>
      </c>
      <c r="D343" s="193" t="s">
        <v>520</v>
      </c>
      <c r="E343" s="193" t="s">
        <v>1551</v>
      </c>
      <c r="F343" s="195">
        <v>0.0</v>
      </c>
      <c r="G343" s="196">
        <v>0.0</v>
      </c>
      <c r="H343" s="193"/>
      <c r="I343" s="197" t="str">
        <f>IF(iserror(vlookup($A343,Pagos!$B$5:L1241,4,false)),"Sin actividad",If(vlookup($A343,Pagos!$B$5:$L1241,5,false),vlookup($A343,Pagos!$B$5:$L1241,5,false),vlookup($A343,Pagos!$B$5:$L1241,4,false)))</f>
        <v>Sin actividad</v>
      </c>
      <c r="J343" s="198" t="s">
        <v>529</v>
      </c>
      <c r="K343" s="199">
        <v>40823.0</v>
      </c>
      <c r="L343" s="200">
        <v>41432.0</v>
      </c>
      <c r="M343" s="201" t="s">
        <v>656</v>
      </c>
      <c r="N343" s="202">
        <f>If(L343&gt;K343,   datedif(K343,L343,"Y") , If(K343&lt;Vitalicios!$C$4, datedif(K343,Vitalicios!$C$4,"Y"),0)  )</f>
        <v>1</v>
      </c>
      <c r="O343" s="202"/>
    </row>
    <row r="344">
      <c r="A344" s="192">
        <v>1953.0</v>
      </c>
      <c r="B344" s="193" t="s">
        <v>1552</v>
      </c>
      <c r="C344" s="193" t="s">
        <v>537</v>
      </c>
      <c r="D344" s="193" t="s">
        <v>596</v>
      </c>
      <c r="E344" s="193" t="s">
        <v>1553</v>
      </c>
      <c r="F344" s="195">
        <v>1.164039499E9</v>
      </c>
      <c r="G344" s="196"/>
      <c r="H344" s="193" t="s">
        <v>1554</v>
      </c>
      <c r="I344" s="197" t="str">
        <f>IF(iserror(vlookup($A344,Pagos!$B$5:L1241,4,false)),"Sin actividad",If(vlookup($A344,Pagos!$B$5:$L1241,5,false),vlookup($A344,Pagos!$B$5:$L1241,5,false),vlookup($A344,Pagos!$B$5:$L1241,4,false)))</f>
        <v>Sin actividad</v>
      </c>
      <c r="J344" s="198" t="s">
        <v>523</v>
      </c>
      <c r="K344" s="199">
        <v>44501.0</v>
      </c>
      <c r="L344" s="200">
        <v>45474.0</v>
      </c>
      <c r="M344" s="201" t="s">
        <v>915</v>
      </c>
      <c r="N344" s="202"/>
      <c r="O344" s="202"/>
    </row>
    <row r="345">
      <c r="A345" s="192">
        <v>2381.0</v>
      </c>
      <c r="B345" s="193" t="s">
        <v>1555</v>
      </c>
      <c r="C345" s="193" t="s">
        <v>537</v>
      </c>
      <c r="D345" s="193" t="s">
        <v>538</v>
      </c>
      <c r="E345" s="193" t="s">
        <v>1556</v>
      </c>
      <c r="F345" s="195">
        <v>2.216495762E9</v>
      </c>
      <c r="G345" s="196"/>
      <c r="H345" s="193" t="s">
        <v>1557</v>
      </c>
      <c r="I345" s="197"/>
      <c r="J345" s="198" t="s">
        <v>523</v>
      </c>
      <c r="K345" s="199">
        <v>45809.0</v>
      </c>
      <c r="L345" s="200"/>
      <c r="M345" s="201"/>
      <c r="N345" s="202"/>
      <c r="O345" s="202"/>
    </row>
    <row r="346">
      <c r="A346" s="192">
        <v>1538.0</v>
      </c>
      <c r="B346" s="193" t="s">
        <v>1558</v>
      </c>
      <c r="C346" s="194" t="s">
        <v>577</v>
      </c>
      <c r="D346" s="193" t="s">
        <v>520</v>
      </c>
      <c r="E346" s="193" t="s">
        <v>1559</v>
      </c>
      <c r="F346" s="195">
        <v>4241237.0</v>
      </c>
      <c r="G346" s="196">
        <v>1.53854326E9</v>
      </c>
      <c r="H346" s="193"/>
      <c r="I346" s="197" t="str">
        <f>IF(iserror(vlookup($A346,Pagos!$B$5:L1241,4,false)),"Sin actividad",If(vlookup($A346,Pagos!$B$5:$L1241,5,false),vlookup($A346,Pagos!$B$5:$L1241,5,false),vlookup($A346,Pagos!$B$5:$L1241,4,false)))</f>
        <v>Sin actividad</v>
      </c>
      <c r="J346" s="198" t="s">
        <v>529</v>
      </c>
      <c r="K346" s="199">
        <v>42007.0</v>
      </c>
      <c r="L346" s="200">
        <v>43525.0</v>
      </c>
      <c r="M346" s="201"/>
      <c r="N346" s="202">
        <f>If(L346&gt;K346,   datedif(K346,L346,"Y") , If(K346&lt;Vitalicios!$C$4, datedif(K346,Vitalicios!$C$4,"Y"),0)  )</f>
        <v>4</v>
      </c>
      <c r="O346" s="202"/>
    </row>
    <row r="347">
      <c r="A347" s="192">
        <v>2340.0</v>
      </c>
      <c r="B347" s="193" t="s">
        <v>1560</v>
      </c>
      <c r="C347" s="193" t="s">
        <v>537</v>
      </c>
      <c r="D347" s="193" t="s">
        <v>1561</v>
      </c>
      <c r="E347" s="193" t="s">
        <v>1562</v>
      </c>
      <c r="F347" s="195">
        <v>2.215572625E9</v>
      </c>
      <c r="G347" s="196"/>
      <c r="H347" s="193" t="s">
        <v>1563</v>
      </c>
      <c r="I347" s="197"/>
      <c r="J347" s="198" t="s">
        <v>523</v>
      </c>
      <c r="K347" s="199">
        <v>45717.0</v>
      </c>
      <c r="L347" s="200"/>
      <c r="M347" s="201"/>
      <c r="N347" s="202"/>
      <c r="O347" s="202"/>
    </row>
    <row r="348">
      <c r="A348" s="192">
        <v>771.0</v>
      </c>
      <c r="B348" s="193" t="s">
        <v>1564</v>
      </c>
      <c r="C348" s="194" t="s">
        <v>577</v>
      </c>
      <c r="D348" s="193" t="s">
        <v>520</v>
      </c>
      <c r="E348" s="193" t="s">
        <v>1565</v>
      </c>
      <c r="F348" s="195">
        <v>0.0</v>
      </c>
      <c r="G348" s="196">
        <v>0.0</v>
      </c>
      <c r="H348" s="193"/>
      <c r="I348" s="197" t="str">
        <f>IF(iserror(vlookup($A348,Pagos!$B$5:L1241,4,false)),"Sin actividad",If(vlookup($A348,Pagos!$B$5:$L1241,5,false),vlookup($A348,Pagos!$B$5:$L1241,5,false),vlookup($A348,Pagos!$B$5:$L1241,4,false)))</f>
        <v>Sin actividad</v>
      </c>
      <c r="J348" s="198" t="s">
        <v>529</v>
      </c>
      <c r="K348" s="199">
        <v>36205.0</v>
      </c>
      <c r="L348" s="200">
        <v>42675.0</v>
      </c>
      <c r="M348" s="201" t="s">
        <v>535</v>
      </c>
      <c r="N348" s="202">
        <f>If(L348&gt;K348,   datedif(K348,L348,"Y") , If(K348&lt;Vitalicios!$C$4, datedif(K348,Vitalicios!$C$4,"Y"),0)  )</f>
        <v>17</v>
      </c>
      <c r="O348" s="202"/>
    </row>
    <row r="349">
      <c r="A349" s="192">
        <v>1811.0</v>
      </c>
      <c r="B349" s="193" t="s">
        <v>1566</v>
      </c>
      <c r="C349" s="193" t="s">
        <v>537</v>
      </c>
      <c r="D349" s="193" t="s">
        <v>1203</v>
      </c>
      <c r="E349" s="193" t="s">
        <v>1567</v>
      </c>
      <c r="F349" s="195">
        <v>2.216496606E9</v>
      </c>
      <c r="G349" s="196"/>
      <c r="H349" s="193" t="s">
        <v>1568</v>
      </c>
      <c r="I349" s="197" t="str">
        <f>IF(iserror(vlookup($A349,Pagos!$B$5:L1241,4,false)),"Sin actividad",If(vlookup($A349,Pagos!$B$5:$L1241,5,false),vlookup($A349,Pagos!$B$5:$L1241,5,false),vlookup($A349,Pagos!$B$5:$L1241,4,false)))</f>
        <v>Sin actividad</v>
      </c>
      <c r="J349" s="198" t="s">
        <v>529</v>
      </c>
      <c r="K349" s="199">
        <v>44044.0</v>
      </c>
      <c r="L349" s="200">
        <v>44256.0</v>
      </c>
      <c r="M349" s="201"/>
      <c r="N349" s="202"/>
      <c r="O349" s="202"/>
    </row>
    <row r="350">
      <c r="A350" s="192">
        <v>1352.0</v>
      </c>
      <c r="B350" s="193" t="s">
        <v>1569</v>
      </c>
      <c r="C350" s="194" t="s">
        <v>526</v>
      </c>
      <c r="D350" s="193" t="s">
        <v>556</v>
      </c>
      <c r="E350" s="193" t="s">
        <v>1570</v>
      </c>
      <c r="F350" s="195">
        <v>4232126.0</v>
      </c>
      <c r="G350" s="196">
        <v>0.0</v>
      </c>
      <c r="H350" s="193"/>
      <c r="I350" s="197" t="str">
        <f>IF(iserror(vlookup($A350,Pagos!$B$5:L1241,4,false)),"Sin actividad",If(vlookup($A350,Pagos!$B$5:$L1241,5,false),vlookup($A350,Pagos!$B$5:$L1241,5,false),vlookup($A350,Pagos!$B$5:$L1241,4,false)))</f>
        <v>Sin actividad</v>
      </c>
      <c r="J350" s="198" t="s">
        <v>529</v>
      </c>
      <c r="K350" s="199">
        <v>40576.0</v>
      </c>
      <c r="L350" s="200">
        <v>42461.0</v>
      </c>
      <c r="M350" s="201"/>
      <c r="N350" s="202">
        <f>If(L350&gt;K350,   datedif(K350,L350,"Y") , If(K350&lt;Vitalicios!$C$4, datedif(K350,Vitalicios!$C$4,"Y"),0)  )</f>
        <v>5</v>
      </c>
      <c r="O350" s="202"/>
    </row>
    <row r="351">
      <c r="A351" s="192">
        <v>580.0</v>
      </c>
      <c r="B351" s="193" t="s">
        <v>1571</v>
      </c>
      <c r="C351" s="194" t="s">
        <v>526</v>
      </c>
      <c r="D351" s="193" t="s">
        <v>520</v>
      </c>
      <c r="E351" s="193">
        <v>0.0</v>
      </c>
      <c r="F351" s="195">
        <v>1.54632098E8</v>
      </c>
      <c r="G351" s="196">
        <v>0.0</v>
      </c>
      <c r="H351" s="193"/>
      <c r="I351" s="197" t="str">
        <f>IF(iserror(vlookup($A351,Pagos!$B$5:L1241,4,false)),"Sin actividad",If(vlookup($A351,Pagos!$B$5:$L1241,5,false),vlookup($A351,Pagos!$B$5:$L1241,5,false),vlookup($A351,Pagos!$B$5:$L1241,4,false)))</f>
        <v>Sin actividad</v>
      </c>
      <c r="J351" s="198" t="s">
        <v>523</v>
      </c>
      <c r="K351" s="199">
        <v>33965.0</v>
      </c>
      <c r="L351" s="200">
        <v>45809.0</v>
      </c>
      <c r="M351" s="201" t="s">
        <v>1572</v>
      </c>
      <c r="N351" s="202">
        <f>If(L351&gt;K351,   datedif(K351,L351,"Y") , If(K351&lt;Vitalicios!$C$4, datedif(K351,Vitalicios!$C$4,"Y"),0)  )</f>
        <v>32</v>
      </c>
      <c r="O351" s="202"/>
    </row>
    <row r="352">
      <c r="A352" s="192">
        <v>1909.0</v>
      </c>
      <c r="B352" s="193" t="s">
        <v>1573</v>
      </c>
      <c r="C352" s="193" t="s">
        <v>537</v>
      </c>
      <c r="D352" s="193" t="s">
        <v>532</v>
      </c>
      <c r="E352" s="193" t="s">
        <v>1574</v>
      </c>
      <c r="F352" s="195">
        <v>2.214948171E9</v>
      </c>
      <c r="G352" s="196"/>
      <c r="H352" s="193" t="s">
        <v>1575</v>
      </c>
      <c r="I352" s="197" t="str">
        <f>IF(iserror(vlookup($A352,Pagos!$B$5:L1241,4,false)),"Sin actividad",If(vlookup($A352,Pagos!$B$5:$L1241,5,false),vlookup($A352,Pagos!$B$5:$L1241,5,false),vlookup($A352,Pagos!$B$5:$L1241,4,false)))</f>
        <v>Sin actividad</v>
      </c>
      <c r="J352" s="198" t="s">
        <v>529</v>
      </c>
      <c r="K352" s="199">
        <v>44317.0</v>
      </c>
      <c r="L352" s="200">
        <v>45323.0</v>
      </c>
      <c r="M352" s="201"/>
      <c r="N352" s="202"/>
      <c r="O352" s="202"/>
    </row>
    <row r="353">
      <c r="A353" s="192">
        <v>1577.0</v>
      </c>
      <c r="B353" s="193" t="s">
        <v>1576</v>
      </c>
      <c r="C353" s="194" t="s">
        <v>526</v>
      </c>
      <c r="D353" s="193" t="s">
        <v>527</v>
      </c>
      <c r="E353" s="193" t="s">
        <v>1577</v>
      </c>
      <c r="F353" s="195" t="s">
        <v>1578</v>
      </c>
      <c r="G353" s="196">
        <v>0.0</v>
      </c>
      <c r="H353" s="193"/>
      <c r="I353" s="197" t="str">
        <f>IF(iserror(vlookup($A353,Pagos!$B$5:L1241,4,false)),"Sin actividad",If(vlookup($A353,Pagos!$B$5:$L1241,5,false),vlookup($A353,Pagos!$B$5:$L1241,5,false),vlookup($A353,Pagos!$B$5:$L1241,4,false)))</f>
        <v>Sin actividad</v>
      </c>
      <c r="J353" s="198" t="s">
        <v>529</v>
      </c>
      <c r="K353" s="199">
        <v>42323.0</v>
      </c>
      <c r="L353" s="200">
        <v>43617.0</v>
      </c>
      <c r="M353" s="201"/>
      <c r="N353" s="202">
        <f>If(L353&gt;K353,   datedif(K353,L353,"Y") , If(K353&lt;Vitalicios!$C$4, datedif(K353,Vitalicios!$C$4,"Y"),0)  )</f>
        <v>3</v>
      </c>
      <c r="O353" s="202"/>
    </row>
    <row r="354">
      <c r="A354" s="192">
        <v>2239.0</v>
      </c>
      <c r="B354" s="193" t="s">
        <v>1579</v>
      </c>
      <c r="C354" s="193" t="s">
        <v>537</v>
      </c>
      <c r="D354" s="193"/>
      <c r="E354" s="193" t="s">
        <v>1580</v>
      </c>
      <c r="F354" s="195">
        <v>2.215679838E9</v>
      </c>
      <c r="G354" s="196"/>
      <c r="H354" s="193" t="s">
        <v>1581</v>
      </c>
      <c r="I354" s="197"/>
      <c r="J354" s="198" t="s">
        <v>523</v>
      </c>
      <c r="K354" s="199">
        <v>45292.0</v>
      </c>
      <c r="L354" s="200"/>
      <c r="M354" s="201" t="s">
        <v>1582</v>
      </c>
      <c r="N354" s="202"/>
      <c r="O354" s="202"/>
    </row>
    <row r="355">
      <c r="A355" s="192">
        <v>1070.0</v>
      </c>
      <c r="B355" s="193" t="s">
        <v>1583</v>
      </c>
      <c r="C355" s="194" t="s">
        <v>526</v>
      </c>
      <c r="D355" s="193" t="s">
        <v>520</v>
      </c>
      <c r="E355" s="193" t="s">
        <v>1584</v>
      </c>
      <c r="F355" s="195">
        <v>4867433.0</v>
      </c>
      <c r="G355" s="196">
        <v>0.0</v>
      </c>
      <c r="H355" s="193"/>
      <c r="I355" s="197" t="str">
        <f>IF(iserror(vlookup($A355,Pagos!$B$5:L1241,4,false)),"Sin actividad",If(vlookup($A355,Pagos!$B$5:$L1241,5,false),vlookup($A355,Pagos!$B$5:$L1241,5,false),vlookup($A355,Pagos!$B$5:$L1241,4,false)))</f>
        <v>Sin actividad</v>
      </c>
      <c r="J355" s="198" t="s">
        <v>529</v>
      </c>
      <c r="K355" s="199">
        <v>38438.0</v>
      </c>
      <c r="L355" s="200"/>
      <c r="M355" s="201"/>
      <c r="N355" s="202">
        <f>If(L355&gt;K355,   datedif(K355,L355,"Y") , If(K355&lt;Vitalicios!$C$4, datedif(K355,Vitalicios!$C$4,"Y"),0)  )</f>
        <v>20</v>
      </c>
      <c r="O355" s="202"/>
    </row>
    <row r="356">
      <c r="A356" s="192">
        <v>1624.0</v>
      </c>
      <c r="B356" s="193" t="s">
        <v>1585</v>
      </c>
      <c r="C356" s="194" t="s">
        <v>519</v>
      </c>
      <c r="D356" s="193" t="s">
        <v>520</v>
      </c>
      <c r="E356" s="193" t="s">
        <v>1586</v>
      </c>
      <c r="F356" s="195">
        <v>1.5222644E7</v>
      </c>
      <c r="G356" s="196"/>
      <c r="H356" s="193" t="s">
        <v>1587</v>
      </c>
      <c r="I356" s="197" t="str">
        <f>IF(iserror(vlookup($A356,Pagos!$B$5:L1241,4,false)),"Sin actividad",If(vlookup($A356,Pagos!$B$5:$L1241,5,false),vlookup($A356,Pagos!$B$5:$L1241,5,false),vlookup($A356,Pagos!$B$5:$L1241,4,false)))</f>
        <v>Sin actividad</v>
      </c>
      <c r="J356" s="198" t="s">
        <v>529</v>
      </c>
      <c r="K356" s="199">
        <v>42770.0</v>
      </c>
      <c r="L356" s="200"/>
      <c r="M356" s="201"/>
      <c r="N356" s="202">
        <f>If(L356&gt;K356,   datedif(K356,L356,"Y") , If(K356&lt;Vitalicios!$C$4, datedif(K356,Vitalicios!$C$4,"Y"),0)  )</f>
        <v>8</v>
      </c>
      <c r="O356" s="202"/>
    </row>
    <row r="357">
      <c r="A357" s="192">
        <v>1994.0</v>
      </c>
      <c r="B357" s="193" t="s">
        <v>1588</v>
      </c>
      <c r="C357" s="193" t="s">
        <v>537</v>
      </c>
      <c r="D357" s="193" t="s">
        <v>1589</v>
      </c>
      <c r="E357" s="193" t="s">
        <v>1590</v>
      </c>
      <c r="F357" s="195">
        <v>1.144158035E9</v>
      </c>
      <c r="G357" s="196"/>
      <c r="H357" s="193" t="s">
        <v>1591</v>
      </c>
      <c r="I357" s="197">
        <f>IF(iserror(vlookup($A357,Pagos!$B$5:L1241,4,false)),"Sin actividad",If(vlookup($A357,Pagos!$B$5:$L1241,5,false),vlookup($A357,Pagos!$B$5:$L1241,5,false),vlookup($A357,Pagos!$B$5:$L1241,4,false)))</f>
        <v>45992</v>
      </c>
      <c r="J357" s="198" t="s">
        <v>523</v>
      </c>
      <c r="K357" s="199">
        <v>44562.0</v>
      </c>
      <c r="L357" s="200"/>
      <c r="M357" s="201"/>
      <c r="N357" s="202"/>
      <c r="O357" s="202"/>
    </row>
    <row r="358">
      <c r="A358" s="192">
        <v>1712.0</v>
      </c>
      <c r="B358" s="193" t="s">
        <v>1592</v>
      </c>
      <c r="C358" s="194" t="s">
        <v>519</v>
      </c>
      <c r="D358" s="193" t="s">
        <v>520</v>
      </c>
      <c r="E358" s="193" t="s">
        <v>1593</v>
      </c>
      <c r="F358" s="219" t="s">
        <v>1594</v>
      </c>
      <c r="G358" s="196"/>
      <c r="H358" s="193" t="s">
        <v>1595</v>
      </c>
      <c r="I358" s="197">
        <f>IF(iserror(vlookup($A358,Pagos!$B$5:L1241,4,false)),"Sin actividad",If(vlookup($A358,Pagos!$B$5:$L1241,5,false),vlookup($A358,Pagos!$B$5:$L1241,5,false),vlookup($A358,Pagos!$B$5:$L1241,4,false)))</f>
        <v>45870</v>
      </c>
      <c r="J358" s="198" t="s">
        <v>529</v>
      </c>
      <c r="K358" s="199">
        <v>43405.0</v>
      </c>
      <c r="L358" s="200"/>
      <c r="M358" s="201"/>
      <c r="N358" s="202">
        <f>If(L358&gt;K358,   datedif(K358,L358,"Y") , If(K358&lt;Vitalicios!$C$4, datedif(K358,Vitalicios!$C$4,"Y"),0)  )</f>
        <v>6</v>
      </c>
      <c r="O358" s="202"/>
    </row>
    <row r="359">
      <c r="A359" s="192">
        <v>2236.0</v>
      </c>
      <c r="B359" s="193" t="s">
        <v>1596</v>
      </c>
      <c r="C359" s="193" t="s">
        <v>537</v>
      </c>
      <c r="D359" s="193" t="s">
        <v>549</v>
      </c>
      <c r="E359" s="193" t="s">
        <v>1597</v>
      </c>
      <c r="F359" s="195">
        <v>2.215625836E9</v>
      </c>
      <c r="G359" s="196"/>
      <c r="H359" s="193" t="s">
        <v>1598</v>
      </c>
      <c r="I359" s="202"/>
      <c r="J359" s="198" t="s">
        <v>529</v>
      </c>
      <c r="K359" s="199">
        <v>45292.0</v>
      </c>
      <c r="L359" s="200">
        <v>45444.0</v>
      </c>
      <c r="M359" s="201" t="s">
        <v>614</v>
      </c>
      <c r="N359" s="202"/>
      <c r="O359" s="202"/>
    </row>
    <row r="360">
      <c r="A360" s="192">
        <v>2366.0</v>
      </c>
      <c r="B360" s="193" t="s">
        <v>1599</v>
      </c>
      <c r="C360" s="193" t="s">
        <v>537</v>
      </c>
      <c r="D360" s="193" t="s">
        <v>485</v>
      </c>
      <c r="E360" s="193" t="s">
        <v>1600</v>
      </c>
      <c r="F360" s="195">
        <v>2.241689998E9</v>
      </c>
      <c r="G360" s="196"/>
      <c r="H360" s="193" t="s">
        <v>1601</v>
      </c>
      <c r="I360" s="202"/>
      <c r="J360" s="198" t="s">
        <v>523</v>
      </c>
      <c r="K360" s="199">
        <v>45748.0</v>
      </c>
      <c r="L360" s="200"/>
      <c r="M360" s="201"/>
      <c r="N360" s="202"/>
      <c r="O360" s="202"/>
    </row>
    <row r="361">
      <c r="A361" s="192">
        <v>1525.0</v>
      </c>
      <c r="B361" s="193" t="s">
        <v>1602</v>
      </c>
      <c r="C361" s="194" t="s">
        <v>526</v>
      </c>
      <c r="D361" s="193" t="s">
        <v>527</v>
      </c>
      <c r="E361" s="193" t="s">
        <v>1603</v>
      </c>
      <c r="F361" s="195">
        <v>1.55417771E8</v>
      </c>
      <c r="G361" s="196">
        <v>0.0</v>
      </c>
      <c r="H361" s="193" t="s">
        <v>1604</v>
      </c>
      <c r="I361" s="197" t="str">
        <f>IF(iserror(vlookup($A361,Pagos!$B$5:L1241,4,false)),"Sin actividad",If(vlookup($A361,Pagos!$B$5:$L1241,5,false),vlookup($A361,Pagos!$B$5:$L1241,5,false),vlookup($A361,Pagos!$B$5:$L1241,4,false)))</f>
        <v>Sin actividad</v>
      </c>
      <c r="J361" s="198" t="s">
        <v>529</v>
      </c>
      <c r="K361" s="199">
        <v>41937.0</v>
      </c>
      <c r="L361" s="200">
        <v>42552.0</v>
      </c>
      <c r="M361" s="201"/>
      <c r="N361" s="202">
        <f>If(L361&gt;K361,   datedif(K361,L361,"Y") , If(K361&lt;Vitalicios!$C$4, datedif(K361,Vitalicios!$C$4,"Y"),0)  )</f>
        <v>1</v>
      </c>
      <c r="O361" s="202"/>
    </row>
    <row r="362">
      <c r="A362" s="192">
        <v>1855.0</v>
      </c>
      <c r="B362" s="193" t="s">
        <v>1605</v>
      </c>
      <c r="C362" s="193" t="s">
        <v>537</v>
      </c>
      <c r="D362" s="193" t="s">
        <v>1606</v>
      </c>
      <c r="E362" s="193" t="s">
        <v>1607</v>
      </c>
      <c r="F362" s="195">
        <v>2.214984245E9</v>
      </c>
      <c r="G362" s="196"/>
      <c r="H362" s="193" t="s">
        <v>1608</v>
      </c>
      <c r="I362" s="197" t="str">
        <f>IF(iserror(vlookup($A362,Pagos!$B$5:L1241,4,false)),"Sin actividad",If(vlookup($A362,Pagos!$B$5:$L1241,5,false),vlookup($A362,Pagos!$B$5:$L1241,5,false),vlookup($A362,Pagos!$B$5:$L1241,4,false)))</f>
        <v>Sin actividad</v>
      </c>
      <c r="J362" s="198" t="s">
        <v>529</v>
      </c>
      <c r="K362" s="199">
        <v>44166.0</v>
      </c>
      <c r="L362" s="200">
        <v>44986.0</v>
      </c>
      <c r="M362" s="201" t="s">
        <v>535</v>
      </c>
      <c r="N362" s="202"/>
      <c r="O362" s="202"/>
    </row>
    <row r="363">
      <c r="A363" s="192">
        <v>1772.0</v>
      </c>
      <c r="B363" s="193" t="s">
        <v>1609</v>
      </c>
      <c r="C363" s="194" t="s">
        <v>519</v>
      </c>
      <c r="D363" s="193" t="s">
        <v>538</v>
      </c>
      <c r="E363" s="193"/>
      <c r="F363" s="195">
        <v>1.164975485E9</v>
      </c>
      <c r="G363" s="196"/>
      <c r="H363" s="193" t="s">
        <v>1610</v>
      </c>
      <c r="I363" s="197" t="str">
        <f>IF(iserror(vlookup($A363,Pagos!$B$5:L1241,4,false)),"Sin actividad",If(vlookup($A363,Pagos!$B$5:$L1241,5,false),vlookup($A363,Pagos!$B$5:$L1241,5,false),vlookup($A363,Pagos!$B$5:$L1241,4,false)))</f>
        <v>Sin actividad</v>
      </c>
      <c r="J363" s="198" t="s">
        <v>529</v>
      </c>
      <c r="K363" s="199">
        <v>43831.0</v>
      </c>
      <c r="L363" s="200">
        <v>44197.0</v>
      </c>
      <c r="M363" s="201" t="s">
        <v>1611</v>
      </c>
      <c r="N363" s="202">
        <f>If(L363&gt;K363,   datedif(K363,L363,"Y") , If(K363&lt;Vitalicios!$C$4, datedif(K363,Vitalicios!$C$4,"Y"),0)  )</f>
        <v>1</v>
      </c>
      <c r="O363" s="202"/>
    </row>
    <row r="364">
      <c r="A364" s="192">
        <v>1547.0</v>
      </c>
      <c r="B364" s="193" t="s">
        <v>1612</v>
      </c>
      <c r="C364" s="194" t="s">
        <v>526</v>
      </c>
      <c r="D364" s="193" t="s">
        <v>520</v>
      </c>
      <c r="E364" s="193" t="s">
        <v>1613</v>
      </c>
      <c r="F364" s="195">
        <v>4662346.0</v>
      </c>
      <c r="G364" s="196"/>
      <c r="H364" s="193" t="s">
        <v>1614</v>
      </c>
      <c r="I364" s="197">
        <f>IF(iserror(vlookup($A364,Pagos!$B$5:L1241,4,false)),"Sin actividad",If(vlookup($A364,Pagos!$B$5:$L1241,5,false),vlookup($A364,Pagos!$B$5:$L1241,5,false),vlookup($A364,Pagos!$B$5:$L1241,4,false)))</f>
        <v>45870</v>
      </c>
      <c r="J364" s="198" t="s">
        <v>523</v>
      </c>
      <c r="K364" s="199">
        <v>42042.0</v>
      </c>
      <c r="L364" s="200"/>
      <c r="M364" s="201"/>
      <c r="N364" s="202">
        <f>If(L364&gt;K364,   datedif(K364,L364,"Y") , If(K364&lt;Vitalicios!$C$4, datedif(K364,Vitalicios!$C$4,"Y"),0)  )</f>
        <v>10</v>
      </c>
      <c r="O364" s="202"/>
    </row>
    <row r="365">
      <c r="A365" s="192">
        <v>1413.0</v>
      </c>
      <c r="B365" s="193" t="s">
        <v>1615</v>
      </c>
      <c r="C365" s="194" t="s">
        <v>526</v>
      </c>
      <c r="D365" s="193" t="s">
        <v>556</v>
      </c>
      <c r="E365" s="193" t="s">
        <v>1616</v>
      </c>
      <c r="F365" s="195">
        <v>4720207.0</v>
      </c>
      <c r="G365" s="196">
        <v>0.0</v>
      </c>
      <c r="H365" s="193"/>
      <c r="I365" s="197" t="str">
        <f>IF(iserror(vlookup($A365,Pagos!$B$5:L1241,4,false)),"Sin actividad",If(vlookup($A365,Pagos!$B$5:$L1241,5,false),vlookup($A365,Pagos!$B$5:$L1241,5,false),vlookup($A365,Pagos!$B$5:$L1241,4,false)))</f>
        <v>Sin actividad</v>
      </c>
      <c r="J365" s="198" t="s">
        <v>529</v>
      </c>
      <c r="K365" s="199">
        <v>40979.0</v>
      </c>
      <c r="L365" s="200"/>
      <c r="M365" s="201"/>
      <c r="N365" s="202">
        <f>If(L365&gt;K365,   datedif(K365,L365,"Y") , If(K365&lt;Vitalicios!$C$4, datedif(K365,Vitalicios!$C$4,"Y"),0)  )</f>
        <v>13</v>
      </c>
      <c r="O365" s="202"/>
    </row>
    <row r="366">
      <c r="A366" s="192">
        <v>1433.0</v>
      </c>
      <c r="B366" s="193" t="s">
        <v>1617</v>
      </c>
      <c r="C366" s="194" t="s">
        <v>526</v>
      </c>
      <c r="D366" s="193" t="s">
        <v>770</v>
      </c>
      <c r="E366" s="193" t="s">
        <v>1618</v>
      </c>
      <c r="F366" s="195">
        <v>1.54773151E8</v>
      </c>
      <c r="G366" s="196">
        <v>0.0</v>
      </c>
      <c r="H366" s="193" t="s">
        <v>1619</v>
      </c>
      <c r="I366" s="197" t="str">
        <f>IF(iserror(vlookup($A366,Pagos!$B$5:L1241,4,false)),"Sin actividad",If(vlookup($A366,Pagos!$B$5:$L1241,5,false),vlookup($A366,Pagos!$B$5:$L1241,5,false),vlookup($A366,Pagos!$B$5:$L1241,4,false)))</f>
        <v>Sin actividad</v>
      </c>
      <c r="J366" s="198" t="s">
        <v>529</v>
      </c>
      <c r="K366" s="199">
        <v>41214.0</v>
      </c>
      <c r="L366" s="200">
        <v>43070.0</v>
      </c>
      <c r="M366" s="201"/>
      <c r="N366" s="202">
        <f>If(L366&gt;K366,   datedif(K366,L366,"Y") , If(K366&lt;Vitalicios!$C$4, datedif(K366,Vitalicios!$C$4,"Y"),0)  )</f>
        <v>5</v>
      </c>
      <c r="O366" s="202"/>
    </row>
    <row r="367">
      <c r="A367" s="192">
        <v>1487.0</v>
      </c>
      <c r="B367" s="193" t="s">
        <v>1620</v>
      </c>
      <c r="C367" s="194" t="s">
        <v>526</v>
      </c>
      <c r="D367" s="193" t="s">
        <v>556</v>
      </c>
      <c r="E367" s="193" t="s">
        <v>1621</v>
      </c>
      <c r="F367" s="195" t="s">
        <v>1622</v>
      </c>
      <c r="G367" s="196">
        <v>0.0</v>
      </c>
      <c r="H367" s="193"/>
      <c r="I367" s="197" t="str">
        <f>IF(iserror(vlookup($A367,Pagos!$B$5:L1241,4,false)),"Sin actividad",If(vlookup($A367,Pagos!$B$5:$L1241,5,false),vlookup($A367,Pagos!$B$5:$L1241,5,false),vlookup($A367,Pagos!$B$5:$L1241,4,false)))</f>
        <v>Sin actividad</v>
      </c>
      <c r="J367" s="198" t="s">
        <v>529</v>
      </c>
      <c r="K367" s="199">
        <v>41658.0</v>
      </c>
      <c r="L367" s="200">
        <v>43374.0</v>
      </c>
      <c r="M367" s="201" t="s">
        <v>560</v>
      </c>
      <c r="N367" s="202">
        <f>If(L367&gt;K367,   datedif(K367,L367,"Y") , If(K367&lt;Vitalicios!$C$4, datedif(K367,Vitalicios!$C$4,"Y"),0)  )</f>
        <v>4</v>
      </c>
      <c r="O367" s="202"/>
    </row>
    <row r="368">
      <c r="A368" s="192">
        <v>1340.0</v>
      </c>
      <c r="B368" s="193" t="s">
        <v>1623</v>
      </c>
      <c r="C368" s="194" t="s">
        <v>526</v>
      </c>
      <c r="D368" s="193" t="s">
        <v>556</v>
      </c>
      <c r="E368" s="193" t="s">
        <v>1624</v>
      </c>
      <c r="F368" s="195">
        <v>0.0</v>
      </c>
      <c r="G368" s="196">
        <v>0.0</v>
      </c>
      <c r="H368" s="193"/>
      <c r="I368" s="197" t="str">
        <f>IF(iserror(vlookup($A368,Pagos!$B$5:L1241,4,false)),"Sin actividad",If(vlookup($A368,Pagos!$B$5:$L1241,5,false),vlookup($A368,Pagos!$B$5:$L1241,5,false),vlookup($A368,Pagos!$B$5:$L1241,4,false)))</f>
        <v>Sin actividad</v>
      </c>
      <c r="J368" s="198" t="s">
        <v>529</v>
      </c>
      <c r="K368" s="199">
        <v>40538.0</v>
      </c>
      <c r="L368" s="200"/>
      <c r="M368" s="201"/>
      <c r="N368" s="202">
        <f>If(L368&gt;K368,   datedif(K368,L368,"Y") , If(K368&lt;Vitalicios!$C$4, datedif(K368,Vitalicios!$C$4,"Y"),0)  )</f>
        <v>14</v>
      </c>
      <c r="O368" s="202"/>
    </row>
    <row r="369">
      <c r="A369" s="192">
        <v>1912.0</v>
      </c>
      <c r="B369" s="193" t="s">
        <v>1625</v>
      </c>
      <c r="C369" s="193" t="s">
        <v>537</v>
      </c>
      <c r="D369" s="193" t="s">
        <v>532</v>
      </c>
      <c r="E369" s="193" t="s">
        <v>1626</v>
      </c>
      <c r="F369" s="195">
        <v>1.1320922732E10</v>
      </c>
      <c r="G369" s="196"/>
      <c r="H369" s="193" t="s">
        <v>1627</v>
      </c>
      <c r="I369" s="197" t="str">
        <f>IF(iserror(vlookup($A369,Pagos!$B$5:L1241,4,false)),"Sin actividad",If(vlookup($A369,Pagos!$B$5:$L1241,5,false),vlookup($A369,Pagos!$B$5:$L1241,5,false),vlookup($A369,Pagos!$B$5:$L1241,4,false)))</f>
        <v>Sin actividad</v>
      </c>
      <c r="J369" s="198" t="s">
        <v>529</v>
      </c>
      <c r="K369" s="199">
        <v>44317.0</v>
      </c>
      <c r="L369" s="200">
        <v>44713.0</v>
      </c>
      <c r="M369" s="201" t="s">
        <v>535</v>
      </c>
      <c r="N369" s="202"/>
      <c r="O369" s="202"/>
    </row>
    <row r="370">
      <c r="A370" s="192">
        <v>2316.0</v>
      </c>
      <c r="B370" s="193" t="s">
        <v>1628</v>
      </c>
      <c r="C370" s="193" t="s">
        <v>537</v>
      </c>
      <c r="D370" s="193" t="s">
        <v>1629</v>
      </c>
      <c r="E370" s="193" t="s">
        <v>1630</v>
      </c>
      <c r="F370" s="195">
        <v>2.214655305E9</v>
      </c>
      <c r="G370" s="196"/>
      <c r="H370" s="193" t="s">
        <v>1631</v>
      </c>
      <c r="I370" s="197"/>
      <c r="J370" s="198" t="s">
        <v>523</v>
      </c>
      <c r="K370" s="199">
        <v>45689.0</v>
      </c>
      <c r="L370" s="200"/>
      <c r="M370" s="201"/>
      <c r="N370" s="202"/>
      <c r="O370" s="202"/>
    </row>
    <row r="371">
      <c r="A371" s="192">
        <v>1377.0</v>
      </c>
      <c r="B371" s="193" t="s">
        <v>1632</v>
      </c>
      <c r="C371" s="194" t="s">
        <v>526</v>
      </c>
      <c r="D371" s="193" t="s">
        <v>556</v>
      </c>
      <c r="E371" s="193" t="s">
        <v>1633</v>
      </c>
      <c r="F371" s="195">
        <v>4802758.0</v>
      </c>
      <c r="G371" s="196">
        <v>0.0</v>
      </c>
      <c r="H371" s="193"/>
      <c r="I371" s="197" t="str">
        <f>IF(iserror(vlookup($A371,Pagos!$B$5:L1241,4,false)),"Sin actividad",If(vlookup($A371,Pagos!$B$5:$L1241,5,false),vlookup($A371,Pagos!$B$5:$L1241,5,false),vlookup($A371,Pagos!$B$5:$L1241,4,false)))</f>
        <v>Sin actividad</v>
      </c>
      <c r="J371" s="198" t="s">
        <v>529</v>
      </c>
      <c r="K371" s="199">
        <v>40761.0</v>
      </c>
      <c r="L371" s="200">
        <v>41497.0</v>
      </c>
      <c r="M371" s="201" t="s">
        <v>656</v>
      </c>
      <c r="N371" s="202">
        <f>If(L371&gt;K371,   datedif(K371,L371,"Y") , If(K371&lt;Vitalicios!$C$4, datedif(K371,Vitalicios!$C$4,"Y"),0)  )</f>
        <v>2</v>
      </c>
      <c r="O371" s="202"/>
    </row>
    <row r="372">
      <c r="A372" s="192">
        <v>1185.0</v>
      </c>
      <c r="B372" s="193" t="s">
        <v>1634</v>
      </c>
      <c r="C372" s="194" t="s">
        <v>564</v>
      </c>
      <c r="D372" s="193" t="s">
        <v>556</v>
      </c>
      <c r="E372" s="193" t="s">
        <v>1635</v>
      </c>
      <c r="F372" s="195">
        <v>0.0</v>
      </c>
      <c r="G372" s="196">
        <v>0.0</v>
      </c>
      <c r="H372" s="193"/>
      <c r="I372" s="197" t="str">
        <f>IF(iserror(vlookup($A372,Pagos!$B$5:L1241,4,false)),"Sin actividad",If(vlookup($A372,Pagos!$B$5:$L1241,5,false),vlookup($A372,Pagos!$B$5:$L1241,5,false),vlookup($A372,Pagos!$B$5:$L1241,4,false)))</f>
        <v>Sin actividad</v>
      </c>
      <c r="J372" s="198" t="s">
        <v>529</v>
      </c>
      <c r="K372" s="199">
        <v>39670.0</v>
      </c>
      <c r="L372" s="200">
        <v>41497.0</v>
      </c>
      <c r="M372" s="201" t="s">
        <v>656</v>
      </c>
      <c r="N372" s="202">
        <f>If(L372&gt;K372,   datedif(K372,L372,"Y") , If(K372&lt;Vitalicios!$C$4, datedif(K372,Vitalicios!$C$4,"Y"),0)  )</f>
        <v>5</v>
      </c>
      <c r="O372" s="202"/>
    </row>
    <row r="373">
      <c r="A373" s="192">
        <v>2157.0</v>
      </c>
      <c r="B373" s="193" t="s">
        <v>1636</v>
      </c>
      <c r="C373" s="193" t="s">
        <v>537</v>
      </c>
      <c r="D373" s="193" t="s">
        <v>485</v>
      </c>
      <c r="E373" s="193">
        <v>146.0</v>
      </c>
      <c r="F373" s="195">
        <v>2.215379756E9</v>
      </c>
      <c r="G373" s="196"/>
      <c r="H373" s="193" t="s">
        <v>1637</v>
      </c>
      <c r="I373" s="197"/>
      <c r="J373" s="198" t="s">
        <v>523</v>
      </c>
      <c r="K373" s="199">
        <v>44986.0</v>
      </c>
      <c r="L373" s="200">
        <v>45870.0</v>
      </c>
      <c r="M373" s="201" t="s">
        <v>631</v>
      </c>
      <c r="N373" s="202"/>
      <c r="O373" s="202"/>
    </row>
    <row r="374">
      <c r="A374" s="192">
        <v>2105.0</v>
      </c>
      <c r="B374" s="193" t="s">
        <v>1638</v>
      </c>
      <c r="C374" s="193" t="s">
        <v>537</v>
      </c>
      <c r="D374" s="193" t="s">
        <v>538</v>
      </c>
      <c r="E374" s="193" t="s">
        <v>1639</v>
      </c>
      <c r="F374" s="195">
        <v>1.173666811E9</v>
      </c>
      <c r="G374" s="196"/>
      <c r="H374" s="193" t="s">
        <v>1640</v>
      </c>
      <c r="I374" s="197"/>
      <c r="J374" s="198" t="s">
        <v>523</v>
      </c>
      <c r="K374" s="199">
        <v>44896.0</v>
      </c>
      <c r="L374" s="200"/>
      <c r="M374" s="201"/>
      <c r="N374" s="202"/>
      <c r="O374" s="202"/>
    </row>
    <row r="375">
      <c r="A375" s="192">
        <v>838.0</v>
      </c>
      <c r="B375" s="193" t="s">
        <v>1641</v>
      </c>
      <c r="C375" s="194" t="s">
        <v>564</v>
      </c>
      <c r="D375" s="193" t="s">
        <v>556</v>
      </c>
      <c r="E375" s="193" t="s">
        <v>1642</v>
      </c>
      <c r="F375" s="195">
        <v>0.0</v>
      </c>
      <c r="G375" s="196">
        <v>0.0</v>
      </c>
      <c r="H375" s="193"/>
      <c r="I375" s="197" t="str">
        <f>IF(iserror(vlookup($A375,Pagos!$B$5:L1241,4,false)),"Sin actividad",If(vlookup($A375,Pagos!$B$5:$L1241,5,false),vlookup($A375,Pagos!$B$5:$L1241,5,false),vlookup($A375,Pagos!$B$5:$L1241,4,false)))</f>
        <v>Sin actividad</v>
      </c>
      <c r="J375" s="198" t="s">
        <v>529</v>
      </c>
      <c r="K375" s="199">
        <v>36848.0</v>
      </c>
      <c r="L375" s="200"/>
      <c r="M375" s="201" t="s">
        <v>1643</v>
      </c>
      <c r="N375" s="202">
        <f>If(L375&gt;K375,   datedif(K375,L375,"Y") , If(K375&lt;Vitalicios!$C$4, datedif(K375,Vitalicios!$C$4,"Y"),0)  )</f>
        <v>24</v>
      </c>
      <c r="O375" s="202"/>
    </row>
    <row r="376">
      <c r="A376" s="192">
        <v>1778.0</v>
      </c>
      <c r="B376" s="193" t="s">
        <v>1644</v>
      </c>
      <c r="C376" s="194" t="s">
        <v>519</v>
      </c>
      <c r="D376" s="193" t="s">
        <v>538</v>
      </c>
      <c r="E376" s="193" t="s">
        <v>1645</v>
      </c>
      <c r="F376" s="195">
        <v>1.54383681E8</v>
      </c>
      <c r="G376" s="196"/>
      <c r="H376" s="193" t="s">
        <v>1646</v>
      </c>
      <c r="I376" s="197" t="str">
        <f>IF(iserror(vlookup($A376,Pagos!$B$5:L1241,4,false)),"Sin actividad",If(vlookup($A376,Pagos!$B$5:$L1241,5,false),vlookup($A376,Pagos!$B$5:$L1241,5,false),vlookup($A376,Pagos!$B$5:$L1241,4,false)))</f>
        <v>Sin actividad</v>
      </c>
      <c r="J376" s="198" t="s">
        <v>529</v>
      </c>
      <c r="K376" s="199">
        <v>43862.0</v>
      </c>
      <c r="L376" s="200">
        <v>44348.0</v>
      </c>
      <c r="M376" s="201" t="s">
        <v>1201</v>
      </c>
      <c r="N376" s="202">
        <f>If(L376&gt;K376,   datedif(K376,L376,"Y") , If(K376&lt;Vitalicios!$C$4, datedif(K376,Vitalicios!$C$4,"Y"),0)  )</f>
        <v>1</v>
      </c>
      <c r="O376" s="202"/>
    </row>
    <row r="377">
      <c r="A377" s="192">
        <v>780.0</v>
      </c>
      <c r="B377" s="193" t="s">
        <v>1647</v>
      </c>
      <c r="C377" s="194" t="s">
        <v>577</v>
      </c>
      <c r="D377" s="193" t="s">
        <v>709</v>
      </c>
      <c r="E377" s="193" t="s">
        <v>1648</v>
      </c>
      <c r="F377" s="195">
        <v>1.5571577E9</v>
      </c>
      <c r="G377" s="196">
        <v>0.0</v>
      </c>
      <c r="H377" s="193" t="s">
        <v>1649</v>
      </c>
      <c r="I377" s="197" t="str">
        <f>IF(iserror(vlookup($A377,Pagos!$B$5:L1241,4,false)),"Sin actividad",If(vlookup($A377,Pagos!$B$5:$L1241,5,false),vlookup($A377,Pagos!$B$5:$L1241,5,false),vlookup($A377,Pagos!$B$5:$L1241,4,false)))</f>
        <v>Sin actividad</v>
      </c>
      <c r="J377" s="198" t="s">
        <v>529</v>
      </c>
      <c r="K377" s="199">
        <v>36413.0</v>
      </c>
      <c r="L377" s="200"/>
      <c r="M377" s="201"/>
      <c r="N377" s="202">
        <f>If(L377&gt;K377,   datedif(K377,L377,"Y") , If(K377&lt;Vitalicios!$C$4, datedif(K377,Vitalicios!$C$4,"Y"),0)  )</f>
        <v>26</v>
      </c>
      <c r="O377" s="202"/>
    </row>
    <row r="378">
      <c r="A378" s="192">
        <v>1835.0</v>
      </c>
      <c r="B378" s="193" t="s">
        <v>1650</v>
      </c>
      <c r="C378" s="193" t="s">
        <v>537</v>
      </c>
      <c r="D378" s="193" t="s">
        <v>538</v>
      </c>
      <c r="E378" s="193" t="s">
        <v>1651</v>
      </c>
      <c r="F378" s="195">
        <v>2.215774963E9</v>
      </c>
      <c r="G378" s="196"/>
      <c r="H378" s="193" t="s">
        <v>1652</v>
      </c>
      <c r="I378" s="197" t="str">
        <f>IF(iserror(vlookup($A378,Pagos!$B$5:L1241,4,false)),"Sin actividad",If(vlookup($A378,Pagos!$B$5:$L1241,5,false),vlookup($A378,Pagos!$B$5:$L1241,5,false),vlookup($A378,Pagos!$B$5:$L1241,4,false)))</f>
        <v>Sin actividad</v>
      </c>
      <c r="J378" s="198" t="s">
        <v>529</v>
      </c>
      <c r="K378" s="199">
        <v>44105.0</v>
      </c>
      <c r="L378" s="200">
        <v>45383.0</v>
      </c>
      <c r="M378" s="201" t="s">
        <v>1653</v>
      </c>
      <c r="N378" s="202"/>
      <c r="O378" s="202"/>
    </row>
    <row r="379">
      <c r="A379" s="192">
        <v>2305.0</v>
      </c>
      <c r="B379" s="193" t="s">
        <v>1654</v>
      </c>
      <c r="C379" s="193" t="s">
        <v>537</v>
      </c>
      <c r="D379" s="193" t="s">
        <v>538</v>
      </c>
      <c r="E379" s="193" t="s">
        <v>1655</v>
      </c>
      <c r="F379" s="195">
        <v>2.216496235E9</v>
      </c>
      <c r="G379" s="196"/>
      <c r="H379" s="193" t="s">
        <v>1656</v>
      </c>
      <c r="I379" s="197"/>
      <c r="J379" s="198" t="s">
        <v>529</v>
      </c>
      <c r="K379" s="199">
        <v>45627.0</v>
      </c>
      <c r="L379" s="200"/>
      <c r="M379" s="201"/>
      <c r="N379" s="202"/>
      <c r="O379" s="202"/>
    </row>
    <row r="380">
      <c r="A380" s="192">
        <v>1235.0</v>
      </c>
      <c r="B380" s="193" t="s">
        <v>1657</v>
      </c>
      <c r="C380" s="194" t="s">
        <v>526</v>
      </c>
      <c r="D380" s="193" t="s">
        <v>520</v>
      </c>
      <c r="E380" s="193" t="s">
        <v>1658</v>
      </c>
      <c r="F380" s="195">
        <v>4827509.0</v>
      </c>
      <c r="G380" s="196">
        <v>0.0</v>
      </c>
      <c r="H380" s="193"/>
      <c r="I380" s="197" t="str">
        <f>IF(iserror(vlookup($A380,Pagos!$B$5:L1241,4,false)),"Sin actividad",If(vlookup($A380,Pagos!$B$5:$L1241,5,false),vlookup($A380,Pagos!$B$5:$L1241,5,false),vlookup($A380,Pagos!$B$5:$L1241,4,false)))</f>
        <v>Sin actividad</v>
      </c>
      <c r="J380" s="198" t="s">
        <v>529</v>
      </c>
      <c r="K380" s="199">
        <v>40048.0</v>
      </c>
      <c r="L380" s="200">
        <v>41699.0</v>
      </c>
      <c r="M380" s="201" t="s">
        <v>1201</v>
      </c>
      <c r="N380" s="202">
        <f>If(L380&gt;K380,   datedif(K380,L380,"Y") , If(K380&lt;Vitalicios!$C$4, datedif(K380,Vitalicios!$C$4,"Y"),0)  )</f>
        <v>4</v>
      </c>
      <c r="O380" s="202"/>
    </row>
    <row r="381">
      <c r="A381" s="192">
        <v>2136.0</v>
      </c>
      <c r="B381" s="193" t="s">
        <v>1659</v>
      </c>
      <c r="C381" s="193" t="s">
        <v>526</v>
      </c>
      <c r="D381" s="193" t="s">
        <v>549</v>
      </c>
      <c r="E381" s="193" t="s">
        <v>1660</v>
      </c>
      <c r="F381" s="195">
        <v>2.21545707E9</v>
      </c>
      <c r="G381" s="196"/>
      <c r="H381" s="193" t="s">
        <v>1661</v>
      </c>
      <c r="I381" s="197"/>
      <c r="J381" s="198" t="s">
        <v>523</v>
      </c>
      <c r="K381" s="199">
        <v>44958.0</v>
      </c>
      <c r="L381" s="200"/>
      <c r="M381" s="201"/>
      <c r="N381" s="202"/>
      <c r="O381" s="202"/>
    </row>
    <row r="382">
      <c r="A382" s="192">
        <v>2256.0</v>
      </c>
      <c r="B382" s="193" t="s">
        <v>1662</v>
      </c>
      <c r="C382" s="193" t="s">
        <v>526</v>
      </c>
      <c r="D382" s="193" t="s">
        <v>549</v>
      </c>
      <c r="E382" s="193" t="s">
        <v>1663</v>
      </c>
      <c r="F382" s="195">
        <v>2.21545707E9</v>
      </c>
      <c r="G382" s="196"/>
      <c r="H382" s="193" t="s">
        <v>1661</v>
      </c>
      <c r="I382" s="197"/>
      <c r="J382" s="198" t="s">
        <v>523</v>
      </c>
      <c r="K382" s="199">
        <v>44958.0</v>
      </c>
      <c r="L382" s="200"/>
      <c r="M382" s="201"/>
      <c r="N382" s="202"/>
      <c r="O382" s="202"/>
    </row>
    <row r="383">
      <c r="A383" s="192">
        <v>2306.0</v>
      </c>
      <c r="B383" s="193" t="s">
        <v>1664</v>
      </c>
      <c r="C383" s="193" t="s">
        <v>526</v>
      </c>
      <c r="D383" s="193" t="s">
        <v>538</v>
      </c>
      <c r="E383" s="193" t="s">
        <v>1665</v>
      </c>
      <c r="F383" s="195">
        <v>2.213604309E9</v>
      </c>
      <c r="G383" s="196"/>
      <c r="H383" s="193" t="s">
        <v>1666</v>
      </c>
      <c r="I383" s="197"/>
      <c r="J383" s="198" t="s">
        <v>523</v>
      </c>
      <c r="K383" s="199">
        <v>45627.0</v>
      </c>
      <c r="L383" s="200"/>
      <c r="M383" s="201"/>
      <c r="N383" s="202"/>
      <c r="O383" s="202"/>
    </row>
    <row r="384">
      <c r="A384" s="192">
        <v>2377.0</v>
      </c>
      <c r="B384" s="193" t="s">
        <v>1667</v>
      </c>
      <c r="C384" s="193" t="s">
        <v>537</v>
      </c>
      <c r="D384" s="193" t="s">
        <v>538</v>
      </c>
      <c r="E384" s="193" t="s">
        <v>1668</v>
      </c>
      <c r="F384" s="195">
        <v>2.214196794E9</v>
      </c>
      <c r="G384" s="196"/>
      <c r="H384" s="193" t="s">
        <v>1669</v>
      </c>
      <c r="I384" s="197"/>
      <c r="J384" s="198" t="s">
        <v>523</v>
      </c>
      <c r="K384" s="199">
        <v>45778.0</v>
      </c>
      <c r="L384" s="200"/>
      <c r="M384" s="201"/>
      <c r="N384" s="202"/>
      <c r="O384" s="202"/>
    </row>
    <row r="385">
      <c r="A385" s="192">
        <v>2226.0</v>
      </c>
      <c r="B385" s="193" t="s">
        <v>1670</v>
      </c>
      <c r="C385" s="193" t="s">
        <v>526</v>
      </c>
      <c r="D385" s="193" t="s">
        <v>538</v>
      </c>
      <c r="E385" s="193" t="s">
        <v>1671</v>
      </c>
      <c r="F385" s="195">
        <v>2.21359243E9</v>
      </c>
      <c r="G385" s="196"/>
      <c r="H385" s="193" t="s">
        <v>1672</v>
      </c>
      <c r="I385" s="197"/>
      <c r="J385" s="198" t="s">
        <v>529</v>
      </c>
      <c r="K385" s="199">
        <v>45261.0</v>
      </c>
      <c r="L385" s="200">
        <v>45627.0</v>
      </c>
      <c r="M385" s="201" t="s">
        <v>631</v>
      </c>
      <c r="N385" s="202"/>
      <c r="O385" s="202"/>
    </row>
    <row r="386">
      <c r="A386" s="192">
        <v>1681.0</v>
      </c>
      <c r="B386" s="193" t="s">
        <v>1673</v>
      </c>
      <c r="C386" s="194" t="s">
        <v>519</v>
      </c>
      <c r="D386" s="193" t="s">
        <v>520</v>
      </c>
      <c r="E386" s="193" t="s">
        <v>1674</v>
      </c>
      <c r="F386" s="195"/>
      <c r="G386" s="196"/>
      <c r="H386" s="193" t="s">
        <v>1675</v>
      </c>
      <c r="I386" s="197" t="str">
        <f>IF(iserror(vlookup($A386,Pagos!$B$5:L1241,4,false)),"Sin actividad",If(vlookup($A386,Pagos!$B$5:$L1241,5,false),vlookup($A386,Pagos!$B$5:$L1241,5,false),vlookup($A386,Pagos!$B$5:$L1241,4,false)))</f>
        <v>Sin actividad</v>
      </c>
      <c r="J386" s="198" t="s">
        <v>529</v>
      </c>
      <c r="K386" s="199">
        <v>43101.0</v>
      </c>
      <c r="L386" s="200">
        <v>43525.0</v>
      </c>
      <c r="M386" s="201"/>
      <c r="N386" s="202">
        <f>If(L386&gt;K386,   datedif(K386,L386,"Y") , If(K386&lt;Vitalicios!$C$4, datedif(K386,Vitalicios!$C$4,"Y"),0)  )</f>
        <v>1</v>
      </c>
      <c r="O386" s="202"/>
    </row>
    <row r="387">
      <c r="A387" s="192">
        <v>2230.0</v>
      </c>
      <c r="B387" s="193" t="s">
        <v>1676</v>
      </c>
      <c r="C387" s="193" t="s">
        <v>537</v>
      </c>
      <c r="D387" s="193" t="s">
        <v>549</v>
      </c>
      <c r="E387" s="193" t="s">
        <v>1677</v>
      </c>
      <c r="F387" s="195">
        <v>1.161352398E9</v>
      </c>
      <c r="G387" s="196"/>
      <c r="H387" s="193" t="s">
        <v>1678</v>
      </c>
      <c r="I387" s="197"/>
      <c r="J387" s="198" t="s">
        <v>523</v>
      </c>
      <c r="K387" s="199">
        <v>45261.0</v>
      </c>
      <c r="L387" s="200"/>
      <c r="M387" s="201"/>
      <c r="N387" s="202"/>
      <c r="O387" s="202"/>
    </row>
    <row r="388">
      <c r="A388" s="192">
        <v>1436.0</v>
      </c>
      <c r="B388" s="193" t="s">
        <v>1679</v>
      </c>
      <c r="C388" s="194" t="s">
        <v>577</v>
      </c>
      <c r="D388" s="193" t="s">
        <v>556</v>
      </c>
      <c r="E388" s="193" t="s">
        <v>1680</v>
      </c>
      <c r="F388" s="195"/>
      <c r="G388" s="196">
        <v>0.0</v>
      </c>
      <c r="H388" s="193"/>
      <c r="I388" s="197" t="str">
        <f>IF(iserror(vlookup($A388,Pagos!$B$5:L1241,4,false)),"Sin actividad",If(vlookup($A388,Pagos!$B$5:$L1241,5,false),vlookup($A388,Pagos!$B$5:$L1241,5,false),vlookup($A388,Pagos!$B$5:$L1241,4,false)))</f>
        <v>Sin actividad</v>
      </c>
      <c r="J388" s="198" t="s">
        <v>529</v>
      </c>
      <c r="K388" s="199">
        <v>41276.0</v>
      </c>
      <c r="L388" s="200">
        <v>43374.0</v>
      </c>
      <c r="M388" s="201" t="s">
        <v>560</v>
      </c>
      <c r="N388" s="202">
        <f>If(L388&gt;K388,   datedif(K388,L388,"Y") , If(K388&lt;Vitalicios!$C$4, datedif(K388,Vitalicios!$C$4,"Y"),0)  )</f>
        <v>5</v>
      </c>
      <c r="O388" s="202"/>
    </row>
    <row r="389">
      <c r="A389" s="192">
        <v>2113.0</v>
      </c>
      <c r="B389" s="193" t="s">
        <v>1681</v>
      </c>
      <c r="C389" s="193" t="s">
        <v>537</v>
      </c>
      <c r="D389" s="193" t="s">
        <v>532</v>
      </c>
      <c r="E389" s="193" t="s">
        <v>1682</v>
      </c>
      <c r="F389" s="195">
        <v>2.216806401E9</v>
      </c>
      <c r="G389" s="196"/>
      <c r="H389" s="193" t="s">
        <v>1683</v>
      </c>
      <c r="I389" s="197"/>
      <c r="J389" s="198"/>
      <c r="K389" s="199"/>
      <c r="L389" s="200">
        <v>44927.0</v>
      </c>
      <c r="M389" s="201"/>
      <c r="N389" s="202"/>
      <c r="O389" s="202"/>
    </row>
    <row r="390">
      <c r="A390" s="192">
        <v>1783.0</v>
      </c>
      <c r="B390" s="193" t="s">
        <v>1684</v>
      </c>
      <c r="C390" s="194" t="s">
        <v>519</v>
      </c>
      <c r="D390" s="193" t="s">
        <v>538</v>
      </c>
      <c r="E390" s="193" t="s">
        <v>1685</v>
      </c>
      <c r="F390" s="219" t="s">
        <v>1686</v>
      </c>
      <c r="G390" s="196"/>
      <c r="H390" s="193" t="s">
        <v>1687</v>
      </c>
      <c r="I390" s="197" t="str">
        <f>IF(iserror(vlookup($A390,Pagos!$B$5:L1241,4,false)),"Sin actividad",If(vlookup($A390,Pagos!$B$5:$L1241,5,false),vlookup($A390,Pagos!$B$5:$L1241,5,false),vlookup($A390,Pagos!$B$5:$L1241,4,false)))</f>
        <v>Sin actividad</v>
      </c>
      <c r="J390" s="198" t="s">
        <v>529</v>
      </c>
      <c r="K390" s="199">
        <v>43862.0</v>
      </c>
      <c r="L390" s="200">
        <v>44652.0</v>
      </c>
      <c r="M390" s="201" t="s">
        <v>535</v>
      </c>
      <c r="N390" s="202">
        <f>If(L390&gt;K390,   datedif(K390,L390,"Y") , If(K390&lt;Vitalicios!$C$4, datedif(K390,Vitalicios!$C$4,"Y"),0)  )</f>
        <v>2</v>
      </c>
      <c r="O390" s="202"/>
    </row>
    <row r="391">
      <c r="A391" s="192">
        <v>2032.0</v>
      </c>
      <c r="B391" s="193" t="s">
        <v>1688</v>
      </c>
      <c r="C391" s="193" t="s">
        <v>537</v>
      </c>
      <c r="D391" s="193" t="s">
        <v>538</v>
      </c>
      <c r="E391" s="193" t="s">
        <v>1689</v>
      </c>
      <c r="F391" s="195">
        <v>2.21540472E9</v>
      </c>
      <c r="G391" s="196"/>
      <c r="H391" s="193" t="s">
        <v>1690</v>
      </c>
      <c r="I391" s="197"/>
      <c r="J391" s="198" t="s">
        <v>523</v>
      </c>
      <c r="K391" s="199">
        <v>44743.0</v>
      </c>
      <c r="L391" s="200"/>
      <c r="M391" s="201"/>
      <c r="N391" s="202"/>
      <c r="O391" s="202"/>
    </row>
    <row r="392">
      <c r="A392" s="192">
        <v>2238.0</v>
      </c>
      <c r="B392" s="193" t="s">
        <v>1691</v>
      </c>
      <c r="C392" s="193" t="s">
        <v>537</v>
      </c>
      <c r="D392" s="193" t="s">
        <v>549</v>
      </c>
      <c r="E392" s="193" t="s">
        <v>1692</v>
      </c>
      <c r="F392" s="195">
        <v>1.161672318E9</v>
      </c>
      <c r="G392" s="196"/>
      <c r="H392" s="193" t="s">
        <v>1693</v>
      </c>
      <c r="I392" s="197"/>
      <c r="J392" s="198" t="s">
        <v>529</v>
      </c>
      <c r="K392" s="199">
        <v>45292.0</v>
      </c>
      <c r="L392" s="200">
        <v>45474.0</v>
      </c>
      <c r="M392" s="201" t="s">
        <v>535</v>
      </c>
      <c r="N392" s="202"/>
      <c r="O392" s="202"/>
    </row>
    <row r="393">
      <c r="A393" s="192">
        <v>1316.0</v>
      </c>
      <c r="B393" s="193" t="s">
        <v>1694</v>
      </c>
      <c r="C393" s="194" t="s">
        <v>577</v>
      </c>
      <c r="D393" s="193" t="s">
        <v>556</v>
      </c>
      <c r="E393" s="193" t="s">
        <v>1551</v>
      </c>
      <c r="F393" s="195">
        <v>4834979.0</v>
      </c>
      <c r="G393" s="196">
        <v>0.0</v>
      </c>
      <c r="H393" s="193"/>
      <c r="I393" s="197" t="str">
        <f>IF(iserror(vlookup($A393,Pagos!$B$5:L1241,4,false)),"Sin actividad",If(vlookup($A393,Pagos!$B$5:$L1241,5,false),vlookup($A393,Pagos!$B$5:$L1241,5,false),vlookup($A393,Pagos!$B$5:$L1241,4,false)))</f>
        <v>Sin actividad</v>
      </c>
      <c r="J393" s="198" t="s">
        <v>529</v>
      </c>
      <c r="K393" s="199">
        <v>40468.0</v>
      </c>
      <c r="L393" s="200">
        <v>42330.0</v>
      </c>
      <c r="M393" s="201" t="s">
        <v>1201</v>
      </c>
      <c r="N393" s="202">
        <f>If(L393&gt;K393,   datedif(K393,L393,"Y") , If(K393&lt;Vitalicios!$C$4, datedif(K393,Vitalicios!$C$4,"Y"),0)  )</f>
        <v>5</v>
      </c>
      <c r="O393" s="202"/>
    </row>
    <row r="394">
      <c r="A394" s="192">
        <v>1709.0</v>
      </c>
      <c r="B394" s="193" t="s">
        <v>1695</v>
      </c>
      <c r="C394" s="194" t="s">
        <v>519</v>
      </c>
      <c r="D394" s="193" t="s">
        <v>538</v>
      </c>
      <c r="E394" s="193" t="s">
        <v>1696</v>
      </c>
      <c r="F394" s="195">
        <v>1.55688585E8</v>
      </c>
      <c r="G394" s="196"/>
      <c r="H394" s="193"/>
      <c r="I394" s="197">
        <f>IF(iserror(vlookup($A394,Pagos!$B$5:L1241,4,false)),"Sin actividad",If(vlookup($A394,Pagos!$B$5:$L1241,5,false),vlookup($A394,Pagos!$B$5:$L1241,5,false),vlookup($A394,Pagos!$B$5:$L1241,4,false)))</f>
        <v>45931</v>
      </c>
      <c r="J394" s="198" t="s">
        <v>523</v>
      </c>
      <c r="K394" s="199">
        <v>43375.0</v>
      </c>
      <c r="L394" s="200"/>
      <c r="M394" s="201"/>
      <c r="N394" s="202">
        <f>If(L394&gt;K394,   datedif(K394,L394,"Y") , If(K394&lt;Vitalicios!$C$4, datedif(K394,Vitalicios!$C$4,"Y"),0)  )</f>
        <v>6</v>
      </c>
      <c r="O394" s="202"/>
    </row>
    <row r="395">
      <c r="A395" s="192">
        <v>1043.0</v>
      </c>
      <c r="B395" s="193" t="s">
        <v>1697</v>
      </c>
      <c r="C395" s="194" t="s">
        <v>577</v>
      </c>
      <c r="D395" s="193" t="s">
        <v>520</v>
      </c>
      <c r="E395" s="193" t="s">
        <v>1698</v>
      </c>
      <c r="F395" s="195">
        <v>4521841.0</v>
      </c>
      <c r="G395" s="196">
        <v>0.0</v>
      </c>
      <c r="H395" s="193"/>
      <c r="I395" s="197" t="str">
        <f>IF(iserror(vlookup($A395,Pagos!$B$5:L1241,4,false)),"Sin actividad",If(vlookup($A395,Pagos!$B$5:$L1241,5,false),vlookup($A395,Pagos!$B$5:$L1241,5,false),vlookup($A395,Pagos!$B$5:$L1241,4,false)))</f>
        <v>Sin actividad</v>
      </c>
      <c r="J395" s="198" t="s">
        <v>529</v>
      </c>
      <c r="K395" s="199">
        <v>41395.0</v>
      </c>
      <c r="L395" s="200">
        <v>43466.0</v>
      </c>
      <c r="M395" s="201" t="s">
        <v>1699</v>
      </c>
      <c r="N395" s="202">
        <f>If(L395&gt;K395,   datedif(K395,L395,"Y") , If(K395&lt;Vitalicios!$C$4, datedif(K395,Vitalicios!$C$4,"Y"),0)  )</f>
        <v>5</v>
      </c>
      <c r="O395" s="202"/>
    </row>
    <row r="396">
      <c r="A396" s="192">
        <v>2294.0</v>
      </c>
      <c r="B396" s="193" t="s">
        <v>1700</v>
      </c>
      <c r="C396" s="193" t="s">
        <v>537</v>
      </c>
      <c r="D396" s="193" t="s">
        <v>549</v>
      </c>
      <c r="E396" s="193" t="s">
        <v>1701</v>
      </c>
      <c r="F396" s="195">
        <v>2.215381272E9</v>
      </c>
      <c r="G396" s="196"/>
      <c r="H396" s="193"/>
      <c r="I396" s="197"/>
      <c r="J396" s="198" t="s">
        <v>523</v>
      </c>
      <c r="K396" s="199">
        <v>45597.0</v>
      </c>
      <c r="L396" s="200"/>
      <c r="M396" s="201"/>
      <c r="N396" s="202"/>
      <c r="O396" s="202"/>
    </row>
    <row r="397">
      <c r="A397" s="192">
        <v>1903.0</v>
      </c>
      <c r="B397" s="193" t="s">
        <v>1702</v>
      </c>
      <c r="C397" s="193" t="s">
        <v>537</v>
      </c>
      <c r="D397" s="193" t="s">
        <v>538</v>
      </c>
      <c r="E397" s="193" t="s">
        <v>1703</v>
      </c>
      <c r="F397" s="195">
        <v>2.2156573E9</v>
      </c>
      <c r="G397" s="196"/>
      <c r="H397" s="193" t="s">
        <v>1704</v>
      </c>
      <c r="I397" s="197">
        <f>IF(iserror(vlookup($A397,Pagos!$B$5:L1241,4,false)),"Sin actividad",If(vlookup($A397,Pagos!$B$5:$L1241,5,false),vlookup($A397,Pagos!$B$5:$L1241,5,false),vlookup($A397,Pagos!$B$5:$L1241,4,false)))</f>
        <v>45870</v>
      </c>
      <c r="J397" s="198" t="s">
        <v>523</v>
      </c>
      <c r="K397" s="199">
        <v>44317.0</v>
      </c>
      <c r="L397" s="200"/>
      <c r="M397" s="201"/>
      <c r="N397" s="202"/>
      <c r="O397" s="202"/>
    </row>
    <row r="398">
      <c r="A398" s="192">
        <v>2289.0</v>
      </c>
      <c r="B398" s="193" t="s">
        <v>1705</v>
      </c>
      <c r="C398" s="193" t="s">
        <v>537</v>
      </c>
      <c r="D398" s="193" t="s">
        <v>549</v>
      </c>
      <c r="E398" s="193" t="s">
        <v>1706</v>
      </c>
      <c r="F398" s="195">
        <v>2.216219377E9</v>
      </c>
      <c r="G398" s="196"/>
      <c r="H398" s="193" t="s">
        <v>1707</v>
      </c>
      <c r="I398" s="197"/>
      <c r="J398" s="198" t="s">
        <v>523</v>
      </c>
      <c r="K398" s="199">
        <v>45597.0</v>
      </c>
      <c r="L398" s="200"/>
      <c r="M398" s="201"/>
      <c r="N398" s="202"/>
      <c r="O398" s="202"/>
    </row>
    <row r="399">
      <c r="A399" s="192">
        <v>1382.0</v>
      </c>
      <c r="B399" s="193" t="s">
        <v>1708</v>
      </c>
      <c r="C399" s="194" t="s">
        <v>564</v>
      </c>
      <c r="D399" s="193" t="s">
        <v>556</v>
      </c>
      <c r="E399" s="193">
        <v>0.0</v>
      </c>
      <c r="F399" s="195">
        <v>0.0</v>
      </c>
      <c r="G399" s="196">
        <v>0.0</v>
      </c>
      <c r="H399" s="193"/>
      <c r="I399" s="197" t="str">
        <f>IF(iserror(vlookup($A399,Pagos!$B$5:L1241,4,false)),"Sin actividad",If(vlookup($A399,Pagos!$B$5:$L1241,5,false),vlookup($A399,Pagos!$B$5:$L1241,5,false),vlookup($A399,Pagos!$B$5:$L1241,4,false)))</f>
        <v>Sin actividad</v>
      </c>
      <c r="J399" s="198" t="s">
        <v>529</v>
      </c>
      <c r="K399" s="199">
        <v>40831.0</v>
      </c>
      <c r="L399" s="200"/>
      <c r="M399" s="201"/>
      <c r="N399" s="202">
        <f>If(L399&gt;K399,   datedif(K399,L399,"Y") , If(K399&lt;Vitalicios!$C$4, datedif(K399,Vitalicios!$C$4,"Y"),0)  )</f>
        <v>13</v>
      </c>
      <c r="O399" s="202"/>
    </row>
    <row r="400">
      <c r="A400" s="192">
        <v>585.0</v>
      </c>
      <c r="B400" s="193" t="s">
        <v>1709</v>
      </c>
      <c r="C400" s="194" t="s">
        <v>526</v>
      </c>
      <c r="D400" s="193" t="s">
        <v>1025</v>
      </c>
      <c r="E400" s="193" t="s">
        <v>1710</v>
      </c>
      <c r="F400" s="195">
        <v>0.0</v>
      </c>
      <c r="G400" s="196">
        <v>0.0</v>
      </c>
      <c r="H400" s="193" t="s">
        <v>1711</v>
      </c>
      <c r="I400" s="197">
        <f>IF(iserror(vlookup($A400,Pagos!$B$5:L1241,4,false)),"Sin actividad",If(vlookup($A400,Pagos!$B$5:$L1241,5,false),vlookup($A400,Pagos!$B$5:$L1241,5,false),vlookup($A400,Pagos!$B$5:$L1241,4,false)))</f>
        <v>45901</v>
      </c>
      <c r="J400" s="198" t="s">
        <v>523</v>
      </c>
      <c r="K400" s="199">
        <v>33971.0</v>
      </c>
      <c r="L400" s="200"/>
      <c r="M400" s="201"/>
      <c r="N400" s="202">
        <f>If(L400&gt;K400,   datedif(K400,L400,"Y") , If(K400&lt;Vitalicios!$C$4, datedif(K400,Vitalicios!$C$4,"Y"),0)  )</f>
        <v>32</v>
      </c>
      <c r="O400" s="202"/>
    </row>
    <row r="401">
      <c r="A401" s="192">
        <v>1794.0</v>
      </c>
      <c r="B401" s="193" t="s">
        <v>1712</v>
      </c>
      <c r="C401" s="193" t="s">
        <v>537</v>
      </c>
      <c r="D401" s="193" t="s">
        <v>1713</v>
      </c>
      <c r="E401" s="193" t="s">
        <v>1714</v>
      </c>
      <c r="F401" s="195">
        <v>2.215312263E9</v>
      </c>
      <c r="G401" s="196"/>
      <c r="H401" s="193" t="s">
        <v>1715</v>
      </c>
      <c r="I401" s="197" t="str">
        <f>IF(iserror(vlookup($A401,Pagos!$B$5:L1241,4,false)),"Sin actividad",If(vlookup($A401,Pagos!$B$5:$L1241,5,false),vlookup($A401,Pagos!$B$5:$L1241,5,false),vlookup($A401,Pagos!$B$5:$L1241,4,false)))</f>
        <v>Sin actividad</v>
      </c>
      <c r="J401" s="198" t="s">
        <v>529</v>
      </c>
      <c r="K401" s="199">
        <v>44044.0</v>
      </c>
      <c r="L401" s="200">
        <v>44197.0</v>
      </c>
      <c r="M401" s="201" t="s">
        <v>535</v>
      </c>
      <c r="N401" s="202"/>
      <c r="O401" s="202"/>
    </row>
    <row r="402">
      <c r="A402" s="192">
        <v>1662.0</v>
      </c>
      <c r="B402" s="193" t="s">
        <v>1716</v>
      </c>
      <c r="C402" s="194" t="s">
        <v>519</v>
      </c>
      <c r="D402" s="193" t="s">
        <v>538</v>
      </c>
      <c r="E402" s="193" t="s">
        <v>1717</v>
      </c>
      <c r="F402" s="195">
        <v>1.55050943E8</v>
      </c>
      <c r="G402" s="196"/>
      <c r="H402" s="193" t="s">
        <v>1718</v>
      </c>
      <c r="I402" s="197">
        <f>IF(iserror(vlookup($A402,Pagos!$B$5:L1241,4,false)),"Sin actividad",If(vlookup($A402,Pagos!$B$5:$L1241,5,false),vlookup($A402,Pagos!$B$5:$L1241,5,false),vlookup($A402,Pagos!$B$5:$L1241,4,false)))</f>
        <v>45870</v>
      </c>
      <c r="J402" s="198" t="s">
        <v>523</v>
      </c>
      <c r="K402" s="199">
        <v>43015.0</v>
      </c>
      <c r="L402" s="200"/>
      <c r="M402" s="201"/>
      <c r="N402" s="202">
        <f>If(L402&gt;K402,   datedif(K402,L402,"Y") , If(K402&lt;Vitalicios!$C$4, datedif(K402,Vitalicios!$C$4,"Y"),0)  )</f>
        <v>7</v>
      </c>
      <c r="O402" s="202"/>
    </row>
    <row r="403">
      <c r="A403" s="192">
        <v>1586.0</v>
      </c>
      <c r="B403" s="193" t="s">
        <v>1719</v>
      </c>
      <c r="C403" s="194" t="s">
        <v>526</v>
      </c>
      <c r="D403" s="193" t="s">
        <v>520</v>
      </c>
      <c r="E403" s="193" t="s">
        <v>1720</v>
      </c>
      <c r="F403" s="195">
        <v>2.213176347E9</v>
      </c>
      <c r="G403" s="196">
        <v>4723532.0</v>
      </c>
      <c r="H403" s="193" t="s">
        <v>1721</v>
      </c>
      <c r="I403" s="197" t="str">
        <f>IF(iserror(vlookup($A403,Pagos!$B$5:L1241,4,false)),"Sin actividad",If(vlookup($A403,Pagos!$B$5:$L1241,5,false),vlookup($A403,Pagos!$B$5:$L1241,5,false),vlookup($A403,Pagos!$B$5:$L1241,4,false)))</f>
        <v>Sin actividad</v>
      </c>
      <c r="J403" s="198" t="s">
        <v>529</v>
      </c>
      <c r="K403" s="199">
        <v>42378.0</v>
      </c>
      <c r="L403" s="200">
        <v>43344.0</v>
      </c>
      <c r="M403" s="201"/>
      <c r="N403" s="202">
        <f>If(L403&gt;K403,   datedif(K403,L403,"Y") , If(K403&lt;Vitalicios!$C$4, datedif(K403,Vitalicios!$C$4,"Y"),0)  )</f>
        <v>2</v>
      </c>
      <c r="O403" s="202"/>
    </row>
    <row r="404">
      <c r="A404" s="192">
        <v>1391.0</v>
      </c>
      <c r="B404" s="193" t="s">
        <v>1722</v>
      </c>
      <c r="C404" s="194" t="s">
        <v>526</v>
      </c>
      <c r="D404" s="193" t="s">
        <v>556</v>
      </c>
      <c r="E404" s="193" t="s">
        <v>1723</v>
      </c>
      <c r="F404" s="195">
        <v>0.0</v>
      </c>
      <c r="G404" s="196">
        <v>0.0</v>
      </c>
      <c r="H404" s="193"/>
      <c r="I404" s="197" t="str">
        <f>IF(iserror(vlookup($A404,Pagos!$B$5:L1241,4,false)),"Sin actividad",If(vlookup($A404,Pagos!$B$5:$L1241,5,false),vlookup($A404,Pagos!$B$5:$L1241,5,false),vlookup($A404,Pagos!$B$5:$L1241,4,false)))</f>
        <v>Sin actividad</v>
      </c>
      <c r="J404" s="198" t="s">
        <v>529</v>
      </c>
      <c r="K404" s="199"/>
      <c r="L404" s="200"/>
      <c r="M404" s="201"/>
      <c r="N404" s="202">
        <f>If(L404&gt;K404,   datedif(K404,L404,"Y") , If(K404&lt;Vitalicios!$C$4, datedif(K404,Vitalicios!$C$4,"Y"),0)  )</f>
        <v>125</v>
      </c>
      <c r="O404" s="202"/>
    </row>
    <row r="405">
      <c r="A405" s="192">
        <v>1080.0</v>
      </c>
      <c r="B405" s="193" t="s">
        <v>1724</v>
      </c>
      <c r="C405" s="194" t="s">
        <v>526</v>
      </c>
      <c r="D405" s="193" t="s">
        <v>520</v>
      </c>
      <c r="E405" s="193" t="s">
        <v>1725</v>
      </c>
      <c r="F405" s="195">
        <v>0.0</v>
      </c>
      <c r="G405" s="196">
        <v>0.0</v>
      </c>
      <c r="H405" s="193"/>
      <c r="I405" s="197" t="str">
        <f>IF(iserror(vlookup($A405,Pagos!$B$5:L1241,4,false)),"Sin actividad",If(vlookup($A405,Pagos!$B$5:$L1241,5,false),vlookup($A405,Pagos!$B$5:$L1241,5,false),vlookup($A405,Pagos!$B$5:$L1241,4,false)))</f>
        <v>Sin actividad</v>
      </c>
      <c r="J405" s="198" t="s">
        <v>529</v>
      </c>
      <c r="K405" s="199">
        <v>38635.0</v>
      </c>
      <c r="L405" s="200">
        <v>43374.0</v>
      </c>
      <c r="M405" s="201" t="s">
        <v>560</v>
      </c>
      <c r="N405" s="202">
        <f>If(L405&gt;K405,   datedif(K405,L405,"Y") , If(K405&lt;Vitalicios!$C$4, datedif(K405,Vitalicios!$C$4,"Y"),0)  )</f>
        <v>12</v>
      </c>
      <c r="O405" s="202"/>
    </row>
    <row r="406">
      <c r="A406" s="192">
        <v>908.0</v>
      </c>
      <c r="B406" s="193" t="s">
        <v>1726</v>
      </c>
      <c r="C406" s="194" t="s">
        <v>577</v>
      </c>
      <c r="D406" s="193" t="s">
        <v>556</v>
      </c>
      <c r="E406" s="193" t="s">
        <v>1727</v>
      </c>
      <c r="F406" s="195">
        <v>0.0</v>
      </c>
      <c r="G406" s="196">
        <v>0.0</v>
      </c>
      <c r="H406" s="193"/>
      <c r="I406" s="197" t="str">
        <f>IF(iserror(vlookup($A406,Pagos!$B$5:L1241,4,false)),"Sin actividad",If(vlookup($A406,Pagos!$B$5:$L1241,5,false),vlookup($A406,Pagos!$B$5:$L1241,5,false),vlookup($A406,Pagos!$B$5:$L1241,4,false)))</f>
        <v>Sin actividad</v>
      </c>
      <c r="J406" s="198" t="s">
        <v>529</v>
      </c>
      <c r="K406" s="199">
        <v>37541.0</v>
      </c>
      <c r="L406" s="200">
        <v>42064.0</v>
      </c>
      <c r="M406" s="201" t="s">
        <v>1201</v>
      </c>
      <c r="N406" s="202">
        <f>If(L406&gt;K406,   datedif(K406,L406,"Y") , If(K406&lt;Vitalicios!$C$4, datedif(K406,Vitalicios!$C$4,"Y"),0)  )</f>
        <v>12</v>
      </c>
      <c r="O406" s="202"/>
    </row>
    <row r="407">
      <c r="A407" s="192">
        <v>1931.0</v>
      </c>
      <c r="B407" s="193" t="s">
        <v>1728</v>
      </c>
      <c r="C407" s="193" t="s">
        <v>526</v>
      </c>
      <c r="D407" s="193" t="s">
        <v>1729</v>
      </c>
      <c r="E407" s="193" t="s">
        <v>1730</v>
      </c>
      <c r="F407" s="195">
        <v>2.216428475E9</v>
      </c>
      <c r="G407" s="196"/>
      <c r="H407" s="193" t="s">
        <v>1731</v>
      </c>
      <c r="I407" s="197" t="str">
        <f>IF(iserror(vlookup($A407,Pagos!$B$5:L1241,4,false)),"Sin actividad",If(vlookup($A407,Pagos!$B$5:$L1241,5,false),vlookup($A407,Pagos!$B$5:$L1241,5,false),vlookup($A407,Pagos!$B$5:$L1241,4,false)))</f>
        <v>Sin actividad</v>
      </c>
      <c r="J407" s="198" t="s">
        <v>529</v>
      </c>
      <c r="K407" s="199">
        <v>44440.0</v>
      </c>
      <c r="L407" s="200">
        <v>44501.0</v>
      </c>
      <c r="M407" s="201" t="s">
        <v>1732</v>
      </c>
      <c r="N407" s="202"/>
      <c r="O407" s="202"/>
    </row>
    <row r="408">
      <c r="A408" s="192">
        <v>1408.0</v>
      </c>
      <c r="B408" s="193" t="s">
        <v>1733</v>
      </c>
      <c r="C408" s="194" t="s">
        <v>526</v>
      </c>
      <c r="D408" s="193" t="s">
        <v>770</v>
      </c>
      <c r="E408" s="193" t="s">
        <v>1734</v>
      </c>
      <c r="F408" s="195">
        <v>1.142104608E9</v>
      </c>
      <c r="G408" s="196">
        <v>0.0</v>
      </c>
      <c r="H408" s="193"/>
      <c r="I408" s="197" t="str">
        <f>IF(iserror(vlookup($A408,Pagos!$B$5:L1241,4,false)),"Sin actividad",If(vlookup($A408,Pagos!$B$5:$L1241,5,false),vlookup($A408,Pagos!$B$5:$L1241,5,false),vlookup($A408,Pagos!$B$5:$L1241,4,false)))</f>
        <v>Sin actividad</v>
      </c>
      <c r="J408" s="198" t="s">
        <v>529</v>
      </c>
      <c r="K408" s="199">
        <v>40933.0</v>
      </c>
      <c r="L408" s="200">
        <v>43101.0</v>
      </c>
      <c r="M408" s="201" t="s">
        <v>589</v>
      </c>
      <c r="N408" s="202">
        <f>If(L408&gt;K408,   datedif(K408,L408,"Y") , If(K408&lt;Vitalicios!$C$4, datedif(K408,Vitalicios!$C$4,"Y"),0)  )</f>
        <v>5</v>
      </c>
      <c r="O408" s="202"/>
    </row>
    <row r="409">
      <c r="A409" s="192">
        <v>1786.0</v>
      </c>
      <c r="B409" s="193" t="s">
        <v>1735</v>
      </c>
      <c r="C409" s="194" t="s">
        <v>951</v>
      </c>
      <c r="D409" s="193" t="s">
        <v>520</v>
      </c>
      <c r="E409" s="193" t="s">
        <v>1736</v>
      </c>
      <c r="F409" s="195">
        <v>2.966621598E9</v>
      </c>
      <c r="G409" s="196"/>
      <c r="H409" s="193" t="s">
        <v>1737</v>
      </c>
      <c r="I409" s="197" t="str">
        <f>IF(iserror(vlookup($A409,Pagos!$B$5:L1241,4,false)),"Sin actividad",If(vlookup($A409,Pagos!$B$5:$L1241,5,false),vlookup($A409,Pagos!$B$5:$L1241,5,false),vlookup($A409,Pagos!$B$5:$L1241,4,false)))</f>
        <v>Sin actividad</v>
      </c>
      <c r="J409" s="198" t="s">
        <v>529</v>
      </c>
      <c r="K409" s="199">
        <v>43891.0</v>
      </c>
      <c r="L409" s="200">
        <v>45413.0</v>
      </c>
      <c r="M409" s="201" t="s">
        <v>915</v>
      </c>
      <c r="N409" s="202">
        <f>If(L409&gt;K409,   datedif(K409,L409,"Y") , If(K409&lt;Vitalicios!$C$4, datedif(K409,Vitalicios!$C$4,"Y"),0)  )</f>
        <v>4</v>
      </c>
      <c r="O409" s="202"/>
    </row>
    <row r="410">
      <c r="A410" s="192">
        <v>1832.0</v>
      </c>
      <c r="B410" s="193" t="s">
        <v>1738</v>
      </c>
      <c r="C410" s="193" t="s">
        <v>679</v>
      </c>
      <c r="D410" s="193" t="s">
        <v>596</v>
      </c>
      <c r="E410" s="193" t="s">
        <v>1739</v>
      </c>
      <c r="F410" s="195">
        <v>2.216008847E9</v>
      </c>
      <c r="G410" s="196"/>
      <c r="H410" s="193" t="s">
        <v>1740</v>
      </c>
      <c r="I410" s="197" t="str">
        <f>IF(iserror(vlookup($A410,Pagos!$B$5:L1241,4,false)),"Sin actividad",If(vlookup($A410,Pagos!$B$5:$L1241,5,false),vlookup($A410,Pagos!$B$5:$L1241,5,false),vlookup($A410,Pagos!$B$5:$L1241,4,false)))</f>
        <v>Sin actividad</v>
      </c>
      <c r="J410" s="198" t="s">
        <v>529</v>
      </c>
      <c r="K410" s="199">
        <v>44111.0</v>
      </c>
      <c r="L410" s="200">
        <v>44531.0</v>
      </c>
      <c r="M410" s="201" t="s">
        <v>614</v>
      </c>
      <c r="N410" s="202"/>
      <c r="O410" s="202"/>
    </row>
    <row r="411">
      <c r="A411" s="192">
        <v>1041.0</v>
      </c>
      <c r="B411" s="193" t="s">
        <v>1741</v>
      </c>
      <c r="C411" s="194" t="s">
        <v>526</v>
      </c>
      <c r="D411" s="193" t="s">
        <v>556</v>
      </c>
      <c r="E411" s="193" t="s">
        <v>1742</v>
      </c>
      <c r="F411" s="195">
        <v>0.0</v>
      </c>
      <c r="G411" s="196">
        <v>0.0</v>
      </c>
      <c r="H411" s="193" t="s">
        <v>1743</v>
      </c>
      <c r="I411" s="197">
        <f>IF(iserror(vlookup($A411,Pagos!$B$5:L1241,4,false)),"Sin actividad",If(vlookup($A411,Pagos!$B$5:$L1241,5,false),vlookup($A411,Pagos!$B$5:$L1241,5,false),vlookup($A411,Pagos!$B$5:$L1241,4,false)))</f>
        <v>45870</v>
      </c>
      <c r="J411" s="198" t="s">
        <v>523</v>
      </c>
      <c r="K411" s="199">
        <v>38284.0</v>
      </c>
      <c r="L411" s="200"/>
      <c r="M411" s="201"/>
      <c r="N411" s="202">
        <f>If(L411&gt;K411,   datedif(K411,L411,"Y") , If(K411&lt;Vitalicios!$C$4, datedif(K411,Vitalicios!$C$4,"Y"),0)  )</f>
        <v>20</v>
      </c>
      <c r="O411" s="202"/>
    </row>
    <row r="412">
      <c r="A412" s="192">
        <v>1463.0</v>
      </c>
      <c r="B412" s="193" t="s">
        <v>1744</v>
      </c>
      <c r="C412" s="194" t="s">
        <v>526</v>
      </c>
      <c r="D412" s="193" t="s">
        <v>527</v>
      </c>
      <c r="E412" s="193" t="s">
        <v>1745</v>
      </c>
      <c r="F412" s="195">
        <v>1.5559998E8</v>
      </c>
      <c r="G412" s="196">
        <v>4897765.0</v>
      </c>
      <c r="H412" s="193" t="s">
        <v>1746</v>
      </c>
      <c r="I412" s="197" t="str">
        <f>IF(iserror(vlookup($A412,Pagos!$B$5:L1241,4,false)),"Sin actividad",If(vlookup($A412,Pagos!$B$5:$L1241,5,false),vlookup($A412,Pagos!$B$5:$L1241,5,false),vlookup($A412,Pagos!$B$5:$L1241,4,false)))</f>
        <v>Sin actividad</v>
      </c>
      <c r="J412" s="198" t="s">
        <v>529</v>
      </c>
      <c r="K412" s="199">
        <v>41448.0</v>
      </c>
      <c r="L412" s="200"/>
      <c r="M412" s="201" t="s">
        <v>1747</v>
      </c>
      <c r="N412" s="202">
        <f>If(L412&gt;K412,   datedif(K412,L412,"Y") , If(K412&lt;Vitalicios!$C$4, datedif(K412,Vitalicios!$C$4,"Y"),0)  )</f>
        <v>12</v>
      </c>
      <c r="O412" s="202"/>
    </row>
    <row r="413">
      <c r="A413" s="192">
        <v>2026.0</v>
      </c>
      <c r="B413" s="193" t="s">
        <v>1748</v>
      </c>
      <c r="C413" s="193" t="s">
        <v>537</v>
      </c>
      <c r="D413" s="193" t="s">
        <v>538</v>
      </c>
      <c r="E413" s="193" t="s">
        <v>1749</v>
      </c>
      <c r="F413" s="195">
        <v>2.2146335922E10</v>
      </c>
      <c r="G413" s="196"/>
      <c r="H413" s="193" t="s">
        <v>1750</v>
      </c>
      <c r="I413" s="197">
        <f>IF(iserror(vlookup($A413,Pagos!$B$5:L1241,4,false)),"Sin actividad",If(vlookup($A413,Pagos!$B$5:$L1241,5,false),vlookup($A413,Pagos!$B$5:$L1241,5,false),vlookup($A413,Pagos!$B$5:$L1241,4,false)))</f>
        <v>45870</v>
      </c>
      <c r="J413" s="198" t="s">
        <v>523</v>
      </c>
      <c r="K413" s="199">
        <v>44682.0</v>
      </c>
      <c r="L413" s="200"/>
      <c r="M413" s="201"/>
      <c r="N413" s="202"/>
      <c r="O413" s="202"/>
    </row>
    <row r="414">
      <c r="A414" s="192">
        <v>2093.0</v>
      </c>
      <c r="B414" s="193" t="s">
        <v>1751</v>
      </c>
      <c r="C414" s="193" t="s">
        <v>537</v>
      </c>
      <c r="D414" s="193" t="s">
        <v>538</v>
      </c>
      <c r="E414" s="193" t="s">
        <v>1752</v>
      </c>
      <c r="F414" s="195">
        <v>2.214956091E9</v>
      </c>
      <c r="G414" s="196"/>
      <c r="H414" s="193" t="s">
        <v>1753</v>
      </c>
      <c r="I414" s="197"/>
      <c r="J414" s="198" t="s">
        <v>523</v>
      </c>
      <c r="K414" s="199">
        <v>44866.0</v>
      </c>
      <c r="L414" s="200"/>
      <c r="M414" s="201"/>
      <c r="N414" s="202"/>
      <c r="O414" s="202"/>
    </row>
    <row r="415">
      <c r="A415" s="192">
        <v>2108.0</v>
      </c>
      <c r="B415" s="193" t="s">
        <v>1754</v>
      </c>
      <c r="C415" s="193" t="s">
        <v>537</v>
      </c>
      <c r="D415" s="193" t="s">
        <v>538</v>
      </c>
      <c r="E415" s="193" t="s">
        <v>1755</v>
      </c>
      <c r="F415" s="195">
        <v>2.215488052E9</v>
      </c>
      <c r="G415" s="196"/>
      <c r="H415" s="193" t="s">
        <v>1756</v>
      </c>
      <c r="I415" s="197"/>
      <c r="J415" s="198" t="s">
        <v>523</v>
      </c>
      <c r="K415" s="199">
        <v>44896.0</v>
      </c>
      <c r="L415" s="200"/>
      <c r="M415" s="201"/>
      <c r="N415" s="202"/>
      <c r="O415" s="202"/>
    </row>
    <row r="416">
      <c r="A416" s="192">
        <v>2139.0</v>
      </c>
      <c r="B416" s="193" t="s">
        <v>1757</v>
      </c>
      <c r="C416" s="193" t="s">
        <v>537</v>
      </c>
      <c r="D416" s="193" t="s">
        <v>538</v>
      </c>
      <c r="E416" s="193" t="s">
        <v>1758</v>
      </c>
      <c r="F416" s="195">
        <v>2.215928257E9</v>
      </c>
      <c r="G416" s="196"/>
      <c r="H416" s="193" t="s">
        <v>1759</v>
      </c>
      <c r="I416" s="197"/>
      <c r="J416" s="198" t="s">
        <v>529</v>
      </c>
      <c r="K416" s="199">
        <v>44986.0</v>
      </c>
      <c r="L416" s="200">
        <v>45200.0</v>
      </c>
      <c r="M416" s="201" t="s">
        <v>614</v>
      </c>
      <c r="N416" s="202"/>
      <c r="O416" s="202"/>
    </row>
    <row r="417">
      <c r="A417" s="192">
        <v>2261.0</v>
      </c>
      <c r="B417" s="193" t="s">
        <v>1760</v>
      </c>
      <c r="C417" s="193" t="s">
        <v>537</v>
      </c>
      <c r="D417" s="193"/>
      <c r="E417" s="193"/>
      <c r="F417" s="195">
        <v>2.215921717E9</v>
      </c>
      <c r="G417" s="196"/>
      <c r="H417" s="193" t="s">
        <v>1761</v>
      </c>
      <c r="I417" s="197"/>
      <c r="J417" s="198" t="s">
        <v>529</v>
      </c>
      <c r="K417" s="199">
        <v>45352.0</v>
      </c>
      <c r="L417" s="200">
        <v>45505.0</v>
      </c>
      <c r="M417" s="201" t="s">
        <v>716</v>
      </c>
      <c r="N417" s="202"/>
      <c r="O417" s="202"/>
    </row>
    <row r="418">
      <c r="A418" s="192">
        <v>1728.0</v>
      </c>
      <c r="B418" s="193" t="s">
        <v>1762</v>
      </c>
      <c r="C418" s="194" t="s">
        <v>519</v>
      </c>
      <c r="D418" s="193" t="s">
        <v>520</v>
      </c>
      <c r="E418" s="193" t="s">
        <v>1763</v>
      </c>
      <c r="F418" s="219" t="s">
        <v>1764</v>
      </c>
      <c r="G418" s="196"/>
      <c r="H418" s="193" t="s">
        <v>1765</v>
      </c>
      <c r="I418" s="197" t="str">
        <f>IF(iserror(vlookup($A418,Pagos!$B$5:L1241,4,false)),"Sin actividad",If(vlookup($A418,Pagos!$B$5:$L1241,5,false),vlookup($A418,Pagos!$B$5:$L1241,5,false),vlookup($A418,Pagos!$B$5:$L1241,4,false)))</f>
        <v>Sin actividad</v>
      </c>
      <c r="J418" s="198" t="s">
        <v>529</v>
      </c>
      <c r="K418" s="199">
        <v>43497.0</v>
      </c>
      <c r="L418" s="200">
        <v>43617.0</v>
      </c>
      <c r="M418" s="201"/>
      <c r="N418" s="202">
        <f>If(L418&gt;K418,   datedif(K418,L418,"Y") , If(K418&lt;Vitalicios!$C$4, datedif(K418,Vitalicios!$C$4,"Y"),0)  )</f>
        <v>0</v>
      </c>
      <c r="O418" s="202"/>
    </row>
    <row r="419">
      <c r="A419" s="192">
        <v>1729.0</v>
      </c>
      <c r="B419" s="193" t="s">
        <v>1766</v>
      </c>
      <c r="C419" s="194" t="s">
        <v>519</v>
      </c>
      <c r="D419" s="193" t="s">
        <v>538</v>
      </c>
      <c r="E419" s="193" t="s">
        <v>1767</v>
      </c>
      <c r="F419" s="195">
        <v>1.54980954E8</v>
      </c>
      <c r="G419" s="196"/>
      <c r="H419" s="193" t="s">
        <v>1768</v>
      </c>
      <c r="I419" s="197">
        <f>IF(iserror(vlookup($A419,Pagos!$B$5:L1241,4,false)),"Sin actividad",If(vlookup($A419,Pagos!$B$5:$L1241,5,false),vlookup($A419,Pagos!$B$5:$L1241,5,false),vlookup($A419,Pagos!$B$5:$L1241,4,false)))</f>
        <v>45870</v>
      </c>
      <c r="J419" s="198" t="s">
        <v>523</v>
      </c>
      <c r="K419" s="199">
        <v>43497.0</v>
      </c>
      <c r="L419" s="200"/>
      <c r="M419" s="201"/>
      <c r="N419" s="202">
        <f>If(L419&gt;K419,   datedif(K419,L419,"Y") , If(K419&lt;Vitalicios!$C$4, datedif(K419,Vitalicios!$C$4,"Y"),0)  )</f>
        <v>6</v>
      </c>
      <c r="O419" s="202"/>
    </row>
    <row r="420">
      <c r="A420" s="192">
        <v>2293.0</v>
      </c>
      <c r="B420" s="193" t="s">
        <v>1769</v>
      </c>
      <c r="C420" s="193" t="s">
        <v>679</v>
      </c>
      <c r="D420" s="193" t="s">
        <v>520</v>
      </c>
      <c r="E420" s="193" t="s">
        <v>1770</v>
      </c>
      <c r="F420" s="195">
        <v>2.215450899E9</v>
      </c>
      <c r="G420" s="196"/>
      <c r="H420" s="193" t="s">
        <v>1771</v>
      </c>
      <c r="I420" s="197"/>
      <c r="J420" s="198" t="s">
        <v>523</v>
      </c>
      <c r="K420" s="199">
        <v>45597.0</v>
      </c>
      <c r="L420" s="200"/>
      <c r="M420" s="201"/>
      <c r="N420" s="202"/>
      <c r="O420" s="202"/>
    </row>
    <row r="421">
      <c r="A421" s="192">
        <v>2259.0</v>
      </c>
      <c r="B421" s="193" t="s">
        <v>1772</v>
      </c>
      <c r="C421" s="193" t="s">
        <v>537</v>
      </c>
      <c r="D421" s="193" t="s">
        <v>628</v>
      </c>
      <c r="E421" s="193" t="s">
        <v>1773</v>
      </c>
      <c r="F421" s="195">
        <v>1.159610292E9</v>
      </c>
      <c r="G421" s="196"/>
      <c r="H421" s="193" t="s">
        <v>1774</v>
      </c>
      <c r="I421" s="202"/>
      <c r="J421" s="198" t="s">
        <v>529</v>
      </c>
      <c r="K421" s="199">
        <v>45352.0</v>
      </c>
      <c r="L421" s="200">
        <v>45505.0</v>
      </c>
      <c r="M421" s="201" t="s">
        <v>716</v>
      </c>
      <c r="N421" s="202"/>
      <c r="O421" s="202"/>
    </row>
    <row r="422">
      <c r="A422" s="192">
        <v>2260.0</v>
      </c>
      <c r="B422" s="193" t="s">
        <v>1775</v>
      </c>
      <c r="C422" s="193" t="s">
        <v>537</v>
      </c>
      <c r="D422" s="193" t="s">
        <v>628</v>
      </c>
      <c r="E422" s="193" t="s">
        <v>1776</v>
      </c>
      <c r="F422" s="195">
        <v>1.165273049E9</v>
      </c>
      <c r="G422" s="196"/>
      <c r="H422" s="193" t="s">
        <v>1777</v>
      </c>
      <c r="I422" s="202"/>
      <c r="J422" s="198" t="s">
        <v>529</v>
      </c>
      <c r="K422" s="199">
        <v>45352.0</v>
      </c>
      <c r="L422" s="203">
        <v>45536.0</v>
      </c>
      <c r="M422" s="201" t="s">
        <v>716</v>
      </c>
      <c r="N422" s="202"/>
      <c r="O422" s="202"/>
    </row>
    <row r="423">
      <c r="A423" s="192">
        <v>1792.0</v>
      </c>
      <c r="B423" s="193" t="s">
        <v>1778</v>
      </c>
      <c r="C423" s="194"/>
      <c r="D423" s="193"/>
      <c r="E423" s="193"/>
      <c r="F423" s="195"/>
      <c r="G423" s="196"/>
      <c r="H423" s="193" t="s">
        <v>1779</v>
      </c>
      <c r="I423" s="197" t="str">
        <f>IF(iserror(vlookup($A423,Pagos!$B$5:L1241,4,false)),"Sin actividad",If(vlookup($A423,Pagos!$B$5:$L1241,5,false),vlookup($A423,Pagos!$B$5:$L1241,5,false),vlookup($A423,Pagos!$B$5:$L1241,4,false)))</f>
        <v>Sin actividad</v>
      </c>
      <c r="J423" s="198" t="s">
        <v>529</v>
      </c>
      <c r="K423" s="220">
        <v>44044.0</v>
      </c>
      <c r="L423" s="200">
        <v>45505.0</v>
      </c>
      <c r="M423" s="201" t="s">
        <v>703</v>
      </c>
      <c r="N423" s="202"/>
      <c r="O423" s="202"/>
    </row>
    <row r="424">
      <c r="A424" s="192">
        <v>1480.0</v>
      </c>
      <c r="B424" s="193" t="s">
        <v>1780</v>
      </c>
      <c r="C424" s="194" t="s">
        <v>526</v>
      </c>
      <c r="D424" s="193" t="s">
        <v>693</v>
      </c>
      <c r="E424" s="193" t="s">
        <v>1781</v>
      </c>
      <c r="F424" s="195">
        <v>4234212.0</v>
      </c>
      <c r="G424" s="196">
        <v>0.0</v>
      </c>
      <c r="H424" s="193"/>
      <c r="I424" s="197" t="str">
        <f>IF(iserror(vlookup($A424,Pagos!$B$5:L1241,4,false)),"Sin actividad",If(vlookup($A424,Pagos!$B$5:$L1241,5,false),vlookup($A424,Pagos!$B$5:$L1241,5,false),vlookup($A424,Pagos!$B$5:$L1241,4,false)))</f>
        <v>Sin actividad</v>
      </c>
      <c r="J424" s="198" t="s">
        <v>529</v>
      </c>
      <c r="K424" s="199">
        <v>41583.0</v>
      </c>
      <c r="L424" s="200">
        <v>43374.0</v>
      </c>
      <c r="M424" s="201" t="s">
        <v>560</v>
      </c>
      <c r="N424" s="202">
        <f>If(L424&gt;K424,   datedif(K424,L424,"Y") , If(K424&lt;Vitalicios!$C$4, datedif(K424,Vitalicios!$C$4,"Y"),0)  )</f>
        <v>4</v>
      </c>
      <c r="O424" s="202"/>
    </row>
    <row r="425">
      <c r="A425" s="192">
        <v>1901.0</v>
      </c>
      <c r="B425" s="193" t="s">
        <v>1782</v>
      </c>
      <c r="C425" s="193" t="s">
        <v>537</v>
      </c>
      <c r="D425" s="193" t="s">
        <v>549</v>
      </c>
      <c r="E425" s="193" t="s">
        <v>1783</v>
      </c>
      <c r="F425" s="195">
        <v>2.216431601E9</v>
      </c>
      <c r="G425" s="196"/>
      <c r="H425" s="193" t="s">
        <v>1784</v>
      </c>
      <c r="I425" s="197" t="str">
        <f>IF(iserror(vlookup($A425,Pagos!$B$5:L1241,4,false)),"Sin actividad",If(vlookup($A425,Pagos!$B$5:$L1241,5,false),vlookup($A425,Pagos!$B$5:$L1241,5,false),vlookup($A425,Pagos!$B$5:$L1241,4,false)))</f>
        <v>Sin actividad</v>
      </c>
      <c r="J425" s="198" t="s">
        <v>523</v>
      </c>
      <c r="K425" s="199">
        <v>44317.0</v>
      </c>
      <c r="L425" s="200"/>
      <c r="M425" s="201"/>
      <c r="N425" s="202"/>
      <c r="O425" s="202"/>
    </row>
    <row r="426">
      <c r="A426" s="192">
        <v>2091.0</v>
      </c>
      <c r="B426" s="193" t="s">
        <v>1785</v>
      </c>
      <c r="C426" s="193" t="s">
        <v>537</v>
      </c>
      <c r="D426" s="193" t="s">
        <v>538</v>
      </c>
      <c r="E426" s="193" t="s">
        <v>1786</v>
      </c>
      <c r="F426" s="195">
        <v>2.21155624519E11</v>
      </c>
      <c r="G426" s="196"/>
      <c r="H426" s="193" t="s">
        <v>1787</v>
      </c>
      <c r="I426" s="197"/>
      <c r="J426" s="198" t="s">
        <v>529</v>
      </c>
      <c r="K426" s="199">
        <v>44866.0</v>
      </c>
      <c r="L426" s="200">
        <v>44927.0</v>
      </c>
      <c r="M426" s="201" t="s">
        <v>614</v>
      </c>
      <c r="N426" s="202"/>
      <c r="O426" s="202"/>
    </row>
    <row r="427">
      <c r="A427" s="192">
        <v>2022.0</v>
      </c>
      <c r="B427" s="193" t="s">
        <v>1788</v>
      </c>
      <c r="C427" s="193" t="s">
        <v>537</v>
      </c>
      <c r="D427" s="193" t="s">
        <v>628</v>
      </c>
      <c r="E427" s="193" t="s">
        <v>1789</v>
      </c>
      <c r="F427" s="195">
        <v>1.131815458E9</v>
      </c>
      <c r="G427" s="196"/>
      <c r="H427" s="193" t="s">
        <v>1790</v>
      </c>
      <c r="I427" s="197">
        <f>IF(iserror(vlookup($A427,Pagos!$B$5:L1241,4,false)),"Sin actividad",If(vlookup($A427,Pagos!$B$5:$L1241,5,false),vlookup($A427,Pagos!$B$5:$L1241,5,false),vlookup($A427,Pagos!$B$5:$L1241,4,false)))</f>
        <v>45870</v>
      </c>
      <c r="J427" s="198" t="s">
        <v>523</v>
      </c>
      <c r="K427" s="199">
        <v>44682.0</v>
      </c>
      <c r="L427" s="200">
        <v>45413.0</v>
      </c>
      <c r="M427" s="201"/>
      <c r="N427" s="202"/>
      <c r="O427" s="202"/>
    </row>
    <row r="428">
      <c r="A428" s="192">
        <v>2023.0</v>
      </c>
      <c r="B428" s="193" t="s">
        <v>1791</v>
      </c>
      <c r="C428" s="193" t="s">
        <v>537</v>
      </c>
      <c r="D428" s="193" t="s">
        <v>628</v>
      </c>
      <c r="E428" s="193" t="s">
        <v>1792</v>
      </c>
      <c r="F428" s="195">
        <v>2.213520696E9</v>
      </c>
      <c r="G428" s="196"/>
      <c r="H428" s="193" t="s">
        <v>1793</v>
      </c>
      <c r="I428" s="197" t="str">
        <f>IF(iserror(vlookup($A428,Pagos!$B$5:L1241,4,false)),"Sin actividad",If(vlookup($A428,Pagos!$B$5:$L1241,5,false),vlookup($A428,Pagos!$B$5:$L1241,5,false),vlookup($A428,Pagos!$B$5:$L1241,4,false)))</f>
        <v>Sin actividad</v>
      </c>
      <c r="J428" s="198" t="s">
        <v>529</v>
      </c>
      <c r="K428" s="199">
        <v>44682.0</v>
      </c>
      <c r="L428" s="200">
        <v>44986.0</v>
      </c>
      <c r="M428" s="201" t="s">
        <v>614</v>
      </c>
      <c r="N428" s="202"/>
      <c r="O428" s="202"/>
    </row>
    <row r="429">
      <c r="A429" s="192">
        <v>1805.0</v>
      </c>
      <c r="B429" s="193" t="s">
        <v>1794</v>
      </c>
      <c r="C429" s="193" t="s">
        <v>537</v>
      </c>
      <c r="D429" s="193" t="s">
        <v>538</v>
      </c>
      <c r="E429" s="193" t="s">
        <v>1795</v>
      </c>
      <c r="F429" s="195">
        <v>2.21494581E9</v>
      </c>
      <c r="G429" s="196"/>
      <c r="H429" s="193"/>
      <c r="I429" s="197" t="str">
        <f>IF(iserror(vlookup($A429,Pagos!$B$5:L1241,4,false)),"Sin actividad",If(vlookup($A429,Pagos!$B$5:$L1241,5,false),vlookup($A429,Pagos!$B$5:$L1241,5,false),vlookup($A429,Pagos!$B$5:$L1241,4,false)))</f>
        <v>Sin actividad</v>
      </c>
      <c r="J429" s="198" t="s">
        <v>529</v>
      </c>
      <c r="K429" s="199">
        <v>44044.0</v>
      </c>
      <c r="L429" s="200"/>
      <c r="M429" s="201"/>
      <c r="N429" s="202"/>
      <c r="O429" s="202"/>
    </row>
    <row r="430">
      <c r="A430" s="192">
        <v>1512.0</v>
      </c>
      <c r="B430" s="193" t="s">
        <v>1796</v>
      </c>
      <c r="C430" s="194" t="s">
        <v>526</v>
      </c>
      <c r="D430" s="193" t="s">
        <v>770</v>
      </c>
      <c r="E430" s="193" t="s">
        <v>1797</v>
      </c>
      <c r="F430" s="195">
        <v>1.134953888E9</v>
      </c>
      <c r="G430" s="196">
        <v>0.0</v>
      </c>
      <c r="H430" s="193"/>
      <c r="I430" s="197" t="str">
        <f>IF(iserror(vlookup($A430,Pagos!$B$5:L1241,4,false)),"Sin actividad",If(vlookup($A430,Pagos!$B$5:$L1241,5,false),vlookup($A430,Pagos!$B$5:$L1241,5,false),vlookup($A430,Pagos!$B$5:$L1241,4,false)))</f>
        <v>Sin actividad</v>
      </c>
      <c r="J430" s="198" t="s">
        <v>529</v>
      </c>
      <c r="K430" s="199">
        <v>41868.0</v>
      </c>
      <c r="L430" s="200">
        <v>43374.0</v>
      </c>
      <c r="M430" s="201" t="s">
        <v>560</v>
      </c>
      <c r="N430" s="202">
        <f>If(L430&gt;K430,   datedif(K430,L430,"Y") , If(K430&lt;Vitalicios!$C$4, datedif(K430,Vitalicios!$C$4,"Y"),0)  )</f>
        <v>4</v>
      </c>
      <c r="O430" s="202"/>
    </row>
    <row r="431">
      <c r="A431" s="192">
        <v>2253.0</v>
      </c>
      <c r="B431" s="193" t="s">
        <v>1798</v>
      </c>
      <c r="C431" s="193" t="s">
        <v>537</v>
      </c>
      <c r="D431" s="193" t="s">
        <v>538</v>
      </c>
      <c r="E431" s="193" t="s">
        <v>1799</v>
      </c>
      <c r="F431" s="195">
        <v>2.215385192E9</v>
      </c>
      <c r="G431" s="196"/>
      <c r="H431" s="193" t="s">
        <v>1800</v>
      </c>
      <c r="I431" s="197"/>
      <c r="J431" s="198" t="s">
        <v>523</v>
      </c>
      <c r="K431" s="199">
        <v>45352.0</v>
      </c>
      <c r="L431" s="200"/>
      <c r="M431" s="201"/>
      <c r="N431" s="202"/>
      <c r="O431" s="202"/>
    </row>
    <row r="432">
      <c r="A432" s="192">
        <v>1566.0</v>
      </c>
      <c r="B432" s="193" t="s">
        <v>1801</v>
      </c>
      <c r="C432" s="194" t="s">
        <v>526</v>
      </c>
      <c r="D432" s="193" t="s">
        <v>520</v>
      </c>
      <c r="E432" s="193" t="s">
        <v>1802</v>
      </c>
      <c r="F432" s="195">
        <v>1.56799318E8</v>
      </c>
      <c r="G432" s="196">
        <v>0.0</v>
      </c>
      <c r="H432" s="193" t="s">
        <v>1803</v>
      </c>
      <c r="I432" s="197" t="str">
        <f>IF(iserror(vlookup($A432,Pagos!$B$5:L1241,4,false)),"Sin actividad",If(vlookup($A432,Pagos!$B$5:$L1241,5,false),vlookup($A432,Pagos!$B$5:$L1241,5,false),vlookup($A432,Pagos!$B$5:$L1241,4,false)))</f>
        <v>Sin actividad</v>
      </c>
      <c r="J432" s="198" t="s">
        <v>529</v>
      </c>
      <c r="K432" s="199">
        <v>42246.0</v>
      </c>
      <c r="L432" s="200">
        <v>43374.0</v>
      </c>
      <c r="M432" s="201" t="s">
        <v>560</v>
      </c>
      <c r="N432" s="202">
        <f>If(L432&gt;K432,   datedif(K432,L432,"Y") , If(K432&lt;Vitalicios!$C$4, datedif(K432,Vitalicios!$C$4,"Y"),0)  )</f>
        <v>3</v>
      </c>
      <c r="O432" s="202"/>
    </row>
    <row r="433">
      <c r="A433" s="192">
        <v>1544.0</v>
      </c>
      <c r="B433" s="193" t="s">
        <v>1804</v>
      </c>
      <c r="C433" s="194" t="s">
        <v>537</v>
      </c>
      <c r="D433" s="193" t="s">
        <v>770</v>
      </c>
      <c r="E433" s="193" t="s">
        <v>1805</v>
      </c>
      <c r="F433" s="195">
        <v>1.56141627E8</v>
      </c>
      <c r="G433" s="196"/>
      <c r="H433" s="193" t="s">
        <v>1806</v>
      </c>
      <c r="I433" s="197" t="str">
        <f>IF(iserror(vlookup($A433,Pagos!$B$5:L1241,4,false)),"Sin actividad",If(vlookup($A433,Pagos!$B$5:$L1241,5,false),vlookup($A433,Pagos!$B$5:$L1241,5,false),vlookup($A433,Pagos!$B$5:$L1241,4,false)))</f>
        <v>Sin actividad</v>
      </c>
      <c r="J433" s="198" t="s">
        <v>529</v>
      </c>
      <c r="K433" s="199">
        <v>42035.0</v>
      </c>
      <c r="L433" s="200">
        <v>43374.0</v>
      </c>
      <c r="M433" s="201" t="s">
        <v>560</v>
      </c>
      <c r="N433" s="202">
        <f>If(L433&gt;K433,   datedif(K433,L433,"Y") , If(K433&lt;Vitalicios!$C$4, datedif(K433,Vitalicios!$C$4,"Y"),0)  )</f>
        <v>3</v>
      </c>
      <c r="O433" s="202"/>
    </row>
    <row r="434">
      <c r="A434" s="192">
        <v>2103.0</v>
      </c>
      <c r="B434" s="193" t="s">
        <v>1807</v>
      </c>
      <c r="C434" s="193" t="s">
        <v>537</v>
      </c>
      <c r="D434" s="193" t="s">
        <v>628</v>
      </c>
      <c r="E434" s="193" t="s">
        <v>1312</v>
      </c>
      <c r="F434" s="195">
        <v>2.215613523E9</v>
      </c>
      <c r="G434" s="196"/>
      <c r="H434" s="193" t="s">
        <v>1808</v>
      </c>
      <c r="I434" s="197"/>
      <c r="J434" s="198" t="s">
        <v>529</v>
      </c>
      <c r="K434" s="199">
        <v>45078.0</v>
      </c>
      <c r="L434" s="200">
        <v>45505.0</v>
      </c>
      <c r="M434" s="201" t="s">
        <v>703</v>
      </c>
      <c r="N434" s="202"/>
      <c r="O434" s="202"/>
    </row>
    <row r="435">
      <c r="A435" s="192">
        <v>2330.0</v>
      </c>
      <c r="B435" s="193" t="s">
        <v>1809</v>
      </c>
      <c r="C435" s="193" t="s">
        <v>537</v>
      </c>
      <c r="D435" s="193" t="s">
        <v>549</v>
      </c>
      <c r="E435" s="193" t="s">
        <v>1810</v>
      </c>
      <c r="F435" s="195">
        <v>2.215685132E9</v>
      </c>
      <c r="G435" s="196"/>
      <c r="H435" s="193" t="s">
        <v>1811</v>
      </c>
      <c r="I435" s="197"/>
      <c r="J435" s="198" t="s">
        <v>529</v>
      </c>
      <c r="K435" s="199">
        <v>45689.0</v>
      </c>
      <c r="L435" s="200"/>
      <c r="M435" s="201"/>
      <c r="N435" s="202"/>
      <c r="O435" s="202"/>
    </row>
    <row r="436">
      <c r="A436" s="192">
        <v>2178.0</v>
      </c>
      <c r="B436" s="193" t="s">
        <v>1812</v>
      </c>
      <c r="C436" s="194" t="s">
        <v>519</v>
      </c>
      <c r="D436" s="193" t="s">
        <v>709</v>
      </c>
      <c r="E436" s="193" t="s">
        <v>1813</v>
      </c>
      <c r="F436" s="195">
        <v>2.215663426E9</v>
      </c>
      <c r="G436" s="196"/>
      <c r="H436" s="193" t="s">
        <v>1814</v>
      </c>
      <c r="I436" s="197" t="str">
        <f>IF(iserror(vlookup($A436,Pagos!$B$5:L1241,4,false)),"Sin actividad",If(vlookup($A436,Pagos!$B$5:$L1241,5,false),vlookup($A436,Pagos!$B$5:$L1241,5,false),vlookup($A436,Pagos!$B$5:$L1241,4,false)))</f>
        <v>Sin actividad</v>
      </c>
      <c r="J436" s="198" t="s">
        <v>529</v>
      </c>
      <c r="K436" s="199">
        <v>43160.0</v>
      </c>
      <c r="L436" s="200">
        <v>45413.0</v>
      </c>
      <c r="M436" s="201" t="s">
        <v>1815</v>
      </c>
      <c r="N436" s="202">
        <f>If(L436&gt;K436,   datedif(K436,L436,"Y") , If(K436&lt;Vitalicios!$C$4, datedif(K436,Vitalicios!$C$4,"Y"),0)  )</f>
        <v>6</v>
      </c>
      <c r="O436" s="202"/>
    </row>
    <row r="437">
      <c r="A437" s="192">
        <v>1865.0</v>
      </c>
      <c r="B437" s="193" t="s">
        <v>1816</v>
      </c>
      <c r="C437" s="193" t="s">
        <v>679</v>
      </c>
      <c r="D437" s="193" t="s">
        <v>755</v>
      </c>
      <c r="E437" s="193" t="s">
        <v>1817</v>
      </c>
      <c r="F437" s="195">
        <v>2.214404185E9</v>
      </c>
      <c r="G437" s="196"/>
      <c r="H437" s="193" t="s">
        <v>1818</v>
      </c>
      <c r="I437" s="197" t="str">
        <f>IF(iserror(vlookup($A437,Pagos!$B$5:L1241,4,false)),"Sin actividad",If(vlookup($A437,Pagos!$B$5:$L1241,5,false),vlookup($A437,Pagos!$B$5:$L1241,5,false),vlookup($A437,Pagos!$B$5:$L1241,4,false)))</f>
        <v>Sin actividad</v>
      </c>
      <c r="J437" s="198" t="s">
        <v>529</v>
      </c>
      <c r="K437" s="199">
        <v>44197.0</v>
      </c>
      <c r="L437" s="200">
        <v>44986.0</v>
      </c>
      <c r="M437" s="201" t="s">
        <v>535</v>
      </c>
      <c r="N437" s="202"/>
      <c r="O437" s="202"/>
    </row>
    <row r="438">
      <c r="A438" s="192">
        <v>1914.0</v>
      </c>
      <c r="B438" s="193" t="s">
        <v>1819</v>
      </c>
      <c r="C438" s="193" t="s">
        <v>679</v>
      </c>
      <c r="D438" s="193" t="s">
        <v>538</v>
      </c>
      <c r="E438" s="193" t="s">
        <v>1820</v>
      </c>
      <c r="F438" s="195">
        <v>2.214556205E9</v>
      </c>
      <c r="G438" s="196"/>
      <c r="H438" s="193" t="s">
        <v>1821</v>
      </c>
      <c r="I438" s="197">
        <f>IF(iserror(vlookup($A438,Pagos!$B$5:L1241,4,false)),"Sin actividad",If(vlookup($A438,Pagos!$B$5:$L1241,5,false),vlookup($A438,Pagos!$B$5:$L1241,5,false),vlookup($A438,Pagos!$B$5:$L1241,4,false)))</f>
        <v>45870</v>
      </c>
      <c r="J438" s="198" t="s">
        <v>523</v>
      </c>
      <c r="K438" s="199">
        <v>44317.0</v>
      </c>
      <c r="L438" s="200"/>
      <c r="M438" s="201"/>
      <c r="N438" s="202"/>
      <c r="O438" s="202"/>
    </row>
    <row r="439">
      <c r="A439" s="192">
        <v>1526.0</v>
      </c>
      <c r="B439" s="193" t="s">
        <v>1822</v>
      </c>
      <c r="C439" s="194" t="s">
        <v>526</v>
      </c>
      <c r="D439" s="193" t="s">
        <v>527</v>
      </c>
      <c r="E439" s="193" t="s">
        <v>1823</v>
      </c>
      <c r="F439" s="195">
        <v>1.55474434E8</v>
      </c>
      <c r="G439" s="196">
        <v>0.0</v>
      </c>
      <c r="H439" s="193" t="s">
        <v>1824</v>
      </c>
      <c r="I439" s="197">
        <f>IF(iserror(vlookup($A439,Pagos!$B$5:L1241,4,false)),"Sin actividad",If(vlookup($A439,Pagos!$B$5:$L1241,5,false),vlookup($A439,Pagos!$B$5:$L1241,5,false),vlookup($A439,Pagos!$B$5:$L1241,4,false)))</f>
        <v>45870</v>
      </c>
      <c r="J439" s="198" t="s">
        <v>523</v>
      </c>
      <c r="K439" s="199">
        <v>41937.0</v>
      </c>
      <c r="L439" s="200"/>
      <c r="M439" s="201"/>
      <c r="N439" s="202">
        <f>If(L439&gt;K439,   datedif(K439,L439,"Y") , If(K439&lt;Vitalicios!$C$4, datedif(K439,Vitalicios!$C$4,"Y"),0)  )</f>
        <v>10</v>
      </c>
      <c r="O439" s="202"/>
    </row>
    <row r="440">
      <c r="A440" s="192">
        <v>1660.0</v>
      </c>
      <c r="B440" s="193" t="s">
        <v>1825</v>
      </c>
      <c r="C440" s="194" t="s">
        <v>519</v>
      </c>
      <c r="D440" s="193" t="s">
        <v>527</v>
      </c>
      <c r="E440" s="193" t="s">
        <v>1826</v>
      </c>
      <c r="F440" s="195">
        <v>1.54776645E8</v>
      </c>
      <c r="G440" s="196"/>
      <c r="H440" s="193" t="s">
        <v>1827</v>
      </c>
      <c r="I440" s="197">
        <f>IF(iserror(vlookup($A440,Pagos!$B$5:L1241,4,false)),"Sin actividad",If(vlookup($A440,Pagos!$B$5:$L1241,5,false),vlookup($A440,Pagos!$B$5:$L1241,5,false),vlookup($A440,Pagos!$B$5:$L1241,4,false)))</f>
        <v>45870</v>
      </c>
      <c r="J440" s="198" t="s">
        <v>523</v>
      </c>
      <c r="K440" s="199">
        <v>43013.0</v>
      </c>
      <c r="L440" s="200"/>
      <c r="M440" s="201"/>
      <c r="N440" s="202">
        <f>If(L440&gt;K440,   datedif(K440,L440,"Y") , If(K440&lt;Vitalicios!$C$4, datedif(K440,Vitalicios!$C$4,"Y"),0)  )</f>
        <v>7</v>
      </c>
      <c r="O440" s="202"/>
    </row>
    <row r="441">
      <c r="A441" s="192">
        <v>1291.0</v>
      </c>
      <c r="B441" s="193" t="s">
        <v>1828</v>
      </c>
      <c r="C441" s="194" t="s">
        <v>526</v>
      </c>
      <c r="D441" s="193" t="s">
        <v>520</v>
      </c>
      <c r="E441" s="193" t="s">
        <v>1829</v>
      </c>
      <c r="F441" s="195">
        <v>1.142582795E9</v>
      </c>
      <c r="G441" s="196">
        <v>0.0</v>
      </c>
      <c r="H441" s="193"/>
      <c r="I441" s="197" t="str">
        <f>IF(iserror(vlookup($A441,Pagos!$B$5:L1241,4,false)),"Sin actividad",If(vlookup($A441,Pagos!$B$5:$L1241,5,false),vlookup($A441,Pagos!$B$5:$L1241,5,false),vlookup($A441,Pagos!$B$5:$L1241,4,false)))</f>
        <v>Sin actividad</v>
      </c>
      <c r="J441" s="198" t="s">
        <v>529</v>
      </c>
      <c r="K441" s="199">
        <v>40222.0</v>
      </c>
      <c r="L441" s="200">
        <v>43374.0</v>
      </c>
      <c r="M441" s="201" t="s">
        <v>560</v>
      </c>
      <c r="N441" s="202">
        <f>If(L441&gt;K441,   datedif(K441,L441,"Y") , If(K441&lt;Vitalicios!$C$4, datedif(K441,Vitalicios!$C$4,"Y"),0)  )</f>
        <v>8</v>
      </c>
      <c r="O441" s="202"/>
    </row>
    <row r="442">
      <c r="A442" s="192">
        <v>1390.0</v>
      </c>
      <c r="B442" s="193" t="s">
        <v>1830</v>
      </c>
      <c r="C442" s="194" t="s">
        <v>526</v>
      </c>
      <c r="D442" s="193" t="s">
        <v>556</v>
      </c>
      <c r="E442" s="193" t="s">
        <v>1829</v>
      </c>
      <c r="F442" s="195">
        <v>1.142582795E9</v>
      </c>
      <c r="G442" s="196">
        <v>0.0</v>
      </c>
      <c r="H442" s="193"/>
      <c r="I442" s="197" t="str">
        <f>IF(iserror(vlookup($A442,Pagos!$B$5:L1241,4,false)),"Sin actividad",If(vlookup($A442,Pagos!$B$5:$L1241,5,false),vlookup($A442,Pagos!$B$5:$L1241,5,false),vlookup($A442,Pagos!$B$5:$L1241,4,false)))</f>
        <v>Sin actividad</v>
      </c>
      <c r="J442" s="198" t="s">
        <v>529</v>
      </c>
      <c r="K442" s="199">
        <v>40884.0</v>
      </c>
      <c r="L442" s="200">
        <v>41944.0</v>
      </c>
      <c r="M442" s="201" t="s">
        <v>1831</v>
      </c>
      <c r="N442" s="202">
        <f>If(L442&gt;K442,   datedif(K442,L442,"Y") , If(K442&lt;Vitalicios!$C$4, datedif(K442,Vitalicios!$C$4,"Y"),0)  )</f>
        <v>2</v>
      </c>
      <c r="O442" s="202"/>
    </row>
    <row r="443">
      <c r="A443" s="192">
        <v>1327.0</v>
      </c>
      <c r="B443" s="193" t="s">
        <v>1832</v>
      </c>
      <c r="C443" s="194" t="s">
        <v>526</v>
      </c>
      <c r="D443" s="193" t="s">
        <v>709</v>
      </c>
      <c r="E443" s="193" t="s">
        <v>664</v>
      </c>
      <c r="F443" s="195">
        <v>4234696.0</v>
      </c>
      <c r="G443" s="196">
        <v>0.0</v>
      </c>
      <c r="H443" s="193" t="s">
        <v>1833</v>
      </c>
      <c r="I443" s="197" t="str">
        <f>IF(iserror(vlookup($A443,Pagos!$B$5:L1241,4,false)),"Sin actividad",If(vlookup($A443,Pagos!$B$5:$L1241,5,false),vlookup($A443,Pagos!$B$5:$L1241,5,false),vlookup($A443,Pagos!$B$5:$L1241,4,false)))</f>
        <v>Sin actividad</v>
      </c>
      <c r="J443" s="198" t="s">
        <v>523</v>
      </c>
      <c r="K443" s="199">
        <v>40502.0</v>
      </c>
      <c r="L443" s="200"/>
      <c r="M443" s="201" t="s">
        <v>1834</v>
      </c>
      <c r="N443" s="202">
        <f>If(L443&gt;K443,   datedif(K443,L443,"Y") , If(K443&lt;Vitalicios!$C$4, datedif(K443,Vitalicios!$C$4,"Y"),0)  )</f>
        <v>14</v>
      </c>
      <c r="O443" s="202"/>
    </row>
    <row r="444">
      <c r="A444" s="192">
        <v>2068.0</v>
      </c>
      <c r="B444" s="193" t="s">
        <v>1835</v>
      </c>
      <c r="C444" s="193" t="s">
        <v>537</v>
      </c>
      <c r="D444" s="193" t="s">
        <v>1836</v>
      </c>
      <c r="E444" s="193"/>
      <c r="F444" s="195"/>
      <c r="G444" s="196"/>
      <c r="H444" s="193"/>
      <c r="I444" s="197"/>
      <c r="J444" s="198" t="s">
        <v>529</v>
      </c>
      <c r="K444" s="199">
        <v>44805.0</v>
      </c>
      <c r="L444" s="200">
        <v>44835.0</v>
      </c>
      <c r="M444" s="201" t="s">
        <v>485</v>
      </c>
      <c r="N444" s="202"/>
      <c r="O444" s="202"/>
    </row>
    <row r="445">
      <c r="A445" s="192">
        <v>2170.0</v>
      </c>
      <c r="B445" s="193" t="s">
        <v>1837</v>
      </c>
      <c r="C445" s="193" t="s">
        <v>537</v>
      </c>
      <c r="D445" s="193" t="s">
        <v>628</v>
      </c>
      <c r="E445" s="193" t="s">
        <v>1838</v>
      </c>
      <c r="F445" s="195">
        <v>2.21572784E9</v>
      </c>
      <c r="G445" s="196"/>
      <c r="H445" s="193" t="s">
        <v>1839</v>
      </c>
      <c r="I445" s="197"/>
      <c r="J445" s="198" t="s">
        <v>523</v>
      </c>
      <c r="K445" s="199">
        <v>45017.0</v>
      </c>
      <c r="L445" s="200"/>
      <c r="M445" s="201"/>
      <c r="N445" s="202"/>
      <c r="O445" s="202"/>
    </row>
    <row r="446">
      <c r="A446" s="192">
        <v>2319.0</v>
      </c>
      <c r="B446" s="193" t="s">
        <v>1840</v>
      </c>
      <c r="C446" s="193" t="s">
        <v>537</v>
      </c>
      <c r="D446" s="193" t="s">
        <v>532</v>
      </c>
      <c r="E446" s="193" t="s">
        <v>1841</v>
      </c>
      <c r="F446" s="195">
        <v>2.215606784E9</v>
      </c>
      <c r="G446" s="196"/>
      <c r="H446" s="193" t="s">
        <v>1842</v>
      </c>
      <c r="I446" s="197"/>
      <c r="J446" s="198" t="s">
        <v>523</v>
      </c>
      <c r="K446" s="199">
        <v>45689.0</v>
      </c>
      <c r="L446" s="200"/>
      <c r="M446" s="201"/>
      <c r="N446" s="202"/>
      <c r="O446" s="202"/>
    </row>
    <row r="447">
      <c r="A447" s="192">
        <v>2118.0</v>
      </c>
      <c r="B447" s="193" t="s">
        <v>1843</v>
      </c>
      <c r="C447" s="194" t="s">
        <v>526</v>
      </c>
      <c r="D447" s="193" t="s">
        <v>556</v>
      </c>
      <c r="E447" s="193" t="s">
        <v>1844</v>
      </c>
      <c r="F447" s="195">
        <v>2.215932516E9</v>
      </c>
      <c r="G447" s="196">
        <v>0.0</v>
      </c>
      <c r="H447" s="193" t="s">
        <v>1845</v>
      </c>
      <c r="I447" s="197">
        <f>IF(iserror(vlookup($A447,Pagos!$B$5:L1241,4,false)),"Sin actividad",If(vlookup($A447,Pagos!$B$5:$L1241,5,false),vlookup($A447,Pagos!$B$5:$L1241,5,false),vlookup($A447,Pagos!$B$5:$L1241,4,false)))</f>
        <v>45870</v>
      </c>
      <c r="J447" s="198" t="s">
        <v>529</v>
      </c>
      <c r="K447" s="199">
        <v>40159.0</v>
      </c>
      <c r="L447" s="200">
        <v>41974.0</v>
      </c>
      <c r="M447" s="201" t="s">
        <v>1846</v>
      </c>
      <c r="N447" s="202">
        <f>If(L447&gt;K447,   datedif(K447,L447,"Y") , If(K447&lt;Vitalicios!$C$4, datedif(K447,Vitalicios!$C$4,"Y"),0)  )</f>
        <v>4</v>
      </c>
      <c r="O447" s="202"/>
    </row>
    <row r="448">
      <c r="A448" s="192">
        <v>1757.0</v>
      </c>
      <c r="B448" s="193" t="s">
        <v>1847</v>
      </c>
      <c r="C448" s="194" t="s">
        <v>519</v>
      </c>
      <c r="D448" s="193" t="s">
        <v>538</v>
      </c>
      <c r="E448" s="193" t="s">
        <v>1848</v>
      </c>
      <c r="F448" s="195">
        <v>1.54552577E8</v>
      </c>
      <c r="G448" s="196"/>
      <c r="H448" s="193" t="s">
        <v>1849</v>
      </c>
      <c r="I448" s="197" t="str">
        <f>IF(iserror(vlookup($A448,Pagos!$B$5:L1241,4,false)),"Sin actividad",If(vlookup($A448,Pagos!$B$5:$L1241,5,false),vlookup($A448,Pagos!$B$5:$L1241,5,false),vlookup($A448,Pagos!$B$5:$L1241,4,false)))</f>
        <v>Sin actividad</v>
      </c>
      <c r="J448" s="198" t="s">
        <v>529</v>
      </c>
      <c r="K448" s="199">
        <v>43770.0</v>
      </c>
      <c r="L448" s="200">
        <v>43466.0</v>
      </c>
      <c r="M448" s="201" t="s">
        <v>1850</v>
      </c>
      <c r="N448" s="202">
        <f>If(L448&gt;K448,   datedif(K448,L448,"Y") , If(K448&lt;Vitalicios!$C$4, datedif(K448,Vitalicios!$C$4,"Y"),0)  )</f>
        <v>5</v>
      </c>
      <c r="O448" s="202"/>
    </row>
    <row r="449">
      <c r="A449" s="192">
        <v>2147.0</v>
      </c>
      <c r="B449" s="193" t="s">
        <v>1851</v>
      </c>
      <c r="C449" s="193" t="s">
        <v>537</v>
      </c>
      <c r="D449" s="193" t="s">
        <v>485</v>
      </c>
      <c r="E449" s="193" t="s">
        <v>1852</v>
      </c>
      <c r="F449" s="195">
        <v>1.160322301E9</v>
      </c>
      <c r="G449" s="196"/>
      <c r="H449" s="193" t="s">
        <v>1853</v>
      </c>
      <c r="I449" s="197"/>
      <c r="J449" s="198" t="s">
        <v>523</v>
      </c>
      <c r="K449" s="199">
        <v>44986.0</v>
      </c>
      <c r="L449" s="200"/>
      <c r="M449" s="201"/>
      <c r="N449" s="202"/>
      <c r="O449" s="202"/>
    </row>
    <row r="450">
      <c r="A450" s="192">
        <v>1294.0</v>
      </c>
      <c r="B450" s="193" t="s">
        <v>1854</v>
      </c>
      <c r="C450" s="194" t="s">
        <v>526</v>
      </c>
      <c r="D450" s="193" t="s">
        <v>527</v>
      </c>
      <c r="E450" s="193" t="s">
        <v>1855</v>
      </c>
      <c r="F450" s="195">
        <v>4232126.0</v>
      </c>
      <c r="G450" s="196">
        <v>0.0</v>
      </c>
      <c r="H450" s="193"/>
      <c r="I450" s="197" t="str">
        <f>IF(iserror(vlookup($A450,Pagos!$B$5:L1241,4,false)),"Sin actividad",If(vlookup($A450,Pagos!$B$5:$L1241,5,false),vlookup($A450,Pagos!$B$5:$L1241,5,false),vlookup($A450,Pagos!$B$5:$L1241,4,false)))</f>
        <v>Sin actividad</v>
      </c>
      <c r="J450" s="198" t="s">
        <v>529</v>
      </c>
      <c r="K450" s="199">
        <v>40236.0</v>
      </c>
      <c r="L450" s="200">
        <v>42461.0</v>
      </c>
      <c r="M450" s="201"/>
      <c r="N450" s="202">
        <f>If(L450&gt;K450,   datedif(K450,L450,"Y") , If(K450&lt;Vitalicios!$C$4, datedif(K450,Vitalicios!$C$4,"Y"),0)  )</f>
        <v>6</v>
      </c>
      <c r="O450" s="202"/>
    </row>
    <row r="451">
      <c r="A451" s="192">
        <v>1689.0</v>
      </c>
      <c r="B451" s="193" t="s">
        <v>1856</v>
      </c>
      <c r="C451" s="194" t="s">
        <v>519</v>
      </c>
      <c r="D451" s="193" t="s">
        <v>527</v>
      </c>
      <c r="E451" s="193" t="s">
        <v>1857</v>
      </c>
      <c r="F451" s="195" t="s">
        <v>1858</v>
      </c>
      <c r="G451" s="196"/>
      <c r="H451" s="193"/>
      <c r="I451" s="197" t="str">
        <f>IF(iserror(vlookup($A451,Pagos!$B$5:L1241,4,false)),"Sin actividad",If(vlookup($A451,Pagos!$B$5:$L1241,5,false),vlookup($A451,Pagos!$B$5:$L1241,5,false),vlookup($A451,Pagos!$B$5:$L1241,4,false)))</f>
        <v>Sin actividad</v>
      </c>
      <c r="J451" s="198" t="s">
        <v>529</v>
      </c>
      <c r="K451" s="199">
        <v>43160.0</v>
      </c>
      <c r="L451" s="200">
        <v>44652.0</v>
      </c>
      <c r="M451" s="201" t="s">
        <v>716</v>
      </c>
      <c r="N451" s="202">
        <f>If(L451&gt;K451,   datedif(K451,L451,"Y") , If(K451&lt;Vitalicios!$C$4, datedif(K451,Vitalicios!$C$4,"Y"),0)  )</f>
        <v>4</v>
      </c>
      <c r="O451" s="202"/>
    </row>
    <row r="452">
      <c r="A452" s="192">
        <v>1840.0</v>
      </c>
      <c r="B452" s="193" t="s">
        <v>1859</v>
      </c>
      <c r="C452" s="193" t="s">
        <v>679</v>
      </c>
      <c r="D452" s="193" t="s">
        <v>1713</v>
      </c>
      <c r="E452" s="193" t="s">
        <v>1860</v>
      </c>
      <c r="F452" s="195">
        <v>2.21537963E9</v>
      </c>
      <c r="G452" s="196"/>
      <c r="H452" s="193" t="s">
        <v>1861</v>
      </c>
      <c r="I452" s="197">
        <f>IF(iserror(vlookup($A452,Pagos!$B$5:L1241,4,false)),"Sin actividad",If(vlookup($A452,Pagos!$B$5:$L1241,5,false),vlookup($A452,Pagos!$B$5:$L1241,5,false),vlookup($A452,Pagos!$B$5:$L1241,4,false)))</f>
        <v>45870</v>
      </c>
      <c r="J452" s="198" t="s">
        <v>523</v>
      </c>
      <c r="K452" s="199">
        <v>44136.0</v>
      </c>
      <c r="L452" s="200"/>
      <c r="M452" s="201"/>
      <c r="N452" s="202"/>
      <c r="O452" s="202"/>
    </row>
    <row r="453">
      <c r="A453" s="192">
        <v>2188.0</v>
      </c>
      <c r="B453" s="193" t="s">
        <v>1862</v>
      </c>
      <c r="C453" s="193" t="s">
        <v>679</v>
      </c>
      <c r="D453" s="193"/>
      <c r="E453" s="193"/>
      <c r="F453" s="195">
        <v>2.21531842E9</v>
      </c>
      <c r="G453" s="196"/>
      <c r="H453" s="193" t="s">
        <v>1863</v>
      </c>
      <c r="I453" s="197"/>
      <c r="J453" s="198" t="s">
        <v>523</v>
      </c>
      <c r="K453" s="199">
        <v>45170.0</v>
      </c>
      <c r="L453" s="200"/>
      <c r="M453" s="201"/>
      <c r="N453" s="202"/>
      <c r="O453" s="202"/>
    </row>
    <row r="454">
      <c r="A454" s="192">
        <v>1787.0</v>
      </c>
      <c r="B454" s="193" t="s">
        <v>1862</v>
      </c>
      <c r="C454" s="194" t="s">
        <v>951</v>
      </c>
      <c r="D454" s="193" t="s">
        <v>538</v>
      </c>
      <c r="E454" s="193" t="s">
        <v>1864</v>
      </c>
      <c r="F454" s="195">
        <v>2.21642255031E11</v>
      </c>
      <c r="G454" s="196"/>
      <c r="H454" s="193" t="s">
        <v>1865</v>
      </c>
      <c r="I454" s="197" t="str">
        <f>IF(iserror(vlookup($A454,Pagos!$B$5:L1241,4,false)),"Sin actividad",If(vlookup($A454,Pagos!$B$5:$L1241,5,false),vlookup($A454,Pagos!$B$5:$L1241,5,false),vlookup($A454,Pagos!$B$5:$L1241,4,false)))</f>
        <v>Sin actividad</v>
      </c>
      <c r="J454" s="198" t="s">
        <v>529</v>
      </c>
      <c r="K454" s="199">
        <v>43891.0</v>
      </c>
      <c r="L454" s="200">
        <v>44682.0</v>
      </c>
      <c r="M454" s="201" t="s">
        <v>1866</v>
      </c>
      <c r="N454" s="202">
        <f>If(L454&gt;K454,   datedif(K454,L454,"Y") , If(K454&lt;Vitalicios!$C$4, datedif(K454,Vitalicios!$C$4,"Y"),0)  )</f>
        <v>2</v>
      </c>
      <c r="O454" s="202"/>
    </row>
    <row r="455">
      <c r="A455" s="192">
        <v>1486.0</v>
      </c>
      <c r="B455" s="193" t="s">
        <v>1867</v>
      </c>
      <c r="C455" s="194" t="s">
        <v>526</v>
      </c>
      <c r="D455" s="193" t="s">
        <v>556</v>
      </c>
      <c r="E455" s="193" t="s">
        <v>1868</v>
      </c>
      <c r="F455" s="195">
        <v>1.55254633E8</v>
      </c>
      <c r="G455" s="196">
        <v>0.0</v>
      </c>
      <c r="H455" s="193"/>
      <c r="I455" s="197" t="str">
        <f>IF(iserror(vlookup($A455,Pagos!$B$5:L1241,4,false)),"Sin actividad",If(vlookup($A455,Pagos!$B$5:$L1241,5,false),vlookup($A455,Pagos!$B$5:$L1241,5,false),vlookup($A455,Pagos!$B$5:$L1241,4,false)))</f>
        <v>Sin actividad</v>
      </c>
      <c r="J455" s="198" t="s">
        <v>529</v>
      </c>
      <c r="K455" s="199">
        <v>41651.0</v>
      </c>
      <c r="L455" s="200">
        <v>42826.0</v>
      </c>
      <c r="M455" s="201"/>
      <c r="N455" s="202">
        <f>If(L455&gt;K455,   datedif(K455,L455,"Y") , If(K455&lt;Vitalicios!$C$4, datedif(K455,Vitalicios!$C$4,"Y"),0)  )</f>
        <v>3</v>
      </c>
      <c r="O455" s="202"/>
    </row>
    <row r="456">
      <c r="A456" s="192">
        <v>1328.0</v>
      </c>
      <c r="B456" s="193" t="s">
        <v>1869</v>
      </c>
      <c r="C456" s="194" t="s">
        <v>526</v>
      </c>
      <c r="D456" s="193" t="s">
        <v>520</v>
      </c>
      <c r="E456" s="193" t="s">
        <v>1870</v>
      </c>
      <c r="F456" s="195">
        <v>4742247.0</v>
      </c>
      <c r="G456" s="196">
        <v>0.0</v>
      </c>
      <c r="H456" s="193"/>
      <c r="I456" s="197" t="str">
        <f>IF(iserror(vlookup($A456,Pagos!$B$5:L1241,4,false)),"Sin actividad",If(vlookup($A456,Pagos!$B$5:$L1241,5,false),vlookup($A456,Pagos!$B$5:$L1241,5,false),vlookup($A456,Pagos!$B$5:$L1241,4,false)))</f>
        <v>Sin actividad</v>
      </c>
      <c r="J456" s="198" t="s">
        <v>529</v>
      </c>
      <c r="K456" s="199">
        <v>40502.0</v>
      </c>
      <c r="L456" s="200">
        <v>42826.0</v>
      </c>
      <c r="M456" s="201"/>
      <c r="N456" s="202">
        <f>If(L456&gt;K456,   datedif(K456,L456,"Y") , If(K456&lt;Vitalicios!$C$4, datedif(K456,Vitalicios!$C$4,"Y"),0)  )</f>
        <v>6</v>
      </c>
      <c r="O456" s="202"/>
    </row>
    <row r="457">
      <c r="A457" s="192">
        <v>2348.0</v>
      </c>
      <c r="B457" s="193" t="s">
        <v>1871</v>
      </c>
      <c r="C457" s="193" t="s">
        <v>537</v>
      </c>
      <c r="D457" s="193" t="s">
        <v>1872</v>
      </c>
      <c r="E457" s="193" t="s">
        <v>1873</v>
      </c>
      <c r="F457" s="195">
        <v>2.216436322E9</v>
      </c>
      <c r="G457" s="196"/>
      <c r="H457" s="193" t="s">
        <v>1874</v>
      </c>
      <c r="I457" s="197"/>
      <c r="J457" s="198" t="s">
        <v>523</v>
      </c>
      <c r="K457" s="199">
        <v>45748.0</v>
      </c>
      <c r="L457" s="200"/>
      <c r="M457" s="201"/>
      <c r="N457" s="202"/>
      <c r="O457" s="202"/>
    </row>
    <row r="458">
      <c r="A458" s="192">
        <v>1494.0</v>
      </c>
      <c r="B458" s="193" t="s">
        <v>1875</v>
      </c>
      <c r="C458" s="194" t="s">
        <v>526</v>
      </c>
      <c r="D458" s="193" t="s">
        <v>556</v>
      </c>
      <c r="E458" s="193"/>
      <c r="F458" s="195"/>
      <c r="G458" s="196">
        <v>0.0</v>
      </c>
      <c r="H458" s="193" t="s">
        <v>1876</v>
      </c>
      <c r="I458" s="197">
        <f>IF(iserror(vlookup($A458,Pagos!$B$5:L1241,4,false)),"Sin actividad",If(vlookup($A458,Pagos!$B$5:$L1241,5,false),vlookup($A458,Pagos!$B$5:$L1241,5,false),vlookup($A458,Pagos!$B$5:$L1241,4,false)))</f>
        <v>45870</v>
      </c>
      <c r="J458" s="198" t="s">
        <v>523</v>
      </c>
      <c r="K458" s="199">
        <v>41679.0</v>
      </c>
      <c r="L458" s="200"/>
      <c r="M458" s="201"/>
      <c r="N458" s="202">
        <f>If(L458&gt;K458,   datedif(K458,L458,"Y") , If(K458&lt;Vitalicios!$C$4, datedif(K458,Vitalicios!$C$4,"Y"),0)  )</f>
        <v>11</v>
      </c>
      <c r="O458" s="202"/>
    </row>
    <row r="459">
      <c r="A459" s="192">
        <v>1866.0</v>
      </c>
      <c r="B459" s="193" t="s">
        <v>1877</v>
      </c>
      <c r="C459" s="193" t="s">
        <v>537</v>
      </c>
      <c r="D459" s="193" t="s">
        <v>1878</v>
      </c>
      <c r="E459" s="193" t="s">
        <v>1879</v>
      </c>
      <c r="F459" s="195">
        <v>1.54763671E8</v>
      </c>
      <c r="G459" s="196"/>
      <c r="H459" s="193" t="s">
        <v>1880</v>
      </c>
      <c r="I459" s="197" t="str">
        <f>IF(iserror(vlookup($A459,Pagos!$B$5:L1241,4,false)),"Sin actividad",If(vlookup($A459,Pagos!$B$5:$L1241,5,false),vlookup($A459,Pagos!$B$5:$L1241,5,false),vlookup($A459,Pagos!$B$5:$L1241,4,false)))</f>
        <v>Sin actividad</v>
      </c>
      <c r="J459" s="198" t="s">
        <v>529</v>
      </c>
      <c r="K459" s="199">
        <v>44197.0</v>
      </c>
      <c r="L459" s="200">
        <v>45717.0</v>
      </c>
      <c r="M459" s="201" t="s">
        <v>535</v>
      </c>
      <c r="N459" s="202"/>
      <c r="O459" s="202"/>
    </row>
    <row r="460">
      <c r="A460" s="192">
        <v>1732.0</v>
      </c>
      <c r="B460" s="193" t="s">
        <v>1881</v>
      </c>
      <c r="C460" s="194" t="s">
        <v>519</v>
      </c>
      <c r="D460" s="193" t="s">
        <v>520</v>
      </c>
      <c r="E460" s="193" t="s">
        <v>1882</v>
      </c>
      <c r="F460" s="219" t="s">
        <v>1883</v>
      </c>
      <c r="G460" s="196"/>
      <c r="H460" s="193" t="s">
        <v>1884</v>
      </c>
      <c r="I460" s="197">
        <f>IF(iserror(vlookup($A460,Pagos!$B$5:L1241,4,false)),"Sin actividad",If(vlookup($A460,Pagos!$B$5:$L1241,5,false),vlookup($A460,Pagos!$B$5:$L1241,5,false),vlookup($A460,Pagos!$B$5:$L1241,4,false)))</f>
        <v>45901</v>
      </c>
      <c r="J460" s="198" t="s">
        <v>523</v>
      </c>
      <c r="K460" s="199">
        <v>43525.0</v>
      </c>
      <c r="L460" s="200"/>
      <c r="M460" s="201"/>
      <c r="N460" s="202">
        <f>If(L460&gt;K460,   datedif(K460,L460,"Y") , If(K460&lt;Vitalicios!$C$4, datedif(K460,Vitalicios!$C$4,"Y"),0)  )</f>
        <v>6</v>
      </c>
      <c r="O460" s="202"/>
    </row>
    <row r="461">
      <c r="A461" s="192">
        <v>1437.0</v>
      </c>
      <c r="B461" s="193" t="s">
        <v>1885</v>
      </c>
      <c r="C461" s="194" t="s">
        <v>526</v>
      </c>
      <c r="D461" s="193" t="s">
        <v>556</v>
      </c>
      <c r="E461" s="193" t="s">
        <v>1886</v>
      </c>
      <c r="F461" s="195">
        <v>1.56182564E8</v>
      </c>
      <c r="G461" s="196">
        <v>0.0</v>
      </c>
      <c r="H461" s="193"/>
      <c r="I461" s="197" t="str">
        <f>IF(iserror(vlookup($A461,Pagos!$B$5:L1241,4,false)),"Sin actividad",If(vlookup($A461,Pagos!$B$5:$L1241,5,false),vlookup($A461,Pagos!$B$5:$L1241,5,false),vlookup($A461,Pagos!$B$5:$L1241,4,false)))</f>
        <v>Sin actividad</v>
      </c>
      <c r="J461" s="198" t="s">
        <v>529</v>
      </c>
      <c r="K461" s="199">
        <v>41276.0</v>
      </c>
      <c r="L461" s="200">
        <v>42246.0</v>
      </c>
      <c r="M461" s="201" t="s">
        <v>1201</v>
      </c>
      <c r="N461" s="202">
        <f>If(L461&gt;K461,   datedif(K461,L461,"Y") , If(K461&lt;Vitalicios!$C$4, datedif(K461,Vitalicios!$C$4,"Y"),0)  )</f>
        <v>2</v>
      </c>
      <c r="O461" s="202"/>
    </row>
    <row r="462">
      <c r="A462" s="192">
        <v>1166.0</v>
      </c>
      <c r="B462" s="193" t="s">
        <v>1887</v>
      </c>
      <c r="C462" s="194" t="s">
        <v>577</v>
      </c>
      <c r="D462" s="193" t="s">
        <v>556</v>
      </c>
      <c r="E462" s="193" t="s">
        <v>1888</v>
      </c>
      <c r="F462" s="195">
        <v>0.0</v>
      </c>
      <c r="G462" s="196">
        <v>0.0</v>
      </c>
      <c r="H462" s="193"/>
      <c r="I462" s="197" t="str">
        <f>IF(iserror(vlookup($A462,Pagos!$B$5:L1241,4,false)),"Sin actividad",If(vlookup($A462,Pagos!$B$5:$L1241,5,false),vlookup($A462,Pagos!$B$5:$L1241,5,false),vlookup($A462,Pagos!$B$5:$L1241,4,false)))</f>
        <v>Sin actividad</v>
      </c>
      <c r="J462" s="198" t="s">
        <v>529</v>
      </c>
      <c r="K462" s="199">
        <v>39460.0</v>
      </c>
      <c r="L462" s="200">
        <v>41679.0</v>
      </c>
      <c r="M462" s="201" t="s">
        <v>1201</v>
      </c>
      <c r="N462" s="202">
        <f>If(L462&gt;K462,   datedif(K462,L462,"Y") , If(K462&lt;Vitalicios!$C$4, datedif(K462,Vitalicios!$C$4,"Y"),0)  )</f>
        <v>6</v>
      </c>
      <c r="O462" s="202"/>
    </row>
    <row r="463">
      <c r="A463" s="192">
        <v>1836.0</v>
      </c>
      <c r="B463" s="193" t="s">
        <v>1889</v>
      </c>
      <c r="C463" s="193" t="s">
        <v>679</v>
      </c>
      <c r="D463" s="193" t="s">
        <v>1890</v>
      </c>
      <c r="E463" s="193" t="s">
        <v>1651</v>
      </c>
      <c r="F463" s="195">
        <v>2.216130777E9</v>
      </c>
      <c r="G463" s="196"/>
      <c r="H463" s="193" t="s">
        <v>1891</v>
      </c>
      <c r="I463" s="197">
        <f>IF(iserror(vlookup($A463,Pagos!$B$5:L1241,4,false)),"Sin actividad",If(vlookup($A463,Pagos!$B$5:$L1241,5,false),vlookup($A463,Pagos!$B$5:$L1241,5,false),vlookup($A463,Pagos!$B$5:$L1241,4,false)))</f>
        <v>45870</v>
      </c>
      <c r="J463" s="198" t="s">
        <v>523</v>
      </c>
      <c r="K463" s="199">
        <v>44105.0</v>
      </c>
      <c r="L463" s="200"/>
      <c r="M463" s="201"/>
      <c r="N463" s="202"/>
      <c r="O463" s="202"/>
    </row>
    <row r="464">
      <c r="A464" s="192">
        <v>1910.0</v>
      </c>
      <c r="B464" s="193" t="s">
        <v>1892</v>
      </c>
      <c r="C464" s="193" t="s">
        <v>537</v>
      </c>
      <c r="D464" s="193" t="s">
        <v>532</v>
      </c>
      <c r="E464" s="193" t="s">
        <v>1893</v>
      </c>
      <c r="F464" s="195">
        <v>2.214368839E9</v>
      </c>
      <c r="G464" s="196"/>
      <c r="H464" s="193"/>
      <c r="I464" s="197" t="str">
        <f>IF(iserror(vlookup($A464,Pagos!$B$5:L1241,4,false)),"Sin actividad",If(vlookup($A464,Pagos!$B$5:$L1241,5,false),vlookup($A464,Pagos!$B$5:$L1241,5,false),vlookup($A464,Pagos!$B$5:$L1241,4,false)))</f>
        <v>Sin actividad</v>
      </c>
      <c r="J464" s="198" t="s">
        <v>529</v>
      </c>
      <c r="K464" s="199">
        <v>44317.0</v>
      </c>
      <c r="L464" s="200">
        <v>45261.0</v>
      </c>
      <c r="M464" s="201" t="s">
        <v>535</v>
      </c>
      <c r="N464" s="202"/>
      <c r="O464" s="202"/>
    </row>
    <row r="465">
      <c r="A465" s="192">
        <v>1556.0</v>
      </c>
      <c r="B465" s="193" t="s">
        <v>1894</v>
      </c>
      <c r="C465" s="194" t="s">
        <v>526</v>
      </c>
      <c r="D465" s="193" t="s">
        <v>556</v>
      </c>
      <c r="E465" s="193" t="s">
        <v>1895</v>
      </c>
      <c r="F465" s="195">
        <v>1.56611647E8</v>
      </c>
      <c r="G465" s="196">
        <v>0.0</v>
      </c>
      <c r="H465" s="193" t="s">
        <v>1896</v>
      </c>
      <c r="I465" s="197" t="str">
        <f>IF(iserror(vlookup($A465,Pagos!$B$5:L1241,4,false)),"Sin actividad",If(vlookup($A465,Pagos!$B$5:$L1241,5,false),vlookup($A465,Pagos!$B$5:$L1241,5,false),vlookup($A465,Pagos!$B$5:$L1241,4,false)))</f>
        <v>Sin actividad</v>
      </c>
      <c r="J465" s="198" t="s">
        <v>529</v>
      </c>
      <c r="K465" s="199">
        <v>42085.0</v>
      </c>
      <c r="L465" s="200">
        <v>43525.0</v>
      </c>
      <c r="M465" s="201"/>
      <c r="N465" s="202">
        <f>If(L465&gt;K465,   datedif(K465,L465,"Y") , If(K465&lt;Vitalicios!$C$4, datedif(K465,Vitalicios!$C$4,"Y"),0)  )</f>
        <v>3</v>
      </c>
      <c r="O465" s="202"/>
    </row>
    <row r="466">
      <c r="A466" s="192">
        <v>1419.0</v>
      </c>
      <c r="B466" s="193" t="s">
        <v>1897</v>
      </c>
      <c r="C466" s="194" t="s">
        <v>526</v>
      </c>
      <c r="D466" s="193" t="s">
        <v>770</v>
      </c>
      <c r="E466" s="193" t="s">
        <v>1898</v>
      </c>
      <c r="F466" s="195">
        <v>1.153687993E9</v>
      </c>
      <c r="G466" s="196">
        <v>1.1153466327E11</v>
      </c>
      <c r="H466" s="193" t="s">
        <v>1899</v>
      </c>
      <c r="I466" s="197" t="str">
        <f>IF(iserror(vlookup($A466,Pagos!$B$5:L1241,4,false)),"Sin actividad",If(vlookup($A466,Pagos!$B$5:$L1241,5,false),vlookup($A466,Pagos!$B$5:$L1241,5,false),vlookup($A466,Pagos!$B$5:$L1241,4,false)))</f>
        <v>Sin actividad</v>
      </c>
      <c r="J466" s="198" t="s">
        <v>529</v>
      </c>
      <c r="K466" s="199">
        <v>41062.0</v>
      </c>
      <c r="L466" s="200">
        <v>43374.0</v>
      </c>
      <c r="M466" s="201" t="s">
        <v>560</v>
      </c>
      <c r="N466" s="202">
        <f>If(L466&gt;K466,   datedif(K466,L466,"Y") , If(K466&lt;Vitalicios!$C$4, datedif(K466,Vitalicios!$C$4,"Y"),0)  )</f>
        <v>6</v>
      </c>
      <c r="O466" s="202"/>
    </row>
    <row r="467">
      <c r="A467" s="192">
        <v>1310.0</v>
      </c>
      <c r="B467" s="193" t="s">
        <v>1900</v>
      </c>
      <c r="C467" s="194" t="s">
        <v>526</v>
      </c>
      <c r="D467" s="193" t="s">
        <v>520</v>
      </c>
      <c r="E467" s="193" t="s">
        <v>1901</v>
      </c>
      <c r="F467" s="195">
        <v>1.55759254E8</v>
      </c>
      <c r="G467" s="196">
        <v>0.0</v>
      </c>
      <c r="H467" s="193"/>
      <c r="I467" s="197" t="str">
        <f>IF(iserror(vlookup($A467,Pagos!$B$5:L1241,4,false)),"Sin actividad",If(vlookup($A467,Pagos!$B$5:$L1241,5,false),vlookup($A467,Pagos!$B$5:$L1241,5,false),vlookup($A467,Pagos!$B$5:$L1241,4,false)))</f>
        <v>Sin actividad</v>
      </c>
      <c r="J467" s="198" t="s">
        <v>529</v>
      </c>
      <c r="K467" s="199">
        <v>40446.0</v>
      </c>
      <c r="L467" s="200">
        <v>43374.0</v>
      </c>
      <c r="M467" s="201" t="s">
        <v>560</v>
      </c>
      <c r="N467" s="202">
        <f>If(L467&gt;K467,   datedif(K467,L467,"Y") , If(K467&lt;Vitalicios!$C$4, datedif(K467,Vitalicios!$C$4,"Y"),0)  )</f>
        <v>8</v>
      </c>
      <c r="O467" s="202"/>
    </row>
    <row r="468">
      <c r="A468" s="192">
        <v>2135.0</v>
      </c>
      <c r="B468" s="193" t="s">
        <v>1902</v>
      </c>
      <c r="C468" s="194"/>
      <c r="D468" s="193"/>
      <c r="E468" s="193" t="s">
        <v>1903</v>
      </c>
      <c r="F468" s="195">
        <v>2.21506967E9</v>
      </c>
      <c r="G468" s="196"/>
      <c r="H468" s="193" t="s">
        <v>1904</v>
      </c>
      <c r="I468" s="197"/>
      <c r="J468" s="198" t="s">
        <v>529</v>
      </c>
      <c r="K468" s="199">
        <v>44958.0</v>
      </c>
      <c r="L468" s="200">
        <v>45200.0</v>
      </c>
      <c r="M468" s="201" t="s">
        <v>535</v>
      </c>
      <c r="N468" s="202"/>
      <c r="O468" s="202"/>
    </row>
    <row r="469">
      <c r="A469" s="192">
        <v>2237.0</v>
      </c>
      <c r="B469" s="193" t="s">
        <v>1905</v>
      </c>
      <c r="C469" s="193" t="s">
        <v>537</v>
      </c>
      <c r="D469" s="193" t="s">
        <v>1906</v>
      </c>
      <c r="E469" s="193" t="s">
        <v>1907</v>
      </c>
      <c r="F469" s="195">
        <v>2.215759254E9</v>
      </c>
      <c r="G469" s="196"/>
      <c r="H469" s="193" t="s">
        <v>1908</v>
      </c>
      <c r="I469" s="197"/>
      <c r="J469" s="198" t="s">
        <v>529</v>
      </c>
      <c r="K469" s="199">
        <v>45292.0</v>
      </c>
      <c r="L469" s="200">
        <v>45413.0</v>
      </c>
      <c r="M469" s="201" t="s">
        <v>535</v>
      </c>
      <c r="N469" s="202"/>
      <c r="O469" s="202"/>
    </row>
    <row r="470">
      <c r="A470" s="192">
        <v>1496.0</v>
      </c>
      <c r="B470" s="193" t="s">
        <v>1909</v>
      </c>
      <c r="C470" s="194" t="s">
        <v>526</v>
      </c>
      <c r="D470" s="193" t="s">
        <v>770</v>
      </c>
      <c r="E470" s="193" t="s">
        <v>1910</v>
      </c>
      <c r="F470" s="195" t="s">
        <v>1911</v>
      </c>
      <c r="G470" s="221" t="s">
        <v>1912</v>
      </c>
      <c r="H470" s="193"/>
      <c r="I470" s="197" t="str">
        <f>IF(iserror(vlookup($A470,Pagos!$B$5:L1241,4,false)),"Sin actividad",If(vlookup($A470,Pagos!$B$5:$L1241,5,false),vlookup($A470,Pagos!$B$5:$L1241,5,false),vlookup($A470,Pagos!$B$5:$L1241,4,false)))</f>
        <v>Sin actividad</v>
      </c>
      <c r="J470" s="198" t="s">
        <v>529</v>
      </c>
      <c r="K470" s="199">
        <v>41693.0</v>
      </c>
      <c r="L470" s="200"/>
      <c r="M470" s="201"/>
      <c r="N470" s="202">
        <f>If(L470&gt;K470,   datedif(K470,L470,"Y") , If(K470&lt;Vitalicios!$C$4, datedif(K470,Vitalicios!$C$4,"Y"),0)  )</f>
        <v>11</v>
      </c>
      <c r="O470" s="202"/>
    </row>
    <row r="471">
      <c r="A471" s="192">
        <v>1773.0</v>
      </c>
      <c r="B471" s="193" t="s">
        <v>1913</v>
      </c>
      <c r="C471" s="194" t="s">
        <v>519</v>
      </c>
      <c r="D471" s="193" t="s">
        <v>538</v>
      </c>
      <c r="E471" s="193" t="s">
        <v>1914</v>
      </c>
      <c r="F471" s="195">
        <v>4205564.0</v>
      </c>
      <c r="G471" s="196"/>
      <c r="H471" s="193" t="s">
        <v>1915</v>
      </c>
      <c r="I471" s="197">
        <f>IF(iserror(vlookup($A471,Pagos!$B$5:L1241,4,false)),"Sin actividad",If(vlookup($A471,Pagos!$B$5:$L1241,5,false),vlookup($A471,Pagos!$B$5:$L1241,5,false),vlookup($A471,Pagos!$B$5:$L1241,4,false)))</f>
        <v>45870</v>
      </c>
      <c r="J471" s="198" t="s">
        <v>523</v>
      </c>
      <c r="K471" s="199">
        <v>43831.0</v>
      </c>
      <c r="L471" s="200"/>
      <c r="M471" s="201"/>
      <c r="N471" s="202">
        <f>If(L471&gt;K471,   datedif(K471,L471,"Y") , If(K471&lt;Vitalicios!$C$4, datedif(K471,Vitalicios!$C$4,"Y"),0)  )</f>
        <v>5</v>
      </c>
      <c r="O471" s="202"/>
    </row>
    <row r="472">
      <c r="A472" s="192">
        <v>1508.0</v>
      </c>
      <c r="B472" s="193" t="s">
        <v>1916</v>
      </c>
      <c r="C472" s="194" t="s">
        <v>526</v>
      </c>
      <c r="D472" s="193" t="s">
        <v>556</v>
      </c>
      <c r="E472" s="193" t="s">
        <v>1917</v>
      </c>
      <c r="F472" s="195">
        <v>1.56070612E8</v>
      </c>
      <c r="G472" s="196"/>
      <c r="H472" s="193" t="s">
        <v>1918</v>
      </c>
      <c r="I472" s="197" t="str">
        <f>IF(iserror(vlookup($A472,Pagos!$B$5:L1241,4,false)),"Sin actividad",If(vlookup($A472,Pagos!$B$5:$L1241,5,false),vlookup($A472,Pagos!$B$5:$L1241,5,false),vlookup($A472,Pagos!$B$5:$L1241,4,false)))</f>
        <v>Sin actividad</v>
      </c>
      <c r="J472" s="198" t="s">
        <v>529</v>
      </c>
      <c r="K472" s="199">
        <v>41860.0</v>
      </c>
      <c r="L472" s="200">
        <v>43374.0</v>
      </c>
      <c r="M472" s="201"/>
      <c r="N472" s="202">
        <f>If(L472&gt;K472,   datedif(K472,L472,"Y") , If(K472&lt;Vitalicios!$C$4, datedif(K472,Vitalicios!$C$4,"Y"),0)  )</f>
        <v>4</v>
      </c>
      <c r="O472" s="202"/>
    </row>
    <row r="473">
      <c r="A473" s="192">
        <v>2383.0</v>
      </c>
      <c r="B473" s="193" t="s">
        <v>1919</v>
      </c>
      <c r="C473" s="194" t="s">
        <v>526</v>
      </c>
      <c r="D473" s="193" t="s">
        <v>527</v>
      </c>
      <c r="E473" s="193" t="s">
        <v>1920</v>
      </c>
      <c r="F473" s="195"/>
      <c r="G473" s="221">
        <v>1.5569581E8</v>
      </c>
      <c r="H473" s="193" t="s">
        <v>1921</v>
      </c>
      <c r="I473" s="197">
        <f>IF(iserror(vlookup($A473,Pagos!$B$5:L1241,4,false)),"Sin actividad",If(vlookup($A473,Pagos!$B$5:$L1241,5,false),vlookup($A473,Pagos!$B$5:$L1241,5,false),vlookup($A473,Pagos!$B$5:$L1241,4,false)))</f>
        <v>45931</v>
      </c>
      <c r="J473" s="198" t="s">
        <v>529</v>
      </c>
      <c r="K473" s="199">
        <v>41798.0</v>
      </c>
      <c r="L473" s="200">
        <v>43374.0</v>
      </c>
      <c r="M473" s="201" t="s">
        <v>1922</v>
      </c>
      <c r="N473" s="202">
        <f>If(L473&gt;K473,   datedif(K473,L473,"Y") , If(K473&lt;Vitalicios!$C$4, datedif(K473,Vitalicios!$C$4,"Y"),0)  )</f>
        <v>4</v>
      </c>
      <c r="O473" s="202"/>
    </row>
    <row r="474">
      <c r="A474" s="192">
        <v>2072.0</v>
      </c>
      <c r="B474" s="193" t="s">
        <v>1923</v>
      </c>
      <c r="C474" s="193" t="s">
        <v>537</v>
      </c>
      <c r="D474" s="193" t="s">
        <v>549</v>
      </c>
      <c r="E474" s="193" t="s">
        <v>1924</v>
      </c>
      <c r="F474" s="195">
        <v>1.127486646E9</v>
      </c>
      <c r="G474" s="221"/>
      <c r="H474" s="193" t="s">
        <v>1925</v>
      </c>
      <c r="I474" s="197"/>
      <c r="J474" s="198" t="s">
        <v>529</v>
      </c>
      <c r="K474" s="199">
        <v>44835.0</v>
      </c>
      <c r="L474" s="200">
        <v>45108.0</v>
      </c>
      <c r="M474" s="201" t="s">
        <v>614</v>
      </c>
      <c r="N474" s="202"/>
      <c r="O474" s="202"/>
    </row>
    <row r="475">
      <c r="A475" s="192">
        <v>2240.0</v>
      </c>
      <c r="B475" s="193" t="s">
        <v>1926</v>
      </c>
      <c r="C475" s="193" t="s">
        <v>537</v>
      </c>
      <c r="D475" s="193" t="s">
        <v>532</v>
      </c>
      <c r="E475" s="193" t="s">
        <v>1927</v>
      </c>
      <c r="F475" s="195">
        <v>5441588.0</v>
      </c>
      <c r="G475" s="221"/>
      <c r="H475" s="193" t="s">
        <v>1928</v>
      </c>
      <c r="I475" s="197"/>
      <c r="J475" s="198" t="s">
        <v>523</v>
      </c>
      <c r="K475" s="199">
        <v>45292.0</v>
      </c>
      <c r="L475" s="200"/>
      <c r="M475" s="201"/>
      <c r="N475" s="202"/>
      <c r="O475" s="202"/>
    </row>
    <row r="476">
      <c r="A476" s="192">
        <v>1372.0</v>
      </c>
      <c r="B476" s="193" t="s">
        <v>1929</v>
      </c>
      <c r="C476" s="194" t="s">
        <v>526</v>
      </c>
      <c r="D476" s="193" t="s">
        <v>556</v>
      </c>
      <c r="E476" s="193" t="s">
        <v>1930</v>
      </c>
      <c r="F476" s="195">
        <v>1.55197948E8</v>
      </c>
      <c r="G476" s="196">
        <v>0.0</v>
      </c>
      <c r="H476" s="193"/>
      <c r="I476" s="197" t="str">
        <f>IF(iserror(vlookup($A476,Pagos!$B$5:L1241,4,false)),"Sin actividad",If(vlookup($A476,Pagos!$B$5:$L1241,5,false),vlookup($A476,Pagos!$B$5:$L1241,5,false),vlookup($A476,Pagos!$B$5:$L1241,4,false)))</f>
        <v>Sin actividad</v>
      </c>
      <c r="J476" s="198" t="s">
        <v>529</v>
      </c>
      <c r="K476" s="199">
        <v>40642.0</v>
      </c>
      <c r="L476" s="200">
        <v>41883.0</v>
      </c>
      <c r="M476" s="201"/>
      <c r="N476" s="202">
        <f>If(L476&gt;K476,   datedif(K476,L476,"Y") , If(K476&lt;Vitalicios!$C$4, datedif(K476,Vitalicios!$C$4,"Y"),0)  )</f>
        <v>3</v>
      </c>
      <c r="O476" s="202"/>
    </row>
    <row r="477">
      <c r="A477" s="192">
        <v>1771.0</v>
      </c>
      <c r="B477" s="193" t="s">
        <v>1931</v>
      </c>
      <c r="C477" s="194" t="s">
        <v>519</v>
      </c>
      <c r="D477" s="193" t="s">
        <v>538</v>
      </c>
      <c r="E477" s="193" t="s">
        <v>633</v>
      </c>
      <c r="F477" s="195">
        <v>1.5640959E8</v>
      </c>
      <c r="G477" s="196"/>
      <c r="H477" s="193" t="s">
        <v>1932</v>
      </c>
      <c r="I477" s="197">
        <f>IF(iserror(vlookup($A477,Pagos!$B$5:L1241,4,false)),"Sin actividad",If(vlookup($A477,Pagos!$B$5:$L1241,5,false),vlookup($A477,Pagos!$B$5:$L1241,5,false),vlookup($A477,Pagos!$B$5:$L1241,4,false)))</f>
        <v>45870</v>
      </c>
      <c r="J477" s="198" t="s">
        <v>523</v>
      </c>
      <c r="K477" s="199">
        <v>43831.0</v>
      </c>
      <c r="L477" s="200"/>
      <c r="M477" s="201"/>
      <c r="N477" s="202">
        <f>If(L477&gt;K477,   datedif(K477,L477,"Y") , If(K477&lt;Vitalicios!$C$4, datedif(K477,Vitalicios!$C$4,"Y"),0)  )</f>
        <v>5</v>
      </c>
      <c r="O477" s="202"/>
    </row>
    <row r="478">
      <c r="A478" s="192">
        <v>1412.0</v>
      </c>
      <c r="B478" s="193" t="s">
        <v>1933</v>
      </c>
      <c r="C478" s="194" t="s">
        <v>577</v>
      </c>
      <c r="D478" s="193" t="s">
        <v>527</v>
      </c>
      <c r="E478" s="193">
        <v>0.0</v>
      </c>
      <c r="F478" s="195">
        <v>0.0</v>
      </c>
      <c r="G478" s="196">
        <v>0.0</v>
      </c>
      <c r="H478" s="193" t="s">
        <v>1934</v>
      </c>
      <c r="I478" s="197" t="str">
        <f>IF(iserror(vlookup($A478,Pagos!$B$5:L1241,4,false)),"Sin actividad",If(vlookup($A478,Pagos!$B$5:$L1241,5,false),vlookup($A478,Pagos!$B$5:$L1241,5,false),vlookup($A478,Pagos!$B$5:$L1241,4,false)))</f>
        <v>Sin actividad</v>
      </c>
      <c r="J478" s="198" t="s">
        <v>523</v>
      </c>
      <c r="K478" s="199">
        <v>40979.0</v>
      </c>
      <c r="L478" s="200">
        <v>45474.0</v>
      </c>
      <c r="M478" s="201" t="s">
        <v>1935</v>
      </c>
      <c r="N478" s="202">
        <f>If(L478&gt;K478,   datedif(K478,L478,"Y") , If(K478&lt;Vitalicios!$C$4, datedif(K478,Vitalicios!$C$4,"Y"),0)  )</f>
        <v>12</v>
      </c>
      <c r="O478" s="202"/>
    </row>
    <row r="479">
      <c r="A479" s="192">
        <v>1455.0</v>
      </c>
      <c r="B479" s="193" t="s">
        <v>1936</v>
      </c>
      <c r="C479" s="194" t="s">
        <v>526</v>
      </c>
      <c r="D479" s="193" t="s">
        <v>556</v>
      </c>
      <c r="E479" s="193"/>
      <c r="F479" s="195"/>
      <c r="G479" s="196"/>
      <c r="H479" s="193"/>
      <c r="I479" s="197" t="str">
        <f>IF(iserror(vlookup($A479,Pagos!$B$5:L1241,4,false)),"Sin actividad",If(vlookup($A479,Pagos!$B$5:$L1241,5,false),vlookup($A479,Pagos!$B$5:$L1241,5,false),vlookup($A479,Pagos!$B$5:$L1241,4,false)))</f>
        <v>Sin actividad</v>
      </c>
      <c r="J479" s="198" t="s">
        <v>529</v>
      </c>
      <c r="K479" s="199">
        <v>41363.0</v>
      </c>
      <c r="L479" s="200"/>
      <c r="M479" s="201"/>
      <c r="N479" s="202">
        <f>If(L479&gt;K479,   datedif(K479,L479,"Y") , If(K479&lt;Vitalicios!$C$4, datedif(K479,Vitalicios!$C$4,"Y"),0)  )</f>
        <v>12</v>
      </c>
      <c r="O479" s="202"/>
    </row>
    <row r="480">
      <c r="A480" s="192">
        <v>1179.0</v>
      </c>
      <c r="B480" s="193" t="s">
        <v>1937</v>
      </c>
      <c r="C480" s="194" t="s">
        <v>526</v>
      </c>
      <c r="D480" s="193" t="s">
        <v>527</v>
      </c>
      <c r="E480" s="193" t="s">
        <v>1938</v>
      </c>
      <c r="F480" s="195">
        <v>4521415.0</v>
      </c>
      <c r="G480" s="196">
        <v>0.0</v>
      </c>
      <c r="H480" s="193"/>
      <c r="I480" s="197" t="str">
        <f>IF(iserror(vlookup($A480,Pagos!$B$5:L1241,4,false)),"Sin actividad",If(vlookup($A480,Pagos!$B$5:$L1241,5,false),vlookup($A480,Pagos!$B$5:$L1241,5,false),vlookup($A480,Pagos!$B$5:$L1241,4,false)))</f>
        <v>Sin actividad</v>
      </c>
      <c r="J480" s="198" t="s">
        <v>529</v>
      </c>
      <c r="K480" s="199">
        <v>39509.0</v>
      </c>
      <c r="L480" s="200">
        <v>43972.0</v>
      </c>
      <c r="M480" s="201"/>
      <c r="N480" s="202">
        <f>If(L480&gt;K480,   datedif(K480,L480,"Y") , If(K480&lt;Vitalicios!$C$4, datedif(K480,Vitalicios!$C$4,"Y"),0)  )</f>
        <v>12</v>
      </c>
      <c r="O480" s="202"/>
    </row>
    <row r="481">
      <c r="A481" s="192">
        <v>1764.0</v>
      </c>
      <c r="B481" s="193" t="s">
        <v>1939</v>
      </c>
      <c r="C481" s="194" t="s">
        <v>519</v>
      </c>
      <c r="D481" s="193" t="s">
        <v>538</v>
      </c>
      <c r="E481" s="193" t="s">
        <v>1940</v>
      </c>
      <c r="F481" s="195">
        <v>1.54765917E8</v>
      </c>
      <c r="G481" s="196"/>
      <c r="H481" s="193" t="s">
        <v>1941</v>
      </c>
      <c r="I481" s="197" t="str">
        <f>IF(iserror(vlookup($A481,Pagos!$B$5:L1241,4,false)),"Sin actividad",If(vlookup($A481,Pagos!$B$5:$L1241,5,false),vlookup($A481,Pagos!$B$5:$L1241,5,false),vlookup($A481,Pagos!$B$5:$L1241,4,false)))</f>
        <v>Sin actividad</v>
      </c>
      <c r="J481" s="198" t="s">
        <v>529</v>
      </c>
      <c r="K481" s="199">
        <v>43800.0</v>
      </c>
      <c r="L481" s="200">
        <v>44621.0</v>
      </c>
      <c r="M481" s="201" t="s">
        <v>535</v>
      </c>
      <c r="N481" s="202">
        <f>IF(L481&gt;K481,   DATEDIF(K481,L481,"Y") , IF(K481&lt;Vitalicios!$C$4, DATEDIF(K481,Vitalicios!$C$4,"Y"),0)  )</f>
        <v>2</v>
      </c>
      <c r="O481" s="202"/>
    </row>
    <row r="482">
      <c r="A482" s="192">
        <v>1698.0</v>
      </c>
      <c r="B482" s="193" t="s">
        <v>1942</v>
      </c>
      <c r="C482" s="194" t="s">
        <v>526</v>
      </c>
      <c r="D482" s="193" t="s">
        <v>520</v>
      </c>
      <c r="E482" s="193" t="s">
        <v>1943</v>
      </c>
      <c r="F482" s="195">
        <v>1.54283585E8</v>
      </c>
      <c r="G482" s="196"/>
      <c r="H482" s="193" t="s">
        <v>1944</v>
      </c>
      <c r="I482" s="197">
        <f>IF(iserror(vlookup($A482,Pagos!$B$5:L1241,4,false)),"Sin actividad",If(vlookup($A482,Pagos!$B$5:$L1241,5,false),vlookup($A482,Pagos!$B$5:$L1241,5,false),vlookup($A482,Pagos!$B$5:$L1241,4,false)))</f>
        <v>45870</v>
      </c>
      <c r="J482" s="198" t="s">
        <v>523</v>
      </c>
      <c r="K482" s="199">
        <v>43221.0</v>
      </c>
      <c r="L482" s="200"/>
      <c r="M482" s="201"/>
      <c r="N482" s="202">
        <f>If(L482&gt;K482,   datedif(K482,L482,"Y") , If(K482&lt;Vitalicios!$C$4, datedif(K482,Vitalicios!$C$4,"Y"),0)  )</f>
        <v>7</v>
      </c>
      <c r="O482" s="202"/>
    </row>
    <row r="483">
      <c r="A483" s="192">
        <v>1467.0</v>
      </c>
      <c r="B483" s="193" t="s">
        <v>1945</v>
      </c>
      <c r="C483" s="194" t="s">
        <v>526</v>
      </c>
      <c r="D483" s="193" t="s">
        <v>556</v>
      </c>
      <c r="E483" s="193" t="s">
        <v>1946</v>
      </c>
      <c r="F483" s="195">
        <v>1.54979E8</v>
      </c>
      <c r="G483" s="196">
        <v>4803511.0</v>
      </c>
      <c r="H483" s="193"/>
      <c r="I483" s="197" t="str">
        <f>IF(iserror(vlookup($A483,Pagos!$B$5:L1241,4,false)),"Sin actividad",If(vlookup($A483,Pagos!$B$5:$L1241,5,false),vlookup($A483,Pagos!$B$5:$L1241,5,false),vlookup($A483,Pagos!$B$5:$L1241,4,false)))</f>
        <v>Sin actividad</v>
      </c>
      <c r="J483" s="198" t="s">
        <v>529</v>
      </c>
      <c r="K483" s="199">
        <v>41461.0</v>
      </c>
      <c r="L483" s="200"/>
      <c r="M483" s="201"/>
      <c r="N483" s="202">
        <f>If(L483&gt;K483,   datedif(K483,L483,"Y") , If(K483&lt;Vitalicios!$C$4, datedif(K483,Vitalicios!$C$4,"Y"),0)  )</f>
        <v>12</v>
      </c>
      <c r="O483" s="202"/>
    </row>
    <row r="484">
      <c r="A484" s="192">
        <v>2074.0</v>
      </c>
      <c r="B484" s="193" t="s">
        <v>1947</v>
      </c>
      <c r="C484" s="193" t="s">
        <v>537</v>
      </c>
      <c r="D484" s="193" t="s">
        <v>538</v>
      </c>
      <c r="E484" s="193" t="s">
        <v>1948</v>
      </c>
      <c r="F484" s="195">
        <v>2.215039506E9</v>
      </c>
      <c r="G484" s="196"/>
      <c r="H484" s="193" t="s">
        <v>1949</v>
      </c>
      <c r="I484" s="197"/>
      <c r="J484" s="198" t="s">
        <v>529</v>
      </c>
      <c r="K484" s="199">
        <v>44835.0</v>
      </c>
      <c r="L484" s="200">
        <v>45383.0</v>
      </c>
      <c r="M484" s="201" t="s">
        <v>535</v>
      </c>
      <c r="N484" s="202"/>
      <c r="O484" s="202"/>
    </row>
    <row r="485">
      <c r="A485" s="192">
        <v>1974.0</v>
      </c>
      <c r="B485" s="193" t="s">
        <v>1950</v>
      </c>
      <c r="C485" s="194"/>
      <c r="D485" s="193"/>
      <c r="E485" s="193"/>
      <c r="F485" s="195"/>
      <c r="G485" s="196"/>
      <c r="H485" s="193"/>
      <c r="I485" s="197" t="str">
        <f>IF(iserror(vlookup($A485,Pagos!$B$5:L1241,4,false)),"Sin actividad",If(vlookup($A485,Pagos!$B$5:$L1241,5,false),vlookup($A485,Pagos!$B$5:$L1241,5,false),vlookup($A485,Pagos!$B$5:$L1241,4,false)))</f>
        <v>Sin actividad</v>
      </c>
      <c r="J485" s="198" t="s">
        <v>529</v>
      </c>
      <c r="K485" s="199">
        <v>44531.0</v>
      </c>
      <c r="L485" s="200">
        <v>44593.0</v>
      </c>
      <c r="M485" s="201" t="s">
        <v>1951</v>
      </c>
      <c r="N485" s="202"/>
      <c r="O485" s="202"/>
    </row>
    <row r="486">
      <c r="A486" s="192">
        <v>1337.0</v>
      </c>
      <c r="B486" s="193" t="s">
        <v>1952</v>
      </c>
      <c r="C486" s="194" t="s">
        <v>526</v>
      </c>
      <c r="D486" s="193" t="s">
        <v>527</v>
      </c>
      <c r="E486" s="193" t="s">
        <v>1953</v>
      </c>
      <c r="F486" s="195">
        <v>4838115.0</v>
      </c>
      <c r="G486" s="196">
        <v>0.0</v>
      </c>
      <c r="H486" s="193"/>
      <c r="I486" s="197" t="str">
        <f>IF(iserror(vlookup($A486,Pagos!$B$5:L1241,4,false)),"Sin actividad",If(vlookup($A486,Pagos!$B$5:$L1241,5,false),vlookup($A486,Pagos!$B$5:$L1241,5,false),vlookup($A486,Pagos!$B$5:$L1241,4,false)))</f>
        <v>Sin actividad</v>
      </c>
      <c r="J486" s="198" t="s">
        <v>529</v>
      </c>
      <c r="K486" s="199">
        <v>40531.0</v>
      </c>
      <c r="L486" s="200"/>
      <c r="M486" s="201"/>
      <c r="N486" s="202">
        <f>If(L486&gt;K486,   datedif(K486,L486,"Y") , If(K486&lt;Vitalicios!$C$4, datedif(K486,Vitalicios!$C$4,"Y"),0)  )</f>
        <v>14</v>
      </c>
      <c r="O486" s="202"/>
    </row>
    <row r="487">
      <c r="A487" s="192">
        <v>2050.0</v>
      </c>
      <c r="B487" s="193" t="s">
        <v>1954</v>
      </c>
      <c r="C487" s="193" t="s">
        <v>537</v>
      </c>
      <c r="D487" s="193">
        <v>157.0</v>
      </c>
      <c r="E487" s="193" t="s">
        <v>1955</v>
      </c>
      <c r="F487" s="195">
        <v>2.215041276E9</v>
      </c>
      <c r="G487" s="196"/>
      <c r="H487" s="193" t="s">
        <v>1956</v>
      </c>
      <c r="I487" s="197"/>
      <c r="J487" s="198" t="s">
        <v>529</v>
      </c>
      <c r="K487" s="199">
        <v>44743.0</v>
      </c>
      <c r="L487" s="200">
        <v>45200.0</v>
      </c>
      <c r="M487" s="201" t="s">
        <v>535</v>
      </c>
      <c r="N487" s="202"/>
      <c r="O487" s="202"/>
    </row>
    <row r="488">
      <c r="A488" s="192">
        <v>2387.0</v>
      </c>
      <c r="B488" s="193" t="s">
        <v>1957</v>
      </c>
      <c r="C488" s="193" t="s">
        <v>537</v>
      </c>
      <c r="D488" s="193" t="s">
        <v>532</v>
      </c>
      <c r="E488" s="193" t="s">
        <v>1958</v>
      </c>
      <c r="F488" s="195">
        <v>2.215844387E9</v>
      </c>
      <c r="G488" s="196"/>
      <c r="H488" s="193" t="s">
        <v>1959</v>
      </c>
      <c r="I488" s="197"/>
      <c r="J488" s="198" t="s">
        <v>523</v>
      </c>
      <c r="K488" s="199">
        <v>45901.0</v>
      </c>
      <c r="L488" s="200"/>
      <c r="M488" s="201"/>
      <c r="N488" s="202"/>
      <c r="O488" s="202"/>
    </row>
    <row r="489">
      <c r="A489" s="192">
        <v>1851.0</v>
      </c>
      <c r="B489" s="193" t="s">
        <v>1960</v>
      </c>
      <c r="C489" s="193" t="s">
        <v>537</v>
      </c>
      <c r="D489" s="193" t="s">
        <v>538</v>
      </c>
      <c r="E489" s="193" t="s">
        <v>1961</v>
      </c>
      <c r="F489" s="195">
        <v>2.215562044E9</v>
      </c>
      <c r="G489" s="196"/>
      <c r="H489" s="193" t="s">
        <v>1962</v>
      </c>
      <c r="I489" s="197" t="str">
        <f>IF(iserror(vlookup($A489,Pagos!$B$5:L1241,4,false)),"Sin actividad",If(vlookup($A489,Pagos!$B$5:$L1241,5,false),vlookup($A489,Pagos!$B$5:$L1241,5,false),vlookup($A489,Pagos!$B$5:$L1241,4,false)))</f>
        <v>Sin actividad</v>
      </c>
      <c r="J489" s="198" t="s">
        <v>529</v>
      </c>
      <c r="K489" s="199">
        <v>44136.0</v>
      </c>
      <c r="L489" s="200">
        <v>44378.0</v>
      </c>
      <c r="M489" s="201" t="s">
        <v>535</v>
      </c>
      <c r="N489" s="202"/>
      <c r="O489" s="202"/>
    </row>
    <row r="490">
      <c r="A490" s="192">
        <v>2380.0</v>
      </c>
      <c r="B490" s="193" t="s">
        <v>1963</v>
      </c>
      <c r="C490" s="193" t="s">
        <v>537</v>
      </c>
      <c r="D490" s="193" t="s">
        <v>1964</v>
      </c>
      <c r="E490" s="193" t="s">
        <v>1965</v>
      </c>
      <c r="F490" s="195">
        <v>2.215370002E9</v>
      </c>
      <c r="G490" s="196"/>
      <c r="H490" s="193" t="s">
        <v>1966</v>
      </c>
      <c r="I490" s="197"/>
      <c r="J490" s="198" t="s">
        <v>523</v>
      </c>
      <c r="K490" s="199">
        <v>45809.0</v>
      </c>
      <c r="L490" s="200"/>
      <c r="M490" s="201"/>
      <c r="N490" s="202"/>
      <c r="O490" s="202"/>
    </row>
    <row r="491">
      <c r="A491" s="192">
        <v>1543.0</v>
      </c>
      <c r="B491" s="193" t="s">
        <v>1967</v>
      </c>
      <c r="C491" s="194" t="s">
        <v>537</v>
      </c>
      <c r="D491" s="193" t="s">
        <v>527</v>
      </c>
      <c r="E491" s="193" t="s">
        <v>1968</v>
      </c>
      <c r="F491" s="195">
        <v>1.55749871E8</v>
      </c>
      <c r="G491" s="196">
        <v>0.0</v>
      </c>
      <c r="H491" s="193"/>
      <c r="I491" s="197" t="str">
        <f>IF(iserror(vlookup($A491,Pagos!$B$5:L1241,4,false)),"Sin actividad",If(vlookup($A491,Pagos!$B$5:$L1241,5,false),vlookup($A491,Pagos!$B$5:$L1241,5,false),vlookup($A491,Pagos!$B$5:$L1241,4,false)))</f>
        <v>Sin actividad</v>
      </c>
      <c r="J491" s="198" t="s">
        <v>529</v>
      </c>
      <c r="K491" s="199">
        <v>42028.0</v>
      </c>
      <c r="L491" s="200">
        <v>42614.0</v>
      </c>
      <c r="M491" s="201" t="s">
        <v>589</v>
      </c>
      <c r="N491" s="202">
        <f>If(L491&gt;K491,   datedif(K491,L491,"Y") , If(K491&lt;Vitalicios!$C$4, datedif(K491,Vitalicios!$C$4,"Y"),0)  )</f>
        <v>1</v>
      </c>
      <c r="O491" s="202"/>
    </row>
    <row r="492">
      <c r="A492" s="192">
        <v>1139.0</v>
      </c>
      <c r="B492" s="193" t="s">
        <v>1969</v>
      </c>
      <c r="C492" s="194" t="s">
        <v>526</v>
      </c>
      <c r="D492" s="193" t="s">
        <v>520</v>
      </c>
      <c r="E492" s="193" t="s">
        <v>1970</v>
      </c>
      <c r="F492" s="195">
        <v>1.142224139E9</v>
      </c>
      <c r="G492" s="196">
        <v>0.0</v>
      </c>
      <c r="H492" s="193"/>
      <c r="I492" s="197" t="str">
        <f>IF(iserror(vlookup($A492,Pagos!$B$5:L1241,4,false)),"Sin actividad",If(vlookup($A492,Pagos!$B$5:$L1241,5,false),vlookup($A492,Pagos!$B$5:$L1241,5,false),vlookup($A492,Pagos!$B$5:$L1241,4,false)))</f>
        <v>Sin actividad</v>
      </c>
      <c r="J492" s="198" t="s">
        <v>529</v>
      </c>
      <c r="K492" s="199">
        <v>39166.0</v>
      </c>
      <c r="L492" s="200"/>
      <c r="M492" s="201"/>
      <c r="N492" s="202">
        <f>If(L492&gt;K492,   datedif(K492,L492,"Y") , If(K492&lt;Vitalicios!$C$4, datedif(K492,Vitalicios!$C$4,"Y"),0)  )</f>
        <v>18</v>
      </c>
      <c r="O492" s="202"/>
    </row>
    <row r="493">
      <c r="A493" s="192">
        <v>1550.0</v>
      </c>
      <c r="B493" s="193" t="s">
        <v>1971</v>
      </c>
      <c r="C493" s="194" t="s">
        <v>526</v>
      </c>
      <c r="D493" s="193" t="s">
        <v>527</v>
      </c>
      <c r="E493" s="193" t="s">
        <v>1972</v>
      </c>
      <c r="F493" s="195">
        <v>1.56121441E8</v>
      </c>
      <c r="G493" s="196"/>
      <c r="H493" s="193" t="s">
        <v>1973</v>
      </c>
      <c r="I493" s="197" t="str">
        <f>IF(iserror(vlookup($A493,Pagos!$B$5:L1241,4,false)),"Sin actividad",If(vlookup($A493,Pagos!$B$5:$L1241,5,false),vlookup($A493,Pagos!$B$5:$L1241,5,false),vlookup($A493,Pagos!$B$5:$L1241,4,false)))</f>
        <v>Sin actividad</v>
      </c>
      <c r="J493" s="198" t="s">
        <v>529</v>
      </c>
      <c r="K493" s="199">
        <v>42051.0</v>
      </c>
      <c r="L493" s="200">
        <v>43374.0</v>
      </c>
      <c r="M493" s="201" t="s">
        <v>560</v>
      </c>
      <c r="N493" s="202">
        <f>If(L493&gt;K493,   datedif(K493,L493,"Y") , If(K493&lt;Vitalicios!$C$4, datedif(K493,Vitalicios!$C$4,"Y"),0)  )</f>
        <v>3</v>
      </c>
      <c r="O493" s="202"/>
    </row>
    <row r="494">
      <c r="A494" s="192">
        <v>1958.0</v>
      </c>
      <c r="B494" s="193" t="s">
        <v>1974</v>
      </c>
      <c r="C494" s="193" t="s">
        <v>537</v>
      </c>
      <c r="D494" s="193" t="s">
        <v>532</v>
      </c>
      <c r="E494" s="193" t="s">
        <v>1975</v>
      </c>
      <c r="F494" s="195">
        <v>2.235256577E9</v>
      </c>
      <c r="G494" s="196"/>
      <c r="H494" s="193" t="s">
        <v>1976</v>
      </c>
      <c r="I494" s="197" t="str">
        <f>IF(iserror(vlookup($A494,Pagos!$B$5:L1241,4,false)),"Sin actividad",If(vlookup($A494,Pagos!$B$5:$L1241,5,false),vlookup($A494,Pagos!$B$5:$L1241,5,false),vlookup($A494,Pagos!$B$5:$L1241,4,false)))</f>
        <v>Sin actividad</v>
      </c>
      <c r="J494" s="198" t="s">
        <v>523</v>
      </c>
      <c r="K494" s="199">
        <v>44531.0</v>
      </c>
      <c r="L494" s="200">
        <v>44805.0</v>
      </c>
      <c r="M494" s="201" t="s">
        <v>535</v>
      </c>
      <c r="N494" s="202"/>
      <c r="O494" s="202"/>
    </row>
    <row r="495">
      <c r="A495" s="192">
        <v>1884.0</v>
      </c>
      <c r="B495" s="193" t="s">
        <v>1977</v>
      </c>
      <c r="C495" s="193" t="s">
        <v>537</v>
      </c>
      <c r="D495" s="193" t="s">
        <v>532</v>
      </c>
      <c r="E495" s="193" t="s">
        <v>1978</v>
      </c>
      <c r="F495" s="195">
        <v>2.215656418E9</v>
      </c>
      <c r="G495" s="196"/>
      <c r="H495" s="193" t="s">
        <v>1979</v>
      </c>
      <c r="I495" s="197" t="str">
        <f>IF(iserror(vlookup($A495,Pagos!$B$5:L1241,4,false)),"Sin actividad",If(vlookup($A495,Pagos!$B$5:$L1241,5,false),vlookup($A495,Pagos!$B$5:$L1241,5,false),vlookup($A495,Pagos!$B$5:$L1241,4,false)))</f>
        <v>Sin actividad</v>
      </c>
      <c r="J495" s="198" t="s">
        <v>529</v>
      </c>
      <c r="K495" s="199">
        <v>44256.0</v>
      </c>
      <c r="L495" s="200">
        <v>44562.0</v>
      </c>
      <c r="M495" s="201" t="s">
        <v>535</v>
      </c>
      <c r="N495" s="202"/>
      <c r="O495" s="202"/>
    </row>
    <row r="496">
      <c r="A496" s="192">
        <v>1799.0</v>
      </c>
      <c r="B496" s="193" t="s">
        <v>1980</v>
      </c>
      <c r="C496" s="193" t="s">
        <v>537</v>
      </c>
      <c r="D496" s="193" t="s">
        <v>1878</v>
      </c>
      <c r="E496" s="193" t="s">
        <v>1981</v>
      </c>
      <c r="F496" s="195">
        <v>2.215574595E9</v>
      </c>
      <c r="G496" s="196"/>
      <c r="H496" s="193" t="s">
        <v>1982</v>
      </c>
      <c r="I496" s="197" t="str">
        <f>IF(iserror(vlookup($A496,Pagos!$B$5:L1241,4,false)),"Sin actividad",If(vlookup($A496,Pagos!$B$5:$L1241,5,false),vlookup($A496,Pagos!$B$5:$L1241,5,false),vlookup($A496,Pagos!$B$5:$L1241,4,false)))</f>
        <v>Sin actividad</v>
      </c>
      <c r="J496" s="198" t="s">
        <v>529</v>
      </c>
      <c r="K496" s="199">
        <v>44044.0</v>
      </c>
      <c r="L496" s="200">
        <v>44774.0</v>
      </c>
      <c r="M496" s="201" t="s">
        <v>614</v>
      </c>
      <c r="N496" s="202"/>
      <c r="O496" s="202"/>
    </row>
    <row r="497">
      <c r="A497" s="192">
        <v>1432.0</v>
      </c>
      <c r="B497" s="193" t="s">
        <v>1983</v>
      </c>
      <c r="C497" s="194" t="s">
        <v>526</v>
      </c>
      <c r="D497" s="193" t="s">
        <v>770</v>
      </c>
      <c r="E497" s="193" t="s">
        <v>1984</v>
      </c>
      <c r="F497" s="195">
        <v>1.142298025E9</v>
      </c>
      <c r="G497" s="196">
        <v>0.0</v>
      </c>
      <c r="H497" s="193"/>
      <c r="I497" s="197" t="str">
        <f>IF(iserror(vlookup($A497,Pagos!$B$5:L1241,4,false)),"Sin actividad",If(vlookup($A497,Pagos!$B$5:$L1241,5,false),vlookup($A497,Pagos!$B$5:$L1241,5,false),vlookup($A497,Pagos!$B$5:$L1241,4,false)))</f>
        <v>Sin actividad</v>
      </c>
      <c r="J497" s="198" t="s">
        <v>529</v>
      </c>
      <c r="K497" s="199">
        <v>41239.0</v>
      </c>
      <c r="L497" s="200">
        <v>43374.0</v>
      </c>
      <c r="M497" s="201" t="s">
        <v>560</v>
      </c>
      <c r="N497" s="202">
        <f>If(L497&gt;K497,   datedif(K497,L497,"Y") , If(K497&lt;Vitalicios!$C$4, datedif(K497,Vitalicios!$C$4,"Y"),0)  )</f>
        <v>5</v>
      </c>
      <c r="O497" s="202"/>
    </row>
    <row r="498">
      <c r="A498" s="192">
        <v>1645.0</v>
      </c>
      <c r="B498" s="193" t="s">
        <v>1985</v>
      </c>
      <c r="C498" s="194" t="s">
        <v>519</v>
      </c>
      <c r="D498" s="193" t="s">
        <v>538</v>
      </c>
      <c r="E498" s="193" t="s">
        <v>1986</v>
      </c>
      <c r="F498" s="195"/>
      <c r="G498" s="196"/>
      <c r="H498" s="193" t="s">
        <v>1987</v>
      </c>
      <c r="I498" s="197" t="str">
        <f>IF(iserror(vlookup($A498,Pagos!$B$5:L1241,4,false)),"Sin actividad",If(vlookup($A498,Pagos!$B$5:$L1241,5,false),vlookup($A498,Pagos!$B$5:$L1241,5,false),vlookup($A498,Pagos!$B$5:$L1241,4,false)))</f>
        <v>Sin actividad</v>
      </c>
      <c r="J498" s="198" t="s">
        <v>529</v>
      </c>
      <c r="K498" s="199">
        <v>42889.0</v>
      </c>
      <c r="L498" s="200">
        <v>43525.0</v>
      </c>
      <c r="M498" s="201"/>
      <c r="N498" s="202">
        <f>If(L498&gt;K498,   datedif(K498,L498,"Y") , If(K498&lt;Vitalicios!$C$4, datedif(K498,Vitalicios!$C$4,"Y"),0)  )</f>
        <v>1</v>
      </c>
      <c r="O498" s="202"/>
    </row>
    <row r="499">
      <c r="A499" s="192">
        <v>2175.0</v>
      </c>
      <c r="B499" s="193" t="s">
        <v>1988</v>
      </c>
      <c r="C499" s="193" t="s">
        <v>537</v>
      </c>
      <c r="D499" s="193" t="s">
        <v>538</v>
      </c>
      <c r="E499" s="193" t="s">
        <v>1989</v>
      </c>
      <c r="F499" s="195">
        <v>2.216726464E9</v>
      </c>
      <c r="G499" s="196"/>
      <c r="H499" s="193" t="s">
        <v>1990</v>
      </c>
      <c r="I499" s="197"/>
      <c r="J499" s="198" t="s">
        <v>523</v>
      </c>
      <c r="K499" s="199">
        <v>45078.0</v>
      </c>
      <c r="L499" s="200"/>
      <c r="M499" s="201"/>
      <c r="N499" s="202"/>
      <c r="O499" s="202"/>
    </row>
    <row r="500">
      <c r="A500" s="192">
        <v>1232.0</v>
      </c>
      <c r="B500" s="193" t="s">
        <v>1991</v>
      </c>
      <c r="C500" s="194" t="s">
        <v>526</v>
      </c>
      <c r="D500" s="193" t="s">
        <v>527</v>
      </c>
      <c r="E500" s="193">
        <v>0.0</v>
      </c>
      <c r="F500" s="195">
        <v>0.0</v>
      </c>
      <c r="G500" s="196">
        <v>0.0</v>
      </c>
      <c r="H500" s="193"/>
      <c r="I500" s="197" t="str">
        <f>IF(iserror(vlookup($A500,Pagos!$B$5:L1241,4,false)),"Sin actividad",If(vlookup($A500,Pagos!$B$5:$L1241,5,false),vlookup($A500,Pagos!$B$5:$L1241,5,false),vlookup($A500,Pagos!$B$5:$L1241,4,false)))</f>
        <v>Sin actividad</v>
      </c>
      <c r="J500" s="198" t="s">
        <v>529</v>
      </c>
      <c r="K500" s="199">
        <v>40019.0</v>
      </c>
      <c r="L500" s="200"/>
      <c r="M500" s="201" t="s">
        <v>1992</v>
      </c>
      <c r="N500" s="202">
        <f>If(L500&gt;K500,   datedif(K500,L500,"Y") , If(K500&lt;Vitalicios!$C$4, datedif(K500,Vitalicios!$C$4,"Y"),0)  )</f>
        <v>16</v>
      </c>
      <c r="O500" s="202"/>
    </row>
    <row r="501">
      <c r="A501" s="192">
        <v>1937.0</v>
      </c>
      <c r="B501" s="193" t="s">
        <v>1993</v>
      </c>
      <c r="C501" s="193" t="s">
        <v>537</v>
      </c>
      <c r="D501" s="193" t="s">
        <v>532</v>
      </c>
      <c r="E501" s="193" t="s">
        <v>1994</v>
      </c>
      <c r="F501" s="195">
        <v>2.213533118E9</v>
      </c>
      <c r="G501" s="196"/>
      <c r="H501" s="193" t="s">
        <v>1995</v>
      </c>
      <c r="I501" s="197" t="str">
        <f>IF(iserror(vlookup($A501,Pagos!$B$5:L1241,4,false)),"Sin actividad",If(vlookup($A501,Pagos!$B$5:$L1241,5,false),vlookup($A501,Pagos!$B$5:$L1241,5,false),vlookup($A501,Pagos!$B$5:$L1241,4,false)))</f>
        <v>Sin actividad</v>
      </c>
      <c r="J501" s="198" t="s">
        <v>529</v>
      </c>
      <c r="K501" s="199">
        <v>44501.0</v>
      </c>
      <c r="L501" s="200">
        <v>44958.0</v>
      </c>
      <c r="M501" s="201" t="s">
        <v>535</v>
      </c>
      <c r="N501" s="202"/>
      <c r="O501" s="202"/>
    </row>
    <row r="502">
      <c r="A502" s="192">
        <v>2143.0</v>
      </c>
      <c r="B502" s="193" t="s">
        <v>1996</v>
      </c>
      <c r="C502" s="193" t="s">
        <v>537</v>
      </c>
      <c r="D502" s="193" t="s">
        <v>628</v>
      </c>
      <c r="E502" s="193" t="s">
        <v>1997</v>
      </c>
      <c r="F502" s="195">
        <v>2.214550178E9</v>
      </c>
      <c r="G502" s="196"/>
      <c r="H502" s="193" t="s">
        <v>1998</v>
      </c>
      <c r="I502" s="197"/>
      <c r="J502" s="198" t="s">
        <v>523</v>
      </c>
      <c r="K502" s="199">
        <v>44986.0</v>
      </c>
      <c r="L502" s="200"/>
      <c r="M502" s="201"/>
      <c r="N502" s="202"/>
      <c r="O502" s="202"/>
    </row>
    <row r="503">
      <c r="A503" s="192">
        <v>2322.0</v>
      </c>
      <c r="B503" s="193" t="s">
        <v>1999</v>
      </c>
      <c r="C503" s="193" t="s">
        <v>537</v>
      </c>
      <c r="D503" s="193" t="s">
        <v>538</v>
      </c>
      <c r="E503" s="193" t="s">
        <v>2000</v>
      </c>
      <c r="F503" s="195">
        <v>2.213173116E9</v>
      </c>
      <c r="G503" s="196"/>
      <c r="H503" s="193" t="s">
        <v>2001</v>
      </c>
      <c r="I503" s="197"/>
      <c r="J503" s="198" t="s">
        <v>523</v>
      </c>
      <c r="K503" s="199">
        <v>45689.0</v>
      </c>
      <c r="L503" s="200"/>
      <c r="M503" s="201"/>
      <c r="N503" s="202"/>
      <c r="O503" s="202"/>
    </row>
    <row r="504">
      <c r="A504" s="192">
        <v>1473.0</v>
      </c>
      <c r="B504" s="193" t="s">
        <v>2002</v>
      </c>
      <c r="C504" s="194" t="s">
        <v>526</v>
      </c>
      <c r="D504" s="193" t="s">
        <v>527</v>
      </c>
      <c r="E504" s="193" t="s">
        <v>2003</v>
      </c>
      <c r="F504" s="195">
        <v>4795340.0</v>
      </c>
      <c r="G504" s="196">
        <v>0.0</v>
      </c>
      <c r="H504" s="193"/>
      <c r="I504" s="197" t="str">
        <f>IF(iserror(vlookup($A504,Pagos!$B$5:L1241,4,false)),"Sin actividad",If(vlookup($A504,Pagos!$B$5:$L1241,5,false),vlookup($A504,Pagos!$B$5:$L1241,5,false),vlookup($A504,Pagos!$B$5:$L1241,4,false)))</f>
        <v>Sin actividad</v>
      </c>
      <c r="J504" s="198" t="s">
        <v>529</v>
      </c>
      <c r="K504" s="199">
        <v>41545.0</v>
      </c>
      <c r="L504" s="200">
        <v>41821.0</v>
      </c>
      <c r="M504" s="201" t="s">
        <v>1201</v>
      </c>
      <c r="N504" s="202">
        <f>If(L504&gt;K504,   datedif(K504,L504,"Y") , If(K504&lt;Vitalicios!$C$4, datedif(K504,Vitalicios!$C$4,"Y"),0)  )</f>
        <v>0</v>
      </c>
      <c r="O504" s="202"/>
    </row>
    <row r="505">
      <c r="A505" s="192">
        <v>1818.0</v>
      </c>
      <c r="B505" s="193" t="s">
        <v>2004</v>
      </c>
      <c r="C505" s="193" t="s">
        <v>537</v>
      </c>
      <c r="D505" s="193" t="s">
        <v>1872</v>
      </c>
      <c r="E505" s="193" t="s">
        <v>2005</v>
      </c>
      <c r="F505" s="195">
        <v>2.21537673E9</v>
      </c>
      <c r="G505" s="196"/>
      <c r="H505" s="193" t="s">
        <v>2006</v>
      </c>
      <c r="I505" s="197">
        <f>IF(iserror(vlookup($A505,Pagos!$B$5:L1241,4,false)),"Sin actividad",If(vlookup($A505,Pagos!$B$5:$L1241,5,false),vlookup($A505,Pagos!$B$5:$L1241,5,false),vlookup($A505,Pagos!$B$5:$L1241,4,false)))</f>
        <v>45870</v>
      </c>
      <c r="J505" s="198" t="s">
        <v>523</v>
      </c>
      <c r="K505" s="199">
        <v>44075.0</v>
      </c>
      <c r="L505" s="200"/>
      <c r="M505" s="201"/>
      <c r="N505" s="202"/>
      <c r="O505" s="202"/>
    </row>
    <row r="506">
      <c r="A506" s="192">
        <v>1503.0</v>
      </c>
      <c r="B506" s="193" t="s">
        <v>2007</v>
      </c>
      <c r="C506" s="194" t="s">
        <v>526</v>
      </c>
      <c r="D506" s="193" t="s">
        <v>527</v>
      </c>
      <c r="E506" s="193"/>
      <c r="F506" s="195"/>
      <c r="G506" s="196"/>
      <c r="H506" s="193"/>
      <c r="I506" s="197">
        <f>IF(iserror(vlookup($A506,Pagos!$B$5:L1241,4,false)),"Sin actividad",If(vlookup($A506,Pagos!$B$5:$L1241,5,false),vlookup($A506,Pagos!$B$5:$L1241,5,false),vlookup($A506,Pagos!$B$5:$L1241,4,false)))</f>
        <v>45809</v>
      </c>
      <c r="J506" s="198" t="s">
        <v>529</v>
      </c>
      <c r="K506" s="199">
        <v>41727.0</v>
      </c>
      <c r="L506" s="200">
        <v>43525.0</v>
      </c>
      <c r="M506" s="201"/>
      <c r="N506" s="202">
        <f>If(L506&gt;K506,   datedif(K506,L506,"Y") , If(K506&lt;Vitalicios!$C$4, datedif(K506,Vitalicios!$C$4,"Y"),0)  )</f>
        <v>4</v>
      </c>
      <c r="O506" s="202"/>
    </row>
    <row r="507">
      <c r="A507" s="192">
        <v>1745.0</v>
      </c>
      <c r="B507" s="193" t="s">
        <v>2008</v>
      </c>
      <c r="C507" s="194" t="s">
        <v>519</v>
      </c>
      <c r="D507" s="193" t="s">
        <v>2009</v>
      </c>
      <c r="E507" s="193" t="s">
        <v>2010</v>
      </c>
      <c r="F507" s="195">
        <v>1.55382048E8</v>
      </c>
      <c r="G507" s="196"/>
      <c r="H507" s="193" t="s">
        <v>2011</v>
      </c>
      <c r="I507" s="197" t="str">
        <f>IF(iserror(vlookup($A507,Pagos!$B$5:L1241,4,false)),"Sin actividad",If(vlookup($A507,Pagos!$B$5:$L1241,5,false),vlookup($A507,Pagos!$B$5:$L1241,5,false),vlookup($A507,Pagos!$B$5:$L1241,4,false)))</f>
        <v>Sin actividad</v>
      </c>
      <c r="J507" s="198" t="s">
        <v>529</v>
      </c>
      <c r="K507" s="199">
        <v>43556.0</v>
      </c>
      <c r="L507" s="200">
        <v>44317.0</v>
      </c>
      <c r="M507" s="201" t="s">
        <v>1201</v>
      </c>
      <c r="N507" s="202">
        <f>If(L507&gt;K507,   datedif(K507,L507,"Y") , If(K507&lt;Vitalicios!$C$4, datedif(K507,Vitalicios!$C$4,"Y"),0)  )</f>
        <v>2</v>
      </c>
      <c r="O507" s="202"/>
    </row>
    <row r="508">
      <c r="A508" s="192">
        <v>2062.0</v>
      </c>
      <c r="B508" s="193" t="s">
        <v>2012</v>
      </c>
      <c r="C508" s="193" t="s">
        <v>537</v>
      </c>
      <c r="D508" s="193" t="s">
        <v>2013</v>
      </c>
      <c r="E508" s="193" t="s">
        <v>2014</v>
      </c>
      <c r="F508" s="195">
        <v>1.168279679E9</v>
      </c>
      <c r="G508" s="196"/>
      <c r="H508" s="193" t="s">
        <v>2015</v>
      </c>
      <c r="I508" s="197"/>
      <c r="J508" s="198" t="s">
        <v>529</v>
      </c>
      <c r="K508" s="199">
        <v>44805.0</v>
      </c>
      <c r="L508" s="200">
        <v>45047.0</v>
      </c>
      <c r="M508" s="201" t="s">
        <v>857</v>
      </c>
      <c r="N508" s="202"/>
      <c r="O508" s="202"/>
    </row>
    <row r="509">
      <c r="A509" s="192">
        <v>1892.0</v>
      </c>
      <c r="B509" s="193" t="s">
        <v>2016</v>
      </c>
      <c r="C509" s="193" t="s">
        <v>537</v>
      </c>
      <c r="D509" s="193" t="s">
        <v>538</v>
      </c>
      <c r="E509" s="193" t="s">
        <v>2017</v>
      </c>
      <c r="F509" s="195">
        <v>2.216193633E9</v>
      </c>
      <c r="G509" s="196"/>
      <c r="H509" s="193" t="s">
        <v>2018</v>
      </c>
      <c r="I509" s="197">
        <f>IF(iserror(vlookup($A509,Pagos!$B$5:L1241,4,false)),"Sin actividad",If(vlookup($A509,Pagos!$B$5:$L1241,5,false),vlookup($A509,Pagos!$B$5:$L1241,5,false),vlookup($A509,Pagos!$B$5:$L1241,4,false)))</f>
        <v>45870</v>
      </c>
      <c r="J509" s="198" t="s">
        <v>523</v>
      </c>
      <c r="K509" s="199">
        <v>44256.0</v>
      </c>
      <c r="L509" s="200"/>
      <c r="M509" s="201"/>
      <c r="N509" s="202"/>
      <c r="O509" s="202"/>
    </row>
    <row r="510">
      <c r="A510" s="192">
        <v>1666.0</v>
      </c>
      <c r="B510" s="193" t="s">
        <v>2019</v>
      </c>
      <c r="C510" s="194" t="s">
        <v>519</v>
      </c>
      <c r="D510" s="193" t="s">
        <v>538</v>
      </c>
      <c r="E510" s="193" t="s">
        <v>2020</v>
      </c>
      <c r="F510" s="195">
        <v>1.5418424501E10</v>
      </c>
      <c r="G510" s="196"/>
      <c r="H510" s="193"/>
      <c r="I510" s="197" t="str">
        <f>IF(iserror(vlookup($A510,Pagos!$B$5:L1241,4,false)),"Sin actividad",If(vlookup($A510,Pagos!$B$5:$L1241,5,false),vlookup($A510,Pagos!$B$5:$L1241,5,false),vlookup($A510,Pagos!$B$5:$L1241,4,false)))</f>
        <v>Sin actividad</v>
      </c>
      <c r="J510" s="198" t="s">
        <v>529</v>
      </c>
      <c r="K510" s="199">
        <v>43043.0</v>
      </c>
      <c r="L510" s="200">
        <v>43709.0</v>
      </c>
      <c r="M510" s="201"/>
      <c r="N510" s="202">
        <f>If(L510&gt;K510,   datedif(K510,L510,"Y") , If(K510&lt;Vitalicios!$C$4, datedif(K510,Vitalicios!$C$4,"Y"),0)  )</f>
        <v>1</v>
      </c>
      <c r="O510" s="202"/>
    </row>
    <row r="511">
      <c r="A511" s="192">
        <v>2202.0</v>
      </c>
      <c r="B511" s="193" t="s">
        <v>2021</v>
      </c>
      <c r="C511" s="193" t="s">
        <v>537</v>
      </c>
      <c r="D511" s="193" t="s">
        <v>628</v>
      </c>
      <c r="E511" s="193" t="s">
        <v>2022</v>
      </c>
      <c r="F511" s="195">
        <v>2.21641712E9</v>
      </c>
      <c r="G511" s="196"/>
      <c r="H511" s="193" t="s">
        <v>2023</v>
      </c>
      <c r="I511" s="197"/>
      <c r="J511" s="198" t="s">
        <v>529</v>
      </c>
      <c r="K511" s="199">
        <v>45170.0</v>
      </c>
      <c r="L511" s="200">
        <v>45323.0</v>
      </c>
      <c r="M511" s="201" t="s">
        <v>535</v>
      </c>
      <c r="N511" s="202"/>
      <c r="O511" s="202"/>
    </row>
    <row r="512">
      <c r="A512" s="192">
        <v>1364.0</v>
      </c>
      <c r="B512" s="193" t="s">
        <v>2024</v>
      </c>
      <c r="C512" s="194" t="s">
        <v>526</v>
      </c>
      <c r="D512" s="193" t="s">
        <v>527</v>
      </c>
      <c r="E512" s="193" t="s">
        <v>2025</v>
      </c>
      <c r="F512" s="195">
        <v>0.0</v>
      </c>
      <c r="G512" s="196">
        <v>0.0</v>
      </c>
      <c r="H512" s="193" t="s">
        <v>2026</v>
      </c>
      <c r="I512" s="197" t="str">
        <f>IF(iserror(vlookup($A512,Pagos!$B$5:L1241,4,false)),"Sin actividad",If(vlookup($A512,Pagos!$B$5:$L1241,5,false),vlookup($A512,Pagos!$B$5:$L1241,5,false),vlookup($A512,Pagos!$B$5:$L1241,4,false)))</f>
        <v>Sin actividad</v>
      </c>
      <c r="J512" s="198" t="s">
        <v>529</v>
      </c>
      <c r="K512" s="199">
        <v>40607.0</v>
      </c>
      <c r="L512" s="200">
        <v>43344.0</v>
      </c>
      <c r="M512" s="201" t="s">
        <v>2027</v>
      </c>
      <c r="N512" s="202">
        <f>If(L512&gt;K512,   datedif(K512,L512,"Y") , If(K512&lt;Vitalicios!$C$4, datedif(K512,Vitalicios!$C$4,"Y"),0)  )</f>
        <v>7</v>
      </c>
      <c r="O512" s="202"/>
    </row>
    <row r="513">
      <c r="A513" s="192">
        <v>1694.0</v>
      </c>
      <c r="B513" s="193" t="s">
        <v>2028</v>
      </c>
      <c r="C513" s="194" t="s">
        <v>519</v>
      </c>
      <c r="D513" s="193" t="s">
        <v>527</v>
      </c>
      <c r="E513" s="193" t="s">
        <v>2029</v>
      </c>
      <c r="F513" s="195" t="s">
        <v>2030</v>
      </c>
      <c r="G513" s="196"/>
      <c r="H513" s="193" t="s">
        <v>2031</v>
      </c>
      <c r="I513" s="197">
        <f>IF(iserror(vlookup($A513,Pagos!$B$5:L1241,4,false)),"Sin actividad",If(vlookup($A513,Pagos!$B$5:$L1241,5,false),vlookup($A513,Pagos!$B$5:$L1241,5,false),vlookup($A513,Pagos!$B$5:$L1241,4,false)))</f>
        <v>45870</v>
      </c>
      <c r="J513" s="198" t="s">
        <v>523</v>
      </c>
      <c r="K513" s="199">
        <v>43191.0</v>
      </c>
      <c r="L513" s="200"/>
      <c r="M513" s="201"/>
      <c r="N513" s="202">
        <f>If(L513&gt;K513,   datedif(K513,L513,"Y") , If(K513&lt;Vitalicios!$C$4, datedif(K513,Vitalicios!$C$4,"Y"),0)  )</f>
        <v>7</v>
      </c>
      <c r="O513" s="202"/>
    </row>
    <row r="514">
      <c r="A514" s="192">
        <v>1945.0</v>
      </c>
      <c r="B514" s="193" t="s">
        <v>2032</v>
      </c>
      <c r="C514" s="193" t="s">
        <v>537</v>
      </c>
      <c r="D514" s="193" t="s">
        <v>532</v>
      </c>
      <c r="E514" s="193" t="s">
        <v>2033</v>
      </c>
      <c r="F514" s="195">
        <v>2.215025468E9</v>
      </c>
      <c r="G514" s="196"/>
      <c r="H514" s="193" t="s">
        <v>2034</v>
      </c>
      <c r="I514" s="197" t="str">
        <f>IF(iserror(vlookup($A514,Pagos!$B$5:L1241,4,false)),"Sin actividad",If(vlookup($A514,Pagos!$B$5:$L1241,5,false),vlookup($A514,Pagos!$B$5:$L1241,5,false),vlookup($A514,Pagos!$B$5:$L1241,4,false)))</f>
        <v>Sin actividad</v>
      </c>
      <c r="J514" s="198" t="s">
        <v>529</v>
      </c>
      <c r="K514" s="199">
        <v>44501.0</v>
      </c>
      <c r="L514" s="218">
        <v>44621.0</v>
      </c>
      <c r="M514" s="201" t="s">
        <v>614</v>
      </c>
      <c r="N514" s="202"/>
      <c r="O514" s="202"/>
    </row>
    <row r="515">
      <c r="A515" s="192">
        <v>2184.0</v>
      </c>
      <c r="B515" s="193" t="s">
        <v>2035</v>
      </c>
      <c r="C515" s="193" t="s">
        <v>537</v>
      </c>
      <c r="D515" s="193" t="s">
        <v>549</v>
      </c>
      <c r="E515" s="193" t="s">
        <v>2036</v>
      </c>
      <c r="F515" s="195">
        <v>2.21592864E9</v>
      </c>
      <c r="G515" s="196"/>
      <c r="H515" s="193" t="s">
        <v>2037</v>
      </c>
      <c r="I515" s="197"/>
      <c r="J515" s="198" t="s">
        <v>523</v>
      </c>
      <c r="K515" s="199">
        <v>45139.0</v>
      </c>
      <c r="L515" s="218">
        <v>45778.0</v>
      </c>
      <c r="M515" s="201" t="s">
        <v>703</v>
      </c>
      <c r="N515" s="202"/>
      <c r="O515" s="202"/>
    </row>
    <row r="516">
      <c r="A516" s="192">
        <v>1426.0</v>
      </c>
      <c r="B516" s="193" t="s">
        <v>2038</v>
      </c>
      <c r="C516" s="194" t="s">
        <v>526</v>
      </c>
      <c r="D516" s="193" t="s">
        <v>556</v>
      </c>
      <c r="E516" s="193" t="s">
        <v>2039</v>
      </c>
      <c r="F516" s="195">
        <v>1.11553307322E11</v>
      </c>
      <c r="G516" s="196">
        <v>0.0</v>
      </c>
      <c r="H516" s="193"/>
      <c r="I516" s="197" t="str">
        <f>IF(iserror(vlookup($A516,Pagos!$B$5:L1241,4,false)),"Sin actividad",If(vlookup($A516,Pagos!$B$5:$L1241,5,false),vlookup($A516,Pagos!$B$5:$L1241,5,false),vlookup($A516,Pagos!$B$5:$L1241,4,false)))</f>
        <v>Sin actividad</v>
      </c>
      <c r="J516" s="198" t="s">
        <v>529</v>
      </c>
      <c r="K516" s="199">
        <v>41154.0</v>
      </c>
      <c r="L516" s="200"/>
      <c r="M516" s="201"/>
      <c r="N516" s="202">
        <f>If(L516&gt;K516,   datedif(K516,L516,"Y") , If(K516&lt;Vitalicios!$C$4, datedif(K516,Vitalicios!$C$4,"Y"),0)  )</f>
        <v>13</v>
      </c>
      <c r="O516" s="202"/>
    </row>
    <row r="517">
      <c r="A517" s="192">
        <v>1808.0</v>
      </c>
      <c r="B517" s="193" t="s">
        <v>2040</v>
      </c>
      <c r="C517" s="193" t="s">
        <v>537</v>
      </c>
      <c r="D517" s="193" t="s">
        <v>532</v>
      </c>
      <c r="E517" s="193" t="s">
        <v>2041</v>
      </c>
      <c r="F517" s="195">
        <v>2.215349364E9</v>
      </c>
      <c r="G517" s="196"/>
      <c r="H517" s="193" t="s">
        <v>2042</v>
      </c>
      <c r="I517" s="197" t="str">
        <f>IF(iserror(vlookup($A517,Pagos!$B$5:L1241,4,false)),"Sin actividad",If(vlookup($A517,Pagos!$B$5:$L1241,5,false),vlookup($A517,Pagos!$B$5:$L1241,5,false),vlookup($A517,Pagos!$B$5:$L1241,4,false)))</f>
        <v>Sin actividad</v>
      </c>
      <c r="J517" s="198" t="s">
        <v>529</v>
      </c>
      <c r="K517" s="199">
        <v>44044.0</v>
      </c>
      <c r="L517" s="200">
        <v>45352.0</v>
      </c>
      <c r="M517" s="201" t="s">
        <v>2043</v>
      </c>
      <c r="N517" s="202"/>
      <c r="O517" s="202"/>
    </row>
    <row r="518">
      <c r="A518" s="192">
        <v>1653.0</v>
      </c>
      <c r="B518" s="193" t="s">
        <v>2044</v>
      </c>
      <c r="C518" s="194" t="s">
        <v>519</v>
      </c>
      <c r="D518" s="193" t="s">
        <v>538</v>
      </c>
      <c r="E518" s="193" t="s">
        <v>2045</v>
      </c>
      <c r="F518" s="195">
        <v>1.55703401E8</v>
      </c>
      <c r="G518" s="196"/>
      <c r="H518" s="193" t="s">
        <v>2046</v>
      </c>
      <c r="I518" s="197" t="str">
        <f>IF(iserror(vlookup($A518,Pagos!$B$5:L1241,4,false)),"Sin actividad",If(vlookup($A518,Pagos!$B$5:$L1241,5,false),vlookup($A518,Pagos!$B$5:$L1241,5,false),vlookup($A518,Pagos!$B$5:$L1241,4,false)))</f>
        <v>Sin actividad</v>
      </c>
      <c r="J518" s="198" t="s">
        <v>529</v>
      </c>
      <c r="K518" s="199">
        <v>42979.0</v>
      </c>
      <c r="L518" s="200">
        <v>45689.0</v>
      </c>
      <c r="M518" s="201" t="s">
        <v>2047</v>
      </c>
      <c r="N518" s="202">
        <f>If(L518&gt;K518,   datedif(K518,L518,"Y") , If(K518&lt;Vitalicios!$C$4, datedif(K518,Vitalicios!$C$4,"Y"),0)  )</f>
        <v>7</v>
      </c>
      <c r="O518" s="202"/>
    </row>
    <row r="519">
      <c r="A519" s="192">
        <v>1736.0</v>
      </c>
      <c r="B519" s="193" t="s">
        <v>2048</v>
      </c>
      <c r="C519" s="194" t="s">
        <v>519</v>
      </c>
      <c r="D519" s="193" t="s">
        <v>709</v>
      </c>
      <c r="E519" s="193" t="s">
        <v>2049</v>
      </c>
      <c r="F519" s="219" t="s">
        <v>2050</v>
      </c>
      <c r="G519" s="196"/>
      <c r="H519" s="193" t="s">
        <v>2051</v>
      </c>
      <c r="I519" s="197" t="str">
        <f>IF(iserror(vlookup($A519,Pagos!$B$5:L1241,4,false)),"Sin actividad",If(vlookup($A519,Pagos!$B$5:$L1241,5,false),vlookup($A519,Pagos!$B$5:$L1241,5,false),vlookup($A519,Pagos!$B$5:$L1241,4,false)))</f>
        <v>Sin actividad</v>
      </c>
      <c r="J519" s="198" t="s">
        <v>529</v>
      </c>
      <c r="K519" s="199">
        <v>43525.0</v>
      </c>
      <c r="L519" s="200">
        <v>44256.0</v>
      </c>
      <c r="M519" s="201" t="s">
        <v>614</v>
      </c>
      <c r="N519" s="202">
        <f>If(L519&gt;K519,   datedif(K519,L519,"Y") , If(K519&lt;Vitalicios!$C$4, datedif(K519,Vitalicios!$C$4,"Y"),0)  )</f>
        <v>2</v>
      </c>
      <c r="O519" s="202"/>
    </row>
    <row r="520">
      <c r="A520" s="192">
        <v>1820.0</v>
      </c>
      <c r="B520" s="193" t="s">
        <v>2052</v>
      </c>
      <c r="C520" s="193" t="s">
        <v>537</v>
      </c>
      <c r="D520" s="193" t="s">
        <v>538</v>
      </c>
      <c r="E520" s="193" t="s">
        <v>2053</v>
      </c>
      <c r="F520" s="195">
        <v>1.168053314E9</v>
      </c>
      <c r="G520" s="196"/>
      <c r="H520" s="193" t="s">
        <v>2054</v>
      </c>
      <c r="I520" s="197" t="str">
        <f>IF(iserror(vlookup($A520,Pagos!$B$5:L1241,4,false)),"Sin actividad",If(vlookup($A520,Pagos!$B$5:$L1241,5,false),vlookup($A520,Pagos!$B$5:$L1241,5,false),vlookup($A520,Pagos!$B$5:$L1241,4,false)))</f>
        <v>Sin actividad</v>
      </c>
      <c r="J520" s="198" t="s">
        <v>529</v>
      </c>
      <c r="K520" s="199">
        <v>44075.0</v>
      </c>
      <c r="L520" s="200">
        <v>45292.0</v>
      </c>
      <c r="M520" s="201" t="s">
        <v>614</v>
      </c>
      <c r="N520" s="202"/>
      <c r="O520" s="202"/>
    </row>
    <row r="521">
      <c r="A521" s="192">
        <v>362.0</v>
      </c>
      <c r="B521" s="193" t="s">
        <v>2055</v>
      </c>
      <c r="C521" s="194" t="s">
        <v>577</v>
      </c>
      <c r="D521" s="193" t="s">
        <v>520</v>
      </c>
      <c r="E521" s="193" t="s">
        <v>2056</v>
      </c>
      <c r="F521" s="195">
        <v>0.0</v>
      </c>
      <c r="G521" s="196">
        <v>0.0</v>
      </c>
      <c r="H521" s="193" t="s">
        <v>2057</v>
      </c>
      <c r="I521" s="197">
        <f>IF(iserror(vlookup($A521,Pagos!$B$5:L1241,4,false)),"Sin actividad",If(vlookup($A521,Pagos!$B$5:$L1241,5,false),vlookup($A521,Pagos!$B$5:$L1241,5,false),vlookup($A521,Pagos!$B$5:$L1241,4,false)))</f>
        <v>45870</v>
      </c>
      <c r="J521" s="198" t="s">
        <v>846</v>
      </c>
      <c r="K521" s="199">
        <v>31711.0</v>
      </c>
      <c r="L521" s="200"/>
      <c r="M521" s="201"/>
      <c r="N521" s="202">
        <f>If(L521&gt;K521,   datedif(K521,L521,"Y") , If(K521&lt;Vitalicios!$C$4, datedif(K521,Vitalicios!$C$4,"Y"),0)  )</f>
        <v>38</v>
      </c>
      <c r="O521" s="202"/>
    </row>
    <row r="522">
      <c r="A522" s="192">
        <v>1862.0</v>
      </c>
      <c r="B522" s="193" t="s">
        <v>2058</v>
      </c>
      <c r="C522" s="193" t="s">
        <v>537</v>
      </c>
      <c r="D522" s="193" t="s">
        <v>2059</v>
      </c>
      <c r="E522" s="193" t="s">
        <v>2060</v>
      </c>
      <c r="F522" s="195">
        <v>1.55747472E8</v>
      </c>
      <c r="G522" s="196"/>
      <c r="H522" s="193" t="s">
        <v>2061</v>
      </c>
      <c r="I522" s="197" t="str">
        <f>IF(iserror(vlookup($A522,Pagos!$B$5:L1241,4,false)),"Sin actividad",If(vlookup($A522,Pagos!$B$5:$L1241,5,false),vlookup($A522,Pagos!$B$5:$L1241,5,false),vlookup($A522,Pagos!$B$5:$L1241,4,false)))</f>
        <v>Sin actividad</v>
      </c>
      <c r="J522" s="198" t="s">
        <v>523</v>
      </c>
      <c r="K522" s="199">
        <v>44197.0</v>
      </c>
      <c r="L522" s="200">
        <v>45413.0</v>
      </c>
      <c r="M522" s="201" t="s">
        <v>535</v>
      </c>
      <c r="N522" s="202"/>
      <c r="O522" s="202"/>
    </row>
    <row r="523">
      <c r="A523" s="192">
        <v>2137.0</v>
      </c>
      <c r="B523" s="193" t="s">
        <v>2062</v>
      </c>
      <c r="C523" s="193" t="s">
        <v>537</v>
      </c>
      <c r="D523" s="193" t="s">
        <v>538</v>
      </c>
      <c r="E523" s="193" t="s">
        <v>2063</v>
      </c>
      <c r="F523" s="195">
        <v>1.11559597422E11</v>
      </c>
      <c r="G523" s="196"/>
      <c r="H523" s="193" t="s">
        <v>2064</v>
      </c>
      <c r="I523" s="197"/>
      <c r="J523" s="198" t="s">
        <v>529</v>
      </c>
      <c r="K523" s="199">
        <v>44986.0</v>
      </c>
      <c r="L523" s="200">
        <v>45383.0</v>
      </c>
      <c r="M523" s="201" t="s">
        <v>2065</v>
      </c>
      <c r="N523" s="202"/>
      <c r="O523" s="202"/>
    </row>
    <row r="524">
      <c r="A524" s="192">
        <v>2324.0</v>
      </c>
      <c r="B524" s="193" t="s">
        <v>2066</v>
      </c>
      <c r="C524" s="193" t="s">
        <v>537</v>
      </c>
      <c r="D524" s="193" t="s">
        <v>538</v>
      </c>
      <c r="E524" s="193" t="s">
        <v>616</v>
      </c>
      <c r="F524" s="195">
        <v>2.215724481E9</v>
      </c>
      <c r="G524" s="196"/>
      <c r="H524" s="193" t="s">
        <v>2067</v>
      </c>
      <c r="I524" s="197"/>
      <c r="J524" s="198" t="s">
        <v>523</v>
      </c>
      <c r="K524" s="199">
        <v>45689.0</v>
      </c>
      <c r="L524" s="200"/>
      <c r="M524" s="201"/>
      <c r="N524" s="202"/>
      <c r="O524" s="202"/>
    </row>
    <row r="525">
      <c r="A525" s="192">
        <v>1683.0</v>
      </c>
      <c r="B525" s="193" t="s">
        <v>2068</v>
      </c>
      <c r="C525" s="194" t="s">
        <v>519</v>
      </c>
      <c r="D525" s="193" t="s">
        <v>538</v>
      </c>
      <c r="E525" s="193" t="s">
        <v>2069</v>
      </c>
      <c r="F525" s="195">
        <v>4660628.0</v>
      </c>
      <c r="G525" s="196"/>
      <c r="H525" s="193" t="s">
        <v>2070</v>
      </c>
      <c r="I525" s="197" t="str">
        <f>IF(iserror(vlookup($A525,Pagos!$B$5:L1241,4,false)),"Sin actividad",If(vlookup($A525,Pagos!$B$5:$L1241,5,false),vlookup($A525,Pagos!$B$5:$L1241,5,false),vlookup($A525,Pagos!$B$5:$L1241,4,false)))</f>
        <v>Sin actividad</v>
      </c>
      <c r="J525" s="198" t="s">
        <v>529</v>
      </c>
      <c r="K525" s="199">
        <v>43101.0</v>
      </c>
      <c r="L525" s="200">
        <v>44682.0</v>
      </c>
      <c r="M525" s="201" t="s">
        <v>535</v>
      </c>
      <c r="N525" s="202">
        <f>If(L525&gt;K525,   datedif(K525,L525,"Y") , If(K525&lt;Vitalicios!$C$4, datedif(K525,Vitalicios!$C$4,"Y"),0)  )</f>
        <v>4</v>
      </c>
      <c r="O525" s="202"/>
    </row>
    <row r="526">
      <c r="A526" s="192">
        <v>1305.0</v>
      </c>
      <c r="B526" s="193" t="s">
        <v>2071</v>
      </c>
      <c r="C526" s="194" t="s">
        <v>577</v>
      </c>
      <c r="D526" s="193" t="s">
        <v>693</v>
      </c>
      <c r="E526" s="193" t="s">
        <v>2072</v>
      </c>
      <c r="F526" s="195">
        <v>1.56120284E8</v>
      </c>
      <c r="G526" s="196">
        <v>0.0</v>
      </c>
      <c r="H526" s="193" t="s">
        <v>2073</v>
      </c>
      <c r="I526" s="197">
        <f>IF(iserror(vlookup($A526,Pagos!$B$5:L1241,4,false)),"Sin actividad",If(vlookup($A526,Pagos!$B$5:$L1241,5,false),vlookup($A526,Pagos!$B$5:$L1241,5,false),vlookup($A526,Pagos!$B$5:$L1241,4,false)))</f>
        <v>45778</v>
      </c>
      <c r="J526" s="198" t="s">
        <v>523</v>
      </c>
      <c r="K526" s="199">
        <v>40405.0</v>
      </c>
      <c r="L526" s="200"/>
      <c r="M526" s="201"/>
      <c r="N526" s="202">
        <f>If(L526&gt;K526,   datedif(K526,L526,"Y") , If(K526&lt;Vitalicios!$C$4, datedif(K526,Vitalicios!$C$4,"Y"),0)  )</f>
        <v>15</v>
      </c>
      <c r="O526" s="202"/>
    </row>
    <row r="527">
      <c r="A527" s="192">
        <v>2371.0</v>
      </c>
      <c r="B527" s="193" t="s">
        <v>2074</v>
      </c>
      <c r="C527" s="193" t="s">
        <v>537</v>
      </c>
      <c r="D527" s="193" t="s">
        <v>538</v>
      </c>
      <c r="E527" s="193" t="s">
        <v>2075</v>
      </c>
      <c r="F527" s="195">
        <v>1.141639797E9</v>
      </c>
      <c r="G527" s="196"/>
      <c r="H527" s="193" t="s">
        <v>2076</v>
      </c>
      <c r="I527" s="197"/>
      <c r="J527" s="198" t="s">
        <v>523</v>
      </c>
      <c r="K527" s="199">
        <v>45778.0</v>
      </c>
      <c r="L527" s="200"/>
      <c r="M527" s="201"/>
      <c r="N527" s="202"/>
      <c r="O527" s="202"/>
    </row>
    <row r="528" ht="18.0" customHeight="1">
      <c r="A528" s="192">
        <v>1374.0</v>
      </c>
      <c r="B528" s="193" t="s">
        <v>2077</v>
      </c>
      <c r="C528" s="194" t="s">
        <v>526</v>
      </c>
      <c r="D528" s="193" t="s">
        <v>556</v>
      </c>
      <c r="E528" s="193" t="s">
        <v>2078</v>
      </c>
      <c r="F528" s="195">
        <v>4797468.0</v>
      </c>
      <c r="G528" s="196">
        <v>0.0</v>
      </c>
      <c r="H528" s="193"/>
      <c r="I528" s="197" t="str">
        <f>IF(iserror(vlookup($A528,Pagos!$B$5:L1241,4,false)),"Sin actividad",If(vlookup($A528,Pagos!$B$5:$L1241,5,false),vlookup($A528,Pagos!$B$5:$L1241,5,false),vlookup($A528,Pagos!$B$5:$L1241,4,false)))</f>
        <v>Sin actividad</v>
      </c>
      <c r="J528" s="198" t="s">
        <v>529</v>
      </c>
      <c r="K528" s="199">
        <v>40698.0</v>
      </c>
      <c r="L528" s="200">
        <v>43374.0</v>
      </c>
      <c r="M528" s="201" t="s">
        <v>560</v>
      </c>
      <c r="N528" s="202">
        <f>If(L528&gt;K528,   datedif(K528,L528,"Y") , If(K528&lt;Vitalicios!$C$4, datedif(K528,Vitalicios!$C$4,"Y"),0)  )</f>
        <v>7</v>
      </c>
      <c r="O528" s="202"/>
    </row>
    <row r="529">
      <c r="A529" s="192">
        <v>2087.0</v>
      </c>
      <c r="B529" s="193" t="s">
        <v>2079</v>
      </c>
      <c r="C529" s="193" t="s">
        <v>537</v>
      </c>
      <c r="D529" s="193" t="s">
        <v>556</v>
      </c>
      <c r="E529" s="193" t="s">
        <v>2080</v>
      </c>
      <c r="F529" s="195">
        <v>2.215227185E9</v>
      </c>
      <c r="G529" s="196"/>
      <c r="H529" s="193" t="s">
        <v>2081</v>
      </c>
      <c r="I529" s="197"/>
      <c r="J529" s="198" t="s">
        <v>523</v>
      </c>
      <c r="K529" s="199">
        <v>44866.0</v>
      </c>
      <c r="L529" s="200"/>
      <c r="M529" s="201"/>
      <c r="N529" s="202"/>
      <c r="O529" s="202"/>
    </row>
    <row r="530">
      <c r="A530" s="192">
        <v>2169.0</v>
      </c>
      <c r="B530" s="193" t="s">
        <v>2082</v>
      </c>
      <c r="C530" s="193" t="s">
        <v>537</v>
      </c>
      <c r="D530" s="193" t="s">
        <v>628</v>
      </c>
      <c r="E530" s="193" t="s">
        <v>2083</v>
      </c>
      <c r="F530" s="195">
        <v>2.215625278E9</v>
      </c>
      <c r="G530" s="196"/>
      <c r="H530" s="193" t="s">
        <v>2084</v>
      </c>
      <c r="I530" s="197"/>
      <c r="J530" s="198" t="s">
        <v>523</v>
      </c>
      <c r="K530" s="199">
        <v>45017.0</v>
      </c>
      <c r="L530" s="200"/>
      <c r="M530" s="201"/>
      <c r="N530" s="202"/>
      <c r="O530" s="202"/>
    </row>
    <row r="531">
      <c r="A531" s="192">
        <v>610.0</v>
      </c>
      <c r="B531" s="193" t="s">
        <v>2085</v>
      </c>
      <c r="C531" s="194" t="s">
        <v>526</v>
      </c>
      <c r="D531" s="193" t="s">
        <v>770</v>
      </c>
      <c r="E531" s="193" t="s">
        <v>2086</v>
      </c>
      <c r="F531" s="195" t="s">
        <v>2087</v>
      </c>
      <c r="G531" s="196">
        <v>0.0</v>
      </c>
      <c r="H531" s="193" t="s">
        <v>2088</v>
      </c>
      <c r="I531" s="197">
        <f>IF(iserror(vlookup($A531,Pagos!$B$5:L1241,4,false)),"Sin actividad",If(vlookup($A531,Pagos!$B$5:$L1241,5,false),vlookup($A531,Pagos!$B$5:$L1241,5,false),vlookup($A531,Pagos!$B$5:$L1241,4,false)))</f>
        <v>45901</v>
      </c>
      <c r="J531" s="198" t="s">
        <v>523</v>
      </c>
      <c r="K531" s="199">
        <v>34260.0</v>
      </c>
      <c r="L531" s="200"/>
      <c r="M531" s="201"/>
      <c r="N531" s="202">
        <f>If(L531&gt;K531,   datedif(K531,L531,"Y") , If(K531&lt;Vitalicios!$C$4, datedif(K531,Vitalicios!$C$4,"Y"),0)  )</f>
        <v>31</v>
      </c>
      <c r="O531" s="202"/>
    </row>
    <row r="532">
      <c r="A532" s="192">
        <v>2096.0</v>
      </c>
      <c r="B532" s="193" t="s">
        <v>2089</v>
      </c>
      <c r="C532" s="194"/>
      <c r="D532" s="193"/>
      <c r="E532" s="193" t="s">
        <v>2090</v>
      </c>
      <c r="F532" s="195">
        <v>2.215250223E9</v>
      </c>
      <c r="G532" s="196"/>
      <c r="H532" s="210" t="s">
        <v>2091</v>
      </c>
      <c r="I532" s="197"/>
      <c r="J532" s="198" t="s">
        <v>529</v>
      </c>
      <c r="K532" s="199">
        <v>44896.0</v>
      </c>
      <c r="L532" s="200">
        <v>45413.0</v>
      </c>
      <c r="M532" s="201" t="s">
        <v>915</v>
      </c>
      <c r="N532" s="202"/>
      <c r="O532" s="202"/>
    </row>
    <row r="533">
      <c r="A533" s="192">
        <v>1411.0</v>
      </c>
      <c r="B533" s="193" t="s">
        <v>2092</v>
      </c>
      <c r="C533" s="194" t="s">
        <v>526</v>
      </c>
      <c r="D533" s="193" t="s">
        <v>527</v>
      </c>
      <c r="E533" s="193" t="s">
        <v>2093</v>
      </c>
      <c r="F533" s="195">
        <v>4210895.0</v>
      </c>
      <c r="G533" s="196">
        <v>0.0</v>
      </c>
      <c r="H533" s="193"/>
      <c r="I533" s="197" t="str">
        <f>IF(iserror(vlookup($A533,Pagos!$B$5:L1241,4,false)),"Sin actividad",If(vlookup($A533,Pagos!$B$5:$L1241,5,false),vlookup($A533,Pagos!$B$5:$L1241,5,false),vlookup($A533,Pagos!$B$5:$L1241,4,false)))</f>
        <v>Sin actividad</v>
      </c>
      <c r="J533" s="198" t="s">
        <v>529</v>
      </c>
      <c r="K533" s="199">
        <v>40972.0</v>
      </c>
      <c r="L533" s="200"/>
      <c r="M533" s="201"/>
      <c r="N533" s="202">
        <f>If(L533&gt;K533,   datedif(K533,L533,"Y") , If(K533&lt;Vitalicios!$C$4, datedif(K533,Vitalicios!$C$4,"Y"),0)  )</f>
        <v>13</v>
      </c>
      <c r="O533" s="202"/>
    </row>
    <row r="534">
      <c r="A534" s="192">
        <v>2229.0</v>
      </c>
      <c r="B534" s="193" t="s">
        <v>2094</v>
      </c>
      <c r="C534" s="193" t="s">
        <v>537</v>
      </c>
      <c r="D534" s="193" t="s">
        <v>532</v>
      </c>
      <c r="E534" s="193" t="s">
        <v>2095</v>
      </c>
      <c r="F534" s="195">
        <v>2.215412444E9</v>
      </c>
      <c r="G534" s="196"/>
      <c r="H534" s="193" t="s">
        <v>2096</v>
      </c>
      <c r="I534" s="197"/>
      <c r="J534" s="198" t="s">
        <v>529</v>
      </c>
      <c r="K534" s="199">
        <v>45292.0</v>
      </c>
      <c r="L534" s="200">
        <v>45839.0</v>
      </c>
      <c r="M534" s="201" t="s">
        <v>614</v>
      </c>
      <c r="N534" s="202"/>
      <c r="O534" s="202"/>
    </row>
    <row r="535">
      <c r="A535" s="192">
        <v>2243.0</v>
      </c>
      <c r="B535" s="193" t="s">
        <v>2097</v>
      </c>
      <c r="C535" s="193" t="s">
        <v>537</v>
      </c>
      <c r="D535" s="193"/>
      <c r="E535" s="193"/>
      <c r="F535" s="195">
        <v>2.214957023E9</v>
      </c>
      <c r="G535" s="196"/>
      <c r="H535" s="193" t="s">
        <v>2098</v>
      </c>
      <c r="I535" s="197"/>
      <c r="J535" s="198" t="s">
        <v>523</v>
      </c>
      <c r="K535" s="199">
        <v>45292.0</v>
      </c>
      <c r="L535" s="200"/>
      <c r="M535" s="201"/>
      <c r="N535" s="202"/>
      <c r="O535" s="202"/>
    </row>
    <row r="536">
      <c r="A536" s="192">
        <v>1268.0</v>
      </c>
      <c r="B536" s="193" t="s">
        <v>2099</v>
      </c>
      <c r="C536" s="194" t="s">
        <v>526</v>
      </c>
      <c r="D536" s="193" t="s">
        <v>556</v>
      </c>
      <c r="E536" s="193">
        <v>0.0</v>
      </c>
      <c r="F536" s="195">
        <v>0.0</v>
      </c>
      <c r="G536" s="196">
        <v>0.0</v>
      </c>
      <c r="H536" s="193"/>
      <c r="I536" s="197" t="str">
        <f>IF(iserror(vlookup($A536,Pagos!$B$5:L1241,4,false)),"Sin actividad",If(vlookup($A536,Pagos!$B$5:$L1241,5,false),vlookup($A536,Pagos!$B$5:$L1241,5,false),vlookup($A536,Pagos!$B$5:$L1241,4,false)))</f>
        <v>Sin actividad</v>
      </c>
      <c r="J536" s="198" t="s">
        <v>529</v>
      </c>
      <c r="K536" s="199">
        <v>40165.0</v>
      </c>
      <c r="L536" s="200"/>
      <c r="M536" s="201"/>
      <c r="N536" s="202">
        <f>If(L536&gt;K536,   datedif(K536,L536,"Y") , If(K536&lt;Vitalicios!$C$4, datedif(K536,Vitalicios!$C$4,"Y"),0)  )</f>
        <v>15</v>
      </c>
      <c r="O536" s="202"/>
    </row>
    <row r="537">
      <c r="A537" s="192">
        <v>1378.0</v>
      </c>
      <c r="B537" s="193" t="s">
        <v>2100</v>
      </c>
      <c r="C537" s="194" t="s">
        <v>577</v>
      </c>
      <c r="D537" s="193" t="s">
        <v>556</v>
      </c>
      <c r="E537" s="193" t="s">
        <v>2101</v>
      </c>
      <c r="F537" s="195">
        <v>0.0</v>
      </c>
      <c r="G537" s="196">
        <v>0.0</v>
      </c>
      <c r="H537" s="193"/>
      <c r="I537" s="197" t="str">
        <f>IF(iserror(vlookup($A537,Pagos!$B$5:L1241,4,false)),"Sin actividad",If(vlookup($A537,Pagos!$B$5:$L1241,5,false),vlookup($A537,Pagos!$B$5:$L1241,5,false),vlookup($A537,Pagos!$B$5:$L1241,4,false)))</f>
        <v>Sin actividad</v>
      </c>
      <c r="J537" s="198" t="s">
        <v>529</v>
      </c>
      <c r="K537" s="199">
        <v>40800.0</v>
      </c>
      <c r="L537" s="200">
        <v>42005.0</v>
      </c>
      <c r="M537" s="201" t="s">
        <v>2102</v>
      </c>
      <c r="N537" s="202">
        <f>If(L537&gt;K537,   datedif(K537,L537,"Y") , If(K537&lt;Vitalicios!$C$4, datedif(K537,Vitalicios!$C$4,"Y"),0)  )</f>
        <v>3</v>
      </c>
      <c r="O537" s="202"/>
    </row>
    <row r="538">
      <c r="A538" s="192">
        <v>2224.0</v>
      </c>
      <c r="B538" s="193" t="s">
        <v>2103</v>
      </c>
      <c r="C538" s="193" t="s">
        <v>537</v>
      </c>
      <c r="D538" s="193" t="s">
        <v>532</v>
      </c>
      <c r="E538" s="193" t="s">
        <v>2104</v>
      </c>
      <c r="F538" s="195">
        <v>2.215757417E9</v>
      </c>
      <c r="G538" s="196"/>
      <c r="H538" s="193" t="s">
        <v>2105</v>
      </c>
      <c r="I538" s="197"/>
      <c r="J538" s="198" t="s">
        <v>523</v>
      </c>
      <c r="K538" s="199">
        <v>45261.0</v>
      </c>
      <c r="L538" s="200"/>
      <c r="M538" s="201"/>
      <c r="N538" s="202"/>
      <c r="O538" s="202"/>
    </row>
    <row r="539">
      <c r="A539" s="192">
        <v>1220.0</v>
      </c>
      <c r="B539" s="193" t="s">
        <v>2106</v>
      </c>
      <c r="C539" s="194" t="s">
        <v>526</v>
      </c>
      <c r="D539" s="193" t="s">
        <v>520</v>
      </c>
      <c r="E539" s="193" t="s">
        <v>2107</v>
      </c>
      <c r="F539" s="195">
        <v>0.0</v>
      </c>
      <c r="G539" s="196">
        <v>0.0</v>
      </c>
      <c r="H539" s="193"/>
      <c r="I539" s="197" t="str">
        <f>IF(iserror(vlookup($A539,Pagos!$B$5:L1241,4,false)),"Sin actividad",If(vlookup($A539,Pagos!$B$5:$L1241,5,false),vlookup($A539,Pagos!$B$5:$L1241,5,false),vlookup($A539,Pagos!$B$5:$L1241,4,false)))</f>
        <v>Sin actividad</v>
      </c>
      <c r="J539" s="198" t="s">
        <v>529</v>
      </c>
      <c r="K539" s="199">
        <v>39865.0</v>
      </c>
      <c r="L539" s="200">
        <v>42552.0</v>
      </c>
      <c r="M539" s="201"/>
      <c r="N539" s="202">
        <f>If(L539&gt;K539,   datedif(K539,L539,"Y") , If(K539&lt;Vitalicios!$C$4, datedif(K539,Vitalicios!$C$4,"Y"),0)  )</f>
        <v>7</v>
      </c>
      <c r="O539" s="202"/>
    </row>
    <row r="540">
      <c r="A540" s="192">
        <v>1620.0</v>
      </c>
      <c r="B540" s="193" t="s">
        <v>2106</v>
      </c>
      <c r="C540" s="194" t="s">
        <v>519</v>
      </c>
      <c r="D540" s="193" t="s">
        <v>520</v>
      </c>
      <c r="E540" s="193" t="s">
        <v>2108</v>
      </c>
      <c r="F540" s="195">
        <v>1.55119711E8</v>
      </c>
      <c r="G540" s="196"/>
      <c r="H540" s="193" t="s">
        <v>2109</v>
      </c>
      <c r="I540" s="197" t="str">
        <f>IF(iserror(vlookup($A540,Pagos!$B$5:L1241,4,false)),"Sin actividad",If(vlookup($A540,Pagos!$B$5:$L1241,5,false),vlookup($A540,Pagos!$B$5:$L1241,5,false),vlookup($A540,Pagos!$B$5:$L1241,4,false)))</f>
        <v>Sin actividad</v>
      </c>
      <c r="J540" s="198" t="s">
        <v>529</v>
      </c>
      <c r="K540" s="199">
        <v>42736.0</v>
      </c>
      <c r="L540" s="200">
        <v>43525.0</v>
      </c>
      <c r="M540" s="201"/>
      <c r="N540" s="202">
        <f>If(L540&gt;K540,   datedif(K540,L540,"Y") , If(K540&lt;Vitalicios!$C$4, datedif(K540,Vitalicios!$C$4,"Y"),0)  )</f>
        <v>2</v>
      </c>
      <c r="O540" s="202"/>
    </row>
    <row r="541">
      <c r="A541" s="192">
        <v>1484.0</v>
      </c>
      <c r="B541" s="193" t="s">
        <v>2110</v>
      </c>
      <c r="C541" s="194" t="s">
        <v>526</v>
      </c>
      <c r="D541" s="193" t="s">
        <v>556</v>
      </c>
      <c r="E541" s="193" t="s">
        <v>2111</v>
      </c>
      <c r="F541" s="195" t="s">
        <v>2112</v>
      </c>
      <c r="G541" s="196">
        <v>0.0</v>
      </c>
      <c r="H541" s="193"/>
      <c r="I541" s="197" t="str">
        <f>IF(iserror(vlookup($A541,Pagos!$B$5:L1241,4,false)),"Sin actividad",If(vlookup($A541,Pagos!$B$5:$L1241,5,false),vlookup($A541,Pagos!$B$5:$L1241,5,false),vlookup($A541,Pagos!$B$5:$L1241,4,false)))</f>
        <v>Sin actividad</v>
      </c>
      <c r="J541" s="198" t="s">
        <v>529</v>
      </c>
      <c r="K541" s="199">
        <v>41622.0</v>
      </c>
      <c r="L541" s="200">
        <v>43252.0</v>
      </c>
      <c r="M541" s="201"/>
      <c r="N541" s="202">
        <f>If(L541&gt;K541,   datedif(K541,L541,"Y") , If(K541&lt;Vitalicios!$C$4, datedif(K541,Vitalicios!$C$4,"Y"),0)  )</f>
        <v>4</v>
      </c>
      <c r="O541" s="202"/>
    </row>
    <row r="542">
      <c r="A542" s="192">
        <v>1597.0</v>
      </c>
      <c r="B542" s="193" t="s">
        <v>2113</v>
      </c>
      <c r="C542" s="194" t="s">
        <v>526</v>
      </c>
      <c r="D542" s="193" t="s">
        <v>709</v>
      </c>
      <c r="E542" s="193" t="s">
        <v>2114</v>
      </c>
      <c r="F542" s="195">
        <v>1.567117E7</v>
      </c>
      <c r="G542" s="196">
        <v>4913361.0</v>
      </c>
      <c r="H542" s="193" t="s">
        <v>2115</v>
      </c>
      <c r="I542" s="197" t="str">
        <f>IF(iserror(vlookup($A542,Pagos!$B$5:L1241,4,false)),"Sin actividad",If(vlookup($A542,Pagos!$B$5:$L1241,5,false),vlookup($A542,Pagos!$B$5:$L1241,5,false),vlookup($A542,Pagos!$B$5:$L1241,4,false)))</f>
        <v>Sin actividad</v>
      </c>
      <c r="J542" s="198" t="s">
        <v>529</v>
      </c>
      <c r="K542" s="199">
        <v>42430.0</v>
      </c>
      <c r="L542" s="200"/>
      <c r="M542" s="201"/>
      <c r="N542" s="202">
        <f>If(L542&gt;K542,   datedif(K542,L542,"Y") , If(K542&lt;Vitalicios!$C$4, datedif(K542,Vitalicios!$C$4,"Y"),0)  )</f>
        <v>9</v>
      </c>
      <c r="O542" s="202"/>
    </row>
    <row r="543">
      <c r="A543" s="192">
        <v>1677.0</v>
      </c>
      <c r="B543" s="193" t="s">
        <v>2116</v>
      </c>
      <c r="C543" s="194" t="s">
        <v>519</v>
      </c>
      <c r="D543" s="193" t="s">
        <v>527</v>
      </c>
      <c r="E543" s="193" t="s">
        <v>2117</v>
      </c>
      <c r="F543" s="195">
        <v>1.56256856E8</v>
      </c>
      <c r="G543" s="196"/>
      <c r="H543" s="193" t="s">
        <v>2118</v>
      </c>
      <c r="I543" s="197" t="str">
        <f>IF(iserror(vlookup($A543,Pagos!$B$5:L1241,4,false)),"Sin actividad",If(vlookup($A543,Pagos!$B$5:$L1241,5,false),vlookup($A543,Pagos!$B$5:$L1241,5,false),vlookup($A543,Pagos!$B$5:$L1241,4,false)))</f>
        <v>Sin actividad</v>
      </c>
      <c r="J543" s="198" t="s">
        <v>529</v>
      </c>
      <c r="K543" s="199">
        <v>43101.0</v>
      </c>
      <c r="L543" s="200">
        <v>43251.0</v>
      </c>
      <c r="M543" s="201"/>
      <c r="N543" s="202">
        <f>If(L543&gt;K543,   datedif(K543,L543,"Y") , If(K543&lt;Vitalicios!$C$4, datedif(K543,Vitalicios!$C$4,"Y"),0)  )</f>
        <v>0</v>
      </c>
      <c r="O543" s="202"/>
    </row>
    <row r="544">
      <c r="A544" s="192">
        <v>2100.0</v>
      </c>
      <c r="B544" s="193" t="s">
        <v>2119</v>
      </c>
      <c r="C544" s="193" t="s">
        <v>679</v>
      </c>
      <c r="D544" s="193" t="s">
        <v>538</v>
      </c>
      <c r="E544" s="193" t="s">
        <v>2120</v>
      </c>
      <c r="F544" s="195">
        <v>2.215670488E9</v>
      </c>
      <c r="G544" s="196"/>
      <c r="H544" s="193" t="s">
        <v>2121</v>
      </c>
      <c r="I544" s="197"/>
      <c r="J544" s="198" t="s">
        <v>529</v>
      </c>
      <c r="K544" s="199">
        <v>44896.0</v>
      </c>
      <c r="L544" s="200">
        <v>45413.0</v>
      </c>
      <c r="M544" s="201" t="s">
        <v>915</v>
      </c>
      <c r="N544" s="202"/>
      <c r="O544" s="202"/>
    </row>
    <row r="545">
      <c r="A545" s="192">
        <v>1646.0</v>
      </c>
      <c r="B545" s="193" t="s">
        <v>2122</v>
      </c>
      <c r="C545" s="194" t="s">
        <v>519</v>
      </c>
      <c r="D545" s="193" t="s">
        <v>520</v>
      </c>
      <c r="E545" s="193" t="s">
        <v>2123</v>
      </c>
      <c r="F545" s="195">
        <v>1.54814935E8</v>
      </c>
      <c r="G545" s="196"/>
      <c r="H545" s="193" t="s">
        <v>2124</v>
      </c>
      <c r="I545" s="197" t="str">
        <f>IF(iserror(vlookup($A545,Pagos!$B$5:L1241,4,false)),"Sin actividad",If(vlookup($A545,Pagos!$B$5:$L1241,5,false),vlookup($A545,Pagos!$B$5:$L1241,5,false),vlookup($A545,Pagos!$B$5:$L1241,4,false)))</f>
        <v>Sin actividad</v>
      </c>
      <c r="J545" s="198" t="s">
        <v>529</v>
      </c>
      <c r="K545" s="199">
        <v>42890.0</v>
      </c>
      <c r="L545" s="200">
        <v>44682.0</v>
      </c>
      <c r="M545" s="201" t="s">
        <v>535</v>
      </c>
      <c r="N545" s="202">
        <f>If(L545&gt;K545,   datedif(K545,L545,"Y") , If(K545&lt;Vitalicios!$C$4, datedif(K545,Vitalicios!$C$4,"Y"),0)  )</f>
        <v>4</v>
      </c>
      <c r="O545" s="202"/>
    </row>
    <row r="546">
      <c r="A546" s="192">
        <v>512.0</v>
      </c>
      <c r="B546" s="193" t="s">
        <v>2125</v>
      </c>
      <c r="C546" s="194" t="s">
        <v>577</v>
      </c>
      <c r="D546" s="193" t="s">
        <v>556</v>
      </c>
      <c r="E546" s="193" t="s">
        <v>845</v>
      </c>
      <c r="F546" s="195">
        <v>0.0</v>
      </c>
      <c r="G546" s="196">
        <v>0.0</v>
      </c>
      <c r="H546" s="193"/>
      <c r="I546" s="197" t="str">
        <f>IF(iserror(vlookup($A546,Pagos!$B$5:L1241,4,false)),"Sin actividad",If(vlookup($A546,Pagos!$B$5:$L1241,5,false),vlookup($A546,Pagos!$B$5:$L1241,5,false),vlookup($A546,Pagos!$B$5:$L1241,4,false)))</f>
        <v>Sin actividad</v>
      </c>
      <c r="J546" s="198" t="s">
        <v>529</v>
      </c>
      <c r="K546" s="199">
        <v>33208.0</v>
      </c>
      <c r="L546" s="200">
        <v>41754.0</v>
      </c>
      <c r="M546" s="201" t="s">
        <v>1201</v>
      </c>
      <c r="N546" s="202">
        <f>If(L546&gt;K546,   datedif(K546,L546,"Y") , If(K546&lt;Vitalicios!$C$4, datedif(K546,Vitalicios!$C$4,"Y"),0)  )</f>
        <v>23</v>
      </c>
      <c r="O546" s="202"/>
    </row>
    <row r="547">
      <c r="A547" s="192">
        <v>2379.0</v>
      </c>
      <c r="B547" s="193" t="s">
        <v>2126</v>
      </c>
      <c r="C547" s="193" t="s">
        <v>537</v>
      </c>
      <c r="D547" s="193" t="s">
        <v>538</v>
      </c>
      <c r="E547" s="193" t="s">
        <v>2127</v>
      </c>
      <c r="F547" s="195">
        <v>2.215570238E9</v>
      </c>
      <c r="G547" s="196"/>
      <c r="H547" s="193" t="s">
        <v>2128</v>
      </c>
      <c r="I547" s="197"/>
      <c r="J547" s="198" t="s">
        <v>523</v>
      </c>
      <c r="K547" s="199">
        <v>45778.0</v>
      </c>
      <c r="L547" s="200"/>
      <c r="M547" s="201"/>
      <c r="N547" s="202"/>
      <c r="O547" s="202"/>
    </row>
    <row r="548">
      <c r="A548" s="192">
        <v>2358.0</v>
      </c>
      <c r="B548" s="193" t="s">
        <v>2129</v>
      </c>
      <c r="C548" s="193" t="s">
        <v>537</v>
      </c>
      <c r="D548" s="193" t="s">
        <v>485</v>
      </c>
      <c r="E548" s="193" t="s">
        <v>2130</v>
      </c>
      <c r="F548" s="195">
        <v>2.21640051E9</v>
      </c>
      <c r="G548" s="196"/>
      <c r="H548" s="193" t="s">
        <v>2131</v>
      </c>
      <c r="I548" s="197"/>
      <c r="J548" s="198" t="s">
        <v>523</v>
      </c>
      <c r="K548" s="199">
        <v>45748.0</v>
      </c>
      <c r="L548" s="200"/>
      <c r="M548" s="201"/>
      <c r="N548" s="202"/>
      <c r="O548" s="202"/>
    </row>
    <row r="549">
      <c r="A549" s="192">
        <v>2198.0</v>
      </c>
      <c r="B549" s="193" t="s">
        <v>2132</v>
      </c>
      <c r="C549" s="193" t="s">
        <v>537</v>
      </c>
      <c r="D549" s="193"/>
      <c r="E549" s="193"/>
      <c r="F549" s="195">
        <v>2.645251507E9</v>
      </c>
      <c r="G549" s="196"/>
      <c r="H549" s="193" t="s">
        <v>2133</v>
      </c>
      <c r="I549" s="197"/>
      <c r="J549" s="198" t="s">
        <v>523</v>
      </c>
      <c r="K549" s="199">
        <v>45139.0</v>
      </c>
      <c r="L549" s="200"/>
      <c r="M549" s="201"/>
      <c r="N549" s="202"/>
      <c r="O549" s="202"/>
    </row>
    <row r="550">
      <c r="A550" s="192">
        <v>2063.0</v>
      </c>
      <c r="B550" s="193" t="s">
        <v>2134</v>
      </c>
      <c r="C550" s="193" t="s">
        <v>537</v>
      </c>
      <c r="D550" s="193" t="s">
        <v>628</v>
      </c>
      <c r="E550" s="193"/>
      <c r="F550" s="195"/>
      <c r="G550" s="196"/>
      <c r="H550" s="193"/>
      <c r="I550" s="197"/>
      <c r="J550" s="198" t="s">
        <v>529</v>
      </c>
      <c r="K550" s="199">
        <v>44805.0</v>
      </c>
      <c r="L550" s="200">
        <v>45047.0</v>
      </c>
      <c r="M550" s="201" t="s">
        <v>857</v>
      </c>
      <c r="N550" s="202"/>
      <c r="O550" s="202"/>
    </row>
    <row r="551">
      <c r="A551" s="192">
        <v>1959.0</v>
      </c>
      <c r="B551" s="193" t="s">
        <v>2135</v>
      </c>
      <c r="C551" s="193" t="s">
        <v>537</v>
      </c>
      <c r="D551" s="193" t="s">
        <v>538</v>
      </c>
      <c r="E551" s="193" t="s">
        <v>2136</v>
      </c>
      <c r="F551" s="195">
        <v>2.215346825E9</v>
      </c>
      <c r="G551" s="196"/>
      <c r="H551" s="193" t="s">
        <v>2137</v>
      </c>
      <c r="I551" s="197" t="str">
        <f>IF(iserror(vlookup($A551,Pagos!$B$5:L1241,4,false)),"Sin actividad",If(vlookup($A551,Pagos!$B$5:$L1241,5,false),vlookup($A551,Pagos!$B$5:$L1241,5,false),vlookup($A551,Pagos!$B$5:$L1241,4,false)))</f>
        <v>Sin actividad</v>
      </c>
      <c r="J551" s="198" t="s">
        <v>529</v>
      </c>
      <c r="K551" s="199">
        <v>44531.0</v>
      </c>
      <c r="L551" s="200">
        <v>44682.0</v>
      </c>
      <c r="M551" s="201" t="s">
        <v>1201</v>
      </c>
      <c r="N551" s="202"/>
      <c r="O551" s="202"/>
    </row>
    <row r="552" ht="17.25" customHeight="1">
      <c r="A552" s="192">
        <v>1383.0</v>
      </c>
      <c r="B552" s="193" t="s">
        <v>2138</v>
      </c>
      <c r="C552" s="194" t="s">
        <v>526</v>
      </c>
      <c r="D552" s="193" t="s">
        <v>556</v>
      </c>
      <c r="E552" s="193" t="s">
        <v>2139</v>
      </c>
      <c r="F552" s="195">
        <v>1.55962002E8</v>
      </c>
      <c r="G552" s="196">
        <v>0.0</v>
      </c>
      <c r="H552" s="193"/>
      <c r="I552" s="197" t="str">
        <f>IF(iserror(vlookup($A552,Pagos!$B$5:L1241,4,false)),"Sin actividad",If(vlookup($A552,Pagos!$B$5:$L1241,5,false),vlookup($A552,Pagos!$B$5:$L1241,5,false),vlookup($A552,Pagos!$B$5:$L1241,4,false)))</f>
        <v>Sin actividad</v>
      </c>
      <c r="J552" s="198" t="s">
        <v>529</v>
      </c>
      <c r="K552" s="199">
        <v>40852.0</v>
      </c>
      <c r="L552" s="200"/>
      <c r="M552" s="201"/>
      <c r="N552" s="202">
        <f>If(L552&gt;K552,   datedif(K552,L552,"Y") , If(K552&lt;Vitalicios!$C$4, datedif(K552,Vitalicios!$C$4,"Y"),0)  )</f>
        <v>13</v>
      </c>
      <c r="O552" s="202"/>
    </row>
    <row r="553">
      <c r="A553" s="192">
        <v>2031.0</v>
      </c>
      <c r="B553" s="193" t="s">
        <v>2140</v>
      </c>
      <c r="C553" s="193" t="s">
        <v>537</v>
      </c>
      <c r="D553" s="193" t="s">
        <v>538</v>
      </c>
      <c r="E553" s="193" t="s">
        <v>2141</v>
      </c>
      <c r="F553" s="195">
        <v>2.213165312E9</v>
      </c>
      <c r="G553" s="196"/>
      <c r="H553" s="193" t="s">
        <v>2142</v>
      </c>
      <c r="I553" s="197"/>
      <c r="J553" s="198" t="s">
        <v>523</v>
      </c>
      <c r="K553" s="199">
        <v>44743.0</v>
      </c>
      <c r="L553" s="200"/>
      <c r="M553" s="201"/>
      <c r="N553" s="202"/>
      <c r="O553" s="202"/>
    </row>
    <row r="554">
      <c r="A554" s="192">
        <v>2083.0</v>
      </c>
      <c r="B554" s="193" t="s">
        <v>2143</v>
      </c>
      <c r="C554" s="193" t="s">
        <v>537</v>
      </c>
      <c r="D554" s="193" t="s">
        <v>532</v>
      </c>
      <c r="E554" s="193" t="s">
        <v>1116</v>
      </c>
      <c r="F554" s="195">
        <v>2.216264481E9</v>
      </c>
      <c r="G554" s="196"/>
      <c r="H554" s="193" t="s">
        <v>2144</v>
      </c>
      <c r="I554" s="197"/>
      <c r="J554" s="198" t="s">
        <v>529</v>
      </c>
      <c r="K554" s="199">
        <v>44835.0</v>
      </c>
      <c r="L554" s="200">
        <v>45597.0</v>
      </c>
      <c r="M554" s="201" t="s">
        <v>535</v>
      </c>
      <c r="N554" s="202"/>
      <c r="O554" s="202"/>
    </row>
    <row r="555">
      <c r="A555" s="192">
        <v>2154.0</v>
      </c>
      <c r="B555" s="193" t="s">
        <v>2145</v>
      </c>
      <c r="C555" s="193" t="s">
        <v>537</v>
      </c>
      <c r="D555" s="193" t="s">
        <v>485</v>
      </c>
      <c r="E555" s="193" t="s">
        <v>2146</v>
      </c>
      <c r="F555" s="195">
        <v>2.215222438E9</v>
      </c>
      <c r="G555" s="196"/>
      <c r="H555" s="193" t="s">
        <v>2147</v>
      </c>
      <c r="I555" s="197"/>
      <c r="J555" s="198" t="s">
        <v>523</v>
      </c>
      <c r="K555" s="199">
        <v>44986.0</v>
      </c>
      <c r="L555" s="200"/>
      <c r="M555" s="201"/>
      <c r="N555" s="202"/>
      <c r="O555" s="202"/>
    </row>
    <row r="556">
      <c r="A556" s="192">
        <v>1975.0</v>
      </c>
      <c r="B556" s="193" t="s">
        <v>2148</v>
      </c>
      <c r="C556" s="193" t="s">
        <v>537</v>
      </c>
      <c r="D556" s="193" t="s">
        <v>628</v>
      </c>
      <c r="E556" s="193" t="s">
        <v>2149</v>
      </c>
      <c r="F556" s="195">
        <v>2.215990896E9</v>
      </c>
      <c r="G556" s="196"/>
      <c r="H556" s="193" t="s">
        <v>2150</v>
      </c>
      <c r="I556" s="197" t="str">
        <f>IF(iserror(vlookup($A556,Pagos!$B$5:L1241,4,false)),"Sin actividad",If(vlookup($A556,Pagos!$B$5:$L1241,5,false),vlookup($A556,Pagos!$B$5:$L1241,5,false),vlookup($A556,Pagos!$B$5:$L1241,4,false)))</f>
        <v>Sin actividad</v>
      </c>
      <c r="J556" s="198" t="s">
        <v>529</v>
      </c>
      <c r="K556" s="199">
        <v>44531.0</v>
      </c>
      <c r="L556" s="200"/>
      <c r="M556" s="201" t="s">
        <v>535</v>
      </c>
      <c r="N556" s="202"/>
      <c r="O556" s="202"/>
    </row>
    <row r="557">
      <c r="A557" s="192">
        <v>1281.0</v>
      </c>
      <c r="B557" s="193" t="s">
        <v>2151</v>
      </c>
      <c r="C557" s="194" t="s">
        <v>526</v>
      </c>
      <c r="D557" s="193"/>
      <c r="E557" s="193" t="s">
        <v>2152</v>
      </c>
      <c r="F557" s="195">
        <v>1.11540416818E11</v>
      </c>
      <c r="G557" s="196">
        <v>0.0</v>
      </c>
      <c r="H557" s="193"/>
      <c r="I557" s="197" t="str">
        <f>IF(iserror(vlookup($A557,Pagos!$B$5:L1241,4,false)),"Sin actividad",If(vlookup($A557,Pagos!$B$5:$L1241,5,false),vlookup($A557,Pagos!$B$5:$L1241,5,false),vlookup($A557,Pagos!$B$5:$L1241,4,false)))</f>
        <v>Sin actividad</v>
      </c>
      <c r="J557" s="198" t="s">
        <v>529</v>
      </c>
      <c r="K557" s="199">
        <v>40181.0</v>
      </c>
      <c r="L557" s="200">
        <v>41348.0</v>
      </c>
      <c r="M557" s="201" t="s">
        <v>656</v>
      </c>
      <c r="N557" s="202">
        <f>If(L557&gt;K557,   datedif(K557,L557,"Y") , If(K557&lt;Vitalicios!$C$4, datedif(K557,Vitalicios!$C$4,"Y"),0)  )</f>
        <v>3</v>
      </c>
      <c r="O557" s="202"/>
    </row>
    <row r="558">
      <c r="A558" s="192">
        <v>1367.0</v>
      </c>
      <c r="B558" s="193" t="s">
        <v>2153</v>
      </c>
      <c r="C558" s="194" t="s">
        <v>526</v>
      </c>
      <c r="D558" s="193" t="s">
        <v>556</v>
      </c>
      <c r="E558" s="193">
        <v>0.0</v>
      </c>
      <c r="F558" s="195">
        <v>0.0</v>
      </c>
      <c r="G558" s="196">
        <v>0.0</v>
      </c>
      <c r="H558" s="193"/>
      <c r="I558" s="197" t="str">
        <f>IF(iserror(vlookup($A558,Pagos!$B$5:L1241,4,false)),"Sin actividad",If(vlookup($A558,Pagos!$B$5:$L1241,5,false),vlookup($A558,Pagos!$B$5:$L1241,5,false),vlookup($A558,Pagos!$B$5:$L1241,4,false)))</f>
        <v>Sin actividad</v>
      </c>
      <c r="J558" s="198" t="s">
        <v>529</v>
      </c>
      <c r="K558" s="199">
        <v>40608.0</v>
      </c>
      <c r="L558" s="200"/>
      <c r="M558" s="201" t="s">
        <v>2154</v>
      </c>
      <c r="N558" s="202">
        <f>If(L558&gt;K558,   datedif(K558,L558,"Y") , If(K558&lt;Vitalicios!$C$4, datedif(K558,Vitalicios!$C$4,"Y"),0)  )</f>
        <v>14</v>
      </c>
      <c r="O558" s="202"/>
    </row>
    <row r="559">
      <c r="A559" s="192">
        <v>2207.0</v>
      </c>
      <c r="B559" s="193" t="s">
        <v>2155</v>
      </c>
      <c r="C559" s="193" t="s">
        <v>537</v>
      </c>
      <c r="D559" s="193" t="s">
        <v>628</v>
      </c>
      <c r="E559" s="193" t="s">
        <v>2156</v>
      </c>
      <c r="F559" s="195">
        <v>2.215362677E9</v>
      </c>
      <c r="G559" s="196"/>
      <c r="H559" s="193" t="s">
        <v>2157</v>
      </c>
      <c r="I559" s="197"/>
      <c r="J559" s="198" t="s">
        <v>529</v>
      </c>
      <c r="K559" s="199">
        <v>45231.0</v>
      </c>
      <c r="L559" s="200">
        <v>45383.0</v>
      </c>
      <c r="M559" s="201" t="s">
        <v>2158</v>
      </c>
      <c r="N559" s="202"/>
      <c r="O559" s="202"/>
    </row>
    <row r="560">
      <c r="A560" s="192">
        <v>1356.0</v>
      </c>
      <c r="B560" s="193" t="s">
        <v>2159</v>
      </c>
      <c r="C560" s="194" t="s">
        <v>526</v>
      </c>
      <c r="D560" s="193" t="s">
        <v>556</v>
      </c>
      <c r="E560" s="193" t="s">
        <v>2160</v>
      </c>
      <c r="F560" s="195">
        <v>4.21972E7</v>
      </c>
      <c r="G560" s="196">
        <v>1.565366693E9</v>
      </c>
      <c r="H560" s="193"/>
      <c r="I560" s="197" t="str">
        <f>IF(iserror(vlookup($A560,Pagos!$B$5:L1241,4,false)),"Sin actividad",If(vlookup($A560,Pagos!$B$5:$L1241,5,false),vlookup($A560,Pagos!$B$5:$L1241,5,false),vlookup($A560,Pagos!$B$5:$L1241,4,false)))</f>
        <v>Sin actividad</v>
      </c>
      <c r="J560" s="198" t="s">
        <v>529</v>
      </c>
      <c r="K560" s="199">
        <v>40588.0</v>
      </c>
      <c r="L560" s="200">
        <v>43374.0</v>
      </c>
      <c r="M560" s="201" t="s">
        <v>560</v>
      </c>
      <c r="N560" s="202">
        <f>If(L560&gt;K560,   datedif(K560,L560,"Y") , If(K560&lt;Vitalicios!$C$4, datedif(K560,Vitalicios!$C$4,"Y"),0)  )</f>
        <v>7</v>
      </c>
      <c r="O560" s="202"/>
    </row>
    <row r="561">
      <c r="A561" s="192">
        <v>1631.0</v>
      </c>
      <c r="B561" s="193" t="s">
        <v>2161</v>
      </c>
      <c r="C561" s="194" t="s">
        <v>519</v>
      </c>
      <c r="D561" s="193" t="s">
        <v>527</v>
      </c>
      <c r="E561" s="193" t="s">
        <v>2162</v>
      </c>
      <c r="F561" s="195">
        <v>1.55044504E8</v>
      </c>
      <c r="G561" s="196"/>
      <c r="H561" s="193" t="s">
        <v>2163</v>
      </c>
      <c r="I561" s="197">
        <f>IF(iserror(vlookup($A561,Pagos!$B$5:L1241,4,false)),"Sin actividad",If(vlookup($A561,Pagos!$B$5:$L1241,5,false),vlookup($A561,Pagos!$B$5:$L1241,5,false),vlookup($A561,Pagos!$B$5:$L1241,4,false)))</f>
        <v>45870</v>
      </c>
      <c r="J561" s="198" t="s">
        <v>523</v>
      </c>
      <c r="K561" s="199">
        <v>42770.0</v>
      </c>
      <c r="L561" s="200"/>
      <c r="M561" s="201"/>
      <c r="N561" s="202">
        <f>If(L561&gt;K561,   datedif(K561,L561,"Y") , If(K561&lt;Vitalicios!$C$4, datedif(K561,Vitalicios!$C$4,"Y"),0)  )</f>
        <v>8</v>
      </c>
      <c r="O561" s="202"/>
    </row>
    <row r="562">
      <c r="A562" s="192">
        <v>1466.0</v>
      </c>
      <c r="B562" s="193" t="s">
        <v>2164</v>
      </c>
      <c r="C562" s="194" t="s">
        <v>526</v>
      </c>
      <c r="D562" s="193" t="s">
        <v>527</v>
      </c>
      <c r="E562" s="193" t="s">
        <v>2165</v>
      </c>
      <c r="F562" s="195">
        <v>1.56797979E8</v>
      </c>
      <c r="G562" s="196">
        <v>0.0</v>
      </c>
      <c r="H562" s="193"/>
      <c r="I562" s="197" t="str">
        <f>IF(iserror(vlookup($A562,Pagos!$B$5:L1241,4,false)),"Sin actividad",If(vlookup($A562,Pagos!$B$5:$L1241,5,false),vlookup($A562,Pagos!$B$5:$L1241,5,false),vlookup($A562,Pagos!$B$5:$L1241,4,false)))</f>
        <v>Sin actividad</v>
      </c>
      <c r="J562" s="198" t="s">
        <v>523</v>
      </c>
      <c r="K562" s="199">
        <v>41461.0</v>
      </c>
      <c r="L562" s="200">
        <v>45870.0</v>
      </c>
      <c r="M562" s="201" t="s">
        <v>2166</v>
      </c>
      <c r="N562" s="202">
        <f>If(L562&gt;K562,   datedif(K562,L562,"Y") , If(K562&lt;Vitalicios!$C$4, datedif(K562,Vitalicios!$C$4,"Y"),0)  )</f>
        <v>12</v>
      </c>
      <c r="O562" s="202"/>
    </row>
    <row r="563">
      <c r="A563" s="192">
        <v>1250.0</v>
      </c>
      <c r="B563" s="193" t="s">
        <v>2167</v>
      </c>
      <c r="C563" s="194" t="s">
        <v>526</v>
      </c>
      <c r="D563" s="193" t="s">
        <v>556</v>
      </c>
      <c r="E563" s="193"/>
      <c r="F563" s="195"/>
      <c r="G563" s="196">
        <v>0.0</v>
      </c>
      <c r="H563" s="193"/>
      <c r="I563" s="197" t="str">
        <f>IF(iserror(vlookup($A563,Pagos!$B$5:L1241,4,false)),"Sin actividad",If(vlookup($A563,Pagos!$B$5:$L1241,5,false),vlookup($A563,Pagos!$B$5:$L1241,5,false),vlookup($A563,Pagos!$B$5:$L1241,4,false)))</f>
        <v>Sin actividad</v>
      </c>
      <c r="J563" s="198" t="s">
        <v>529</v>
      </c>
      <c r="K563" s="199">
        <v>40132.0</v>
      </c>
      <c r="L563" s="200">
        <v>45292.0</v>
      </c>
      <c r="M563" s="201" t="s">
        <v>614</v>
      </c>
      <c r="N563" s="202">
        <f>If(L563&gt;K563,   datedif(K563,L563,"Y") , If(K563&lt;Vitalicios!$C$4, datedif(K563,Vitalicios!$C$4,"Y"),0)  )</f>
        <v>14</v>
      </c>
      <c r="O563" s="202"/>
    </row>
    <row r="564">
      <c r="A564" s="192">
        <v>1507.0</v>
      </c>
      <c r="B564" s="193" t="s">
        <v>2168</v>
      </c>
      <c r="C564" s="194" t="s">
        <v>526</v>
      </c>
      <c r="D564" s="193" t="s">
        <v>527</v>
      </c>
      <c r="E564" s="193"/>
      <c r="F564" s="195"/>
      <c r="G564" s="196"/>
      <c r="H564" s="193"/>
      <c r="I564" s="197" t="str">
        <f>IF(iserror(vlookup($A564,Pagos!$B$5:L1241,4,false)),"Sin actividad",If(vlookup($A564,Pagos!$B$5:$L1241,5,false),vlookup($A564,Pagos!$B$5:$L1241,5,false),vlookup($A564,Pagos!$B$5:$L1241,4,false)))</f>
        <v>Sin actividad</v>
      </c>
      <c r="J564" s="198" t="s">
        <v>529</v>
      </c>
      <c r="K564" s="199">
        <v>41798.0</v>
      </c>
      <c r="L564" s="200">
        <v>43525.0</v>
      </c>
      <c r="M564" s="201" t="s">
        <v>994</v>
      </c>
      <c r="N564" s="202">
        <f>If(L564&gt;K564,   datedif(K564,L564,"Y") , If(K564&lt;Vitalicios!$C$4, datedif(K564,Vitalicios!$C$4,"Y"),0)  )</f>
        <v>4</v>
      </c>
      <c r="O564" s="202"/>
    </row>
    <row r="565">
      <c r="A565" s="192">
        <v>1856.0</v>
      </c>
      <c r="B565" s="193" t="s">
        <v>2169</v>
      </c>
      <c r="C565" s="193" t="s">
        <v>537</v>
      </c>
      <c r="D565" s="193" t="s">
        <v>755</v>
      </c>
      <c r="E565" s="193" t="s">
        <v>2170</v>
      </c>
      <c r="F565" s="195">
        <v>2.216020944E9</v>
      </c>
      <c r="G565" s="196"/>
      <c r="H565" s="193" t="s">
        <v>2171</v>
      </c>
      <c r="I565" s="197">
        <f>IF(iserror(vlookup($A565,Pagos!$B$5:L1241,4,false)),"Sin actividad",If(vlookup($A565,Pagos!$B$5:$L1241,5,false),vlookup($A565,Pagos!$B$5:$L1241,5,false),vlookup($A565,Pagos!$B$5:$L1241,4,false)))</f>
        <v>45870</v>
      </c>
      <c r="J565" s="198" t="s">
        <v>523</v>
      </c>
      <c r="K565" s="199">
        <v>44166.0</v>
      </c>
      <c r="L565" s="200"/>
      <c r="M565" s="201"/>
      <c r="N565" s="202"/>
      <c r="O565" s="202"/>
    </row>
    <row r="566">
      <c r="A566" s="192">
        <v>1981.0</v>
      </c>
      <c r="B566" s="193" t="s">
        <v>2172</v>
      </c>
      <c r="C566" s="193" t="s">
        <v>537</v>
      </c>
      <c r="D566" s="193" t="s">
        <v>666</v>
      </c>
      <c r="E566" s="193" t="s">
        <v>2173</v>
      </c>
      <c r="F566" s="195">
        <v>2.213198565E9</v>
      </c>
      <c r="G566" s="196"/>
      <c r="H566" s="193" t="s">
        <v>2174</v>
      </c>
      <c r="I566" s="197" t="str">
        <f>IF(iserror(vlookup($A566,Pagos!$B$5:L1241,4,false)),"Sin actividad",If(vlookup($A566,Pagos!$B$5:$L1241,5,false),vlookup($A566,Pagos!$B$5:$L1241,5,false),vlookup($A566,Pagos!$B$5:$L1241,4,false)))</f>
        <v>Sin actividad</v>
      </c>
      <c r="J566" s="198" t="s">
        <v>529</v>
      </c>
      <c r="K566" s="199">
        <v>44562.0</v>
      </c>
      <c r="L566" s="200">
        <v>44958.0</v>
      </c>
      <c r="M566" s="201" t="s">
        <v>535</v>
      </c>
      <c r="N566" s="202"/>
      <c r="O566" s="202"/>
    </row>
    <row r="567">
      <c r="A567" s="192">
        <v>1697.0</v>
      </c>
      <c r="B567" s="193" t="s">
        <v>2175</v>
      </c>
      <c r="C567" s="194" t="s">
        <v>519</v>
      </c>
      <c r="D567" s="193" t="s">
        <v>520</v>
      </c>
      <c r="E567" s="193" t="s">
        <v>2176</v>
      </c>
      <c r="F567" s="195">
        <v>1.53521266E8</v>
      </c>
      <c r="G567" s="196"/>
      <c r="H567" s="193" t="s">
        <v>2177</v>
      </c>
      <c r="I567" s="197" t="str">
        <f>IF(iserror(vlookup($A567,Pagos!$B$5:L1241,4,false)),"Sin actividad",If(vlookup($A567,Pagos!$B$5:$L1241,5,false),vlookup($A567,Pagos!$B$5:$L1241,5,false),vlookup($A567,Pagos!$B$5:$L1241,4,false)))</f>
        <v>Sin actividad</v>
      </c>
      <c r="J567" s="198" t="s">
        <v>529</v>
      </c>
      <c r="K567" s="199">
        <v>43191.0</v>
      </c>
      <c r="L567" s="200">
        <v>43831.0</v>
      </c>
      <c r="M567" s="201" t="s">
        <v>2178</v>
      </c>
      <c r="N567" s="202">
        <f>If(L567&gt;K567,   datedif(K567,L567,"Y") , If(K567&lt;Vitalicios!$C$4, datedif(K567,Vitalicios!$C$4,"Y"),0)  )</f>
        <v>1</v>
      </c>
      <c r="O567" s="202"/>
    </row>
    <row r="568">
      <c r="A568" s="192">
        <v>1679.0</v>
      </c>
      <c r="B568" s="193" t="s">
        <v>2179</v>
      </c>
      <c r="C568" s="194" t="s">
        <v>519</v>
      </c>
      <c r="D568" s="193" t="s">
        <v>527</v>
      </c>
      <c r="E568" s="193" t="s">
        <v>2180</v>
      </c>
      <c r="F568" s="195">
        <v>1.55233233E8</v>
      </c>
      <c r="G568" s="196"/>
      <c r="H568" s="193" t="s">
        <v>2181</v>
      </c>
      <c r="I568" s="197" t="str">
        <f>IF(iserror(vlookup($A568,Pagos!$B$5:L1241,4,false)),"Sin actividad",If(vlookup($A568,Pagos!$B$5:$L1241,5,false),vlookup($A568,Pagos!$B$5:$L1241,5,false),vlookup($A568,Pagos!$B$5:$L1241,4,false)))</f>
        <v>Sin actividad</v>
      </c>
      <c r="J568" s="198" t="s">
        <v>529</v>
      </c>
      <c r="K568" s="199">
        <v>43101.0</v>
      </c>
      <c r="L568" s="200">
        <v>43525.0</v>
      </c>
      <c r="M568" s="201"/>
      <c r="N568" s="202">
        <f>If(L568&gt;K568,   datedif(K568,L568,"Y") , If(K568&lt;Vitalicios!$C$4, datedif(K568,Vitalicios!$C$4,"Y"),0)  )</f>
        <v>1</v>
      </c>
      <c r="O568" s="202"/>
    </row>
    <row r="569">
      <c r="A569" s="192">
        <v>2120.0</v>
      </c>
      <c r="B569" s="193" t="s">
        <v>2182</v>
      </c>
      <c r="C569" s="193" t="s">
        <v>679</v>
      </c>
      <c r="D569" s="193" t="s">
        <v>538</v>
      </c>
      <c r="E569" s="193" t="s">
        <v>2183</v>
      </c>
      <c r="F569" s="195">
        <v>2.216139092E9</v>
      </c>
      <c r="G569" s="196"/>
      <c r="H569" s="193" t="s">
        <v>2184</v>
      </c>
      <c r="I569" s="197"/>
      <c r="J569" s="198" t="s">
        <v>529</v>
      </c>
      <c r="K569" s="199">
        <v>44927.0</v>
      </c>
      <c r="L569" s="200">
        <v>45566.0</v>
      </c>
      <c r="M569" s="201" t="s">
        <v>535</v>
      </c>
      <c r="N569" s="202"/>
      <c r="O569" s="202"/>
    </row>
    <row r="570">
      <c r="A570" s="192">
        <v>707.0</v>
      </c>
      <c r="B570" s="193" t="s">
        <v>2185</v>
      </c>
      <c r="C570" s="194" t="s">
        <v>526</v>
      </c>
      <c r="D570" s="193" t="s">
        <v>520</v>
      </c>
      <c r="E570" s="193" t="s">
        <v>2186</v>
      </c>
      <c r="F570" s="195">
        <v>1.54098999E8</v>
      </c>
      <c r="G570" s="196">
        <v>0.0</v>
      </c>
      <c r="H570" s="193" t="s">
        <v>2187</v>
      </c>
      <c r="I570" s="197" t="str">
        <f>IF(iserror(vlookup($A570,Pagos!$B$5:L1241,4,false)),"Sin actividad",If(vlookup($A570,Pagos!$B$5:$L1241,5,false),vlookup($A570,Pagos!$B$5:$L1241,5,false),vlookup($A570,Pagos!$B$5:$L1241,4,false)))</f>
        <v>Sin actividad</v>
      </c>
      <c r="J570" s="198" t="s">
        <v>529</v>
      </c>
      <c r="K570" s="199">
        <v>35462.0</v>
      </c>
      <c r="L570" s="200">
        <v>43374.0</v>
      </c>
      <c r="M570" s="201" t="s">
        <v>560</v>
      </c>
      <c r="N570" s="202">
        <f>If(L570&gt;K570,   datedif(K570,L570,"Y") , If(K570&lt;Vitalicios!$C$4, datedif(K570,Vitalicios!$C$4,"Y"),0)  )</f>
        <v>21</v>
      </c>
      <c r="O570" s="202"/>
    </row>
    <row r="571">
      <c r="A571" s="192">
        <v>2246.0</v>
      </c>
      <c r="B571" s="193" t="s">
        <v>2188</v>
      </c>
      <c r="C571" s="193" t="s">
        <v>537</v>
      </c>
      <c r="D571" s="193" t="s">
        <v>2189</v>
      </c>
      <c r="E571" s="193" t="s">
        <v>2190</v>
      </c>
      <c r="F571" s="195">
        <v>2.215629999E9</v>
      </c>
      <c r="G571" s="196"/>
      <c r="H571" s="193" t="s">
        <v>2191</v>
      </c>
      <c r="I571" s="197"/>
      <c r="J571" s="198" t="s">
        <v>523</v>
      </c>
      <c r="K571" s="199">
        <v>45323.0</v>
      </c>
      <c r="L571" s="200"/>
      <c r="M571" s="201"/>
      <c r="N571" s="202"/>
      <c r="O571" s="202"/>
    </row>
    <row r="572">
      <c r="A572" s="192">
        <v>2162.0</v>
      </c>
      <c r="B572" s="193" t="s">
        <v>2192</v>
      </c>
      <c r="C572" s="193" t="s">
        <v>537</v>
      </c>
      <c r="D572" s="193" t="s">
        <v>628</v>
      </c>
      <c r="E572" s="193" t="s">
        <v>2193</v>
      </c>
      <c r="F572" s="195">
        <v>2.215442423E9</v>
      </c>
      <c r="G572" s="196"/>
      <c r="H572" s="193" t="s">
        <v>2194</v>
      </c>
      <c r="I572" s="197"/>
      <c r="J572" s="198" t="s">
        <v>523</v>
      </c>
      <c r="K572" s="199">
        <v>45017.0</v>
      </c>
      <c r="L572" s="200"/>
      <c r="M572" s="201"/>
      <c r="N572" s="202"/>
      <c r="O572" s="202"/>
    </row>
    <row r="573">
      <c r="A573" s="192">
        <v>1878.0</v>
      </c>
      <c r="B573" s="193" t="s">
        <v>2195</v>
      </c>
      <c r="C573" s="193" t="s">
        <v>537</v>
      </c>
      <c r="D573" s="193" t="s">
        <v>596</v>
      </c>
      <c r="E573" s="193" t="s">
        <v>2196</v>
      </c>
      <c r="F573" s="195">
        <v>2.215258859E9</v>
      </c>
      <c r="G573" s="196"/>
      <c r="H573" s="193" t="s">
        <v>2197</v>
      </c>
      <c r="I573" s="197" t="str">
        <f>IF(iserror(vlookup($A573,Pagos!$B$5:L1241,4,false)),"Sin actividad",If(vlookup($A573,Pagos!$B$5:$L1241,5,false),vlookup($A573,Pagos!$B$5:$L1241,5,false),vlookup($A573,Pagos!$B$5:$L1241,4,false)))</f>
        <v>Sin actividad</v>
      </c>
      <c r="J573" s="198" t="s">
        <v>529</v>
      </c>
      <c r="K573" s="204">
        <v>44228.0</v>
      </c>
      <c r="L573" s="200">
        <v>44562.0</v>
      </c>
      <c r="M573" s="201" t="s">
        <v>2198</v>
      </c>
      <c r="N573" s="202"/>
      <c r="O573" s="202"/>
    </row>
    <row r="574">
      <c r="A574" s="192">
        <v>1841.0</v>
      </c>
      <c r="B574" s="193" t="s">
        <v>2199</v>
      </c>
      <c r="C574" s="193" t="s">
        <v>537</v>
      </c>
      <c r="D574" s="193" t="s">
        <v>538</v>
      </c>
      <c r="E574" s="193" t="s">
        <v>2200</v>
      </c>
      <c r="F574" s="195">
        <v>2.215540983E9</v>
      </c>
      <c r="G574" s="196"/>
      <c r="H574" s="193" t="s">
        <v>2201</v>
      </c>
      <c r="I574" s="197" t="str">
        <f>IF(iserror(vlookup($A574,Pagos!$B$5:L1241,4,false)),"Sin actividad",If(vlookup($A574,Pagos!$B$5:$L1241,5,false),vlookup($A574,Pagos!$B$5:$L1241,5,false),vlookup($A574,Pagos!$B$5:$L1241,4,false)))</f>
        <v>Sin actividad</v>
      </c>
      <c r="J574" s="198" t="s">
        <v>529</v>
      </c>
      <c r="K574" s="204">
        <v>44136.0</v>
      </c>
      <c r="L574" s="200">
        <v>45231.0</v>
      </c>
      <c r="M574" s="201"/>
      <c r="N574" s="202"/>
      <c r="O574" s="202"/>
    </row>
    <row r="575">
      <c r="A575" s="192">
        <v>1260.0</v>
      </c>
      <c r="B575" s="193" t="s">
        <v>2202</v>
      </c>
      <c r="C575" s="194" t="s">
        <v>526</v>
      </c>
      <c r="D575" s="193" t="s">
        <v>520</v>
      </c>
      <c r="E575" s="193" t="s">
        <v>2203</v>
      </c>
      <c r="F575" s="195">
        <v>4.207353E7</v>
      </c>
      <c r="G575" s="196">
        <v>0.0</v>
      </c>
      <c r="H575" s="193" t="s">
        <v>2204</v>
      </c>
      <c r="I575" s="197" t="str">
        <f>IF(iserror(vlookup($A575,Pagos!$B$5:L1241,4,false)),"Sin actividad",If(vlookup($A575,Pagos!$B$5:$L1241,5,false),vlookup($A575,Pagos!$B$5:$L1241,5,false),vlookup($A575,Pagos!$B$5:$L1241,4,false)))</f>
        <v>Sin actividad</v>
      </c>
      <c r="J575" s="198" t="s">
        <v>529</v>
      </c>
      <c r="K575" s="199">
        <v>40155.0</v>
      </c>
      <c r="L575" s="200">
        <v>43466.0</v>
      </c>
      <c r="M575" s="201" t="s">
        <v>2205</v>
      </c>
      <c r="N575" s="202">
        <f>If(L575&gt;K575,   datedif(K575,L575,"Y") , If(K575&lt;Vitalicios!$C$4, datedif(K575,Vitalicios!$C$4,"Y"),0)  )</f>
        <v>9</v>
      </c>
      <c r="O575" s="202"/>
    </row>
    <row r="576">
      <c r="A576" s="192">
        <v>1445.0</v>
      </c>
      <c r="B576" s="193" t="s">
        <v>2206</v>
      </c>
      <c r="C576" s="194" t="s">
        <v>577</v>
      </c>
      <c r="D576" s="193" t="s">
        <v>556</v>
      </c>
      <c r="E576" s="193" t="s">
        <v>2207</v>
      </c>
      <c r="F576" s="195">
        <v>4241112.0</v>
      </c>
      <c r="G576" s="196">
        <v>1.54540145E8</v>
      </c>
      <c r="H576" s="193"/>
      <c r="I576" s="197" t="str">
        <f>IF(iserror(vlookup($A576,Pagos!$B$5:L1241,4,false)),"Sin actividad",If(vlookup($A576,Pagos!$B$5:$L1241,5,false),vlookup($A576,Pagos!$B$5:$L1241,5,false),vlookup($A576,Pagos!$B$5:$L1241,4,false)))</f>
        <v>Sin actividad</v>
      </c>
      <c r="J576" s="198" t="s">
        <v>529</v>
      </c>
      <c r="K576" s="199">
        <v>41310.0</v>
      </c>
      <c r="L576" s="200">
        <v>43374.0</v>
      </c>
      <c r="M576" s="201" t="s">
        <v>560</v>
      </c>
      <c r="N576" s="202">
        <f>If(L576&gt;K576,   datedif(K576,L576,"Y") , If(K576&lt;Vitalicios!$C$4, datedif(K576,Vitalicios!$C$4,"Y"),0)  )</f>
        <v>5</v>
      </c>
      <c r="O576" s="202"/>
    </row>
    <row r="577">
      <c r="A577" s="192">
        <v>1980.0</v>
      </c>
      <c r="B577" s="193" t="s">
        <v>2208</v>
      </c>
      <c r="C577" s="193" t="s">
        <v>537</v>
      </c>
      <c r="D577" s="193" t="s">
        <v>538</v>
      </c>
      <c r="E577" s="193" t="s">
        <v>2209</v>
      </c>
      <c r="F577" s="195">
        <v>1.157411088E9</v>
      </c>
      <c r="G577" s="196"/>
      <c r="H577" s="193" t="s">
        <v>2210</v>
      </c>
      <c r="I577" s="197" t="str">
        <f>IF(iserror(vlookup($A577,Pagos!$B$5:L1241,4,false)),"Sin actividad",If(vlookup($A577,Pagos!$B$5:$L1241,5,false),vlookup($A577,Pagos!$B$5:$L1241,5,false),vlookup($A577,Pagos!$B$5:$L1241,4,false)))</f>
        <v>Sin actividad</v>
      </c>
      <c r="J577" s="198" t="s">
        <v>529</v>
      </c>
      <c r="K577" s="199">
        <v>44562.0</v>
      </c>
      <c r="L577" s="200">
        <v>45200.0</v>
      </c>
      <c r="M577" s="201" t="s">
        <v>535</v>
      </c>
      <c r="N577" s="202"/>
      <c r="O577" s="202"/>
    </row>
    <row r="578">
      <c r="A578" s="192">
        <v>1949.0</v>
      </c>
      <c r="B578" s="193" t="s">
        <v>2211</v>
      </c>
      <c r="C578" s="193" t="s">
        <v>537</v>
      </c>
      <c r="D578" s="193" t="s">
        <v>520</v>
      </c>
      <c r="E578" s="193" t="s">
        <v>2212</v>
      </c>
      <c r="F578" s="195">
        <v>2.216902152E9</v>
      </c>
      <c r="G578" s="196"/>
      <c r="H578" s="193" t="s">
        <v>2213</v>
      </c>
      <c r="I578" s="197" t="str">
        <f>IF(iserror(vlookup($A578,Pagos!$B$5:L1241,4,false)),"Sin actividad",If(vlookup($A578,Pagos!$B$5:$L1241,5,false),vlookup($A578,Pagos!$B$5:$L1241,5,false),vlookup($A578,Pagos!$B$5:$L1241,4,false)))</f>
        <v>Sin actividad</v>
      </c>
      <c r="J578" s="198" t="s">
        <v>529</v>
      </c>
      <c r="K578" s="199">
        <v>44501.0</v>
      </c>
      <c r="L578" s="218">
        <v>44682.0</v>
      </c>
      <c r="M578" s="201" t="s">
        <v>535</v>
      </c>
      <c r="N578" s="202"/>
      <c r="O578" s="202"/>
    </row>
    <row r="579">
      <c r="A579" s="192">
        <v>2327.0</v>
      </c>
      <c r="B579" s="193" t="s">
        <v>2214</v>
      </c>
      <c r="C579" s="193" t="s">
        <v>537</v>
      </c>
      <c r="D579" s="193" t="s">
        <v>532</v>
      </c>
      <c r="E579" s="193" t="s">
        <v>2215</v>
      </c>
      <c r="F579" s="195">
        <v>1.162273729E9</v>
      </c>
      <c r="G579" s="196"/>
      <c r="H579" s="193" t="s">
        <v>2216</v>
      </c>
      <c r="I579" s="197"/>
      <c r="J579" s="198" t="s">
        <v>523</v>
      </c>
      <c r="K579" s="199">
        <v>45689.0</v>
      </c>
      <c r="L579" s="218"/>
      <c r="M579" s="201"/>
      <c r="N579" s="202"/>
      <c r="O579" s="202"/>
    </row>
    <row r="580">
      <c r="A580" s="192">
        <v>1396.0</v>
      </c>
      <c r="B580" s="193" t="s">
        <v>2217</v>
      </c>
      <c r="C580" s="194" t="s">
        <v>526</v>
      </c>
      <c r="D580" s="193" t="s">
        <v>520</v>
      </c>
      <c r="E580" s="193" t="s">
        <v>2218</v>
      </c>
      <c r="F580" s="195">
        <v>4512717.0</v>
      </c>
      <c r="G580" s="196">
        <v>0.0</v>
      </c>
      <c r="H580" s="193"/>
      <c r="I580" s="197" t="str">
        <f>IF(iserror(vlookup($A580,Pagos!$B$5:L1241,4,false)),"Sin actividad",If(vlookup($A580,Pagos!$B$5:$L1241,5,false),vlookup($A580,Pagos!$B$5:$L1241,5,false),vlookup($A580,Pagos!$B$5:$L1241,4,false)))</f>
        <v>Sin actividad</v>
      </c>
      <c r="J580" s="198" t="s">
        <v>529</v>
      </c>
      <c r="K580" s="199">
        <v>40909.0</v>
      </c>
      <c r="L580" s="200"/>
      <c r="M580" s="201"/>
      <c r="N580" s="202">
        <f>If(L580&gt;K580,   datedif(K580,L580,"Y") , If(K580&lt;Vitalicios!$C$4, datedif(K580,Vitalicios!$C$4,"Y"),0)  )</f>
        <v>13</v>
      </c>
      <c r="O580" s="202"/>
    </row>
    <row r="581">
      <c r="A581" s="192">
        <v>2146.0</v>
      </c>
      <c r="B581" s="193" t="s">
        <v>2219</v>
      </c>
      <c r="C581" s="194"/>
      <c r="D581" s="193"/>
      <c r="E581" s="193" t="s">
        <v>2220</v>
      </c>
      <c r="F581" s="195">
        <v>1.162519237E9</v>
      </c>
      <c r="G581" s="196"/>
      <c r="H581" s="193" t="s">
        <v>2221</v>
      </c>
      <c r="I581" s="197"/>
      <c r="J581" s="198" t="s">
        <v>529</v>
      </c>
      <c r="K581" s="199">
        <v>44986.0</v>
      </c>
      <c r="L581" s="200">
        <v>45170.0</v>
      </c>
      <c r="M581" s="201" t="s">
        <v>716</v>
      </c>
      <c r="N581" s="202"/>
      <c r="O581" s="202"/>
    </row>
    <row r="582">
      <c r="A582" s="192">
        <v>1288.0</v>
      </c>
      <c r="B582" s="193" t="s">
        <v>2222</v>
      </c>
      <c r="C582" s="193" t="s">
        <v>537</v>
      </c>
      <c r="D582" s="193" t="s">
        <v>48</v>
      </c>
      <c r="E582" s="193" t="s">
        <v>2223</v>
      </c>
      <c r="F582" s="195">
        <v>2.216195394E9</v>
      </c>
      <c r="G582" s="196">
        <v>0.0</v>
      </c>
      <c r="H582" s="193" t="s">
        <v>2224</v>
      </c>
      <c r="I582" s="197" t="str">
        <f>IF(iserror(vlookup($A582,Pagos!$B$5:L1241,4,false)),"Sin actividad",If(vlookup($A582,Pagos!$B$5:$L1241,5,false),vlookup($A582,Pagos!$B$5:$L1241,5,false),vlookup($A582,Pagos!$B$5:$L1241,4,false)))</f>
        <v>Sin actividad</v>
      </c>
      <c r="J582" s="198" t="s">
        <v>523</v>
      </c>
      <c r="K582" s="199">
        <v>40209.0</v>
      </c>
      <c r="L582" s="200">
        <v>44075.0</v>
      </c>
      <c r="M582" s="201" t="s">
        <v>2225</v>
      </c>
      <c r="N582" s="202">
        <f>If(L582&gt;K582,   datedif(K582,L582,"Y") , If(K582&lt;Vitalicios!$C$4, datedif(K582,Vitalicios!$C$4,"Y"),0)  )</f>
        <v>10</v>
      </c>
      <c r="O582" s="202"/>
    </row>
    <row r="583">
      <c r="A583" s="192">
        <v>1147.0</v>
      </c>
      <c r="B583" s="193" t="s">
        <v>2226</v>
      </c>
      <c r="C583" s="194" t="s">
        <v>526</v>
      </c>
      <c r="D583" s="193" t="s">
        <v>556</v>
      </c>
      <c r="E583" s="193" t="s">
        <v>2227</v>
      </c>
      <c r="F583" s="195">
        <v>4215648.0</v>
      </c>
      <c r="G583" s="221">
        <v>2.216746536E9</v>
      </c>
      <c r="H583" s="193" t="s">
        <v>2228</v>
      </c>
      <c r="I583" s="197">
        <f>IF(iserror(vlookup($A583,Pagos!$B$5:L1241,4,false)),"Sin actividad",If(vlookup($A583,Pagos!$B$5:$L1241,5,false),vlookup($A583,Pagos!$B$5:$L1241,5,false),vlookup($A583,Pagos!$B$5:$L1241,4,false)))</f>
        <v>45870</v>
      </c>
      <c r="J583" s="198" t="s">
        <v>529</v>
      </c>
      <c r="K583" s="199">
        <v>39318.0</v>
      </c>
      <c r="L583" s="200">
        <v>45505.0</v>
      </c>
      <c r="M583" s="201" t="s">
        <v>2043</v>
      </c>
      <c r="N583" s="202">
        <f>If(L583&gt;K583,   datedif(K583,L583,"Y") , If(K583&lt;Vitalicios!$C$4, datedif(K583,Vitalicios!$C$4,"Y"),0)  )</f>
        <v>16</v>
      </c>
      <c r="O583" s="202"/>
    </row>
    <row r="584">
      <c r="A584" s="192">
        <v>1639.0</v>
      </c>
      <c r="B584" s="193" t="s">
        <v>2229</v>
      </c>
      <c r="C584" s="194" t="s">
        <v>519</v>
      </c>
      <c r="D584" s="193" t="s">
        <v>520</v>
      </c>
      <c r="E584" s="193" t="s">
        <v>2230</v>
      </c>
      <c r="F584" s="195">
        <v>4522380.0</v>
      </c>
      <c r="G584" s="196">
        <v>1.5503201E8</v>
      </c>
      <c r="H584" s="193" t="s">
        <v>2231</v>
      </c>
      <c r="I584" s="197">
        <f>IF(iserror(vlookup($A584,Pagos!$B$5:L1241,4,false)),"Sin actividad",If(vlookup($A584,Pagos!$B$5:$L1241,5,false),vlookup($A584,Pagos!$B$5:$L1241,5,false),vlookup($A584,Pagos!$B$5:$L1241,4,false)))</f>
        <v>45870</v>
      </c>
      <c r="J584" s="198" t="s">
        <v>523</v>
      </c>
      <c r="K584" s="199">
        <v>42826.0</v>
      </c>
      <c r="L584" s="200"/>
      <c r="M584" s="201"/>
      <c r="N584" s="202">
        <f>If(L584&gt;K584,   datedif(K584,L584,"Y") , If(K584&lt;Vitalicios!$C$4, datedif(K584,Vitalicios!$C$4,"Y"),0)  )</f>
        <v>8</v>
      </c>
      <c r="O584" s="202"/>
    </row>
    <row r="585">
      <c r="A585" s="192">
        <v>1363.0</v>
      </c>
      <c r="B585" s="193" t="s">
        <v>2232</v>
      </c>
      <c r="C585" s="194" t="s">
        <v>526</v>
      </c>
      <c r="D585" s="193" t="s">
        <v>556</v>
      </c>
      <c r="E585" s="193" t="s">
        <v>2233</v>
      </c>
      <c r="F585" s="195">
        <v>6.3598303E7</v>
      </c>
      <c r="G585" s="196">
        <v>0.0</v>
      </c>
      <c r="H585" s="193"/>
      <c r="I585" s="197" t="str">
        <f>IF(iserror(vlookup($A585,Pagos!$B$5:L1241,4,false)),"Sin actividad",If(vlookup($A585,Pagos!$B$5:$L1241,5,false),vlookup($A585,Pagos!$B$5:$L1241,5,false),vlookup($A585,Pagos!$B$5:$L1241,4,false)))</f>
        <v>Sin actividad</v>
      </c>
      <c r="J585" s="198" t="s">
        <v>529</v>
      </c>
      <c r="K585" s="199">
        <v>40603.0</v>
      </c>
      <c r="L585" s="200">
        <v>43374.0</v>
      </c>
      <c r="M585" s="201" t="s">
        <v>560</v>
      </c>
      <c r="N585" s="202">
        <f>If(L585&gt;K585,   datedif(K585,L585,"Y") , If(K585&lt;Vitalicios!$C$4, datedif(K585,Vitalicios!$C$4,"Y"),0)  )</f>
        <v>7</v>
      </c>
      <c r="O585" s="202"/>
    </row>
    <row r="586">
      <c r="A586" s="192">
        <v>1472.0</v>
      </c>
      <c r="B586" s="193" t="s">
        <v>2234</v>
      </c>
      <c r="C586" s="194" t="s">
        <v>526</v>
      </c>
      <c r="D586" s="193" t="s">
        <v>527</v>
      </c>
      <c r="E586" s="193" t="s">
        <v>2235</v>
      </c>
      <c r="F586" s="195">
        <v>2.22415535338E11</v>
      </c>
      <c r="G586" s="196">
        <v>0.0</v>
      </c>
      <c r="H586" s="193"/>
      <c r="I586" s="197" t="str">
        <f>IF(iserror(vlookup($A586,Pagos!$B$5:L1241,4,false)),"Sin actividad",If(vlookup($A586,Pagos!$B$5:$L1241,5,false),vlookup($A586,Pagos!$B$5:$L1241,5,false),vlookup($A586,Pagos!$B$5:$L1241,4,false)))</f>
        <v>Sin actividad</v>
      </c>
      <c r="J586" s="198" t="s">
        <v>529</v>
      </c>
      <c r="K586" s="199">
        <v>41496.0</v>
      </c>
      <c r="L586" s="200"/>
      <c r="M586" s="201"/>
      <c r="N586" s="202">
        <f>If(L586&gt;K586,   datedif(K586,L586,"Y") , If(K586&lt;Vitalicios!$C$4, datedif(K586,Vitalicios!$C$4,"Y"),0)  )</f>
        <v>12</v>
      </c>
      <c r="O586" s="202"/>
    </row>
    <row r="587">
      <c r="A587" s="192">
        <v>1995.0</v>
      </c>
      <c r="B587" s="193" t="s">
        <v>2236</v>
      </c>
      <c r="C587" s="193" t="s">
        <v>537</v>
      </c>
      <c r="D587" s="193" t="s">
        <v>538</v>
      </c>
      <c r="E587" s="193" t="s">
        <v>2237</v>
      </c>
      <c r="F587" s="195">
        <v>1.166310801E9</v>
      </c>
      <c r="G587" s="196"/>
      <c r="H587" s="209" t="s">
        <v>2238</v>
      </c>
      <c r="I587" s="197" t="str">
        <f>IF(iserror(vlookup($A587,Pagos!$B$5:L1241,4,false)),"Sin actividad",If(vlookup($A587,Pagos!$B$5:$L1241,5,false),vlookup($A587,Pagos!$B$5:$L1241,5,false),vlookup($A587,Pagos!$B$5:$L1241,4,false)))</f>
        <v>Sin actividad</v>
      </c>
      <c r="J587" s="198" t="s">
        <v>529</v>
      </c>
      <c r="K587" s="199">
        <v>44562.0</v>
      </c>
      <c r="L587" s="200">
        <v>45323.0</v>
      </c>
      <c r="M587" s="201" t="s">
        <v>535</v>
      </c>
      <c r="N587" s="202"/>
      <c r="O587" s="202"/>
    </row>
    <row r="588">
      <c r="A588" s="192">
        <v>1693.0</v>
      </c>
      <c r="B588" s="193" t="s">
        <v>2239</v>
      </c>
      <c r="C588" s="194" t="s">
        <v>519</v>
      </c>
      <c r="D588" s="193" t="s">
        <v>527</v>
      </c>
      <c r="E588" s="193" t="s">
        <v>2240</v>
      </c>
      <c r="F588" s="195">
        <v>1.55731114E8</v>
      </c>
      <c r="G588" s="196"/>
      <c r="H588" s="193" t="s">
        <v>2241</v>
      </c>
      <c r="I588" s="197" t="str">
        <f>IF(iserror(vlookup($A588,Pagos!$B$5:L1241,4,false)),"Sin actividad",If(vlookup($A588,Pagos!$B$5:$L1241,5,false),vlookup($A588,Pagos!$B$5:$L1241,5,false),vlookup($A588,Pagos!$B$5:$L1241,4,false)))</f>
        <v>Sin actividad</v>
      </c>
      <c r="J588" s="198" t="s">
        <v>529</v>
      </c>
      <c r="K588" s="199">
        <v>43160.0</v>
      </c>
      <c r="L588" s="200">
        <v>43525.0</v>
      </c>
      <c r="M588" s="201"/>
      <c r="N588" s="202">
        <f>If(L588&gt;K588,   datedif(K588,L588,"Y") , If(K588&lt;Vitalicios!$C$4, datedif(K588,Vitalicios!$C$4,"Y"),0)  )</f>
        <v>1</v>
      </c>
      <c r="O588" s="202"/>
    </row>
    <row r="589">
      <c r="A589" s="192">
        <v>1947.0</v>
      </c>
      <c r="B589" s="193" t="s">
        <v>2242</v>
      </c>
      <c r="C589" s="193" t="s">
        <v>537</v>
      </c>
      <c r="D589" s="193" t="s">
        <v>549</v>
      </c>
      <c r="E589" s="193" t="s">
        <v>2243</v>
      </c>
      <c r="F589" s="195">
        <v>1.162514733E9</v>
      </c>
      <c r="G589" s="196"/>
      <c r="H589" s="193" t="s">
        <v>2244</v>
      </c>
      <c r="I589" s="197">
        <f>IF(iserror(vlookup($A589,Pagos!$B$5:L1241,4,false)),"Sin actividad",If(vlookup($A589,Pagos!$B$5:$L1241,5,false),vlookup($A589,Pagos!$B$5:$L1241,5,false),vlookup($A589,Pagos!$B$5:$L1241,4,false)))</f>
        <v>45689</v>
      </c>
      <c r="J589" s="198" t="s">
        <v>523</v>
      </c>
      <c r="K589" s="199">
        <v>44501.0</v>
      </c>
      <c r="L589" s="200"/>
      <c r="M589" s="201"/>
      <c r="N589" s="202"/>
      <c r="O589" s="202"/>
    </row>
    <row r="590">
      <c r="A590" s="192">
        <v>1791.0</v>
      </c>
      <c r="B590" s="193" t="s">
        <v>2245</v>
      </c>
      <c r="C590" s="194"/>
      <c r="D590" s="193"/>
      <c r="E590" s="193"/>
      <c r="F590" s="195"/>
      <c r="G590" s="196"/>
      <c r="H590" s="193" t="s">
        <v>2246</v>
      </c>
      <c r="I590" s="197">
        <f>IF(iserror(vlookup($A590,Pagos!$B$5:L1241,4,false)),"Sin actividad",If(vlookup($A590,Pagos!$B$5:$L1241,5,false),vlookup($A590,Pagos!$B$5:$L1241,5,false),vlookup($A590,Pagos!$B$5:$L1241,4,false)))</f>
        <v>45870</v>
      </c>
      <c r="J590" s="198" t="s">
        <v>523</v>
      </c>
      <c r="K590" s="199">
        <v>44044.0</v>
      </c>
      <c r="L590" s="200"/>
      <c r="M590" s="201"/>
      <c r="N590" s="202"/>
      <c r="O590" s="202"/>
    </row>
    <row r="591">
      <c r="A591" s="192">
        <v>2280.0</v>
      </c>
      <c r="B591" s="193" t="s">
        <v>2247</v>
      </c>
      <c r="C591" s="193" t="s">
        <v>537</v>
      </c>
      <c r="D591" s="193" t="s">
        <v>628</v>
      </c>
      <c r="E591" s="193" t="s">
        <v>2248</v>
      </c>
      <c r="F591" s="195">
        <v>1.16251438E8</v>
      </c>
      <c r="G591" s="196"/>
      <c r="H591" s="193" t="s">
        <v>2249</v>
      </c>
      <c r="I591" s="197"/>
      <c r="J591" s="198" t="s">
        <v>523</v>
      </c>
      <c r="K591" s="199">
        <v>45536.0</v>
      </c>
      <c r="L591" s="200"/>
      <c r="M591" s="201"/>
      <c r="N591" s="202"/>
      <c r="O591" s="202"/>
    </row>
    <row r="592">
      <c r="A592" s="192">
        <v>1700.0</v>
      </c>
      <c r="B592" s="193" t="s">
        <v>2250</v>
      </c>
      <c r="C592" s="194" t="s">
        <v>519</v>
      </c>
      <c r="D592" s="193" t="s">
        <v>520</v>
      </c>
      <c r="E592" s="193" t="s">
        <v>2251</v>
      </c>
      <c r="F592" s="195">
        <v>2.215673503E9</v>
      </c>
      <c r="G592" s="196"/>
      <c r="H592" s="193" t="s">
        <v>2252</v>
      </c>
      <c r="I592" s="197" t="str">
        <f>IF(iserror(vlookup($A592,Pagos!$B$5:L1241,4,false)),"Sin actividad",If(vlookup($A592,Pagos!$B$5:$L1241,5,false),vlookup($A592,Pagos!$B$5:$L1241,5,false),vlookup($A592,Pagos!$B$5:$L1241,4,false)))</f>
        <v>Sin actividad</v>
      </c>
      <c r="J592" s="198" t="s">
        <v>529</v>
      </c>
      <c r="K592" s="199">
        <v>43252.0</v>
      </c>
      <c r="L592" s="200">
        <v>43862.0</v>
      </c>
      <c r="M592" s="201"/>
      <c r="N592" s="202">
        <f>If(L592&gt;K592,   datedif(K592,L592,"Y") , If(K592&lt;Vitalicios!$C$4, datedif(K592,Vitalicios!$C$4,"Y"),0)  )</f>
        <v>1</v>
      </c>
      <c r="O592" s="202"/>
    </row>
    <row r="593">
      <c r="A593" s="192">
        <v>1991.0</v>
      </c>
      <c r="B593" s="193" t="s">
        <v>2253</v>
      </c>
      <c r="C593" s="193" t="s">
        <v>679</v>
      </c>
      <c r="D593" s="193" t="s">
        <v>549</v>
      </c>
      <c r="E593" s="193" t="s">
        <v>2254</v>
      </c>
      <c r="F593" s="195">
        <v>2.215234251E9</v>
      </c>
      <c r="G593" s="196"/>
      <c r="H593" s="193" t="s">
        <v>2255</v>
      </c>
      <c r="I593" s="197">
        <f>IF(iserror(vlookup($A593,Pagos!$B$5:L1241,4,false)),"Sin actividad",If(vlookup($A593,Pagos!$B$5:$L1241,5,false),vlookup($A593,Pagos!$B$5:$L1241,5,false),vlookup($A593,Pagos!$B$5:$L1241,4,false)))</f>
        <v>45870</v>
      </c>
      <c r="J593" s="198" t="s">
        <v>523</v>
      </c>
      <c r="K593" s="199">
        <v>44562.0</v>
      </c>
      <c r="L593" s="200"/>
      <c r="M593" s="201"/>
      <c r="N593" s="202"/>
      <c r="O593" s="202"/>
    </row>
    <row r="594">
      <c r="A594" s="192">
        <v>1942.0</v>
      </c>
      <c r="B594" s="193" t="s">
        <v>2256</v>
      </c>
      <c r="C594" s="193" t="s">
        <v>679</v>
      </c>
      <c r="D594" s="193" t="s">
        <v>538</v>
      </c>
      <c r="E594" s="193" t="s">
        <v>2257</v>
      </c>
      <c r="F594" s="195">
        <v>2.216024603E9</v>
      </c>
      <c r="G594" s="196"/>
      <c r="H594" s="193" t="s">
        <v>2258</v>
      </c>
      <c r="I594" s="197">
        <f>IF(iserror(vlookup($A594,Pagos!$B$5:L1241,4,false)),"Sin actividad",If(vlookup($A594,Pagos!$B$5:$L1241,5,false),vlookup($A594,Pagos!$B$5:$L1241,5,false),vlookup($A594,Pagos!$B$5:$L1241,4,false)))</f>
        <v>45778</v>
      </c>
      <c r="J594" s="198" t="s">
        <v>523</v>
      </c>
      <c r="K594" s="199">
        <v>44501.0</v>
      </c>
      <c r="L594" s="200"/>
      <c r="M594" s="201"/>
      <c r="N594" s="202"/>
      <c r="O594" s="202"/>
    </row>
    <row r="595">
      <c r="A595" s="192">
        <v>1934.0</v>
      </c>
      <c r="B595" s="193" t="s">
        <v>2259</v>
      </c>
      <c r="C595" s="193" t="s">
        <v>679</v>
      </c>
      <c r="D595" s="193" t="s">
        <v>538</v>
      </c>
      <c r="E595" s="193" t="s">
        <v>2260</v>
      </c>
      <c r="F595" s="195">
        <v>2.215586424E9</v>
      </c>
      <c r="G595" s="196"/>
      <c r="H595" s="193" t="s">
        <v>2261</v>
      </c>
      <c r="I595" s="197">
        <f>IF(iserror(vlookup($A595,Pagos!$B$5:L1241,4,false)),"Sin actividad",If(vlookup($A595,Pagos!$B$5:$L1241,5,false),vlookup($A595,Pagos!$B$5:$L1241,5,false),vlookup($A595,Pagos!$B$5:$L1241,4,false)))</f>
        <v>45689</v>
      </c>
      <c r="J595" s="198" t="s">
        <v>523</v>
      </c>
      <c r="K595" s="199">
        <v>44470.0</v>
      </c>
      <c r="L595" s="200"/>
      <c r="M595" s="201"/>
      <c r="N595" s="202"/>
      <c r="O595" s="202"/>
    </row>
    <row r="596">
      <c r="A596" s="192">
        <v>2313.0</v>
      </c>
      <c r="B596" s="193" t="s">
        <v>2262</v>
      </c>
      <c r="C596" s="193" t="s">
        <v>679</v>
      </c>
      <c r="D596" s="193"/>
      <c r="E596" s="193" t="s">
        <v>2263</v>
      </c>
      <c r="F596" s="195">
        <v>2.215349279E9</v>
      </c>
      <c r="G596" s="196"/>
      <c r="H596" s="193" t="s">
        <v>2264</v>
      </c>
      <c r="I596" s="197">
        <v>45658.0</v>
      </c>
      <c r="J596" s="198" t="s">
        <v>523</v>
      </c>
      <c r="K596" s="199"/>
      <c r="L596" s="200"/>
      <c r="M596" s="201"/>
      <c r="N596" s="202"/>
      <c r="O596" s="202"/>
    </row>
    <row r="597">
      <c r="A597" s="192">
        <v>1589.0</v>
      </c>
      <c r="B597" s="193" t="s">
        <v>2265</v>
      </c>
      <c r="C597" s="194" t="s">
        <v>526</v>
      </c>
      <c r="D597" s="193" t="s">
        <v>527</v>
      </c>
      <c r="E597" s="193" t="s">
        <v>2266</v>
      </c>
      <c r="F597" s="195">
        <v>4587979.0</v>
      </c>
      <c r="G597" s="196"/>
      <c r="H597" s="193" t="s">
        <v>2267</v>
      </c>
      <c r="I597" s="197" t="str">
        <f>IF(iserror(vlookup($A597,Pagos!$B$5:L1241,4,false)),"Sin actividad",If(vlookup($A597,Pagos!$B$5:$L1241,5,false),vlookup($A597,Pagos!$B$5:$L1241,5,false),vlookup($A597,Pagos!$B$5:$L1241,4,false)))</f>
        <v>Sin actividad</v>
      </c>
      <c r="J597" s="198" t="s">
        <v>529</v>
      </c>
      <c r="K597" s="199">
        <v>42401.0</v>
      </c>
      <c r="L597" s="200">
        <v>43374.0</v>
      </c>
      <c r="M597" s="201" t="s">
        <v>560</v>
      </c>
      <c r="N597" s="202">
        <f>If(L597&gt;K597,   datedif(K597,L597,"Y") , If(K597&lt;Vitalicios!$C$4, datedif(K597,Vitalicios!$C$4,"Y"),0)  )</f>
        <v>2</v>
      </c>
      <c r="O597" s="202"/>
    </row>
    <row r="598">
      <c r="A598" s="192">
        <v>1573.0</v>
      </c>
      <c r="B598" s="193" t="s">
        <v>2268</v>
      </c>
      <c r="C598" s="194" t="s">
        <v>577</v>
      </c>
      <c r="D598" s="193" t="s">
        <v>2269</v>
      </c>
      <c r="E598" s="193" t="s">
        <v>2270</v>
      </c>
      <c r="F598" s="195">
        <v>1.56479313E8</v>
      </c>
      <c r="G598" s="196">
        <v>0.0</v>
      </c>
      <c r="H598" s="193" t="s">
        <v>2271</v>
      </c>
      <c r="I598" s="197" t="str">
        <f>IF(iserror(vlookup($A598,Pagos!$B$5:L1241,4,false)),"Sin actividad",If(vlookup($A598,Pagos!$B$5:$L1241,5,false),vlookup($A598,Pagos!$B$5:$L1241,5,false),vlookup($A598,Pagos!$B$5:$L1241,4,false)))</f>
        <v>Sin actividad</v>
      </c>
      <c r="J598" s="198" t="s">
        <v>529</v>
      </c>
      <c r="K598" s="199">
        <v>42315.0</v>
      </c>
      <c r="L598" s="200">
        <v>45778.0</v>
      </c>
      <c r="M598" s="201" t="s">
        <v>716</v>
      </c>
      <c r="N598" s="202">
        <f>If(L598&gt;K598,   datedif(K598,L598,"Y") , If(K598&lt;Vitalicios!$C$4, datedif(K598,Vitalicios!$C$4,"Y"),0)  )</f>
        <v>9</v>
      </c>
      <c r="O598" s="202"/>
    </row>
    <row r="599">
      <c r="A599" s="192">
        <v>1365.0</v>
      </c>
      <c r="B599" s="193" t="s">
        <v>2272</v>
      </c>
      <c r="C599" s="194" t="s">
        <v>526</v>
      </c>
      <c r="D599" s="193" t="s">
        <v>556</v>
      </c>
      <c r="E599" s="193" t="s">
        <v>2273</v>
      </c>
      <c r="F599" s="195">
        <v>1.5476935E8</v>
      </c>
      <c r="G599" s="196">
        <v>0.0</v>
      </c>
      <c r="H599" s="193"/>
      <c r="I599" s="197" t="str">
        <f>IF(iserror(vlookup($A599,Pagos!$B$5:L1241,4,false)),"Sin actividad",If(vlookup($A599,Pagos!$B$5:$L1241,5,false),vlookup($A599,Pagos!$B$5:$L1241,5,false),vlookup($A599,Pagos!$B$5:$L1241,4,false)))</f>
        <v>Sin actividad</v>
      </c>
      <c r="J599" s="198" t="s">
        <v>529</v>
      </c>
      <c r="K599" s="199">
        <v>40608.0</v>
      </c>
      <c r="L599" s="200"/>
      <c r="M599" s="201"/>
      <c r="N599" s="202">
        <f>If(L599&gt;K599,   datedif(K599,L599,"Y") , If(K599&lt;Vitalicios!$C$4, datedif(K599,Vitalicios!$C$4,"Y"),0)  )</f>
        <v>14</v>
      </c>
      <c r="O599" s="202"/>
    </row>
    <row r="600">
      <c r="A600" s="192">
        <v>1535.0</v>
      </c>
      <c r="B600" s="193" t="s">
        <v>2274</v>
      </c>
      <c r="C600" s="194" t="s">
        <v>526</v>
      </c>
      <c r="D600" s="193" t="s">
        <v>556</v>
      </c>
      <c r="E600" s="193" t="s">
        <v>2275</v>
      </c>
      <c r="F600" s="195" t="s">
        <v>2276</v>
      </c>
      <c r="G600" s="196"/>
      <c r="H600" s="193"/>
      <c r="I600" s="197" t="str">
        <f>IF(iserror(vlookup($A600,Pagos!$B$5:L1241,4,false)),"Sin actividad",If(vlookup($A600,Pagos!$B$5:$L1241,5,false),vlookup($A600,Pagos!$B$5:$L1241,5,false),vlookup($A600,Pagos!$B$5:$L1241,4,false)))</f>
        <v>Sin actividad</v>
      </c>
      <c r="J600" s="198" t="s">
        <v>529</v>
      </c>
      <c r="K600" s="199">
        <v>41968.0</v>
      </c>
      <c r="L600" s="200">
        <v>43374.0</v>
      </c>
      <c r="M600" s="201" t="s">
        <v>560</v>
      </c>
      <c r="N600" s="202">
        <f>If(L600&gt;K600,   datedif(K600,L600,"Y") , If(K600&lt;Vitalicios!$C$4, datedif(K600,Vitalicios!$C$4,"Y"),0)  )</f>
        <v>3</v>
      </c>
      <c r="O600" s="202"/>
    </row>
    <row r="601">
      <c r="A601" s="192">
        <v>1296.0</v>
      </c>
      <c r="B601" s="193" t="s">
        <v>2277</v>
      </c>
      <c r="C601" s="194" t="s">
        <v>526</v>
      </c>
      <c r="D601" s="193" t="s">
        <v>556</v>
      </c>
      <c r="E601" s="193" t="s">
        <v>2278</v>
      </c>
      <c r="F601" s="195">
        <v>4.5715205E7</v>
      </c>
      <c r="G601" s="196">
        <v>1.544119595E9</v>
      </c>
      <c r="H601" s="193"/>
      <c r="I601" s="197" t="str">
        <f>IF(iserror(vlookup($A601,Pagos!$B$5:L1241,4,false)),"Sin actividad",If(vlookup($A601,Pagos!$B$5:$L1241,5,false),vlookup($A601,Pagos!$B$5:$L1241,5,false),vlookup($A601,Pagos!$B$5:$L1241,4,false)))</f>
        <v>Sin actividad</v>
      </c>
      <c r="J601" s="198" t="s">
        <v>529</v>
      </c>
      <c r="K601" s="199">
        <v>40257.0</v>
      </c>
      <c r="L601" s="200"/>
      <c r="M601" s="201"/>
      <c r="N601" s="202">
        <f>If(L601&gt;K601,   datedif(K601,L601,"Y") , If(K601&lt;Vitalicios!$C$4, datedif(K601,Vitalicios!$C$4,"Y"),0)  )</f>
        <v>15</v>
      </c>
      <c r="O601" s="202"/>
    </row>
    <row r="602">
      <c r="A602" s="192">
        <v>2233.0</v>
      </c>
      <c r="B602" s="193" t="s">
        <v>2279</v>
      </c>
      <c r="C602" s="193" t="s">
        <v>537</v>
      </c>
      <c r="D602" s="193"/>
      <c r="E602" s="193"/>
      <c r="F602" s="195">
        <v>1.157105617E9</v>
      </c>
      <c r="G602" s="196"/>
      <c r="H602" s="193" t="s">
        <v>2280</v>
      </c>
      <c r="I602" s="197"/>
      <c r="J602" s="198" t="s">
        <v>523</v>
      </c>
      <c r="K602" s="199">
        <v>45292.0</v>
      </c>
      <c r="L602" s="200"/>
      <c r="M602" s="201"/>
      <c r="N602" s="202"/>
      <c r="O602" s="202"/>
    </row>
    <row r="603">
      <c r="A603" s="192">
        <v>2335.0</v>
      </c>
      <c r="B603" s="193" t="s">
        <v>2281</v>
      </c>
      <c r="C603" s="193" t="s">
        <v>537</v>
      </c>
      <c r="D603" s="193" t="s">
        <v>538</v>
      </c>
      <c r="E603" s="193" t="s">
        <v>2282</v>
      </c>
      <c r="F603" s="195">
        <v>2.216243148E9</v>
      </c>
      <c r="G603" s="196"/>
      <c r="H603" s="193" t="s">
        <v>2283</v>
      </c>
      <c r="I603" s="197"/>
      <c r="J603" s="198" t="s">
        <v>523</v>
      </c>
      <c r="K603" s="199">
        <v>45689.0</v>
      </c>
      <c r="L603" s="200"/>
      <c r="M603" s="201"/>
      <c r="N603" s="202"/>
      <c r="O603" s="202"/>
    </row>
    <row r="604">
      <c r="A604" s="192">
        <v>2138.0</v>
      </c>
      <c r="B604" s="193" t="s">
        <v>2284</v>
      </c>
      <c r="C604" s="193" t="s">
        <v>537</v>
      </c>
      <c r="D604" s="193" t="s">
        <v>532</v>
      </c>
      <c r="E604" s="193" t="s">
        <v>2285</v>
      </c>
      <c r="F604" s="195">
        <v>2.214772779E9</v>
      </c>
      <c r="G604" s="196"/>
      <c r="H604" s="193" t="s">
        <v>2286</v>
      </c>
      <c r="I604" s="197"/>
      <c r="J604" s="198" t="s">
        <v>529</v>
      </c>
      <c r="K604" s="199">
        <v>44986.0</v>
      </c>
      <c r="L604" s="200"/>
      <c r="M604" s="201"/>
      <c r="N604" s="202"/>
      <c r="O604" s="202"/>
    </row>
    <row r="605">
      <c r="A605" s="192">
        <v>2183.0</v>
      </c>
      <c r="B605" s="193" t="s">
        <v>2287</v>
      </c>
      <c r="C605" s="193" t="s">
        <v>537</v>
      </c>
      <c r="D605" s="193" t="s">
        <v>538</v>
      </c>
      <c r="E605" s="193" t="s">
        <v>2288</v>
      </c>
      <c r="F605" s="195">
        <v>2.214771691E9</v>
      </c>
      <c r="G605" s="196"/>
      <c r="H605" s="193" t="s">
        <v>2289</v>
      </c>
      <c r="I605" s="197"/>
      <c r="J605" s="198" t="s">
        <v>523</v>
      </c>
      <c r="K605" s="199">
        <v>45139.0</v>
      </c>
      <c r="L605" s="200"/>
      <c r="M605" s="201"/>
      <c r="N605" s="202"/>
      <c r="O605" s="202"/>
    </row>
    <row r="606">
      <c r="A606" s="192">
        <v>2163.0</v>
      </c>
      <c r="B606" s="193" t="s">
        <v>2290</v>
      </c>
      <c r="C606" s="193" t="s">
        <v>537</v>
      </c>
      <c r="D606" s="193" t="s">
        <v>2291</v>
      </c>
      <c r="E606" s="193" t="s">
        <v>2292</v>
      </c>
      <c r="F606" s="195">
        <v>2.214771958E9</v>
      </c>
      <c r="G606" s="196"/>
      <c r="H606" s="193" t="s">
        <v>2293</v>
      </c>
      <c r="I606" s="197"/>
      <c r="J606" s="198" t="s">
        <v>523</v>
      </c>
      <c r="K606" s="199">
        <v>44986.0</v>
      </c>
      <c r="L606" s="200"/>
      <c r="M606" s="201"/>
      <c r="N606" s="202"/>
      <c r="O606" s="202"/>
    </row>
    <row r="607">
      <c r="A607" s="192">
        <v>1798.0</v>
      </c>
      <c r="B607" s="193" t="s">
        <v>2294</v>
      </c>
      <c r="C607" s="193" t="s">
        <v>537</v>
      </c>
      <c r="D607" s="193" t="s">
        <v>538</v>
      </c>
      <c r="E607" s="193" t="s">
        <v>2295</v>
      </c>
      <c r="F607" s="195">
        <v>1.136288249E9</v>
      </c>
      <c r="G607" s="196"/>
      <c r="H607" s="193" t="s">
        <v>2296</v>
      </c>
      <c r="I607" s="197" t="str">
        <f>IF(iserror(vlookup($A607,Pagos!$B$5:L1241,4,false)),"Sin actividad",If(vlookup($A607,Pagos!$B$5:$L1241,5,false),vlookup($A607,Pagos!$B$5:$L1241,5,false),vlookup($A607,Pagos!$B$5:$L1241,4,false)))</f>
        <v>Sin actividad</v>
      </c>
      <c r="J607" s="198" t="s">
        <v>529</v>
      </c>
      <c r="K607" s="199">
        <v>44044.0</v>
      </c>
      <c r="L607" s="200">
        <v>44682.0</v>
      </c>
      <c r="M607" s="201" t="s">
        <v>2297</v>
      </c>
      <c r="N607" s="202"/>
      <c r="O607" s="202"/>
    </row>
    <row r="608">
      <c r="A608" s="192">
        <v>2037.0</v>
      </c>
      <c r="B608" s="193" t="s">
        <v>2298</v>
      </c>
      <c r="C608" s="193" t="s">
        <v>537</v>
      </c>
      <c r="D608" s="193" t="s">
        <v>538</v>
      </c>
      <c r="E608" s="193" t="s">
        <v>2299</v>
      </c>
      <c r="F608" s="195">
        <v>2.215441906E9</v>
      </c>
      <c r="G608" s="196"/>
      <c r="H608" s="193" t="s">
        <v>2300</v>
      </c>
      <c r="I608" s="197"/>
      <c r="J608" s="198" t="s">
        <v>523</v>
      </c>
      <c r="K608" s="199">
        <v>44774.0</v>
      </c>
      <c r="L608" s="200"/>
      <c r="M608" s="201"/>
      <c r="N608" s="202"/>
      <c r="O608" s="202"/>
    </row>
    <row r="609">
      <c r="A609" s="192">
        <v>2264.0</v>
      </c>
      <c r="B609" s="193" t="s">
        <v>2301</v>
      </c>
      <c r="C609" s="193" t="s">
        <v>537</v>
      </c>
      <c r="D609" s="193" t="s">
        <v>628</v>
      </c>
      <c r="E609" s="193" t="s">
        <v>2302</v>
      </c>
      <c r="F609" s="195">
        <v>2.215247262E9</v>
      </c>
      <c r="G609" s="196"/>
      <c r="H609" s="193" t="s">
        <v>2303</v>
      </c>
      <c r="I609" s="197"/>
      <c r="J609" s="198" t="s">
        <v>529</v>
      </c>
      <c r="K609" s="199">
        <v>45352.0</v>
      </c>
      <c r="L609" s="200">
        <v>45505.0</v>
      </c>
      <c r="M609" s="201" t="s">
        <v>703</v>
      </c>
      <c r="N609" s="202"/>
      <c r="O609" s="202"/>
    </row>
    <row r="610">
      <c r="A610" s="192">
        <v>1753.0</v>
      </c>
      <c r="B610" s="193" t="s">
        <v>2304</v>
      </c>
      <c r="C610" s="194" t="s">
        <v>519</v>
      </c>
      <c r="D610" s="193" t="s">
        <v>520</v>
      </c>
      <c r="E610" s="193" t="s">
        <v>2305</v>
      </c>
      <c r="F610" s="219" t="s">
        <v>2306</v>
      </c>
      <c r="G610" s="196"/>
      <c r="H610" s="193" t="s">
        <v>2307</v>
      </c>
      <c r="I610" s="197" t="str">
        <f>IF(iserror(vlookup($A610,Pagos!$B$5:L1241,4,false)),"Sin actividad",If(vlookup($A610,Pagos!$B$5:$L1241,5,false),vlookup($A610,Pagos!$B$5:$L1241,5,false),vlookup($A610,Pagos!$B$5:$L1241,4,false)))</f>
        <v>Sin actividad</v>
      </c>
      <c r="J610" s="198" t="s">
        <v>529</v>
      </c>
      <c r="K610" s="199">
        <v>43739.0</v>
      </c>
      <c r="L610" s="200">
        <v>43862.0</v>
      </c>
      <c r="M610" s="201"/>
      <c r="N610" s="202">
        <f>If(L610&gt;K610,   datedif(K610,L610,"Y") , If(K610&lt;Vitalicios!$C$4, datedif(K610,Vitalicios!$C$4,"Y"),0)  )</f>
        <v>0</v>
      </c>
      <c r="O610" s="202"/>
    </row>
    <row r="611">
      <c r="A611" s="192">
        <v>850.0</v>
      </c>
      <c r="B611" s="193" t="s">
        <v>2308</v>
      </c>
      <c r="C611" s="194" t="s">
        <v>526</v>
      </c>
      <c r="D611" s="193" t="s">
        <v>520</v>
      </c>
      <c r="E611" s="193" t="s">
        <v>2309</v>
      </c>
      <c r="F611" s="195">
        <v>0.0</v>
      </c>
      <c r="G611" s="196">
        <v>0.0</v>
      </c>
      <c r="H611" s="193"/>
      <c r="I611" s="197" t="str">
        <f>IF(iserror(vlookup($A611,Pagos!$B$5:L1241,4,false)),"Sin actividad",If(vlookup($A611,Pagos!$B$5:$L1241,5,false),vlookup($A611,Pagos!$B$5:$L1241,5,false),vlookup($A611,Pagos!$B$5:$L1241,4,false)))</f>
        <v>Sin actividad</v>
      </c>
      <c r="J611" s="198" t="s">
        <v>529</v>
      </c>
      <c r="K611" s="199">
        <v>36552.0</v>
      </c>
      <c r="L611" s="200">
        <v>43282.0</v>
      </c>
      <c r="M611" s="201"/>
      <c r="N611" s="202">
        <f>If(L611&gt;K611,   datedif(K611,L611,"Y") , If(K611&lt;Vitalicios!$C$4, datedif(K611,Vitalicios!$C$4,"Y"),0)  )</f>
        <v>18</v>
      </c>
      <c r="O611" s="202"/>
    </row>
    <row r="612">
      <c r="A612" s="192">
        <v>1443.0</v>
      </c>
      <c r="B612" s="193" t="s">
        <v>2310</v>
      </c>
      <c r="C612" s="194" t="s">
        <v>526</v>
      </c>
      <c r="D612" s="193" t="s">
        <v>556</v>
      </c>
      <c r="E612" s="193" t="s">
        <v>996</v>
      </c>
      <c r="F612" s="195">
        <v>4614342.0</v>
      </c>
      <c r="G612" s="196">
        <v>0.0</v>
      </c>
      <c r="H612" s="193" t="s">
        <v>2311</v>
      </c>
      <c r="I612" s="197" t="str">
        <f>IF(iserror(vlookup($A612,Pagos!$B$5:L1241,4,false)),"Sin actividad",If(vlookup($A612,Pagos!$B$5:$L1241,5,false),vlookup($A612,Pagos!$B$5:$L1241,5,false),vlookup($A612,Pagos!$B$5:$L1241,4,false)))</f>
        <v>Sin actividad</v>
      </c>
      <c r="J612" s="198" t="s">
        <v>529</v>
      </c>
      <c r="K612" s="199">
        <v>41287.0</v>
      </c>
      <c r="L612" s="200">
        <v>43952.0</v>
      </c>
      <c r="M612" s="201"/>
      <c r="N612" s="202">
        <f>If(L612&gt;K612,   datedif(K612,L612,"Y") , If(K612&lt;Vitalicios!$C$4, datedif(K612,Vitalicios!$C$4,"Y"),0)  )</f>
        <v>7</v>
      </c>
      <c r="O612" s="202"/>
    </row>
    <row r="613">
      <c r="A613" s="192">
        <v>2115.0</v>
      </c>
      <c r="B613" s="193" t="s">
        <v>2312</v>
      </c>
      <c r="C613" s="193" t="s">
        <v>537</v>
      </c>
      <c r="D613" s="193" t="s">
        <v>538</v>
      </c>
      <c r="E613" s="193" t="s">
        <v>2313</v>
      </c>
      <c r="F613" s="195">
        <v>1.11531750067E11</v>
      </c>
      <c r="G613" s="196"/>
      <c r="H613" s="193" t="s">
        <v>2314</v>
      </c>
      <c r="I613" s="197"/>
      <c r="J613" s="198" t="s">
        <v>529</v>
      </c>
      <c r="K613" s="199">
        <v>44927.0</v>
      </c>
      <c r="L613" s="200">
        <v>45139.0</v>
      </c>
      <c r="M613" s="201" t="s">
        <v>535</v>
      </c>
      <c r="N613" s="202"/>
      <c r="O613" s="202"/>
    </row>
    <row r="614">
      <c r="A614" s="192">
        <v>1560.0</v>
      </c>
      <c r="B614" s="193" t="s">
        <v>2315</v>
      </c>
      <c r="C614" s="194" t="s">
        <v>526</v>
      </c>
      <c r="D614" s="193" t="s">
        <v>822</v>
      </c>
      <c r="E614" s="193" t="s">
        <v>2316</v>
      </c>
      <c r="F614" s="195">
        <v>1.143075554E9</v>
      </c>
      <c r="G614" s="196">
        <v>0.0</v>
      </c>
      <c r="H614" s="193" t="s">
        <v>2317</v>
      </c>
      <c r="I614" s="197" t="str">
        <f>IF(iserror(vlookup($A614,Pagos!$B$5:L1241,4,false)),"Sin actividad",If(vlookup($A614,Pagos!$B$5:$L1241,5,false),vlookup($A614,Pagos!$B$5:$L1241,5,false),vlookup($A614,Pagos!$B$5:$L1241,4,false)))</f>
        <v>Sin actividad</v>
      </c>
      <c r="J614" s="198" t="s">
        <v>529</v>
      </c>
      <c r="K614" s="199">
        <v>42119.0</v>
      </c>
      <c r="L614" s="200">
        <v>43070.0</v>
      </c>
      <c r="M614" s="201"/>
      <c r="N614" s="202">
        <f>If(L614&gt;K614,   datedif(K614,L614,"Y") , If(K614&lt;Vitalicios!$C$4, datedif(K614,Vitalicios!$C$4,"Y"),0)  )</f>
        <v>2</v>
      </c>
      <c r="O614" s="202"/>
    </row>
    <row r="615">
      <c r="A615" s="192">
        <v>1368.0</v>
      </c>
      <c r="B615" s="193" t="s">
        <v>2318</v>
      </c>
      <c r="C615" s="194" t="s">
        <v>526</v>
      </c>
      <c r="D615" s="193" t="s">
        <v>556</v>
      </c>
      <c r="E615" s="193" t="s">
        <v>2319</v>
      </c>
      <c r="F615" s="195">
        <v>1.5459546E8</v>
      </c>
      <c r="G615" s="196">
        <v>0.0</v>
      </c>
      <c r="H615" s="193"/>
      <c r="I615" s="197" t="str">
        <f>IF(iserror(vlookup($A615,Pagos!$B$5:L1241,4,false)),"Sin actividad",If(vlookup($A615,Pagos!$B$5:$L1241,5,false),vlookup($A615,Pagos!$B$5:$L1241,5,false),vlookup($A615,Pagos!$B$5:$L1241,4,false)))</f>
        <v>Sin actividad</v>
      </c>
      <c r="J615" s="198" t="s">
        <v>529</v>
      </c>
      <c r="K615" s="199">
        <v>40637.0</v>
      </c>
      <c r="L615" s="200"/>
      <c r="M615" s="201"/>
      <c r="N615" s="202">
        <f>If(L615&gt;K615,   datedif(K615,L615,"Y") , If(K615&lt;Vitalicios!$C$4, datedif(K615,Vitalicios!$C$4,"Y"),0)  )</f>
        <v>14</v>
      </c>
      <c r="O615" s="202"/>
    </row>
    <row r="616">
      <c r="A616" s="192">
        <v>2127.0</v>
      </c>
      <c r="B616" s="193" t="s">
        <v>2320</v>
      </c>
      <c r="C616" s="193" t="s">
        <v>537</v>
      </c>
      <c r="D616" s="193" t="s">
        <v>538</v>
      </c>
      <c r="E616" s="193" t="s">
        <v>2321</v>
      </c>
      <c r="F616" s="195">
        <v>2.215032286E9</v>
      </c>
      <c r="G616" s="196"/>
      <c r="H616" s="193" t="s">
        <v>2322</v>
      </c>
      <c r="I616" s="197"/>
      <c r="J616" s="198" t="s">
        <v>523</v>
      </c>
      <c r="K616" s="199">
        <v>44927.0</v>
      </c>
      <c r="L616" s="200"/>
      <c r="M616" s="201"/>
      <c r="N616" s="202"/>
      <c r="O616" s="202"/>
    </row>
    <row r="617">
      <c r="A617" s="192">
        <v>1680.0</v>
      </c>
      <c r="B617" s="193" t="s">
        <v>2323</v>
      </c>
      <c r="C617" s="194" t="s">
        <v>519</v>
      </c>
      <c r="D617" s="193" t="s">
        <v>770</v>
      </c>
      <c r="E617" s="193" t="s">
        <v>2324</v>
      </c>
      <c r="F617" s="195">
        <v>1.55249199E8</v>
      </c>
      <c r="G617" s="196"/>
      <c r="H617" s="193" t="s">
        <v>2325</v>
      </c>
      <c r="I617" s="197" t="str">
        <f>IF(iserror(vlookup($A617,Pagos!$B$5:L1241,4,false)),"Sin actividad",If(vlookup($A617,Pagos!$B$5:$L1241,5,false),vlookup($A617,Pagos!$B$5:$L1241,5,false),vlookup($A617,Pagos!$B$5:$L1241,4,false)))</f>
        <v>Sin actividad</v>
      </c>
      <c r="J617" s="198" t="s">
        <v>529</v>
      </c>
      <c r="K617" s="199">
        <v>43101.0</v>
      </c>
      <c r="L617" s="200">
        <v>43525.0</v>
      </c>
      <c r="M617" s="201"/>
      <c r="N617" s="202">
        <f>If(L617&gt;K617,   datedif(K617,L617,"Y") , If(K617&lt;Vitalicios!$C$4, datedif(K617,Vitalicios!$C$4,"Y"),0)  )</f>
        <v>1</v>
      </c>
      <c r="O617" s="202"/>
    </row>
    <row r="618">
      <c r="A618" s="192">
        <v>2054.0</v>
      </c>
      <c r="B618" s="193" t="s">
        <v>2326</v>
      </c>
      <c r="C618" s="193" t="s">
        <v>679</v>
      </c>
      <c r="D618" s="193" t="s">
        <v>2327</v>
      </c>
      <c r="E618" s="193" t="s">
        <v>2328</v>
      </c>
      <c r="F618" s="195">
        <v>2.214774741E9</v>
      </c>
      <c r="G618" s="196"/>
      <c r="H618" s="193" t="s">
        <v>2329</v>
      </c>
      <c r="I618" s="197"/>
      <c r="J618" s="198" t="s">
        <v>523</v>
      </c>
      <c r="K618" s="199">
        <v>44805.0</v>
      </c>
      <c r="L618" s="200"/>
      <c r="M618" s="201"/>
      <c r="N618" s="202"/>
      <c r="O618" s="202"/>
    </row>
    <row r="619">
      <c r="A619" s="192">
        <v>1854.0</v>
      </c>
      <c r="B619" s="193" t="s">
        <v>2330</v>
      </c>
      <c r="C619" s="193" t="s">
        <v>679</v>
      </c>
      <c r="D619" s="193" t="s">
        <v>755</v>
      </c>
      <c r="E619" s="193" t="s">
        <v>1607</v>
      </c>
      <c r="F619" s="195">
        <v>1.13701529E9</v>
      </c>
      <c r="G619" s="196"/>
      <c r="H619" s="193" t="s">
        <v>2331</v>
      </c>
      <c r="I619" s="197" t="str">
        <f>IF(iserror(vlookup($A619,Pagos!$B$5:L1241,4,false)),"Sin actividad",If(vlookup($A619,Pagos!$B$5:$L1241,5,false),vlookup($A619,Pagos!$B$5:$L1241,5,false),vlookup($A619,Pagos!$B$5:$L1241,4,false)))</f>
        <v>Sin actividad</v>
      </c>
      <c r="J619" s="198" t="s">
        <v>529</v>
      </c>
      <c r="K619" s="199">
        <v>44166.0</v>
      </c>
      <c r="L619" s="200">
        <v>44986.0</v>
      </c>
      <c r="M619" s="201" t="s">
        <v>535</v>
      </c>
      <c r="N619" s="202"/>
      <c r="O619" s="202"/>
    </row>
    <row r="620">
      <c r="A620" s="192">
        <v>1671.0</v>
      </c>
      <c r="B620" s="193" t="s">
        <v>2332</v>
      </c>
      <c r="C620" s="194" t="s">
        <v>519</v>
      </c>
      <c r="D620" s="193" t="s">
        <v>520</v>
      </c>
      <c r="E620" s="193" t="s">
        <v>2333</v>
      </c>
      <c r="F620" s="195">
        <v>4270176.0</v>
      </c>
      <c r="G620" s="196">
        <v>1.55070914E8</v>
      </c>
      <c r="H620" s="193" t="s">
        <v>2334</v>
      </c>
      <c r="I620" s="197">
        <f>IF(iserror(vlookup($A620,Pagos!$B$5:L1241,4,false)),"Sin actividad",If(vlookup($A620,Pagos!$B$5:$L1241,5,false),vlookup($A620,Pagos!$B$5:$L1241,5,false),vlookup($A620,Pagos!$B$5:$L1241,4,false)))</f>
        <v>46357</v>
      </c>
      <c r="J620" s="198" t="s">
        <v>523</v>
      </c>
      <c r="K620" s="199">
        <v>43070.0</v>
      </c>
      <c r="L620" s="200"/>
      <c r="M620" s="201"/>
      <c r="N620" s="202">
        <f>If(L620&gt;K620,   datedif(K620,L620,"Y") , If(K620&lt;Vitalicios!$C$4, datedif(K620,Vitalicios!$C$4,"Y"),0)  )</f>
        <v>7</v>
      </c>
      <c r="O620" s="202"/>
    </row>
    <row r="621">
      <c r="A621" s="192">
        <v>1475.0</v>
      </c>
      <c r="B621" s="193" t="s">
        <v>2335</v>
      </c>
      <c r="C621" s="194" t="s">
        <v>526</v>
      </c>
      <c r="D621" s="193" t="s">
        <v>520</v>
      </c>
      <c r="E621" s="193" t="s">
        <v>2336</v>
      </c>
      <c r="F621" s="195">
        <v>1.545986E8</v>
      </c>
      <c r="G621" s="196">
        <v>0.0</v>
      </c>
      <c r="H621" s="193" t="s">
        <v>2337</v>
      </c>
      <c r="I621" s="197" t="str">
        <f>IF(iserror(vlookup($A621,Pagos!$B$5:L1241,4,false)),"Sin actividad",If(vlookup($A621,Pagos!$B$5:$L1241,5,false),vlookup($A621,Pagos!$B$5:$L1241,5,false),vlookup($A621,Pagos!$B$5:$L1241,4,false)))</f>
        <v>Sin actividad</v>
      </c>
      <c r="J621" s="198" t="s">
        <v>529</v>
      </c>
      <c r="K621" s="199">
        <v>41566.0</v>
      </c>
      <c r="L621" s="200">
        <v>42522.0</v>
      </c>
      <c r="M621" s="201" t="s">
        <v>1201</v>
      </c>
      <c r="N621" s="202">
        <f>If(L621&gt;K621,   datedif(K621,L621,"Y") , If(K621&lt;Vitalicios!$C$4, datedif(K621,Vitalicios!$C$4,"Y"),0)  )</f>
        <v>2</v>
      </c>
      <c r="O621" s="202"/>
    </row>
    <row r="622">
      <c r="A622" s="192">
        <v>1821.0</v>
      </c>
      <c r="B622" s="193" t="s">
        <v>2338</v>
      </c>
      <c r="C622" s="193" t="s">
        <v>537</v>
      </c>
      <c r="D622" s="193" t="s">
        <v>538</v>
      </c>
      <c r="E622" s="193" t="s">
        <v>2339</v>
      </c>
      <c r="F622" s="195">
        <v>2.215015551E9</v>
      </c>
      <c r="G622" s="196"/>
      <c r="H622" s="193" t="s">
        <v>2340</v>
      </c>
      <c r="I622" s="197">
        <f>IF(iserror(vlookup($A622,Pagos!$B$5:L1241,4,false)),"Sin actividad",If(vlookup($A622,Pagos!$B$5:$L1241,5,false),vlookup($A622,Pagos!$B$5:$L1241,5,false),vlookup($A622,Pagos!$B$5:$L1241,4,false)))</f>
        <v>45870</v>
      </c>
      <c r="J622" s="198" t="s">
        <v>523</v>
      </c>
      <c r="K622" s="199">
        <v>44075.0</v>
      </c>
      <c r="L622" s="200"/>
      <c r="M622" s="201"/>
      <c r="N622" s="202"/>
      <c r="O622" s="202"/>
    </row>
    <row r="623">
      <c r="A623" s="192">
        <v>1425.0</v>
      </c>
      <c r="B623" s="193" t="s">
        <v>2341</v>
      </c>
      <c r="C623" s="194" t="s">
        <v>526</v>
      </c>
      <c r="D623" s="193" t="s">
        <v>1464</v>
      </c>
      <c r="E623" s="193" t="s">
        <v>2342</v>
      </c>
      <c r="F623" s="195">
        <v>1.55412135E8</v>
      </c>
      <c r="G623" s="196">
        <v>0.0</v>
      </c>
      <c r="H623" s="193" t="s">
        <v>2343</v>
      </c>
      <c r="I623" s="197" t="str">
        <f>IF(iserror(vlookup($A623,Pagos!$B$5:L1241,4,false)),"Sin actividad",If(vlookup($A623,Pagos!$B$5:$L1241,5,false),vlookup($A623,Pagos!$B$5:$L1241,5,false),vlookup($A623,Pagos!$B$5:$L1241,4,false)))</f>
        <v>Sin actividad</v>
      </c>
      <c r="J623" s="198" t="s">
        <v>529</v>
      </c>
      <c r="K623" s="199">
        <v>41141.0</v>
      </c>
      <c r="L623" s="200">
        <v>43251.0</v>
      </c>
      <c r="M623" s="201"/>
      <c r="N623" s="202">
        <f>If(L623&gt;K623,   datedif(K623,L623,"Y") , If(K623&lt;Vitalicios!$C$4, datedif(K623,Vitalicios!$C$4,"Y"),0)  )</f>
        <v>5</v>
      </c>
      <c r="O623" s="202"/>
    </row>
    <row r="624">
      <c r="A624" s="192">
        <v>1747.0</v>
      </c>
      <c r="B624" s="193" t="s">
        <v>2344</v>
      </c>
      <c r="C624" s="194" t="s">
        <v>519</v>
      </c>
      <c r="D624" s="193" t="s">
        <v>527</v>
      </c>
      <c r="E624" s="193" t="s">
        <v>571</v>
      </c>
      <c r="F624" s="195">
        <v>1.54766044E8</v>
      </c>
      <c r="G624" s="196"/>
      <c r="H624" s="193" t="s">
        <v>2345</v>
      </c>
      <c r="I624" s="197" t="str">
        <f>IF(iserror(vlookup($A624,Pagos!$B$5:L1241,4,false)),"Sin actividad",If(vlookup($A624,Pagos!$B$5:$L1241,5,false),vlookup($A624,Pagos!$B$5:$L1241,5,false),vlookup($A624,Pagos!$B$5:$L1241,4,false)))</f>
        <v>Sin actividad</v>
      </c>
      <c r="J624" s="198" t="s">
        <v>529</v>
      </c>
      <c r="K624" s="199">
        <v>43617.0</v>
      </c>
      <c r="L624" s="200">
        <v>44774.0</v>
      </c>
      <c r="M624" s="201" t="s">
        <v>535</v>
      </c>
      <c r="N624" s="202">
        <f>If(L624&gt;K624,   datedif(K624,L624,"Y") , If(K624&lt;Vitalicios!$C$4, datedif(K624,Vitalicios!$C$4,"Y"),0)  )</f>
        <v>3</v>
      </c>
      <c r="O624" s="202"/>
    </row>
    <row r="625">
      <c r="A625" s="192">
        <v>1470.0</v>
      </c>
      <c r="B625" s="193" t="s">
        <v>2346</v>
      </c>
      <c r="C625" s="194" t="s">
        <v>526</v>
      </c>
      <c r="D625" s="193" t="s">
        <v>520</v>
      </c>
      <c r="E625" s="193" t="s">
        <v>2347</v>
      </c>
      <c r="F625" s="195">
        <v>1.54639596E8</v>
      </c>
      <c r="G625" s="196">
        <v>0.0</v>
      </c>
      <c r="H625" s="193" t="s">
        <v>2348</v>
      </c>
      <c r="I625" s="197" t="str">
        <f>IF(iserror(vlookup($A625,Pagos!$B$5:L1241,4,false)),"Sin actividad",If(vlookup($A625,Pagos!$B$5:$L1241,5,false),vlookup($A625,Pagos!$B$5:$L1241,5,false),vlookup($A625,Pagos!$B$5:$L1241,4,false)))</f>
        <v>Sin actividad</v>
      </c>
      <c r="J625" s="198" t="s">
        <v>529</v>
      </c>
      <c r="K625" s="199">
        <v>41483.0</v>
      </c>
      <c r="L625" s="200"/>
      <c r="M625" s="201"/>
      <c r="N625" s="202">
        <f>If(L625&gt;K625,   datedif(K625,L625,"Y") , If(K625&lt;Vitalicios!$C$4, datedif(K625,Vitalicios!$C$4,"Y"),0)  )</f>
        <v>12</v>
      </c>
      <c r="O625" s="202"/>
    </row>
    <row r="626">
      <c r="A626" s="192">
        <v>1784.0</v>
      </c>
      <c r="B626" s="193" t="s">
        <v>2349</v>
      </c>
      <c r="C626" s="194" t="s">
        <v>519</v>
      </c>
      <c r="D626" s="193" t="s">
        <v>538</v>
      </c>
      <c r="E626" s="193" t="s">
        <v>2350</v>
      </c>
      <c r="F626" s="195">
        <v>5759546.0</v>
      </c>
      <c r="G626" s="196"/>
      <c r="H626" s="193" t="s">
        <v>2351</v>
      </c>
      <c r="I626" s="197">
        <f>IF(iserror(vlookup($A626,Pagos!$B$5:L1241,4,false)),"Sin actividad",If(vlookup($A626,Pagos!$B$5:$L1241,5,false),vlookup($A626,Pagos!$B$5:$L1241,5,false),vlookup($A626,Pagos!$B$5:$L1241,4,false)))</f>
        <v>45870</v>
      </c>
      <c r="J626" s="198" t="s">
        <v>523</v>
      </c>
      <c r="K626" s="199">
        <v>43862.0</v>
      </c>
      <c r="L626" s="200"/>
      <c r="M626" s="201"/>
      <c r="N626" s="202">
        <f>If(L626&gt;K626,   datedif(K626,L626,"Y") , If(K626&lt;Vitalicios!$C$4, datedif(K626,Vitalicios!$C$4,"Y"),0)  )</f>
        <v>5</v>
      </c>
      <c r="O626" s="202"/>
    </row>
    <row r="627">
      <c r="A627" s="192">
        <v>2296.0</v>
      </c>
      <c r="B627" s="193" t="s">
        <v>2352</v>
      </c>
      <c r="C627" s="193" t="s">
        <v>679</v>
      </c>
      <c r="D627" s="193" t="s">
        <v>770</v>
      </c>
      <c r="E627" s="193" t="s">
        <v>2353</v>
      </c>
      <c r="F627" s="195">
        <v>2.215545346E9</v>
      </c>
      <c r="G627" s="196"/>
      <c r="H627" s="193" t="s">
        <v>2354</v>
      </c>
      <c r="I627" s="197"/>
      <c r="J627" s="198" t="s">
        <v>523</v>
      </c>
      <c r="K627" s="199">
        <v>45597.0</v>
      </c>
      <c r="L627" s="200"/>
      <c r="M627" s="201"/>
      <c r="N627" s="202"/>
      <c r="O627" s="202"/>
    </row>
    <row r="628">
      <c r="A628" s="192">
        <v>1686.0</v>
      </c>
      <c r="B628" s="193" t="s">
        <v>2355</v>
      </c>
      <c r="C628" s="194" t="s">
        <v>519</v>
      </c>
      <c r="D628" s="193" t="s">
        <v>538</v>
      </c>
      <c r="E628" s="193" t="s">
        <v>2356</v>
      </c>
      <c r="F628" s="195" t="s">
        <v>2357</v>
      </c>
      <c r="G628" s="196"/>
      <c r="H628" s="193" t="s">
        <v>2358</v>
      </c>
      <c r="I628" s="197" t="str">
        <f>IF(iserror(vlookup($A628,Pagos!$B$5:L1241,4,false)),"Sin actividad",If(vlookup($A628,Pagos!$B$5:$L1241,5,false),vlookup($A628,Pagos!$B$5:$L1241,5,false),vlookup($A628,Pagos!$B$5:$L1241,4,false)))</f>
        <v>Sin actividad</v>
      </c>
      <c r="J628" s="198" t="s">
        <v>529</v>
      </c>
      <c r="K628" s="199">
        <v>43132.0</v>
      </c>
      <c r="L628" s="200">
        <v>43831.0</v>
      </c>
      <c r="M628" s="201"/>
      <c r="N628" s="202">
        <f>If(L628&gt;K628,   datedif(K628,L628,"Y") , If(K628&lt;Vitalicios!$C$4, datedif(K628,Vitalicios!$C$4,"Y"),0)  )</f>
        <v>1</v>
      </c>
      <c r="O628" s="202"/>
    </row>
    <row r="629">
      <c r="A629" s="192">
        <v>2030.0</v>
      </c>
      <c r="B629" s="193" t="s">
        <v>2359</v>
      </c>
      <c r="C629" s="193" t="s">
        <v>537</v>
      </c>
      <c r="D629" s="193" t="s">
        <v>538</v>
      </c>
      <c r="E629" s="193" t="s">
        <v>2360</v>
      </c>
      <c r="F629" s="195">
        <v>2.21592305E9</v>
      </c>
      <c r="G629" s="196"/>
      <c r="H629" s="193" t="s">
        <v>2361</v>
      </c>
      <c r="I629" s="197"/>
      <c r="J629" s="198" t="s">
        <v>523</v>
      </c>
      <c r="K629" s="220">
        <v>44743.0</v>
      </c>
      <c r="L629" s="200"/>
      <c r="M629" s="201"/>
      <c r="N629" s="202"/>
      <c r="O629" s="202"/>
    </row>
    <row r="630">
      <c r="A630" s="192">
        <v>2213.0</v>
      </c>
      <c r="B630" s="193" t="s">
        <v>2362</v>
      </c>
      <c r="C630" s="193" t="s">
        <v>537</v>
      </c>
      <c r="D630" s="193"/>
      <c r="E630" s="193"/>
      <c r="F630" s="195">
        <v>2.215643845E9</v>
      </c>
      <c r="G630" s="196"/>
      <c r="H630" s="193" t="s">
        <v>2363</v>
      </c>
      <c r="I630" s="197"/>
      <c r="J630" s="198" t="s">
        <v>529</v>
      </c>
      <c r="K630" s="220">
        <v>45231.0</v>
      </c>
      <c r="L630" s="200"/>
      <c r="M630" s="201" t="s">
        <v>535</v>
      </c>
      <c r="N630" s="202"/>
      <c r="O630" s="202"/>
    </row>
    <row r="631">
      <c r="A631" s="192">
        <v>1361.0</v>
      </c>
      <c r="B631" s="193" t="s">
        <v>2364</v>
      </c>
      <c r="C631" s="194" t="s">
        <v>526</v>
      </c>
      <c r="D631" s="193" t="s">
        <v>520</v>
      </c>
      <c r="E631" s="193" t="s">
        <v>2365</v>
      </c>
      <c r="F631" s="195">
        <v>1.54360901E8</v>
      </c>
      <c r="G631" s="196">
        <v>0.0</v>
      </c>
      <c r="H631" s="193" t="s">
        <v>2366</v>
      </c>
      <c r="I631" s="197" t="str">
        <f>IF(iserror(vlookup($A631,Pagos!$B$5:L1241,4,false)),"Sin actividad",If(vlookup($A631,Pagos!$B$5:$L1241,5,false),vlookup($A631,Pagos!$B$5:$L1241,5,false),vlookup($A631,Pagos!$B$5:$L1241,4,false)))</f>
        <v>Sin actividad</v>
      </c>
      <c r="J631" s="198" t="s">
        <v>529</v>
      </c>
      <c r="K631" s="199">
        <v>40593.0</v>
      </c>
      <c r="L631" s="200">
        <v>42675.0</v>
      </c>
      <c r="M631" s="201" t="s">
        <v>535</v>
      </c>
      <c r="N631" s="202">
        <f>If(L631&gt;K631,   datedif(K631,L631,"Y") , If(K631&lt;Vitalicios!$C$4, datedif(K631,Vitalicios!$C$4,"Y"),0)  )</f>
        <v>5</v>
      </c>
      <c r="O631" s="202"/>
    </row>
    <row r="632">
      <c r="A632" s="192">
        <v>2044.0</v>
      </c>
      <c r="B632" s="193" t="s">
        <v>2367</v>
      </c>
      <c r="C632" s="193" t="s">
        <v>537</v>
      </c>
      <c r="D632" s="193" t="s">
        <v>538</v>
      </c>
      <c r="E632" s="193" t="s">
        <v>2368</v>
      </c>
      <c r="F632" s="195">
        <v>2.21562867E9</v>
      </c>
      <c r="G632" s="196"/>
      <c r="H632" s="193" t="s">
        <v>2369</v>
      </c>
      <c r="I632" s="197"/>
      <c r="J632" s="198" t="s">
        <v>523</v>
      </c>
      <c r="K632" s="199">
        <v>44774.0</v>
      </c>
      <c r="L632" s="200"/>
      <c r="M632" s="201"/>
      <c r="N632" s="202"/>
      <c r="O632" s="202"/>
    </row>
    <row r="633">
      <c r="A633" s="192">
        <v>1050.0</v>
      </c>
      <c r="B633" s="193" t="s">
        <v>2370</v>
      </c>
      <c r="C633" s="194" t="s">
        <v>526</v>
      </c>
      <c r="D633" s="193" t="s">
        <v>693</v>
      </c>
      <c r="E633" s="193" t="s">
        <v>2371</v>
      </c>
      <c r="F633" s="195">
        <v>4711809.0</v>
      </c>
      <c r="G633" s="196">
        <v>0.0</v>
      </c>
      <c r="H633" s="193" t="s">
        <v>2372</v>
      </c>
      <c r="I633" s="197" t="str">
        <f>IF(iserror(vlookup($A633,Pagos!$B$5:L1241,4,false)),"Sin actividad",If(vlookup($A633,Pagos!$B$5:$L1241,5,false),vlookup($A633,Pagos!$B$5:$L1241,5,false),vlookup($A633,Pagos!$B$5:$L1241,4,false)))</f>
        <v>Sin actividad</v>
      </c>
      <c r="J633" s="198" t="s">
        <v>529</v>
      </c>
      <c r="K633" s="199">
        <v>38344.0</v>
      </c>
      <c r="L633" s="200">
        <v>42005.0</v>
      </c>
      <c r="M633" s="201" t="s">
        <v>1201</v>
      </c>
      <c r="N633" s="202">
        <f>If(L633&gt;K633,   datedif(K633,L633,"Y") , If(K633&lt;Vitalicios!$C$4, datedif(K633,Vitalicios!$C$4,"Y"),0)  )</f>
        <v>10</v>
      </c>
      <c r="O633" s="202"/>
    </row>
    <row r="634">
      <c r="A634" s="192">
        <v>1621.0</v>
      </c>
      <c r="B634" s="193" t="s">
        <v>2373</v>
      </c>
      <c r="C634" s="194" t="s">
        <v>519</v>
      </c>
      <c r="D634" s="193" t="s">
        <v>520</v>
      </c>
      <c r="E634" s="193" t="s">
        <v>2374</v>
      </c>
      <c r="F634" s="195">
        <v>1.5537088E8</v>
      </c>
      <c r="G634" s="196"/>
      <c r="H634" s="193" t="s">
        <v>2375</v>
      </c>
      <c r="I634" s="197" t="str">
        <f>IF(iserror(vlookup($A634,Pagos!$B$5:L1241,4,false)),"Sin actividad",If(vlookup($A634,Pagos!$B$5:$L1241,5,false),vlookup($A634,Pagos!$B$5:$L1241,5,false),vlookup($A634,Pagos!$B$5:$L1241,4,false)))</f>
        <v>Sin actividad</v>
      </c>
      <c r="J634" s="198" t="s">
        <v>529</v>
      </c>
      <c r="K634" s="199">
        <v>42768.0</v>
      </c>
      <c r="L634" s="200">
        <v>43525.0</v>
      </c>
      <c r="M634" s="201"/>
      <c r="N634" s="202">
        <f>If(L634&gt;K634,   datedif(K634,L634,"Y") , If(K634&lt;Vitalicios!$C$4, datedif(K634,Vitalicios!$C$4,"Y"),0)  )</f>
        <v>2</v>
      </c>
      <c r="O634" s="202"/>
    </row>
    <row r="635">
      <c r="A635" s="192">
        <v>1628.0</v>
      </c>
      <c r="B635" s="193" t="s">
        <v>2376</v>
      </c>
      <c r="C635" s="194" t="s">
        <v>519</v>
      </c>
      <c r="D635" s="193" t="s">
        <v>527</v>
      </c>
      <c r="E635" s="193" t="s">
        <v>2377</v>
      </c>
      <c r="F635" s="195"/>
      <c r="G635" s="196"/>
      <c r="H635" s="193" t="s">
        <v>2378</v>
      </c>
      <c r="I635" s="197" t="str">
        <f>IF(iserror(vlookup($A635,Pagos!$B$5:L1241,4,false)),"Sin actividad",If(vlookup($A635,Pagos!$B$5:$L1241,5,false),vlookup($A635,Pagos!$B$5:$L1241,5,false),vlookup($A635,Pagos!$B$5:$L1241,4,false)))</f>
        <v>Sin actividad</v>
      </c>
      <c r="J635" s="198" t="s">
        <v>529</v>
      </c>
      <c r="K635" s="199">
        <v>42767.0</v>
      </c>
      <c r="L635" s="200">
        <v>43525.0</v>
      </c>
      <c r="M635" s="201"/>
      <c r="N635" s="202">
        <f>If(L635&gt;K635,   datedif(K635,L635,"Y") , If(K635&lt;Vitalicios!$C$4, datedif(K635,Vitalicios!$C$4,"Y"),0)  )</f>
        <v>2</v>
      </c>
      <c r="O635" s="202"/>
    </row>
    <row r="636">
      <c r="A636" s="192">
        <v>1534.0</v>
      </c>
      <c r="B636" s="193" t="s">
        <v>2379</v>
      </c>
      <c r="C636" s="194" t="s">
        <v>526</v>
      </c>
      <c r="D636" s="193" t="s">
        <v>2380</v>
      </c>
      <c r="E636" s="193" t="s">
        <v>2381</v>
      </c>
      <c r="F636" s="195" t="s">
        <v>2276</v>
      </c>
      <c r="G636" s="196"/>
      <c r="H636" s="193"/>
      <c r="I636" s="197" t="str">
        <f>IF(iserror(vlookup($A636,Pagos!$B$5:L1241,4,false)),"Sin actividad",If(vlookup($A636,Pagos!$B$5:$L1241,5,false),vlookup($A636,Pagos!$B$5:$L1241,5,false),vlookup($A636,Pagos!$B$5:$L1241,4,false)))</f>
        <v>Sin actividad</v>
      </c>
      <c r="J636" s="198" t="s">
        <v>529</v>
      </c>
      <c r="K636" s="199">
        <v>41966.0</v>
      </c>
      <c r="L636" s="200">
        <v>43374.0</v>
      </c>
      <c r="M636" s="201" t="s">
        <v>560</v>
      </c>
      <c r="N636" s="202">
        <f>If(L636&gt;K636,   datedif(K636,L636,"Y") , If(K636&lt;Vitalicios!$C$4, datedif(K636,Vitalicios!$C$4,"Y"),0)  )</f>
        <v>3</v>
      </c>
      <c r="O636" s="202"/>
    </row>
    <row r="637">
      <c r="A637" s="192">
        <v>1492.0</v>
      </c>
      <c r="B637" s="193" t="s">
        <v>2382</v>
      </c>
      <c r="C637" s="194" t="s">
        <v>526</v>
      </c>
      <c r="D637" s="193" t="s">
        <v>556</v>
      </c>
      <c r="E637" s="193" t="s">
        <v>2383</v>
      </c>
      <c r="F637" s="195">
        <v>1.55451174E8</v>
      </c>
      <c r="G637" s="196">
        <v>0.0</v>
      </c>
      <c r="H637" s="193"/>
      <c r="I637" s="197" t="str">
        <f>IF(iserror(vlookup($A637,Pagos!$B$5:L1241,4,false)),"Sin actividad",If(vlookup($A637,Pagos!$B$5:$L1241,5,false),vlookup($A637,Pagos!$B$5:$L1241,5,false),vlookup($A637,Pagos!$B$5:$L1241,4,false)))</f>
        <v>Sin actividad</v>
      </c>
      <c r="J637" s="198" t="s">
        <v>529</v>
      </c>
      <c r="K637" s="199">
        <v>41678.0</v>
      </c>
      <c r="L637" s="200">
        <v>43374.0</v>
      </c>
      <c r="M637" s="201" t="s">
        <v>560</v>
      </c>
      <c r="N637" s="202">
        <f>If(L637&gt;K637,   datedif(K637,L637,"Y") , If(K637&lt;Vitalicios!$C$4, datedif(K637,Vitalicios!$C$4,"Y"),0)  )</f>
        <v>4</v>
      </c>
      <c r="O637" s="202"/>
    </row>
    <row r="638">
      <c r="A638" s="192">
        <v>2061.0</v>
      </c>
      <c r="B638" s="193" t="s">
        <v>2384</v>
      </c>
      <c r="C638" s="193" t="s">
        <v>537</v>
      </c>
      <c r="D638" s="193" t="s">
        <v>628</v>
      </c>
      <c r="E638" s="193" t="s">
        <v>2385</v>
      </c>
      <c r="F638" s="195">
        <v>2.21400102E9</v>
      </c>
      <c r="G638" s="196"/>
      <c r="H638" s="193" t="s">
        <v>2386</v>
      </c>
      <c r="I638" s="197"/>
      <c r="J638" s="198" t="s">
        <v>529</v>
      </c>
      <c r="K638" s="199">
        <v>44805.0</v>
      </c>
      <c r="L638" s="200">
        <v>44835.0</v>
      </c>
      <c r="M638" s="201"/>
      <c r="N638" s="202"/>
      <c r="O638" s="202"/>
    </row>
    <row r="639">
      <c r="A639" s="192">
        <v>2000.0</v>
      </c>
      <c r="B639" s="193" t="s">
        <v>2387</v>
      </c>
      <c r="C639" s="193" t="s">
        <v>537</v>
      </c>
      <c r="D639" s="193" t="s">
        <v>538</v>
      </c>
      <c r="E639" s="193" t="s">
        <v>2388</v>
      </c>
      <c r="F639" s="195">
        <v>2.216910404E9</v>
      </c>
      <c r="G639" s="196"/>
      <c r="H639" s="193" t="s">
        <v>2389</v>
      </c>
      <c r="I639" s="197">
        <f>IF(iserror(vlookup($A639,Pagos!$B$5:L1241,4,false)),"Sin actividad",If(vlookup($A639,Pagos!$B$5:$L1241,5,false),vlookup($A639,Pagos!$B$5:$L1241,5,false),vlookup($A639,Pagos!$B$5:$L1241,4,false)))</f>
        <v>45870</v>
      </c>
      <c r="J639" s="198" t="s">
        <v>523</v>
      </c>
      <c r="K639" s="199">
        <v>44593.0</v>
      </c>
      <c r="L639" s="200"/>
      <c r="M639" s="201"/>
      <c r="N639" s="202"/>
      <c r="O639" s="202"/>
    </row>
    <row r="640">
      <c r="A640" s="192">
        <v>2220.0</v>
      </c>
      <c r="B640" s="193" t="s">
        <v>2390</v>
      </c>
      <c r="C640" s="193" t="s">
        <v>537</v>
      </c>
      <c r="D640" s="193" t="s">
        <v>520</v>
      </c>
      <c r="E640" s="193" t="s">
        <v>2391</v>
      </c>
      <c r="F640" s="195">
        <v>2.213553125E9</v>
      </c>
      <c r="G640" s="196"/>
      <c r="H640" s="193"/>
      <c r="I640" s="197"/>
      <c r="J640" s="198" t="s">
        <v>523</v>
      </c>
      <c r="K640" s="199">
        <v>45231.0</v>
      </c>
      <c r="L640" s="200"/>
      <c r="M640" s="201"/>
      <c r="N640" s="202"/>
      <c r="O640" s="202"/>
    </row>
    <row r="641">
      <c r="A641" s="192">
        <v>2303.0</v>
      </c>
      <c r="B641" s="193" t="s">
        <v>2392</v>
      </c>
      <c r="C641" s="193" t="s">
        <v>537</v>
      </c>
      <c r="D641" s="193" t="s">
        <v>2393</v>
      </c>
      <c r="E641" s="193" t="s">
        <v>2394</v>
      </c>
      <c r="F641" s="195">
        <v>2.215455125E9</v>
      </c>
      <c r="G641" s="196"/>
      <c r="H641" s="193" t="s">
        <v>2395</v>
      </c>
      <c r="I641" s="197"/>
      <c r="J641" s="198" t="s">
        <v>523</v>
      </c>
      <c r="K641" s="199">
        <v>45627.0</v>
      </c>
      <c r="L641" s="200"/>
      <c r="M641" s="201"/>
      <c r="N641" s="202"/>
      <c r="O641" s="202"/>
    </row>
    <row r="642">
      <c r="A642" s="192">
        <v>1542.0</v>
      </c>
      <c r="B642" s="193" t="s">
        <v>2396</v>
      </c>
      <c r="C642" s="194" t="s">
        <v>526</v>
      </c>
      <c r="D642" s="193" t="s">
        <v>2397</v>
      </c>
      <c r="E642" s="193" t="s">
        <v>840</v>
      </c>
      <c r="F642" s="195">
        <v>1.55797595E8</v>
      </c>
      <c r="G642" s="196">
        <v>0.0</v>
      </c>
      <c r="H642" s="193"/>
      <c r="I642" s="197" t="str">
        <f>IF(iserror(vlookup($A642,Pagos!$B$5:L1241,4,false)),"Sin actividad",If(vlookup($A642,Pagos!$B$5:$L1241,5,false),vlookup($A642,Pagos!$B$5:$L1241,5,false),vlookup($A642,Pagos!$B$5:$L1241,4,false)))</f>
        <v>Sin actividad</v>
      </c>
      <c r="J642" s="198" t="s">
        <v>529</v>
      </c>
      <c r="K642" s="199">
        <v>42021.0</v>
      </c>
      <c r="L642" s="200">
        <v>42278.0</v>
      </c>
      <c r="M642" s="201" t="s">
        <v>1201</v>
      </c>
      <c r="N642" s="202">
        <f>If(L642&gt;K642,   datedif(K642,L642,"Y") , If(K642&lt;Vitalicios!$C$4, datedif(K642,Vitalicios!$C$4,"Y"),0)  )</f>
        <v>0</v>
      </c>
      <c r="O642" s="202"/>
    </row>
    <row r="643">
      <c r="A643" s="192">
        <v>2199.0</v>
      </c>
      <c r="B643" s="193" t="s">
        <v>2398</v>
      </c>
      <c r="C643" s="193" t="s">
        <v>537</v>
      </c>
      <c r="D643" s="193"/>
      <c r="E643" s="193"/>
      <c r="F643" s="195">
        <v>2.215900212E9</v>
      </c>
      <c r="G643" s="196"/>
      <c r="H643" s="193" t="s">
        <v>2399</v>
      </c>
      <c r="I643" s="197"/>
      <c r="J643" s="198" t="s">
        <v>529</v>
      </c>
      <c r="K643" s="199">
        <v>45139.0</v>
      </c>
      <c r="L643" s="200">
        <v>45383.0</v>
      </c>
      <c r="M643" s="201" t="s">
        <v>1201</v>
      </c>
      <c r="N643" s="202"/>
      <c r="O643" s="202"/>
    </row>
    <row r="644">
      <c r="A644" s="192">
        <v>2287.0</v>
      </c>
      <c r="B644" s="193" t="s">
        <v>2400</v>
      </c>
      <c r="C644" s="193" t="s">
        <v>537</v>
      </c>
      <c r="D644" s="193" t="s">
        <v>532</v>
      </c>
      <c r="E644" s="193" t="s">
        <v>2401</v>
      </c>
      <c r="F644" s="195">
        <v>2.215668326E9</v>
      </c>
      <c r="G644" s="196"/>
      <c r="H644" s="193" t="s">
        <v>2402</v>
      </c>
      <c r="I644" s="197"/>
      <c r="J644" s="198" t="s">
        <v>523</v>
      </c>
      <c r="K644" s="199">
        <v>45566.0</v>
      </c>
      <c r="L644" s="200"/>
      <c r="M644" s="201"/>
      <c r="N644" s="202"/>
      <c r="O644" s="202"/>
    </row>
    <row r="645">
      <c r="A645" s="192">
        <v>2070.0</v>
      </c>
      <c r="B645" s="193" t="s">
        <v>2403</v>
      </c>
      <c r="C645" s="193" t="s">
        <v>537</v>
      </c>
      <c r="D645" s="193" t="s">
        <v>538</v>
      </c>
      <c r="E645" s="193" t="s">
        <v>2404</v>
      </c>
      <c r="F645" s="195">
        <v>2.216179706E9</v>
      </c>
      <c r="G645" s="196"/>
      <c r="H645" s="193" t="s">
        <v>2405</v>
      </c>
      <c r="I645" s="197"/>
      <c r="J645" s="198" t="s">
        <v>529</v>
      </c>
      <c r="K645" s="199">
        <v>44835.0</v>
      </c>
      <c r="L645" s="200">
        <v>45139.0</v>
      </c>
      <c r="M645" s="201" t="s">
        <v>535</v>
      </c>
      <c r="N645" s="202"/>
      <c r="O645" s="202"/>
    </row>
    <row r="646">
      <c r="A646" s="192">
        <v>1924.0</v>
      </c>
      <c r="B646" s="193" t="s">
        <v>2406</v>
      </c>
      <c r="C646" s="193" t="s">
        <v>537</v>
      </c>
      <c r="D646" s="193" t="s">
        <v>527</v>
      </c>
      <c r="E646" s="193" t="s">
        <v>2407</v>
      </c>
      <c r="F646" s="195">
        <v>1.55557767E8</v>
      </c>
      <c r="G646" s="196">
        <v>0.0</v>
      </c>
      <c r="H646" s="193" t="s">
        <v>2408</v>
      </c>
      <c r="I646" s="197" t="str">
        <f>IF(iserror(vlookup($A646,Pagos!$B$5:L1241,4,false)),"Sin actividad",If(vlookup($A646,Pagos!$B$5:$L1241,5,false),vlookup($A646,Pagos!$B$5:$L1241,5,false),vlookup($A646,Pagos!$B$5:$L1241,4,false)))</f>
        <v>Sin actividad</v>
      </c>
      <c r="J646" s="198" t="s">
        <v>529</v>
      </c>
      <c r="K646" s="199">
        <v>44440.0</v>
      </c>
      <c r="L646" s="200">
        <v>45505.0</v>
      </c>
      <c r="M646" s="201" t="s">
        <v>2409</v>
      </c>
      <c r="N646" s="202">
        <f>If(L646&gt;K646,   datedif(K646,L646,"Y") , If(K646&lt;Vitalicios!$C$4, datedif(K646,Vitalicios!$C$4,"Y"),0)  )</f>
        <v>2</v>
      </c>
      <c r="O646" s="202"/>
    </row>
    <row r="647">
      <c r="A647" s="192">
        <v>2002.0</v>
      </c>
      <c r="B647" s="193" t="s">
        <v>2410</v>
      </c>
      <c r="C647" s="193" t="s">
        <v>537</v>
      </c>
      <c r="D647" s="193" t="s">
        <v>2411</v>
      </c>
      <c r="E647" s="193" t="s">
        <v>2412</v>
      </c>
      <c r="F647" s="195">
        <v>2.215743878E9</v>
      </c>
      <c r="G647" s="196"/>
      <c r="H647" s="193" t="s">
        <v>2413</v>
      </c>
      <c r="I647" s="197" t="str">
        <f>IF(iserror(vlookup($A647,Pagos!$B$5:L1241,4,false)),"Sin actividad",If(vlookup($A647,Pagos!$B$5:$L1241,5,false),vlookup($A647,Pagos!$B$5:$L1241,5,false),vlookup($A647,Pagos!$B$5:$L1241,4,false)))</f>
        <v>Sin actividad</v>
      </c>
      <c r="J647" s="198" t="s">
        <v>529</v>
      </c>
      <c r="K647" s="199">
        <v>44593.0</v>
      </c>
      <c r="L647" s="200">
        <v>44896.0</v>
      </c>
      <c r="M647" s="201"/>
      <c r="N647" s="202"/>
      <c r="O647" s="202"/>
    </row>
    <row r="648">
      <c r="A648" s="192">
        <v>1554.0</v>
      </c>
      <c r="B648" s="193" t="s">
        <v>2414</v>
      </c>
      <c r="C648" s="194" t="s">
        <v>537</v>
      </c>
      <c r="D648" s="193" t="s">
        <v>2397</v>
      </c>
      <c r="E648" s="193" t="s">
        <v>2415</v>
      </c>
      <c r="F648" s="195" t="s">
        <v>2416</v>
      </c>
      <c r="G648" s="196">
        <v>0.0</v>
      </c>
      <c r="H648" s="193" t="s">
        <v>2417</v>
      </c>
      <c r="I648" s="197" t="str">
        <f>IF(iserror(vlookup($A648,Pagos!$B$5:L1241,4,false)),"Sin actividad",If(vlookup($A648,Pagos!$B$5:$L1241,5,false),vlookup($A648,Pagos!$B$5:$L1241,5,false),vlookup($A648,Pagos!$B$5:$L1241,4,false)))</f>
        <v>Sin actividad</v>
      </c>
      <c r="J648" s="198" t="s">
        <v>529</v>
      </c>
      <c r="K648" s="199">
        <v>42071.0</v>
      </c>
      <c r="L648" s="200"/>
      <c r="M648" s="201" t="s">
        <v>2418</v>
      </c>
      <c r="N648" s="202">
        <f>If(L648&gt;K648,   datedif(K648,L648,"Y") , If(K648&lt;Vitalicios!$C$4, datedif(K648,Vitalicios!$C$4,"Y"),0)  )</f>
        <v>10</v>
      </c>
      <c r="O648" s="202"/>
    </row>
    <row r="649">
      <c r="A649" s="192">
        <v>2174.0</v>
      </c>
      <c r="B649" s="193" t="s">
        <v>2419</v>
      </c>
      <c r="C649" s="193" t="s">
        <v>537</v>
      </c>
      <c r="D649" s="193" t="s">
        <v>538</v>
      </c>
      <c r="E649" s="193" t="s">
        <v>2420</v>
      </c>
      <c r="F649" s="195">
        <v>2.214407408E9</v>
      </c>
      <c r="G649" s="196"/>
      <c r="H649" s="193" t="s">
        <v>2421</v>
      </c>
      <c r="I649" s="197"/>
      <c r="J649" s="198" t="s">
        <v>523</v>
      </c>
      <c r="K649" s="199">
        <v>45047.0</v>
      </c>
      <c r="L649" s="200"/>
      <c r="M649" s="201"/>
      <c r="N649" s="202"/>
      <c r="O649" s="202"/>
    </row>
    <row r="650">
      <c r="A650" s="192">
        <v>1672.0</v>
      </c>
      <c r="B650" s="193" t="s">
        <v>2422</v>
      </c>
      <c r="C650" s="194" t="s">
        <v>519</v>
      </c>
      <c r="D650" s="193" t="s">
        <v>2423</v>
      </c>
      <c r="E650" s="193" t="s">
        <v>2424</v>
      </c>
      <c r="F650" s="195" t="s">
        <v>2425</v>
      </c>
      <c r="G650" s="196"/>
      <c r="H650" s="193" t="s">
        <v>2426</v>
      </c>
      <c r="I650" s="197" t="str">
        <f>IF(iserror(vlookup($A650,Pagos!$B$5:L1241,4,false)),"Sin actividad",If(vlookup($A650,Pagos!$B$5:$L1241,5,false),vlookup($A650,Pagos!$B$5:$L1241,5,false),vlookup($A650,Pagos!$B$5:$L1241,4,false)))</f>
        <v>Sin actividad</v>
      </c>
      <c r="J650" s="198" t="s">
        <v>529</v>
      </c>
      <c r="K650" s="199">
        <v>43070.0</v>
      </c>
      <c r="L650" s="200">
        <v>43525.0</v>
      </c>
      <c r="M650" s="201"/>
      <c r="N650" s="202">
        <f>If(L650&gt;K650,   datedif(K650,L650,"Y") , If(K650&lt;Vitalicios!$C$4, datedif(K650,Vitalicios!$C$4,"Y"),0)  )</f>
        <v>1</v>
      </c>
      <c r="O650" s="202"/>
    </row>
    <row r="651">
      <c r="A651" s="192">
        <v>1881.0</v>
      </c>
      <c r="B651" s="193" t="s">
        <v>2427</v>
      </c>
      <c r="C651" s="193" t="s">
        <v>537</v>
      </c>
      <c r="D651" s="193" t="s">
        <v>538</v>
      </c>
      <c r="E651" s="193" t="s">
        <v>2428</v>
      </c>
      <c r="F651" s="195">
        <v>2.214201288E9</v>
      </c>
      <c r="G651" s="196"/>
      <c r="H651" s="193" t="s">
        <v>2429</v>
      </c>
      <c r="I651" s="197" t="str">
        <f>IF(iserror(vlookup($A651,Pagos!$B$5:L1241,4,false)),"Sin actividad",If(vlookup($A651,Pagos!$B$5:$L1241,5,false),vlookup($A651,Pagos!$B$5:$L1241,5,false),vlookup($A651,Pagos!$B$5:$L1241,4,false)))</f>
        <v>Sin actividad</v>
      </c>
      <c r="J651" s="198" t="s">
        <v>529</v>
      </c>
      <c r="K651" s="199">
        <v>44228.0</v>
      </c>
      <c r="L651" s="200">
        <v>45231.0</v>
      </c>
      <c r="M651" s="201" t="s">
        <v>535</v>
      </c>
      <c r="N651" s="202"/>
      <c r="O651" s="202"/>
    </row>
    <row r="652">
      <c r="A652" s="192">
        <v>1354.0</v>
      </c>
      <c r="B652" s="193" t="s">
        <v>2430</v>
      </c>
      <c r="C652" s="194" t="s">
        <v>526</v>
      </c>
      <c r="D652" s="193" t="s">
        <v>527</v>
      </c>
      <c r="E652" s="193" t="s">
        <v>2431</v>
      </c>
      <c r="F652" s="195">
        <v>1.567525432E9</v>
      </c>
      <c r="G652" s="196">
        <v>0.0</v>
      </c>
      <c r="H652" s="193"/>
      <c r="I652" s="197" t="str">
        <f>IF(iserror(vlookup($A652,Pagos!$B$5:L1241,4,false)),"Sin actividad",If(vlookup($A652,Pagos!$B$5:$L1241,5,false),vlookup($A652,Pagos!$B$5:$L1241,5,false),vlookup($A652,Pagos!$B$5:$L1241,4,false)))</f>
        <v>Sin actividad</v>
      </c>
      <c r="J652" s="198" t="s">
        <v>529</v>
      </c>
      <c r="K652" s="199">
        <v>40587.0</v>
      </c>
      <c r="L652" s="200">
        <v>41579.0</v>
      </c>
      <c r="M652" s="201" t="s">
        <v>2432</v>
      </c>
      <c r="N652" s="202">
        <f>If(L652&gt;K652,   datedif(K652,L652,"Y") , If(K652&lt;Vitalicios!$C$4, datedif(K652,Vitalicios!$C$4,"Y"),0)  )</f>
        <v>2</v>
      </c>
      <c r="O652" s="202"/>
    </row>
    <row r="653">
      <c r="A653" s="192">
        <v>2268.0</v>
      </c>
      <c r="B653" s="193" t="s">
        <v>2433</v>
      </c>
      <c r="C653" s="193" t="s">
        <v>526</v>
      </c>
      <c r="D653" s="193" t="s">
        <v>2397</v>
      </c>
      <c r="E653" s="193" t="s">
        <v>2434</v>
      </c>
      <c r="F653" s="195">
        <v>2.214086336E9</v>
      </c>
      <c r="G653" s="196"/>
      <c r="H653" s="193" t="s">
        <v>2435</v>
      </c>
      <c r="I653" s="197"/>
      <c r="J653" s="198" t="s">
        <v>523</v>
      </c>
      <c r="K653" s="199">
        <v>45505.0</v>
      </c>
      <c r="L653" s="200"/>
      <c r="M653" s="201"/>
      <c r="N653" s="202"/>
      <c r="O653" s="202"/>
    </row>
    <row r="654">
      <c r="A654" s="192">
        <v>1167.0</v>
      </c>
      <c r="B654" s="193" t="s">
        <v>2436</v>
      </c>
      <c r="C654" s="194" t="s">
        <v>577</v>
      </c>
      <c r="D654" s="193" t="s">
        <v>556</v>
      </c>
      <c r="E654" s="193" t="s">
        <v>2437</v>
      </c>
      <c r="F654" s="195">
        <v>4532615.0</v>
      </c>
      <c r="G654" s="196">
        <v>1.55977093E8</v>
      </c>
      <c r="H654" s="193"/>
      <c r="I654" s="197" t="str">
        <f>IF(iserror(vlookup($A654,Pagos!$B$5:L1241,4,false)),"Sin actividad",If(vlookup($A654,Pagos!$B$5:$L1241,5,false),vlookup($A654,Pagos!$B$5:$L1241,5,false),vlookup($A654,Pagos!$B$5:$L1241,4,false)))</f>
        <v>Sin actividad</v>
      </c>
      <c r="J654" s="198" t="s">
        <v>529</v>
      </c>
      <c r="K654" s="199">
        <v>39466.0</v>
      </c>
      <c r="L654" s="200">
        <v>42005.0</v>
      </c>
      <c r="M654" s="201" t="s">
        <v>1201</v>
      </c>
      <c r="N654" s="202">
        <f>If(L654&gt;K654,   datedif(K654,L654,"Y") , If(K654&lt;Vitalicios!$C$4, datedif(K654,Vitalicios!$C$4,"Y"),0)  )</f>
        <v>6</v>
      </c>
      <c r="O654" s="202"/>
    </row>
    <row r="655">
      <c r="A655" s="192">
        <v>2225.0</v>
      </c>
      <c r="B655" s="193" t="s">
        <v>2438</v>
      </c>
      <c r="C655" s="193" t="s">
        <v>537</v>
      </c>
      <c r="D655" s="193" t="s">
        <v>532</v>
      </c>
      <c r="E655" s="193" t="s">
        <v>2439</v>
      </c>
      <c r="F655" s="195">
        <v>2.21459011E9</v>
      </c>
      <c r="G655" s="196"/>
      <c r="H655" s="193"/>
      <c r="I655" s="197"/>
      <c r="J655" s="198" t="s">
        <v>523</v>
      </c>
      <c r="K655" s="199">
        <v>45261.0</v>
      </c>
      <c r="L655" s="200"/>
      <c r="M655" s="201"/>
      <c r="N655" s="202"/>
      <c r="O655" s="202"/>
    </row>
    <row r="656">
      <c r="A656" s="192">
        <v>1457.0</v>
      </c>
      <c r="B656" s="193" t="s">
        <v>2440</v>
      </c>
      <c r="C656" s="194" t="s">
        <v>564</v>
      </c>
      <c r="D656" s="193" t="s">
        <v>556</v>
      </c>
      <c r="E656" s="193"/>
      <c r="F656" s="195"/>
      <c r="G656" s="196"/>
      <c r="H656" s="193"/>
      <c r="I656" s="197" t="str">
        <f>IF(iserror(vlookup($A656,Pagos!$B$5:L1241,4,false)),"Sin actividad",If(vlookup($A656,Pagos!$B$5:$L1241,5,false),vlookup($A656,Pagos!$B$5:$L1241,5,false),vlookup($A656,Pagos!$B$5:$L1241,4,false)))</f>
        <v>Sin actividad</v>
      </c>
      <c r="J656" s="198" t="s">
        <v>529</v>
      </c>
      <c r="K656" s="199">
        <v>41287.0</v>
      </c>
      <c r="L656" s="200">
        <v>43101.0</v>
      </c>
      <c r="M656" s="201" t="s">
        <v>716</v>
      </c>
      <c r="N656" s="202">
        <f>If(L656&gt;K656,   datedif(K656,L656,"Y") , If(K656&lt;Vitalicios!$C$4, datedif(K656,Vitalicios!$C$4,"Y"),0)  )</f>
        <v>4</v>
      </c>
      <c r="O656" s="202"/>
    </row>
    <row r="657">
      <c r="A657" s="192">
        <v>2201.0</v>
      </c>
      <c r="B657" s="193" t="s">
        <v>2441</v>
      </c>
      <c r="C657" s="193" t="s">
        <v>526</v>
      </c>
      <c r="D657" s="193" t="s">
        <v>532</v>
      </c>
      <c r="E657" s="193" t="s">
        <v>2442</v>
      </c>
      <c r="F657" s="195">
        <v>2.216320715E9</v>
      </c>
      <c r="G657" s="196"/>
      <c r="H657" s="193" t="s">
        <v>2443</v>
      </c>
      <c r="I657" s="197"/>
      <c r="J657" s="198" t="s">
        <v>523</v>
      </c>
      <c r="K657" s="199">
        <v>45170.0</v>
      </c>
      <c r="L657" s="200"/>
      <c r="M657" s="201"/>
      <c r="N657" s="202"/>
      <c r="O657" s="202"/>
    </row>
    <row r="658">
      <c r="A658" s="192">
        <v>1920.0</v>
      </c>
      <c r="B658" s="193" t="s">
        <v>2444</v>
      </c>
      <c r="C658" s="193" t="s">
        <v>537</v>
      </c>
      <c r="D658" s="193" t="s">
        <v>538</v>
      </c>
      <c r="E658" s="193" t="s">
        <v>2445</v>
      </c>
      <c r="F658" s="195">
        <v>2.21639212E9</v>
      </c>
      <c r="G658" s="196"/>
      <c r="H658" s="193" t="s">
        <v>2446</v>
      </c>
      <c r="I658" s="197">
        <f>IF(iserror(vlookup($A658,Pagos!$B$5:L1241,4,false)),"Sin actividad",If(vlookup($A658,Pagos!$B$5:$L1241,5,false),vlookup($A658,Pagos!$B$5:$L1241,5,false),vlookup($A658,Pagos!$B$5:$L1241,4,false)))</f>
        <v>45870</v>
      </c>
      <c r="J658" s="198" t="s">
        <v>523</v>
      </c>
      <c r="K658" s="199">
        <v>44378.0</v>
      </c>
      <c r="L658" s="200"/>
      <c r="M658" s="201"/>
      <c r="N658" s="202"/>
      <c r="O658" s="202"/>
    </row>
    <row r="659">
      <c r="A659" s="192">
        <v>2285.0</v>
      </c>
      <c r="B659" s="193" t="s">
        <v>2447</v>
      </c>
      <c r="C659" s="193" t="s">
        <v>537</v>
      </c>
      <c r="D659" s="193" t="s">
        <v>538</v>
      </c>
      <c r="E659" s="193" t="s">
        <v>2448</v>
      </c>
      <c r="F659" s="195">
        <v>2.213067202E9</v>
      </c>
      <c r="G659" s="196"/>
      <c r="H659" s="193" t="s">
        <v>2449</v>
      </c>
      <c r="I659" s="197"/>
      <c r="J659" s="198" t="s">
        <v>529</v>
      </c>
      <c r="K659" s="199">
        <v>45566.0</v>
      </c>
      <c r="L659" s="200">
        <v>45839.0</v>
      </c>
      <c r="M659" s="201" t="s">
        <v>614</v>
      </c>
      <c r="N659" s="202"/>
      <c r="O659" s="202"/>
    </row>
    <row r="660">
      <c r="A660" s="192">
        <v>1284.0</v>
      </c>
      <c r="B660" s="193" t="s">
        <v>2450</v>
      </c>
      <c r="C660" s="194" t="s">
        <v>526</v>
      </c>
      <c r="D660" s="193" t="s">
        <v>527</v>
      </c>
      <c r="E660" s="193">
        <v>0.0</v>
      </c>
      <c r="F660" s="195">
        <v>0.0</v>
      </c>
      <c r="G660" s="196">
        <v>0.0</v>
      </c>
      <c r="H660" s="193"/>
      <c r="I660" s="197" t="str">
        <f>IF(iserror(vlookup($A660,Pagos!$B$5:L1241,4,false)),"Sin actividad",If(vlookup($A660,Pagos!$B$5:$L1241,5,false),vlookup($A660,Pagos!$B$5:$L1241,5,false),vlookup($A660,Pagos!$B$5:$L1241,4,false)))</f>
        <v>Sin actividad</v>
      </c>
      <c r="J660" s="198" t="s">
        <v>529</v>
      </c>
      <c r="K660" s="199">
        <v>40187.0</v>
      </c>
      <c r="L660" s="200"/>
      <c r="M660" s="201"/>
      <c r="N660" s="202">
        <f>If(L660&gt;K660,   datedif(K660,L660,"Y") , If(K660&lt;Vitalicios!$C$4, datedif(K660,Vitalicios!$C$4,"Y"),0)  )</f>
        <v>15</v>
      </c>
      <c r="O660" s="202"/>
    </row>
    <row r="661">
      <c r="A661" s="192">
        <v>2357.0</v>
      </c>
      <c r="B661" s="193" t="s">
        <v>2451</v>
      </c>
      <c r="C661" s="193" t="s">
        <v>537</v>
      </c>
      <c r="D661" s="193" t="s">
        <v>485</v>
      </c>
      <c r="E661" s="193" t="s">
        <v>2452</v>
      </c>
      <c r="F661" s="195">
        <v>2.216713666E9</v>
      </c>
      <c r="G661" s="196"/>
      <c r="H661" s="193" t="s">
        <v>2453</v>
      </c>
      <c r="I661" s="197"/>
      <c r="J661" s="198" t="s">
        <v>523</v>
      </c>
      <c r="K661" s="199">
        <v>45748.0</v>
      </c>
      <c r="L661" s="200"/>
      <c r="M661" s="201"/>
      <c r="N661" s="202"/>
      <c r="O661" s="202"/>
    </row>
    <row r="662">
      <c r="A662" s="192">
        <v>811.0</v>
      </c>
      <c r="B662" s="193" t="s">
        <v>2454</v>
      </c>
      <c r="C662" s="194" t="s">
        <v>577</v>
      </c>
      <c r="D662" s="193" t="s">
        <v>520</v>
      </c>
      <c r="E662" s="193" t="s">
        <v>2455</v>
      </c>
      <c r="F662" s="195">
        <v>0.0</v>
      </c>
      <c r="G662" s="196">
        <v>0.0</v>
      </c>
      <c r="H662" s="193"/>
      <c r="I662" s="197" t="str">
        <f>IF(iserror(vlookup($A662,Pagos!$B$5:L1241,4,false)),"Sin actividad",If(vlookup($A662,Pagos!$B$5:$L1241,5,false),vlookup($A662,Pagos!$B$5:$L1241,5,false),vlookup($A662,Pagos!$B$5:$L1241,4,false)))</f>
        <v>Sin actividad</v>
      </c>
      <c r="J662" s="198" t="s">
        <v>529</v>
      </c>
      <c r="K662" s="199">
        <v>36541.0</v>
      </c>
      <c r="L662" s="200">
        <v>42005.0</v>
      </c>
      <c r="M662" s="201"/>
      <c r="N662" s="202">
        <f>If(L662&gt;K662,   datedif(K662,L662,"Y") , If(K662&lt;Vitalicios!$C$4, datedif(K662,Vitalicios!$C$4,"Y"),0)  )</f>
        <v>14</v>
      </c>
      <c r="O662" s="202"/>
    </row>
    <row r="663">
      <c r="A663" s="192">
        <v>1376.0</v>
      </c>
      <c r="B663" s="193" t="s">
        <v>2456</v>
      </c>
      <c r="C663" s="194" t="s">
        <v>526</v>
      </c>
      <c r="D663" s="193" t="s">
        <v>527</v>
      </c>
      <c r="E663" s="193" t="s">
        <v>1633</v>
      </c>
      <c r="F663" s="195">
        <v>4802758.0</v>
      </c>
      <c r="G663" s="196">
        <v>0.0</v>
      </c>
      <c r="H663" s="193"/>
      <c r="I663" s="197" t="str">
        <f>IF(iserror(vlookup($A663,Pagos!$B$5:L1241,4,false)),"Sin actividad",If(vlookup($A663,Pagos!$B$5:$L1241,5,false),vlookup($A663,Pagos!$B$5:$L1241,5,false),vlookup($A663,Pagos!$B$5:$L1241,4,false)))</f>
        <v>Sin actividad</v>
      </c>
      <c r="J663" s="198" t="s">
        <v>529</v>
      </c>
      <c r="K663" s="199">
        <v>40763.0</v>
      </c>
      <c r="L663" s="200">
        <v>42583.0</v>
      </c>
      <c r="M663" s="201"/>
      <c r="N663" s="202">
        <f>If(L663&gt;K663,   datedif(K663,L663,"Y") , If(K663&lt;Vitalicios!$C$4, datedif(K663,Vitalicios!$C$4,"Y"),0)  )</f>
        <v>4</v>
      </c>
      <c r="O663" s="202"/>
    </row>
    <row r="664">
      <c r="A664" s="192">
        <v>2107.0</v>
      </c>
      <c r="B664" s="193" t="s">
        <v>2457</v>
      </c>
      <c r="C664" s="193" t="s">
        <v>537</v>
      </c>
      <c r="D664" s="193" t="s">
        <v>538</v>
      </c>
      <c r="E664" s="193" t="s">
        <v>2458</v>
      </c>
      <c r="F664" s="195">
        <v>2.214972322E9</v>
      </c>
      <c r="G664" s="221" t="s">
        <v>2459</v>
      </c>
      <c r="H664" s="193" t="s">
        <v>2460</v>
      </c>
      <c r="I664" s="197"/>
      <c r="J664" s="198" t="s">
        <v>529</v>
      </c>
      <c r="K664" s="199">
        <v>44896.0</v>
      </c>
      <c r="L664" s="200">
        <v>45231.0</v>
      </c>
      <c r="M664" s="201"/>
      <c r="N664" s="202"/>
      <c r="O664" s="202"/>
    </row>
    <row r="665">
      <c r="A665" s="192">
        <v>1944.0</v>
      </c>
      <c r="B665" s="193" t="s">
        <v>2461</v>
      </c>
      <c r="C665" s="193" t="s">
        <v>537</v>
      </c>
      <c r="D665" s="193" t="s">
        <v>538</v>
      </c>
      <c r="E665" s="193" t="s">
        <v>2462</v>
      </c>
      <c r="F665" s="195">
        <v>2.215854545E9</v>
      </c>
      <c r="G665" s="196"/>
      <c r="H665" s="193" t="s">
        <v>2463</v>
      </c>
      <c r="I665" s="197">
        <f>IF(iserror(vlookup($A665,Pagos!$B$5:L1241,4,false)),"Sin actividad",If(vlookup($A665,Pagos!$B$5:$L1241,5,false),vlookup($A665,Pagos!$B$5:$L1241,5,false),vlookup($A665,Pagos!$B$5:$L1241,4,false)))</f>
        <v>45870</v>
      </c>
      <c r="J665" s="198" t="s">
        <v>523</v>
      </c>
      <c r="K665" s="199">
        <v>44501.0</v>
      </c>
      <c r="L665" s="200"/>
      <c r="M665" s="201"/>
      <c r="N665" s="202"/>
      <c r="O665" s="202"/>
    </row>
    <row r="666">
      <c r="A666" s="192">
        <v>829.0</v>
      </c>
      <c r="B666" s="193" t="s">
        <v>2464</v>
      </c>
      <c r="C666" s="194" t="s">
        <v>577</v>
      </c>
      <c r="D666" s="193" t="s">
        <v>520</v>
      </c>
      <c r="E666" s="193" t="s">
        <v>2465</v>
      </c>
      <c r="F666" s="195">
        <v>0.0</v>
      </c>
      <c r="G666" s="196">
        <v>0.0</v>
      </c>
      <c r="H666" s="193"/>
      <c r="I666" s="197" t="str">
        <f>IF(iserror(vlookup($A666,Pagos!$B$5:L1241,4,false)),"Sin actividad",If(vlookup($A666,Pagos!$B$5:$L1241,5,false),vlookup($A666,Pagos!$B$5:$L1241,5,false),vlookup($A666,Pagos!$B$5:$L1241,4,false)))</f>
        <v>Sin actividad</v>
      </c>
      <c r="J666" s="198" t="s">
        <v>529</v>
      </c>
      <c r="K666" s="199">
        <v>36619.0</v>
      </c>
      <c r="L666" s="200">
        <v>43101.0</v>
      </c>
      <c r="M666" s="201" t="s">
        <v>589</v>
      </c>
      <c r="N666" s="202">
        <f>If(L666&gt;K666,   datedif(K666,L666,"Y") , If(K666&lt;Vitalicios!$C$4, datedif(K666,Vitalicios!$C$4,"Y"),0)  )</f>
        <v>17</v>
      </c>
      <c r="O666" s="202"/>
    </row>
    <row r="667">
      <c r="A667" s="192">
        <v>1441.0</v>
      </c>
      <c r="B667" s="193" t="s">
        <v>2466</v>
      </c>
      <c r="C667" s="194" t="s">
        <v>564</v>
      </c>
      <c r="D667" s="193" t="s">
        <v>520</v>
      </c>
      <c r="E667" s="193" t="s">
        <v>2467</v>
      </c>
      <c r="F667" s="195">
        <v>1.11550500377E11</v>
      </c>
      <c r="G667" s="196">
        <v>0.0</v>
      </c>
      <c r="H667" s="193" t="s">
        <v>2468</v>
      </c>
      <c r="I667" s="197">
        <f>IF(iserror(vlookup($A667,Pagos!$B$5:L1241,4,false)),"Sin actividad",If(vlookup($A667,Pagos!$B$5:$L1241,5,false),vlookup($A667,Pagos!$B$5:$L1241,5,false),vlookup($A667,Pagos!$B$5:$L1241,4,false)))</f>
        <v>45870</v>
      </c>
      <c r="J667" s="198" t="s">
        <v>523</v>
      </c>
      <c r="K667" s="199">
        <v>41287.0</v>
      </c>
      <c r="L667" s="200"/>
      <c r="M667" s="201"/>
      <c r="N667" s="202">
        <f>If(L667&gt;K667,   datedif(K667,L667,"Y") , If(K667&lt;Vitalicios!$C$4, datedif(K667,Vitalicios!$C$4,"Y"),0)  )</f>
        <v>12</v>
      </c>
      <c r="O667" s="202"/>
    </row>
    <row r="668">
      <c r="A668" s="192">
        <v>1165.0</v>
      </c>
      <c r="B668" s="193" t="s">
        <v>2469</v>
      </c>
      <c r="C668" s="194" t="s">
        <v>577</v>
      </c>
      <c r="D668" s="193" t="s">
        <v>556</v>
      </c>
      <c r="E668" s="193" t="s">
        <v>1888</v>
      </c>
      <c r="F668" s="195">
        <v>4276005.0</v>
      </c>
      <c r="G668" s="196">
        <v>0.0</v>
      </c>
      <c r="H668" s="193" t="s">
        <v>2470</v>
      </c>
      <c r="I668" s="197">
        <f>IF(iserror(vlookup($A668,Pagos!$B$5:L1241,4,false)),"Sin actividad",If(vlookup($A668,Pagos!$B$5:$L1241,5,false),vlookup($A668,Pagos!$B$5:$L1241,5,false),vlookup($A668,Pagos!$B$5:$L1241,4,false)))</f>
        <v>45870</v>
      </c>
      <c r="J668" s="198" t="s">
        <v>523</v>
      </c>
      <c r="K668" s="199">
        <v>39460.0</v>
      </c>
      <c r="L668" s="200"/>
      <c r="M668" s="201"/>
      <c r="N668" s="202">
        <f>If(L668&gt;K668,   datedif(K668,L668,"Y") , If(K668&lt;Vitalicios!$C$4, datedif(K668,Vitalicios!$C$4,"Y"),0)  )</f>
        <v>17</v>
      </c>
      <c r="O668" s="202"/>
    </row>
    <row r="669">
      <c r="A669" s="192">
        <v>2160.0</v>
      </c>
      <c r="B669" s="193" t="s">
        <v>2471</v>
      </c>
      <c r="C669" s="193" t="s">
        <v>537</v>
      </c>
      <c r="D669" s="193" t="s">
        <v>538</v>
      </c>
      <c r="E669" s="193" t="s">
        <v>2472</v>
      </c>
      <c r="F669" s="195">
        <v>2.215071154E9</v>
      </c>
      <c r="G669" s="196"/>
      <c r="H669" s="193" t="s">
        <v>2473</v>
      </c>
      <c r="I669" s="197"/>
      <c r="J669" s="198" t="s">
        <v>529</v>
      </c>
      <c r="K669" s="199">
        <v>44986.0</v>
      </c>
      <c r="L669" s="200">
        <v>45413.0</v>
      </c>
      <c r="M669" s="201" t="s">
        <v>915</v>
      </c>
      <c r="N669" s="202"/>
      <c r="O669" s="202"/>
    </row>
    <row r="670">
      <c r="A670" s="192">
        <v>1665.0</v>
      </c>
      <c r="B670" s="193" t="s">
        <v>2474</v>
      </c>
      <c r="C670" s="194" t="s">
        <v>519</v>
      </c>
      <c r="D670" s="193" t="s">
        <v>520</v>
      </c>
      <c r="E670" s="193" t="s">
        <v>2475</v>
      </c>
      <c r="F670" s="195" t="s">
        <v>2476</v>
      </c>
      <c r="G670" s="196"/>
      <c r="H670" s="193" t="s">
        <v>2477</v>
      </c>
      <c r="I670" s="197" t="str">
        <f>IF(iserror(vlookup($A670,Pagos!$B$5:L1241,4,false)),"Sin actividad",If(vlookup($A670,Pagos!$B$5:$L1241,5,false),vlookup($A670,Pagos!$B$5:$L1241,5,false),vlookup($A670,Pagos!$B$5:$L1241,4,false)))</f>
        <v>Sin actividad</v>
      </c>
      <c r="J670" s="198" t="s">
        <v>529</v>
      </c>
      <c r="K670" s="199">
        <v>43042.0</v>
      </c>
      <c r="L670" s="200">
        <v>43709.0</v>
      </c>
      <c r="M670" s="201"/>
      <c r="N670" s="202">
        <f>If(L670&gt;K670,   datedif(K670,L670,"Y") , If(K670&lt;Vitalicios!$C$4, datedif(K670,Vitalicios!$C$4,"Y"),0)  )</f>
        <v>1</v>
      </c>
      <c r="O670" s="202"/>
    </row>
    <row r="671">
      <c r="A671" s="192">
        <v>1581.0</v>
      </c>
      <c r="B671" s="193" t="s">
        <v>2478</v>
      </c>
      <c r="C671" s="194" t="s">
        <v>526</v>
      </c>
      <c r="D671" s="193" t="s">
        <v>709</v>
      </c>
      <c r="E671" s="193" t="s">
        <v>2479</v>
      </c>
      <c r="F671" s="195" t="s">
        <v>2480</v>
      </c>
      <c r="G671" s="196">
        <v>0.0</v>
      </c>
      <c r="H671" s="193"/>
      <c r="I671" s="197" t="str">
        <f>IF(iserror(vlookup($A671,Pagos!$B$5:L1241,4,false)),"Sin actividad",If(vlookup($A671,Pagos!$B$5:$L1241,5,false),vlookup($A671,Pagos!$B$5:$L1241,5,false),vlookup($A671,Pagos!$B$5:$L1241,4,false)))</f>
        <v>Sin actividad</v>
      </c>
      <c r="J671" s="198" t="s">
        <v>529</v>
      </c>
      <c r="K671" s="199">
        <v>42350.0</v>
      </c>
      <c r="L671" s="200">
        <v>45292.0</v>
      </c>
      <c r="M671" s="201" t="s">
        <v>614</v>
      </c>
      <c r="N671" s="202">
        <f>If(L671&gt;K671,   datedif(K671,L671,"Y") , If(K671&lt;Vitalicios!$C$4, datedif(K671,Vitalicios!$C$4,"Y"),0)  )</f>
        <v>8</v>
      </c>
      <c r="O671" s="202"/>
    </row>
    <row r="672">
      <c r="A672" s="192">
        <v>1481.0</v>
      </c>
      <c r="B672" s="193" t="s">
        <v>2481</v>
      </c>
      <c r="C672" s="194" t="s">
        <v>526</v>
      </c>
      <c r="D672" s="193" t="s">
        <v>556</v>
      </c>
      <c r="E672" s="193" t="s">
        <v>2482</v>
      </c>
      <c r="F672" s="195">
        <v>4842501.0</v>
      </c>
      <c r="G672" s="196">
        <v>0.0</v>
      </c>
      <c r="H672" s="193"/>
      <c r="I672" s="197" t="str">
        <f>IF(iserror(vlookup($A672,Pagos!$B$5:L1241,4,false)),"Sin actividad",If(vlookup($A672,Pagos!$B$5:$L1241,5,false),vlookup($A672,Pagos!$B$5:$L1241,5,false),vlookup($A672,Pagos!$B$5:$L1241,4,false)))</f>
        <v>Sin actividad</v>
      </c>
      <c r="J672" s="198" t="s">
        <v>529</v>
      </c>
      <c r="K672" s="199">
        <v>41587.0</v>
      </c>
      <c r="L672" s="200">
        <v>41883.0</v>
      </c>
      <c r="M672" s="201"/>
      <c r="N672" s="202">
        <f>If(L672&gt;K672,   datedif(K672,L672,"Y") , If(K672&lt;Vitalicios!$C$4, datedif(K672,Vitalicios!$C$4,"Y"),0)  )</f>
        <v>0</v>
      </c>
      <c r="O672" s="202"/>
    </row>
    <row r="673">
      <c r="A673" s="192">
        <v>1872.0</v>
      </c>
      <c r="B673" s="193" t="s">
        <v>2483</v>
      </c>
      <c r="C673" s="193" t="s">
        <v>537</v>
      </c>
      <c r="D673" s="193" t="s">
        <v>538</v>
      </c>
      <c r="E673" s="193" t="s">
        <v>2484</v>
      </c>
      <c r="F673" s="195">
        <v>1.161933546E9</v>
      </c>
      <c r="G673" s="196"/>
      <c r="H673" s="193" t="s">
        <v>2485</v>
      </c>
      <c r="I673" s="197">
        <f>IF(iserror(vlookup($A673,Pagos!$B$5:L1241,4,false)),"Sin actividad",If(vlookup($A673,Pagos!$B$5:$L1241,5,false),vlookup($A673,Pagos!$B$5:$L1241,5,false),vlookup($A673,Pagos!$B$5:$L1241,4,false)))</f>
        <v>45992</v>
      </c>
      <c r="J673" s="198" t="s">
        <v>523</v>
      </c>
      <c r="K673" s="199">
        <v>44228.0</v>
      </c>
      <c r="L673" s="200"/>
      <c r="M673" s="201"/>
      <c r="N673" s="202"/>
      <c r="O673" s="202"/>
    </row>
    <row r="674">
      <c r="A674" s="192">
        <v>1675.0</v>
      </c>
      <c r="B674" s="193" t="s">
        <v>2486</v>
      </c>
      <c r="C674" s="194" t="s">
        <v>519</v>
      </c>
      <c r="D674" s="193" t="s">
        <v>527</v>
      </c>
      <c r="E674" s="193" t="s">
        <v>2487</v>
      </c>
      <c r="F674" s="195" t="s">
        <v>2488</v>
      </c>
      <c r="G674" s="196">
        <v>1.55373697E8</v>
      </c>
      <c r="H674" s="193" t="s">
        <v>2489</v>
      </c>
      <c r="I674" s="197" t="str">
        <f>IF(iserror(vlookup($A674,Pagos!$B$5:L1241,4,false)),"Sin actividad",If(vlookup($A674,Pagos!$B$5:$L1241,5,false),vlookup($A674,Pagos!$B$5:$L1241,5,false),vlookup($A674,Pagos!$B$5:$L1241,4,false)))</f>
        <v>Sin actividad</v>
      </c>
      <c r="J674" s="198" t="s">
        <v>529</v>
      </c>
      <c r="K674" s="199">
        <v>43101.0</v>
      </c>
      <c r="L674" s="200">
        <v>43313.0</v>
      </c>
      <c r="M674" s="201" t="s">
        <v>2490</v>
      </c>
      <c r="N674" s="202">
        <f>If(L674&gt;K674,   datedif(K674,L674,"Y") , If(K674&lt;Vitalicios!$C$4, datedif(K674,Vitalicios!$C$4,"Y"),0)  )</f>
        <v>0</v>
      </c>
      <c r="O674" s="202"/>
    </row>
    <row r="675">
      <c r="A675" s="192">
        <v>1724.0</v>
      </c>
      <c r="B675" s="193" t="s">
        <v>2491</v>
      </c>
      <c r="C675" s="194" t="s">
        <v>519</v>
      </c>
      <c r="D675" s="193" t="s">
        <v>538</v>
      </c>
      <c r="E675" s="193" t="s">
        <v>2492</v>
      </c>
      <c r="F675" s="195">
        <v>1.56014393E8</v>
      </c>
      <c r="G675" s="196"/>
      <c r="H675" s="193" t="s">
        <v>2493</v>
      </c>
      <c r="I675" s="197">
        <f>IF(iserror(vlookup($A675,Pagos!$B$5:L1241,4,false)),"Sin actividad",If(vlookup($A675,Pagos!$B$5:$L1241,5,false),vlookup($A675,Pagos!$B$5:$L1241,5,false),vlookup($A675,Pagos!$B$5:$L1241,4,false)))</f>
        <v>45870</v>
      </c>
      <c r="J675" s="198" t="s">
        <v>523</v>
      </c>
      <c r="K675" s="199">
        <v>43466.0</v>
      </c>
      <c r="L675" s="200"/>
      <c r="M675" s="201"/>
      <c r="N675" s="202">
        <f>If(L675&gt;K675,   datedif(K675,L675,"Y") , If(K675&lt;Vitalicios!$C$4, datedif(K675,Vitalicios!$C$4,"Y"),0)  )</f>
        <v>6</v>
      </c>
      <c r="O675" s="202"/>
    </row>
    <row r="676">
      <c r="A676" s="192">
        <v>2329.0</v>
      </c>
      <c r="B676" s="193" t="s">
        <v>2494</v>
      </c>
      <c r="C676" s="193" t="s">
        <v>537</v>
      </c>
      <c r="D676" s="193" t="s">
        <v>538</v>
      </c>
      <c r="E676" s="193" t="s">
        <v>2495</v>
      </c>
      <c r="F676" s="195">
        <v>2.214422266E9</v>
      </c>
      <c r="G676" s="196"/>
      <c r="H676" s="193" t="s">
        <v>2496</v>
      </c>
      <c r="I676" s="197"/>
      <c r="J676" s="198" t="s">
        <v>523</v>
      </c>
      <c r="K676" s="199">
        <v>45689.0</v>
      </c>
      <c r="L676" s="200"/>
      <c r="M676" s="201"/>
      <c r="N676" s="202"/>
      <c r="O676" s="202"/>
    </row>
    <row r="677">
      <c r="A677" s="192">
        <v>449.0</v>
      </c>
      <c r="B677" s="193" t="s">
        <v>2497</v>
      </c>
      <c r="C677" s="194" t="s">
        <v>577</v>
      </c>
      <c r="D677" s="193" t="s">
        <v>520</v>
      </c>
      <c r="E677" s="193" t="s">
        <v>2498</v>
      </c>
      <c r="F677" s="195">
        <v>0.0</v>
      </c>
      <c r="G677" s="196">
        <v>0.0</v>
      </c>
      <c r="H677" s="193"/>
      <c r="I677" s="197" t="str">
        <f>IF(iserror(vlookup($A677,Pagos!$B$5:L1241,4,false)),"Sin actividad",If(vlookup($A677,Pagos!$B$5:$L1241,5,false),vlookup($A677,Pagos!$B$5:$L1241,5,false),vlookup($A677,Pagos!$B$5:$L1241,4,false)))</f>
        <v>Sin actividad</v>
      </c>
      <c r="J677" s="198" t="s">
        <v>529</v>
      </c>
      <c r="K677" s="199">
        <v>33174.0</v>
      </c>
      <c r="L677" s="200">
        <v>43466.0</v>
      </c>
      <c r="M677" s="201" t="s">
        <v>2499</v>
      </c>
      <c r="N677" s="202">
        <f>If(L677&gt;K677,   datedif(K677,L677,"Y") , If(K677&lt;Vitalicios!$C$4, datedif(K677,Vitalicios!$C$4,"Y"),0)  )</f>
        <v>28</v>
      </c>
      <c r="O677" s="202"/>
    </row>
    <row r="678">
      <c r="A678" s="192">
        <v>2028.0</v>
      </c>
      <c r="B678" s="193" t="s">
        <v>2500</v>
      </c>
      <c r="C678" s="193" t="s">
        <v>537</v>
      </c>
      <c r="D678" s="193" t="s">
        <v>538</v>
      </c>
      <c r="E678" s="193" t="s">
        <v>2501</v>
      </c>
      <c r="F678" s="195">
        <v>2.213680962E9</v>
      </c>
      <c r="G678" s="196"/>
      <c r="H678" s="193" t="s">
        <v>2502</v>
      </c>
      <c r="I678" s="197"/>
      <c r="J678" s="198" t="s">
        <v>529</v>
      </c>
      <c r="K678" s="199">
        <v>44713.0</v>
      </c>
      <c r="L678" s="200">
        <v>45261.0</v>
      </c>
      <c r="M678" s="201" t="s">
        <v>535</v>
      </c>
      <c r="N678" s="202"/>
      <c r="O678" s="202"/>
    </row>
    <row r="679">
      <c r="A679" s="192">
        <v>1644.0</v>
      </c>
      <c r="B679" s="193" t="s">
        <v>2503</v>
      </c>
      <c r="C679" s="194" t="s">
        <v>519</v>
      </c>
      <c r="D679" s="193" t="s">
        <v>538</v>
      </c>
      <c r="E679" s="193" t="s">
        <v>2504</v>
      </c>
      <c r="F679" s="195">
        <v>1.55868901E8</v>
      </c>
      <c r="G679" s="196"/>
      <c r="H679" s="193" t="s">
        <v>2505</v>
      </c>
      <c r="I679" s="197" t="str">
        <f>IF(iserror(vlookup($A679,Pagos!$B$5:L1241,4,false)),"Sin actividad",If(vlookup($A679,Pagos!$B$5:$L1241,5,false),vlookup($A679,Pagos!$B$5:$L1241,5,false),vlookup($A679,Pagos!$B$5:$L1241,4,false)))</f>
        <v>Sin actividad</v>
      </c>
      <c r="J679" s="198" t="s">
        <v>529</v>
      </c>
      <c r="K679" s="199">
        <v>42888.0</v>
      </c>
      <c r="L679" s="200"/>
      <c r="M679" s="201"/>
      <c r="N679" s="202">
        <f>If(L679&gt;K679,   datedif(K679,L679,"Y") , If(K679&lt;Vitalicios!$C$4, datedif(K679,Vitalicios!$C$4,"Y"),0)  )</f>
        <v>8</v>
      </c>
      <c r="O679" s="202"/>
    </row>
    <row r="680">
      <c r="A680" s="192">
        <v>1738.0</v>
      </c>
      <c r="B680" s="193" t="s">
        <v>2506</v>
      </c>
      <c r="C680" s="194" t="s">
        <v>519</v>
      </c>
      <c r="D680" s="193" t="s">
        <v>538</v>
      </c>
      <c r="E680" s="193" t="s">
        <v>2507</v>
      </c>
      <c r="F680" s="195">
        <v>1.56617147E8</v>
      </c>
      <c r="G680" s="196"/>
      <c r="H680" s="193" t="s">
        <v>2508</v>
      </c>
      <c r="I680" s="197">
        <f>IF(iserror(vlookup($A680,Pagos!$B$5:L1241,4,false)),"Sin actividad",If(vlookup($A680,Pagos!$B$5:$L1241,5,false),vlookup($A680,Pagos!$B$5:$L1241,5,false),vlookup($A680,Pagos!$B$5:$L1241,4,false)))</f>
        <v>45870</v>
      </c>
      <c r="J680" s="198" t="s">
        <v>523</v>
      </c>
      <c r="K680" s="199">
        <v>43556.0</v>
      </c>
      <c r="L680" s="200"/>
      <c r="M680" s="201"/>
      <c r="N680" s="202">
        <f>If(L680&gt;K680,   datedif(K680,L680,"Y") , If(K680&lt;Vitalicios!$C$4, datedif(K680,Vitalicios!$C$4,"Y"),0)  )</f>
        <v>6</v>
      </c>
      <c r="O680" s="202"/>
    </row>
    <row r="681">
      <c r="A681" s="192">
        <v>1446.0</v>
      </c>
      <c r="B681" s="193" t="s">
        <v>2509</v>
      </c>
      <c r="C681" s="194" t="s">
        <v>526</v>
      </c>
      <c r="D681" s="193" t="s">
        <v>2510</v>
      </c>
      <c r="E681" s="193" t="s">
        <v>2511</v>
      </c>
      <c r="F681" s="195">
        <v>1.54760513E8</v>
      </c>
      <c r="G681" s="196"/>
      <c r="H681" s="193" t="s">
        <v>2512</v>
      </c>
      <c r="I681" s="197">
        <f>IF(iserror(vlookup($A681,Pagos!$B$5:L1241,4,false)),"Sin actividad",If(vlookup($A681,Pagos!$B$5:$L1241,5,false),vlookup($A681,Pagos!$B$5:$L1241,5,false),vlookup($A681,Pagos!$B$5:$L1241,4,false)))</f>
        <v>45931</v>
      </c>
      <c r="J681" s="198" t="s">
        <v>523</v>
      </c>
      <c r="K681" s="199">
        <v>41322.0</v>
      </c>
      <c r="L681" s="200"/>
      <c r="M681" s="201"/>
      <c r="N681" s="202">
        <f>If(L681&gt;K681,   datedif(K681,L681,"Y") , If(K681&lt;Vitalicios!$C$4, datedif(K681,Vitalicios!$C$4,"Y"),0)  )</f>
        <v>12</v>
      </c>
      <c r="O681" s="202"/>
    </row>
    <row r="682">
      <c r="A682" s="192">
        <v>1567.0</v>
      </c>
      <c r="B682" s="193" t="s">
        <v>2513</v>
      </c>
      <c r="C682" s="194" t="s">
        <v>526</v>
      </c>
      <c r="D682" s="193" t="s">
        <v>527</v>
      </c>
      <c r="E682" s="193" t="s">
        <v>542</v>
      </c>
      <c r="F682" s="195">
        <v>1.55067994E8</v>
      </c>
      <c r="G682" s="196"/>
      <c r="H682" s="193" t="s">
        <v>2514</v>
      </c>
      <c r="I682" s="197" t="str">
        <f>IF(iserror(vlookup($A682,Pagos!$B$5:L1241,4,false)),"Sin actividad",If(vlookup($A682,Pagos!$B$5:$L1241,5,false),vlookup($A682,Pagos!$B$5:$L1241,5,false),vlookup($A682,Pagos!$B$5:$L1241,4,false)))</f>
        <v>Sin actividad</v>
      </c>
      <c r="J682" s="198" t="s">
        <v>529</v>
      </c>
      <c r="K682" s="199">
        <v>42246.0</v>
      </c>
      <c r="L682" s="200">
        <v>44986.0</v>
      </c>
      <c r="M682" s="201" t="s">
        <v>2515</v>
      </c>
      <c r="N682" s="202">
        <f>If(L682&gt;K682,   datedif(K682,L682,"Y") , If(K682&lt;Vitalicios!$C$4, datedif(K682,Vitalicios!$C$4,"Y"),0)  )</f>
        <v>7</v>
      </c>
      <c r="O682" s="202"/>
    </row>
    <row r="683">
      <c r="A683" s="192">
        <v>732.0</v>
      </c>
      <c r="B683" s="193" t="s">
        <v>2516</v>
      </c>
      <c r="C683" s="194" t="s">
        <v>526</v>
      </c>
      <c r="D683" s="193" t="s">
        <v>1464</v>
      </c>
      <c r="E683" s="193" t="s">
        <v>2517</v>
      </c>
      <c r="F683" s="195">
        <v>1.55379259E8</v>
      </c>
      <c r="G683" s="196">
        <v>4792280.0</v>
      </c>
      <c r="H683" s="193" t="s">
        <v>2518</v>
      </c>
      <c r="I683" s="197">
        <f>IF(iserror(vlookup($A683,Pagos!$B$5:L1241,4,false)),"Sin actividad",If(vlookup($A683,Pagos!$B$5:$L1241,5,false),vlookup($A683,Pagos!$B$5:$L1241,5,false),vlookup($A683,Pagos!$B$5:$L1241,4,false)))</f>
        <v>45870</v>
      </c>
      <c r="J683" s="198" t="s">
        <v>523</v>
      </c>
      <c r="K683" s="199">
        <v>36023.0</v>
      </c>
      <c r="L683" s="200"/>
      <c r="M683" s="201"/>
      <c r="N683" s="202">
        <f>If(L683&gt;K683,   datedif(K683,L683,"Y") , If(K683&lt;Vitalicios!$C$4, datedif(K683,Vitalicios!$C$4,"Y"),0)  )</f>
        <v>27</v>
      </c>
      <c r="O683" s="202"/>
    </row>
    <row r="684">
      <c r="A684" s="192">
        <v>2203.0</v>
      </c>
      <c r="B684" s="193" t="s">
        <v>2519</v>
      </c>
      <c r="C684" s="193" t="s">
        <v>537</v>
      </c>
      <c r="D684" s="193" t="s">
        <v>527</v>
      </c>
      <c r="E684" s="193" t="s">
        <v>2520</v>
      </c>
      <c r="F684" s="195">
        <v>2.214635472E9</v>
      </c>
      <c r="G684" s="196"/>
      <c r="H684" s="193" t="s">
        <v>2521</v>
      </c>
      <c r="I684" s="197"/>
      <c r="J684" s="198" t="s">
        <v>523</v>
      </c>
      <c r="K684" s="199">
        <v>45200.0</v>
      </c>
      <c r="L684" s="200"/>
      <c r="M684" s="201"/>
      <c r="N684" s="202"/>
      <c r="O684" s="202"/>
    </row>
    <row r="685">
      <c r="A685" s="192">
        <v>2278.0</v>
      </c>
      <c r="B685" s="193" t="s">
        <v>2522</v>
      </c>
      <c r="C685" s="193" t="s">
        <v>537</v>
      </c>
      <c r="D685" s="193" t="s">
        <v>532</v>
      </c>
      <c r="E685" s="193" t="s">
        <v>2523</v>
      </c>
      <c r="F685" s="195">
        <v>2.215678288E9</v>
      </c>
      <c r="G685" s="196"/>
      <c r="H685" s="193" t="s">
        <v>2524</v>
      </c>
      <c r="I685" s="197">
        <v>45536.0</v>
      </c>
      <c r="J685" s="198" t="s">
        <v>529</v>
      </c>
      <c r="K685" s="199"/>
      <c r="L685" s="200">
        <v>45778.0</v>
      </c>
      <c r="M685" s="201" t="s">
        <v>535</v>
      </c>
      <c r="N685" s="202"/>
      <c r="O685" s="202"/>
    </row>
    <row r="686">
      <c r="A686" s="192">
        <v>45.0</v>
      </c>
      <c r="B686" s="193" t="s">
        <v>2525</v>
      </c>
      <c r="C686" s="194" t="s">
        <v>526</v>
      </c>
      <c r="D686" s="193" t="s">
        <v>520</v>
      </c>
      <c r="E686" s="193" t="s">
        <v>2526</v>
      </c>
      <c r="F686" s="195" t="s">
        <v>2527</v>
      </c>
      <c r="G686" s="196">
        <v>0.0</v>
      </c>
      <c r="H686" s="193" t="s">
        <v>2528</v>
      </c>
      <c r="I686" s="197">
        <f>IF(iserror(vlookup($A686,Pagos!$B$5:L1241,4,false)),"Sin actividad",If(vlookup($A686,Pagos!$B$5:$L1241,5,false),vlookup($A686,Pagos!$B$5:$L1241,5,false),vlookup($A686,Pagos!$B$5:$L1241,4,false)))</f>
        <v>45870</v>
      </c>
      <c r="J686" s="198" t="s">
        <v>846</v>
      </c>
      <c r="K686" s="199">
        <v>31514.0</v>
      </c>
      <c r="L686" s="200"/>
      <c r="M686" s="201"/>
      <c r="N686" s="202">
        <f>If(L686&gt;K686,   datedif(K686,L686,"Y") , If(K686&lt;Vitalicios!$C$4, datedif(K686,Vitalicios!$C$4,"Y"),0)  )</f>
        <v>39</v>
      </c>
      <c r="O686" s="202"/>
    </row>
    <row r="687">
      <c r="A687" s="192">
        <v>1785.0</v>
      </c>
      <c r="B687" s="193" t="s">
        <v>2529</v>
      </c>
      <c r="C687" s="194" t="s">
        <v>519</v>
      </c>
      <c r="D687" s="193" t="s">
        <v>538</v>
      </c>
      <c r="E687" s="193" t="s">
        <v>2530</v>
      </c>
      <c r="F687" s="195">
        <v>1.55378302E8</v>
      </c>
      <c r="G687" s="196"/>
      <c r="H687" s="193" t="s">
        <v>2531</v>
      </c>
      <c r="I687" s="197">
        <f>IF(iserror(vlookup($A687,Pagos!$B$5:L1241,4,false)),"Sin actividad",If(vlookup($A687,Pagos!$B$5:$L1241,5,false),vlookup($A687,Pagos!$B$5:$L1241,5,false),vlookup($A687,Pagos!$B$5:$L1241,4,false)))</f>
        <v>45992</v>
      </c>
      <c r="J687" s="198" t="s">
        <v>523</v>
      </c>
      <c r="K687" s="199">
        <v>43862.0</v>
      </c>
      <c r="L687" s="200"/>
      <c r="M687" s="201"/>
      <c r="N687" s="202">
        <f>If(L687&gt;K687,   datedif(K687,L687,"Y") , If(K687&lt;Vitalicios!$C$4, datedif(K687,Vitalicios!$C$4,"Y"),0)  )</f>
        <v>5</v>
      </c>
      <c r="O687" s="202"/>
    </row>
    <row r="688">
      <c r="A688" s="192">
        <v>1297.0</v>
      </c>
      <c r="B688" s="193" t="s">
        <v>2532</v>
      </c>
      <c r="C688" s="194" t="s">
        <v>526</v>
      </c>
      <c r="D688" s="193" t="s">
        <v>556</v>
      </c>
      <c r="E688" s="193" t="s">
        <v>2533</v>
      </c>
      <c r="F688" s="195">
        <v>1.14918679E9</v>
      </c>
      <c r="G688" s="196">
        <v>0.0</v>
      </c>
      <c r="H688" s="193"/>
      <c r="I688" s="197" t="str">
        <f>IF(iserror(vlookup($A688,Pagos!$B$5:L1241,4,false)),"Sin actividad",If(vlookup($A688,Pagos!$B$5:$L1241,5,false),vlookup($A688,Pagos!$B$5:$L1241,5,false),vlookup($A688,Pagos!$B$5:$L1241,4,false)))</f>
        <v>Sin actividad</v>
      </c>
      <c r="J688" s="198" t="s">
        <v>529</v>
      </c>
      <c r="K688" s="199">
        <v>40261.0</v>
      </c>
      <c r="L688" s="200"/>
      <c r="M688" s="201"/>
      <c r="N688" s="202">
        <f>If(L688&gt;K688,   datedif(K688,L688,"Y") , If(K688&lt;Vitalicios!$C$4, datedif(K688,Vitalicios!$C$4,"Y"),0)  )</f>
        <v>15</v>
      </c>
      <c r="O688" s="202"/>
    </row>
    <row r="689">
      <c r="A689" s="192">
        <v>1979.0</v>
      </c>
      <c r="B689" s="193" t="s">
        <v>2534</v>
      </c>
      <c r="C689" s="193" t="s">
        <v>537</v>
      </c>
      <c r="D689" s="193" t="s">
        <v>549</v>
      </c>
      <c r="E689" s="193" t="s">
        <v>2535</v>
      </c>
      <c r="F689" s="195">
        <v>2.213101918E9</v>
      </c>
      <c r="G689" s="196"/>
      <c r="H689" s="193" t="s">
        <v>2536</v>
      </c>
      <c r="I689" s="197">
        <f>IF(iserror(vlookup($A689,Pagos!$B$5:L1241,4,false)),"Sin actividad",If(vlookup($A689,Pagos!$B$5:$L1241,5,false),vlookup($A689,Pagos!$B$5:$L1241,5,false),vlookup($A689,Pagos!$B$5:$L1241,4,false)))</f>
        <v>45870</v>
      </c>
      <c r="J689" s="198" t="s">
        <v>523</v>
      </c>
      <c r="K689" s="199">
        <v>44562.0</v>
      </c>
      <c r="L689" s="200"/>
      <c r="M689" s="201"/>
      <c r="N689" s="202"/>
      <c r="O689" s="202"/>
    </row>
    <row r="690">
      <c r="A690" s="192">
        <v>2241.0</v>
      </c>
      <c r="B690" s="193" t="s">
        <v>2537</v>
      </c>
      <c r="C690" s="193" t="s">
        <v>537</v>
      </c>
      <c r="D690" s="193" t="s">
        <v>549</v>
      </c>
      <c r="E690" s="193" t="s">
        <v>2535</v>
      </c>
      <c r="F690" s="195">
        <v>2.216615166E9</v>
      </c>
      <c r="G690" s="196"/>
      <c r="H690" s="193" t="s">
        <v>2538</v>
      </c>
      <c r="I690" s="197"/>
      <c r="J690" s="198" t="s">
        <v>529</v>
      </c>
      <c r="K690" s="199">
        <v>45292.0</v>
      </c>
      <c r="L690" s="200">
        <v>45748.0</v>
      </c>
      <c r="M690" s="201" t="s">
        <v>2539</v>
      </c>
      <c r="N690" s="202"/>
      <c r="O690" s="202"/>
    </row>
    <row r="691">
      <c r="A691" s="192">
        <v>2114.0</v>
      </c>
      <c r="B691" s="193" t="s">
        <v>2540</v>
      </c>
      <c r="C691" s="193" t="s">
        <v>537</v>
      </c>
      <c r="D691" s="193" t="s">
        <v>532</v>
      </c>
      <c r="E691" s="193" t="s">
        <v>2541</v>
      </c>
      <c r="F691" s="195">
        <v>2.215674278E9</v>
      </c>
      <c r="G691" s="196"/>
      <c r="H691" s="193" t="s">
        <v>2542</v>
      </c>
      <c r="I691" s="197"/>
      <c r="J691" s="198" t="s">
        <v>529</v>
      </c>
      <c r="K691" s="199">
        <v>44927.0</v>
      </c>
      <c r="L691" s="200">
        <v>45505.0</v>
      </c>
      <c r="M691" s="201" t="s">
        <v>703</v>
      </c>
      <c r="N691" s="202"/>
      <c r="O691" s="202"/>
    </row>
    <row r="692">
      <c r="A692" s="192">
        <v>1216.0</v>
      </c>
      <c r="B692" s="193" t="s">
        <v>2543</v>
      </c>
      <c r="C692" s="194" t="s">
        <v>526</v>
      </c>
      <c r="D692" s="193" t="s">
        <v>556</v>
      </c>
      <c r="E692" s="193" t="s">
        <v>2544</v>
      </c>
      <c r="F692" s="195">
        <v>1.55861286E8</v>
      </c>
      <c r="G692" s="196">
        <v>0.0</v>
      </c>
      <c r="H692" s="193"/>
      <c r="I692" s="197" t="str">
        <f>IF(iserror(vlookup($A692,Pagos!$B$5:L1241,4,false)),"Sin actividad",If(vlookup($A692,Pagos!$B$5:$L1241,5,false),vlookup($A692,Pagos!$B$5:$L1241,5,false),vlookup($A692,Pagos!$B$5:$L1241,4,false)))</f>
        <v>Sin actividad</v>
      </c>
      <c r="J692" s="198" t="s">
        <v>529</v>
      </c>
      <c r="K692" s="199">
        <v>39853.0</v>
      </c>
      <c r="L692" s="200">
        <v>43374.0</v>
      </c>
      <c r="M692" s="201" t="s">
        <v>560</v>
      </c>
      <c r="N692" s="202">
        <f>If(L692&gt;K692,   datedif(K692,L692,"Y") , If(K692&lt;Vitalicios!$C$4, datedif(K692,Vitalicios!$C$4,"Y"),0)  )</f>
        <v>9</v>
      </c>
      <c r="O692" s="202"/>
    </row>
    <row r="693">
      <c r="A693" s="192">
        <v>1983.0</v>
      </c>
      <c r="B693" s="193" t="s">
        <v>2545</v>
      </c>
      <c r="C693" s="193" t="s">
        <v>537</v>
      </c>
      <c r="D693" s="193" t="s">
        <v>538</v>
      </c>
      <c r="E693" s="193" t="s">
        <v>2546</v>
      </c>
      <c r="F693" s="195">
        <v>2.214951252E9</v>
      </c>
      <c r="G693" s="196"/>
      <c r="H693" s="193" t="s">
        <v>2547</v>
      </c>
      <c r="I693" s="197">
        <f>IF(iserror(vlookup($A693,Pagos!$B$5:L1241,4,false)),"Sin actividad",If(vlookup($A693,Pagos!$B$5:$L1241,5,false),vlookup($A693,Pagos!$B$5:$L1241,5,false),vlookup($A693,Pagos!$B$5:$L1241,4,false)))</f>
        <v>45870</v>
      </c>
      <c r="J693" s="198" t="s">
        <v>523</v>
      </c>
      <c r="K693" s="199">
        <v>44562.0</v>
      </c>
      <c r="L693" s="200"/>
      <c r="M693" s="201"/>
      <c r="N693" s="202"/>
      <c r="O693" s="202"/>
    </row>
    <row r="694">
      <c r="A694" s="192">
        <v>1343.0</v>
      </c>
      <c r="B694" s="193" t="s">
        <v>2548</v>
      </c>
      <c r="C694" s="194" t="s">
        <v>564</v>
      </c>
      <c r="D694" s="193" t="s">
        <v>556</v>
      </c>
      <c r="E694" s="193">
        <v>0.0</v>
      </c>
      <c r="F694" s="195">
        <v>0.0</v>
      </c>
      <c r="G694" s="196">
        <v>0.0</v>
      </c>
      <c r="H694" s="193"/>
      <c r="I694" s="197" t="str">
        <f>IF(iserror(vlookup($A694,Pagos!$B$5:L1241,4,false)),"Sin actividad",If(vlookup($A694,Pagos!$B$5:$L1241,5,false),vlookup($A694,Pagos!$B$5:$L1241,5,false),vlookup($A694,Pagos!$B$5:$L1241,4,false)))</f>
        <v>Sin actividad</v>
      </c>
      <c r="J694" s="198" t="s">
        <v>529</v>
      </c>
      <c r="K694" s="199">
        <v>40186.0</v>
      </c>
      <c r="L694" s="200"/>
      <c r="M694" s="201"/>
      <c r="N694" s="202">
        <f>If(L694&gt;K694,   datedif(K694,L694,"Y") , If(K694&lt;Vitalicios!$C$4, datedif(K694,Vitalicios!$C$4,"Y"),0)  )</f>
        <v>15</v>
      </c>
      <c r="O694" s="202"/>
    </row>
    <row r="695">
      <c r="A695" s="192">
        <v>2195.0</v>
      </c>
      <c r="B695" s="193" t="s">
        <v>2549</v>
      </c>
      <c r="C695" s="193" t="s">
        <v>537</v>
      </c>
      <c r="D695" s="193"/>
      <c r="E695" s="193"/>
      <c r="F695" s="195">
        <v>2.215421285E9</v>
      </c>
      <c r="G695" s="196"/>
      <c r="H695" s="193" t="s">
        <v>2550</v>
      </c>
      <c r="I695" s="197"/>
      <c r="J695" s="198" t="s">
        <v>529</v>
      </c>
      <c r="K695" s="199">
        <v>45139.0</v>
      </c>
      <c r="L695" s="200">
        <v>45413.0</v>
      </c>
      <c r="M695" s="201" t="s">
        <v>915</v>
      </c>
      <c r="N695" s="202"/>
      <c r="O695" s="202"/>
    </row>
    <row r="696">
      <c r="A696" s="192">
        <v>1194.0</v>
      </c>
      <c r="B696" s="193" t="s">
        <v>2551</v>
      </c>
      <c r="C696" s="194" t="s">
        <v>577</v>
      </c>
      <c r="D696" s="193" t="s">
        <v>2552</v>
      </c>
      <c r="E696" s="193" t="s">
        <v>2553</v>
      </c>
      <c r="F696" s="195">
        <v>4802876.0</v>
      </c>
      <c r="G696" s="196">
        <v>2.2115647923E11</v>
      </c>
      <c r="H696" s="193" t="s">
        <v>2554</v>
      </c>
      <c r="I696" s="197" t="str">
        <f>IF(iserror(vlookup($A696,Pagos!$B$5:L1241,4,false)),"Sin actividad",If(vlookup($A696,Pagos!$B$5:$L1241,5,false),vlookup($A696,Pagos!$B$5:$L1241,5,false),vlookup($A696,Pagos!$B$5:$L1241,4,false)))</f>
        <v>Sin actividad</v>
      </c>
      <c r="J696" s="198" t="s">
        <v>529</v>
      </c>
      <c r="K696" s="199">
        <v>39788.0</v>
      </c>
      <c r="L696" s="200">
        <v>45352.0</v>
      </c>
      <c r="M696" s="201" t="s">
        <v>716</v>
      </c>
      <c r="N696" s="202">
        <f>If(L696&gt;K696,   datedif(K696,L696,"Y") , If(K696&lt;Vitalicios!$C$4, datedif(K696,Vitalicios!$C$4,"Y"),0)  )</f>
        <v>15</v>
      </c>
      <c r="O696" s="202"/>
    </row>
    <row r="697">
      <c r="A697" s="192">
        <v>1379.0</v>
      </c>
      <c r="B697" s="193" t="s">
        <v>2555</v>
      </c>
      <c r="C697" s="194" t="s">
        <v>526</v>
      </c>
      <c r="D697" s="193" t="s">
        <v>520</v>
      </c>
      <c r="E697" s="193" t="s">
        <v>2556</v>
      </c>
      <c r="F697" s="195">
        <v>0.0</v>
      </c>
      <c r="G697" s="196">
        <v>0.0</v>
      </c>
      <c r="H697" s="193"/>
      <c r="I697" s="197" t="str">
        <f>IF(iserror(vlookup($A697,Pagos!$B$5:L1241,4,false)),"Sin actividad",If(vlookup($A697,Pagos!$B$5:$L1241,5,false),vlookup($A697,Pagos!$B$5:$L1241,5,false),vlookup($A697,Pagos!$B$5:$L1241,4,false)))</f>
        <v>Sin actividad</v>
      </c>
      <c r="J697" s="198" t="s">
        <v>529</v>
      </c>
      <c r="K697" s="199">
        <v>40800.0</v>
      </c>
      <c r="L697" s="200">
        <v>42552.0</v>
      </c>
      <c r="M697" s="201"/>
      <c r="N697" s="202">
        <f>If(L697&gt;K697,   datedif(K697,L697,"Y") , If(K697&lt;Vitalicios!$C$4, datedif(K697,Vitalicios!$C$4,"Y"),0)  )</f>
        <v>4</v>
      </c>
      <c r="O697" s="202"/>
    </row>
    <row r="698">
      <c r="A698" s="192">
        <v>1427.0</v>
      </c>
      <c r="B698" s="193" t="s">
        <v>2557</v>
      </c>
      <c r="C698" s="194" t="s">
        <v>577</v>
      </c>
      <c r="D698" s="193" t="s">
        <v>770</v>
      </c>
      <c r="E698" s="193" t="s">
        <v>2558</v>
      </c>
      <c r="F698" s="195">
        <v>4847759.0</v>
      </c>
      <c r="G698" s="196">
        <v>2.216062483E9</v>
      </c>
      <c r="H698" s="193" t="s">
        <v>2559</v>
      </c>
      <c r="I698" s="197" t="str">
        <f>IF(iserror(vlookup($A698,Pagos!$B$5:L1241,4,false)),"Sin actividad",If(vlookup($A698,Pagos!$B$5:$L1241,5,false),vlookup($A698,Pagos!$B$5:$L1241,5,false),vlookup($A698,Pagos!$B$5:$L1241,4,false)))</f>
        <v>Sin actividad</v>
      </c>
      <c r="J698" s="198" t="s">
        <v>529</v>
      </c>
      <c r="K698" s="199">
        <v>41154.0</v>
      </c>
      <c r="L698" s="200">
        <v>45108.0</v>
      </c>
      <c r="M698" s="201" t="s">
        <v>2418</v>
      </c>
      <c r="N698" s="202">
        <f>If(L698&gt;K698,   datedif(K698,L698,"Y") , If(K698&lt;Vitalicios!$C$4, datedif(K698,Vitalicios!$C$4,"Y"),0)  )</f>
        <v>10</v>
      </c>
      <c r="O698" s="202"/>
    </row>
    <row r="699">
      <c r="A699" s="192">
        <v>1523.0</v>
      </c>
      <c r="B699" s="193" t="s">
        <v>2560</v>
      </c>
      <c r="C699" s="194" t="s">
        <v>577</v>
      </c>
      <c r="D699" s="193" t="s">
        <v>556</v>
      </c>
      <c r="E699" s="193" t="s">
        <v>2561</v>
      </c>
      <c r="F699" s="195">
        <v>4847759.0</v>
      </c>
      <c r="G699" s="196">
        <v>0.0</v>
      </c>
      <c r="H699" s="193"/>
      <c r="I699" s="197" t="str">
        <f>IF(iserror(vlookup($A699,Pagos!$B$5:L1241,4,false)),"Sin actividad",If(vlookup($A699,Pagos!$B$5:$L1241,5,false),vlookup($A699,Pagos!$B$5:$L1241,5,false),vlookup($A699,Pagos!$B$5:$L1241,4,false)))</f>
        <v>Sin actividad</v>
      </c>
      <c r="J699" s="198" t="s">
        <v>529</v>
      </c>
      <c r="K699" s="199">
        <v>41916.0</v>
      </c>
      <c r="L699" s="200">
        <v>43344.0</v>
      </c>
      <c r="M699" s="201"/>
      <c r="N699" s="202">
        <f>If(L699&gt;K699,   datedif(K699,L699,"Y") , If(K699&lt;Vitalicios!$C$4, datedif(K699,Vitalicios!$C$4,"Y"),0)  )</f>
        <v>3</v>
      </c>
      <c r="O699" s="202"/>
    </row>
    <row r="700">
      <c r="A700" s="192">
        <v>1830.0</v>
      </c>
      <c r="B700" s="193" t="s">
        <v>2562</v>
      </c>
      <c r="C700" s="193" t="s">
        <v>537</v>
      </c>
      <c r="D700" s="193" t="s">
        <v>532</v>
      </c>
      <c r="E700" s="193" t="s">
        <v>2563</v>
      </c>
      <c r="F700" s="195">
        <v>5572745.0</v>
      </c>
      <c r="G700" s="196"/>
      <c r="H700" s="193" t="s">
        <v>2564</v>
      </c>
      <c r="I700" s="197">
        <f>IF(iserror(vlookup($A700,Pagos!$B$5:L1241,4,false)),"Sin actividad",If(vlookup($A700,Pagos!$B$5:$L1241,5,false),vlookup($A700,Pagos!$B$5:$L1241,5,false),vlookup($A700,Pagos!$B$5:$L1241,4,false)))</f>
        <v>45870</v>
      </c>
      <c r="J700" s="198" t="s">
        <v>523</v>
      </c>
      <c r="K700" s="199">
        <v>44105.0</v>
      </c>
      <c r="L700" s="200"/>
      <c r="M700" s="201"/>
      <c r="N700" s="202"/>
      <c r="O700" s="202"/>
    </row>
    <row r="701">
      <c r="A701" s="192">
        <v>2003.0</v>
      </c>
      <c r="B701" s="193" t="s">
        <v>2565</v>
      </c>
      <c r="C701" s="193" t="s">
        <v>537</v>
      </c>
      <c r="D701" s="193" t="s">
        <v>538</v>
      </c>
      <c r="E701" s="193" t="s">
        <v>2566</v>
      </c>
      <c r="F701" s="195">
        <v>2.215522443E9</v>
      </c>
      <c r="G701" s="196"/>
      <c r="H701" s="193" t="s">
        <v>2567</v>
      </c>
      <c r="I701" s="197" t="str">
        <f>IF(iserror(vlookup($A701,Pagos!$B$5:L1241,4,false)),"Sin actividad",If(vlookup($A701,Pagos!$B$5:$L1241,5,false),vlookup($A701,Pagos!$B$5:$L1241,5,false),vlookup($A701,Pagos!$B$5:$L1241,4,false)))</f>
        <v>Sin actividad</v>
      </c>
      <c r="J701" s="198" t="s">
        <v>523</v>
      </c>
      <c r="K701" s="199">
        <v>44621.0</v>
      </c>
      <c r="L701" s="200">
        <v>44440.0</v>
      </c>
      <c r="M701" s="201"/>
      <c r="N701" s="202"/>
      <c r="O701" s="202"/>
    </row>
    <row r="702">
      <c r="A702" s="192">
        <v>1509.0</v>
      </c>
      <c r="B702" s="193" t="s">
        <v>2568</v>
      </c>
      <c r="C702" s="194" t="s">
        <v>526</v>
      </c>
      <c r="D702" s="193" t="s">
        <v>709</v>
      </c>
      <c r="E702" s="193" t="s">
        <v>2569</v>
      </c>
      <c r="F702" s="195">
        <v>1.142316201E9</v>
      </c>
      <c r="G702" s="196">
        <v>2.2241560056E11</v>
      </c>
      <c r="H702" s="193" t="s">
        <v>2570</v>
      </c>
      <c r="I702" s="197" t="str">
        <f>IF(iserror(vlookup($A702,Pagos!$B$5:L1241,4,false)),"Sin actividad",If(vlookup($A702,Pagos!$B$5:$L1241,5,false),vlookup($A702,Pagos!$B$5:$L1241,5,false),vlookup($A702,Pagos!$B$5:$L1241,4,false)))</f>
        <v>Sin actividad</v>
      </c>
      <c r="J702" s="198" t="s">
        <v>529</v>
      </c>
      <c r="K702" s="199">
        <v>41860.0</v>
      </c>
      <c r="L702" s="200">
        <v>43525.0</v>
      </c>
      <c r="M702" s="201"/>
      <c r="N702" s="202">
        <f>If(L702&gt;K702,   datedif(K702,L702,"Y") , If(K702&lt;Vitalicios!$C$4, datedif(K702,Vitalicios!$C$4,"Y"),0)  )</f>
        <v>4</v>
      </c>
      <c r="O702" s="202"/>
    </row>
    <row r="703">
      <c r="A703" s="192">
        <v>1510.0</v>
      </c>
      <c r="B703" s="193" t="s">
        <v>2571</v>
      </c>
      <c r="C703" s="194" t="s">
        <v>526</v>
      </c>
      <c r="D703" s="193" t="s">
        <v>1464</v>
      </c>
      <c r="E703" s="193" t="s">
        <v>2569</v>
      </c>
      <c r="F703" s="195">
        <v>1.142316201E9</v>
      </c>
      <c r="G703" s="196">
        <v>2.2241560056E11</v>
      </c>
      <c r="H703" s="193" t="s">
        <v>2572</v>
      </c>
      <c r="I703" s="197" t="str">
        <f>IF(iserror(vlookup($A703,Pagos!$B$5:L1241,4,false)),"Sin actividad",If(vlookup($A703,Pagos!$B$5:$L1241,5,false),vlookup($A703,Pagos!$B$5:$L1241,5,false),vlookup($A703,Pagos!$B$5:$L1241,4,false)))</f>
        <v>Sin actividad</v>
      </c>
      <c r="J703" s="198" t="s">
        <v>529</v>
      </c>
      <c r="K703" s="199">
        <v>41860.0</v>
      </c>
      <c r="L703" s="200">
        <v>42186.0</v>
      </c>
      <c r="M703" s="201"/>
      <c r="N703" s="202">
        <f>If(L703&gt;K703,   datedif(K703,L703,"Y") , If(K703&lt;Vitalicios!$C$4, datedif(K703,Vitalicios!$C$4,"Y"),0)  )</f>
        <v>0</v>
      </c>
      <c r="O703" s="202"/>
    </row>
    <row r="704">
      <c r="A704" s="192">
        <v>1930.0</v>
      </c>
      <c r="B704" s="193" t="s">
        <v>2573</v>
      </c>
      <c r="C704" s="193" t="s">
        <v>537</v>
      </c>
      <c r="D704" s="193" t="s">
        <v>532</v>
      </c>
      <c r="E704" s="193" t="s">
        <v>2574</v>
      </c>
      <c r="F704" s="195">
        <v>2.215578461E9</v>
      </c>
      <c r="G704" s="196"/>
      <c r="H704" s="193" t="s">
        <v>2575</v>
      </c>
      <c r="I704" s="197">
        <f>IF(iserror(vlookup($A704,Pagos!$B$5:L1241,4,false)),"Sin actividad",If(vlookup($A704,Pagos!$B$5:$L1241,5,false),vlookup($A704,Pagos!$B$5:$L1241,5,false),vlookup($A704,Pagos!$B$5:$L1241,4,false)))</f>
        <v>45870</v>
      </c>
      <c r="J704" s="198" t="s">
        <v>523</v>
      </c>
      <c r="K704" s="199">
        <v>44440.0</v>
      </c>
      <c r="L704" s="200"/>
      <c r="M704" s="201"/>
      <c r="N704" s="202"/>
      <c r="O704" s="202"/>
    </row>
    <row r="705">
      <c r="A705" s="192">
        <v>1932.0</v>
      </c>
      <c r="B705" s="193" t="s">
        <v>2576</v>
      </c>
      <c r="C705" s="193" t="s">
        <v>537</v>
      </c>
      <c r="D705" s="193" t="s">
        <v>532</v>
      </c>
      <c r="E705" s="193" t="s">
        <v>2577</v>
      </c>
      <c r="F705" s="195">
        <v>2.214853327E9</v>
      </c>
      <c r="G705" s="196"/>
      <c r="H705" s="222" t="s">
        <v>2578</v>
      </c>
      <c r="I705" s="197" t="str">
        <f>IF(iserror(vlookup($A705,Pagos!$B$5:L1241,4,false)),"Sin actividad",If(vlookup($A705,Pagos!$B$5:$L1241,5,false),vlookup($A705,Pagos!$B$5:$L1241,5,false),vlookup($A705,Pagos!$B$5:$L1241,4,false)))</f>
        <v>Sin actividad</v>
      </c>
      <c r="J705" s="198" t="s">
        <v>529</v>
      </c>
      <c r="K705" s="199">
        <v>44470.0</v>
      </c>
      <c r="L705" s="200"/>
      <c r="M705" s="201" t="s">
        <v>716</v>
      </c>
      <c r="N705" s="202"/>
      <c r="O705" s="202"/>
    </row>
    <row r="706">
      <c r="A706" s="192">
        <v>1659.0</v>
      </c>
      <c r="B706" s="193" t="s">
        <v>2579</v>
      </c>
      <c r="C706" s="194" t="s">
        <v>519</v>
      </c>
      <c r="D706" s="193" t="s">
        <v>520</v>
      </c>
      <c r="E706" s="193" t="s">
        <v>2580</v>
      </c>
      <c r="F706" s="195">
        <v>1.54988967E8</v>
      </c>
      <c r="G706" s="196"/>
      <c r="H706" s="193" t="s">
        <v>2581</v>
      </c>
      <c r="I706" s="197">
        <f>IF(iserror(vlookup($A706,Pagos!$B$5:L1241,4,false)),"Sin actividad",If(vlookup($A706,Pagos!$B$5:$L1241,5,false),vlookup($A706,Pagos!$B$5:$L1241,5,false),vlookup($A706,Pagos!$B$5:$L1241,4,false)))</f>
        <v>45870</v>
      </c>
      <c r="J706" s="198" t="s">
        <v>523</v>
      </c>
      <c r="K706" s="199">
        <v>43012.0</v>
      </c>
      <c r="L706" s="200"/>
      <c r="M706" s="201"/>
      <c r="N706" s="202">
        <f>If(L706&gt;K706,   datedif(K706,L706,"Y") , If(K706&lt;Vitalicios!$C$4, datedif(K706,Vitalicios!$C$4,"Y"),0)  )</f>
        <v>7</v>
      </c>
      <c r="O706" s="202"/>
    </row>
    <row r="707">
      <c r="A707" s="192">
        <v>2134.0</v>
      </c>
      <c r="B707" s="193" t="s">
        <v>2582</v>
      </c>
      <c r="C707" s="193" t="s">
        <v>679</v>
      </c>
      <c r="D707" s="193" t="s">
        <v>532</v>
      </c>
      <c r="E707" s="193" t="s">
        <v>2583</v>
      </c>
      <c r="F707" s="195">
        <v>1.54198585E8</v>
      </c>
      <c r="G707" s="196"/>
      <c r="H707" s="205" t="s">
        <v>2584</v>
      </c>
      <c r="I707" s="197"/>
      <c r="J707" s="198" t="s">
        <v>523</v>
      </c>
      <c r="K707" s="199">
        <v>44958.0</v>
      </c>
      <c r="L707" s="200"/>
      <c r="M707" s="201"/>
      <c r="N707" s="202"/>
      <c r="O707" s="202"/>
    </row>
    <row r="708">
      <c r="A708" s="192">
        <v>2251.0</v>
      </c>
      <c r="B708" s="193" t="s">
        <v>2585</v>
      </c>
      <c r="C708" s="193" t="s">
        <v>679</v>
      </c>
      <c r="D708" s="193" t="s">
        <v>538</v>
      </c>
      <c r="E708" s="193" t="s">
        <v>2586</v>
      </c>
      <c r="F708" s="195">
        <v>2.215589286E9</v>
      </c>
      <c r="G708" s="196"/>
      <c r="H708" s="205" t="s">
        <v>2587</v>
      </c>
      <c r="I708" s="197"/>
      <c r="J708" s="198" t="s">
        <v>523</v>
      </c>
      <c r="K708" s="199">
        <v>45352.0</v>
      </c>
      <c r="L708" s="200"/>
      <c r="M708" s="201"/>
      <c r="N708" s="202"/>
      <c r="O708" s="202"/>
    </row>
    <row r="709">
      <c r="A709" s="192">
        <v>1552.0</v>
      </c>
      <c r="B709" s="193" t="s">
        <v>2588</v>
      </c>
      <c r="C709" s="194" t="s">
        <v>526</v>
      </c>
      <c r="D709" s="193" t="s">
        <v>520</v>
      </c>
      <c r="E709" s="193" t="s">
        <v>2589</v>
      </c>
      <c r="F709" s="195" t="s">
        <v>2590</v>
      </c>
      <c r="G709" s="196"/>
      <c r="H709" s="205" t="s">
        <v>2591</v>
      </c>
      <c r="I709" s="197">
        <f>IF(iserror(vlookup($A709,Pagos!$B$5:L1241,4,false)),"Sin actividad",If(vlookup($A709,Pagos!$B$5:$L1241,5,false),vlookup($A709,Pagos!$B$5:$L1241,5,false),vlookup($A709,Pagos!$B$5:$L1241,4,false)))</f>
        <v>45870</v>
      </c>
      <c r="J709" s="198" t="s">
        <v>523</v>
      </c>
      <c r="K709" s="199">
        <v>42063.0</v>
      </c>
      <c r="L709" s="200"/>
      <c r="M709" s="201"/>
      <c r="N709" s="202">
        <f>If(L709&gt;K709,   datedif(K709,L709,"Y") , If(K709&lt;Vitalicios!$C$4, datedif(K709,Vitalicios!$C$4,"Y"),0)  )</f>
        <v>10</v>
      </c>
      <c r="O709" s="202"/>
    </row>
    <row r="710">
      <c r="A710" s="192">
        <v>1218.0</v>
      </c>
      <c r="B710" s="193" t="s">
        <v>2592</v>
      </c>
      <c r="C710" s="194" t="s">
        <v>526</v>
      </c>
      <c r="D710" s="193" t="s">
        <v>556</v>
      </c>
      <c r="E710" s="193" t="s">
        <v>2593</v>
      </c>
      <c r="F710" s="195">
        <v>1.1153674006E11</v>
      </c>
      <c r="G710" s="196">
        <v>0.0</v>
      </c>
      <c r="H710" s="193"/>
      <c r="I710" s="197" t="str">
        <f>IF(iserror(vlookup($A710,Pagos!$B$5:L1241,4,false)),"Sin actividad",If(vlookup($A710,Pagos!$B$5:$L1241,5,false),vlookup($A710,Pagos!$B$5:$L1241,5,false),vlookup($A710,Pagos!$B$5:$L1241,4,false)))</f>
        <v>Sin actividad</v>
      </c>
      <c r="J710" s="198" t="s">
        <v>529</v>
      </c>
      <c r="K710" s="199">
        <v>39858.0</v>
      </c>
      <c r="L710" s="200">
        <v>41517.0</v>
      </c>
      <c r="M710" s="201"/>
      <c r="N710" s="202">
        <f>If(L710&gt;K710,   datedif(K710,L710,"Y") , If(K710&lt;Vitalicios!$C$4, datedif(K710,Vitalicios!$C$4,"Y"),0)  )</f>
        <v>4</v>
      </c>
      <c r="O710" s="202"/>
    </row>
    <row r="711">
      <c r="A711" s="192">
        <v>2359.0</v>
      </c>
      <c r="B711" s="193" t="s">
        <v>2594</v>
      </c>
      <c r="C711" s="193" t="s">
        <v>537</v>
      </c>
      <c r="D711" s="193" t="s">
        <v>485</v>
      </c>
      <c r="E711" s="193" t="s">
        <v>2595</v>
      </c>
      <c r="F711" s="195">
        <v>2.216238943E9</v>
      </c>
      <c r="G711" s="196"/>
      <c r="H711" s="193" t="s">
        <v>2596</v>
      </c>
      <c r="I711" s="197"/>
      <c r="J711" s="198" t="s">
        <v>523</v>
      </c>
      <c r="K711" s="199">
        <v>45748.0</v>
      </c>
      <c r="L711" s="200"/>
      <c r="M711" s="201"/>
      <c r="N711" s="202"/>
      <c r="O711" s="202"/>
    </row>
    <row r="712">
      <c r="A712" s="192">
        <v>2360.0</v>
      </c>
      <c r="B712" s="193" t="s">
        <v>2597</v>
      </c>
      <c r="C712" s="193" t="s">
        <v>537</v>
      </c>
      <c r="D712" s="193" t="s">
        <v>485</v>
      </c>
      <c r="E712" s="193" t="s">
        <v>2598</v>
      </c>
      <c r="F712" s="195">
        <v>2.216238945E9</v>
      </c>
      <c r="G712" s="196"/>
      <c r="H712" s="193" t="s">
        <v>2599</v>
      </c>
      <c r="I712" s="197"/>
      <c r="J712" s="198" t="s">
        <v>523</v>
      </c>
      <c r="K712" s="199">
        <v>45748.0</v>
      </c>
      <c r="L712" s="200"/>
      <c r="M712" s="201"/>
      <c r="N712" s="202"/>
      <c r="O712" s="202"/>
    </row>
    <row r="713">
      <c r="A713" s="192">
        <v>2223.0</v>
      </c>
      <c r="B713" s="193" t="s">
        <v>2600</v>
      </c>
      <c r="C713" s="193" t="s">
        <v>537</v>
      </c>
      <c r="D713" s="193" t="s">
        <v>538</v>
      </c>
      <c r="E713" s="193" t="s">
        <v>2601</v>
      </c>
      <c r="F713" s="195">
        <v>2.215074775E9</v>
      </c>
      <c r="G713" s="196"/>
      <c r="H713" s="193" t="s">
        <v>2602</v>
      </c>
      <c r="I713" s="197"/>
      <c r="J713" s="198" t="s">
        <v>523</v>
      </c>
      <c r="K713" s="199">
        <v>45261.0</v>
      </c>
      <c r="L713" s="200">
        <v>45870.0</v>
      </c>
      <c r="M713" s="201" t="s">
        <v>2603</v>
      </c>
      <c r="N713" s="202"/>
      <c r="O713" s="202"/>
    </row>
    <row r="714">
      <c r="A714" s="192">
        <v>1295.0</v>
      </c>
      <c r="B714" s="193" t="s">
        <v>2604</v>
      </c>
      <c r="C714" s="194" t="s">
        <v>577</v>
      </c>
      <c r="D714" s="193" t="s">
        <v>556</v>
      </c>
      <c r="E714" s="193" t="s">
        <v>2605</v>
      </c>
      <c r="F714" s="195">
        <v>4513452.0</v>
      </c>
      <c r="G714" s="196">
        <v>0.0</v>
      </c>
      <c r="H714" s="193"/>
      <c r="I714" s="197" t="str">
        <f>IF(iserror(vlookup($A714,Pagos!$B$5:L1241,4,false)),"Sin actividad",If(vlookup($A714,Pagos!$B$5:$L1241,5,false),vlookup($A714,Pagos!$B$5:$L1241,5,false),vlookup($A714,Pagos!$B$5:$L1241,4,false)))</f>
        <v>Sin actividad</v>
      </c>
      <c r="J714" s="198" t="s">
        <v>529</v>
      </c>
      <c r="K714" s="199">
        <v>40242.0</v>
      </c>
      <c r="L714" s="200">
        <v>42826.0</v>
      </c>
      <c r="M714" s="201" t="s">
        <v>907</v>
      </c>
      <c r="N714" s="202">
        <f>If(L714&gt;K714,   datedif(K714,L714,"Y") , If(K714&lt;Vitalicios!$C$4, datedif(K714,Vitalicios!$C$4,"Y"),0)  )</f>
        <v>7</v>
      </c>
      <c r="O714" s="202"/>
    </row>
    <row r="715">
      <c r="A715" s="192">
        <v>1744.0</v>
      </c>
      <c r="B715" s="193" t="s">
        <v>2606</v>
      </c>
      <c r="C715" s="194" t="s">
        <v>519</v>
      </c>
      <c r="D715" s="193" t="s">
        <v>538</v>
      </c>
      <c r="E715" s="193" t="s">
        <v>2607</v>
      </c>
      <c r="F715" s="195">
        <v>1.56247944E8</v>
      </c>
      <c r="G715" s="196"/>
      <c r="H715" s="193" t="s">
        <v>2608</v>
      </c>
      <c r="I715" s="197" t="str">
        <f>IF(iserror(vlookup($A715,Pagos!$B$5:L1241,4,false)),"Sin actividad",If(vlookup($A715,Pagos!$B$5:$L1241,5,false),vlookup($A715,Pagos!$B$5:$L1241,5,false),vlookup($A715,Pagos!$B$5:$L1241,4,false)))</f>
        <v>Sin actividad</v>
      </c>
      <c r="J715" s="198" t="s">
        <v>529</v>
      </c>
      <c r="K715" s="199">
        <v>43556.0</v>
      </c>
      <c r="L715" s="200">
        <v>43709.0</v>
      </c>
      <c r="M715" s="201"/>
      <c r="N715" s="202">
        <f>If(L715&gt;K715,   datedif(K715,L715,"Y") , If(K715&lt;Vitalicios!$C$4, datedif(K715,Vitalicios!$C$4,"Y"),0)  )</f>
        <v>0</v>
      </c>
      <c r="O715" s="202"/>
    </row>
    <row r="716">
      <c r="A716" s="192">
        <v>1916.0</v>
      </c>
      <c r="B716" s="193" t="s">
        <v>2609</v>
      </c>
      <c r="C716" s="193" t="s">
        <v>679</v>
      </c>
      <c r="D716" s="193" t="s">
        <v>628</v>
      </c>
      <c r="E716" s="193" t="s">
        <v>2610</v>
      </c>
      <c r="F716" s="195">
        <v>2.21154858741E11</v>
      </c>
      <c r="G716" s="196"/>
      <c r="H716" s="193" t="s">
        <v>2611</v>
      </c>
      <c r="I716" s="197" t="str">
        <f>IF(iserror(vlookup($A716,Pagos!$B$5:L1241,4,false)),"Sin actividad",If(vlookup($A716,Pagos!$B$5:$L1241,5,false),vlookup($A716,Pagos!$B$5:$L1241,5,false),vlookup($A716,Pagos!$B$5:$L1241,4,false)))</f>
        <v>Sin actividad</v>
      </c>
      <c r="J716" s="198" t="s">
        <v>529</v>
      </c>
      <c r="K716" s="199">
        <v>44228.0</v>
      </c>
      <c r="L716" s="200">
        <v>44713.0</v>
      </c>
      <c r="M716" s="201" t="s">
        <v>535</v>
      </c>
      <c r="N716" s="202"/>
      <c r="O716" s="202"/>
    </row>
    <row r="717">
      <c r="A717" s="192">
        <v>2291.0</v>
      </c>
      <c r="B717" s="193" t="s">
        <v>2612</v>
      </c>
      <c r="C717" s="193" t="s">
        <v>679</v>
      </c>
      <c r="D717" s="193" t="s">
        <v>1878</v>
      </c>
      <c r="E717" s="193" t="s">
        <v>2613</v>
      </c>
      <c r="F717" s="195">
        <v>2.215589028E9</v>
      </c>
      <c r="G717" s="196"/>
      <c r="H717" s="193" t="s">
        <v>2614</v>
      </c>
      <c r="I717" s="197"/>
      <c r="J717" s="198" t="s">
        <v>523</v>
      </c>
      <c r="K717" s="199">
        <v>45597.0</v>
      </c>
      <c r="L717" s="200"/>
      <c r="M717" s="201"/>
      <c r="N717" s="202"/>
      <c r="O717" s="202"/>
    </row>
    <row r="718">
      <c r="A718" s="192">
        <v>1902.0</v>
      </c>
      <c r="B718" s="193" t="s">
        <v>2615</v>
      </c>
      <c r="C718" s="193" t="s">
        <v>537</v>
      </c>
      <c r="D718" s="193" t="s">
        <v>538</v>
      </c>
      <c r="E718" s="193" t="s">
        <v>2616</v>
      </c>
      <c r="F718" s="195">
        <v>2.214383617E9</v>
      </c>
      <c r="G718" s="196"/>
      <c r="H718" s="193" t="s">
        <v>2617</v>
      </c>
      <c r="I718" s="197">
        <f>IF(iserror(vlookup($A718,Pagos!$B$5:L1241,4,false)),"Sin actividad",If(vlookup($A718,Pagos!$B$5:$L1241,5,false),vlookup($A718,Pagos!$B$5:$L1241,5,false),vlookup($A718,Pagos!$B$5:$L1241,4,false)))</f>
        <v>45870</v>
      </c>
      <c r="J718" s="198" t="s">
        <v>523</v>
      </c>
      <c r="K718" s="199">
        <v>44317.0</v>
      </c>
      <c r="L718" s="200"/>
      <c r="M718" s="201"/>
      <c r="N718" s="202"/>
      <c r="O718" s="202"/>
    </row>
    <row r="719">
      <c r="A719" s="192">
        <v>1636.0</v>
      </c>
      <c r="B719" s="193" t="s">
        <v>2618</v>
      </c>
      <c r="C719" s="194" t="s">
        <v>526</v>
      </c>
      <c r="D719" s="193" t="s">
        <v>520</v>
      </c>
      <c r="E719" s="193" t="s">
        <v>2619</v>
      </c>
      <c r="F719" s="195">
        <v>1.5647322E7</v>
      </c>
      <c r="G719" s="196"/>
      <c r="H719" s="193" t="s">
        <v>2620</v>
      </c>
      <c r="I719" s="197">
        <f>IF(iserror(vlookup($A719,Pagos!$B$5:L1241,4,false)),"Sin actividad",If(vlookup($A719,Pagos!$B$5:$L1241,5,false),vlookup($A719,Pagos!$B$5:$L1241,5,false),vlookup($A719,Pagos!$B$5:$L1241,4,false)))</f>
        <v>45870</v>
      </c>
      <c r="J719" s="198" t="s">
        <v>523</v>
      </c>
      <c r="K719" s="199">
        <v>42795.0</v>
      </c>
      <c r="L719" s="200"/>
      <c r="M719" s="201" t="s">
        <v>2621</v>
      </c>
      <c r="N719" s="202">
        <f>If(L719&gt;K719,   datedif(K719,L719,"Y") , If(K719&lt;Vitalicios!$C$4, datedif(K719,Vitalicios!$C$4,"Y"),0)  )</f>
        <v>8</v>
      </c>
      <c r="O719" s="202"/>
    </row>
    <row r="720">
      <c r="A720" s="192">
        <v>1074.0</v>
      </c>
      <c r="B720" s="193" t="s">
        <v>2622</v>
      </c>
      <c r="C720" s="194" t="s">
        <v>537</v>
      </c>
      <c r="D720" s="193" t="s">
        <v>538</v>
      </c>
      <c r="E720" s="193" t="s">
        <v>2623</v>
      </c>
      <c r="F720" s="195">
        <v>4.300705E7</v>
      </c>
      <c r="G720" s="196">
        <v>0.0</v>
      </c>
      <c r="H720" s="193" t="s">
        <v>2624</v>
      </c>
      <c r="I720" s="197" t="str">
        <f>IF(iserror(vlookup($A720,Pagos!$B$5:L1241,4,false)),"Sin actividad",If(vlookup($A720,Pagos!$B$5:$L1241,5,false),vlookup($A720,Pagos!$B$5:$L1241,5,false),vlookup($A720,Pagos!$B$5:$L1241,4,false)))</f>
        <v>Sin actividad</v>
      </c>
      <c r="J720" s="198" t="s">
        <v>529</v>
      </c>
      <c r="K720" s="199">
        <v>38514.0</v>
      </c>
      <c r="L720" s="200">
        <v>43160.0</v>
      </c>
      <c r="M720" s="201" t="s">
        <v>2625</v>
      </c>
      <c r="N720" s="202">
        <f>If(L720&gt;K720,   datedif(K720,L720,"Y") , If(K720&lt;Vitalicios!$C$4, datedif(K720,Vitalicios!$C$4,"Y"),0)  )</f>
        <v>12</v>
      </c>
      <c r="O720" s="202"/>
    </row>
    <row r="721">
      <c r="A721" s="192">
        <v>1099.0</v>
      </c>
      <c r="B721" s="193" t="s">
        <v>2626</v>
      </c>
      <c r="C721" s="194" t="s">
        <v>526</v>
      </c>
      <c r="D721" s="193" t="s">
        <v>556</v>
      </c>
      <c r="E721" s="193" t="s">
        <v>2627</v>
      </c>
      <c r="F721" s="195">
        <v>4796679.0</v>
      </c>
      <c r="G721" s="196">
        <v>0.0</v>
      </c>
      <c r="H721" s="193" t="s">
        <v>2628</v>
      </c>
      <c r="I721" s="197" t="str">
        <f>IF(iserror(vlookup($A721,Pagos!$B$5:L1241,4,false)),"Sin actividad",If(vlookup($A721,Pagos!$B$5:$L1241,5,false),vlookup($A721,Pagos!$B$5:$L1241,5,false),vlookup($A721,Pagos!$B$5:$L1241,4,false)))</f>
        <v>Sin actividad</v>
      </c>
      <c r="J721" s="198" t="s">
        <v>529</v>
      </c>
      <c r="K721" s="199">
        <v>38746.0</v>
      </c>
      <c r="L721" s="200">
        <v>43101.0</v>
      </c>
      <c r="M721" s="201" t="s">
        <v>589</v>
      </c>
      <c r="N721" s="202">
        <f>If(L721&gt;K721,   datedif(K721,L721,"Y") , If(K721&lt;Vitalicios!$C$4, datedif(K721,Vitalicios!$C$4,"Y"),0)  )</f>
        <v>11</v>
      </c>
      <c r="O721" s="202"/>
    </row>
    <row r="722">
      <c r="A722" s="192">
        <v>1941.0</v>
      </c>
      <c r="B722" s="193" t="s">
        <v>2629</v>
      </c>
      <c r="C722" s="193" t="s">
        <v>537</v>
      </c>
      <c r="D722" s="193" t="s">
        <v>538</v>
      </c>
      <c r="E722" s="193" t="s">
        <v>2630</v>
      </c>
      <c r="F722" s="195">
        <v>2.215743238E9</v>
      </c>
      <c r="G722" s="196"/>
      <c r="H722" s="193" t="s">
        <v>2631</v>
      </c>
      <c r="I722" s="197" t="str">
        <f>IF(iserror(vlookup($A722,Pagos!$B$5:L1241,4,false)),"Sin actividad",If(vlookup($A722,Pagos!$B$5:$L1241,5,false),vlookup($A722,Pagos!$B$5:$L1241,5,false),vlookup($A722,Pagos!$B$5:$L1241,4,false)))</f>
        <v>Sin actividad</v>
      </c>
      <c r="J722" s="198" t="s">
        <v>529</v>
      </c>
      <c r="K722" s="199">
        <v>44501.0</v>
      </c>
      <c r="L722" s="200">
        <v>45413.0</v>
      </c>
      <c r="M722" s="201" t="s">
        <v>915</v>
      </c>
      <c r="N722" s="202"/>
      <c r="O722" s="202"/>
    </row>
    <row r="723">
      <c r="A723" s="192">
        <v>1386.0</v>
      </c>
      <c r="B723" s="193" t="s">
        <v>2632</v>
      </c>
      <c r="C723" s="194" t="s">
        <v>526</v>
      </c>
      <c r="D723" s="193" t="s">
        <v>556</v>
      </c>
      <c r="E723" s="193" t="s">
        <v>2633</v>
      </c>
      <c r="F723" s="195">
        <v>1.55462963E8</v>
      </c>
      <c r="G723" s="196">
        <v>0.0</v>
      </c>
      <c r="H723" s="193"/>
      <c r="I723" s="197" t="str">
        <f>IF(iserror(vlookup($A723,Pagos!$B$5:L1241,4,false)),"Sin actividad",If(vlookup($A723,Pagos!$B$5:$L1241,5,false),vlookup($A723,Pagos!$B$5:$L1241,5,false),vlookup($A723,Pagos!$B$5:$L1241,4,false)))</f>
        <v>Sin actividad</v>
      </c>
      <c r="J723" s="198" t="s">
        <v>529</v>
      </c>
      <c r="K723" s="199">
        <v>40873.0</v>
      </c>
      <c r="L723" s="200"/>
      <c r="M723" s="201"/>
      <c r="N723" s="202">
        <f>If(L723&gt;K723,   datedif(K723,L723,"Y") , If(K723&lt;Vitalicios!$C$4, datedif(K723,Vitalicios!$C$4,"Y"),0)  )</f>
        <v>13</v>
      </c>
      <c r="O723" s="202"/>
    </row>
    <row r="724">
      <c r="A724" s="192">
        <v>1801.0</v>
      </c>
      <c r="B724" s="193" t="s">
        <v>2634</v>
      </c>
      <c r="C724" s="194"/>
      <c r="D724" s="193" t="s">
        <v>646</v>
      </c>
      <c r="E724" s="193" t="s">
        <v>2635</v>
      </c>
      <c r="F724" s="195">
        <v>6753661.0</v>
      </c>
      <c r="G724" s="196"/>
      <c r="H724" s="193" t="s">
        <v>2636</v>
      </c>
      <c r="I724" s="197" t="str">
        <f>IF(iserror(vlookup($A724,Pagos!$B$5:L1241,4,false)),"Sin actividad",If(vlookup($A724,Pagos!$B$5:$L1241,5,false),vlookup($A724,Pagos!$B$5:$L1241,5,false),vlookup($A724,Pagos!$B$5:$L1241,4,false)))</f>
        <v>Sin actividad</v>
      </c>
      <c r="J724" s="198" t="s">
        <v>529</v>
      </c>
      <c r="K724" s="199">
        <v>44044.0</v>
      </c>
      <c r="L724" s="200">
        <v>45047.0</v>
      </c>
      <c r="M724" s="201" t="s">
        <v>614</v>
      </c>
      <c r="N724" s="202"/>
      <c r="O724" s="202"/>
    </row>
    <row r="725">
      <c r="A725" s="192">
        <v>2040.0</v>
      </c>
      <c r="B725" s="193" t="s">
        <v>2637</v>
      </c>
      <c r="C725" s="193" t="s">
        <v>537</v>
      </c>
      <c r="D725" s="193" t="s">
        <v>538</v>
      </c>
      <c r="E725" s="193" t="s">
        <v>2638</v>
      </c>
      <c r="F725" s="195">
        <v>2.215382132E9</v>
      </c>
      <c r="G725" s="196"/>
      <c r="H725" s="193" t="s">
        <v>2639</v>
      </c>
      <c r="I725" s="197"/>
      <c r="J725" s="198" t="s">
        <v>523</v>
      </c>
      <c r="K725" s="199">
        <v>44774.0</v>
      </c>
      <c r="L725" s="200"/>
      <c r="M725" s="201"/>
      <c r="N725" s="202"/>
      <c r="O725" s="202"/>
    </row>
    <row r="726">
      <c r="A726" s="192">
        <v>2192.0</v>
      </c>
      <c r="B726" s="193" t="s">
        <v>2640</v>
      </c>
      <c r="C726" s="193" t="s">
        <v>537</v>
      </c>
      <c r="D726" s="193"/>
      <c r="E726" s="193"/>
      <c r="F726" s="195">
        <v>1.132446038E9</v>
      </c>
      <c r="G726" s="196"/>
      <c r="H726" s="193" t="s">
        <v>2641</v>
      </c>
      <c r="I726" s="197"/>
      <c r="J726" s="198" t="s">
        <v>529</v>
      </c>
      <c r="K726" s="199">
        <v>45139.0</v>
      </c>
      <c r="L726" s="200">
        <v>45566.0</v>
      </c>
      <c r="M726" s="201" t="s">
        <v>535</v>
      </c>
      <c r="N726" s="202"/>
      <c r="O726" s="202"/>
    </row>
    <row r="727">
      <c r="A727" s="192">
        <v>1894.0</v>
      </c>
      <c r="B727" s="193" t="s">
        <v>2642</v>
      </c>
      <c r="C727" s="193" t="s">
        <v>537</v>
      </c>
      <c r="D727" s="193" t="s">
        <v>538</v>
      </c>
      <c r="E727" s="193" t="s">
        <v>2643</v>
      </c>
      <c r="F727" s="195">
        <v>2.216392826E9</v>
      </c>
      <c r="G727" s="196"/>
      <c r="H727" s="193" t="s">
        <v>2644</v>
      </c>
      <c r="I727" s="197">
        <f>IF(iserror(vlookup($A727,Pagos!$B$5:L1241,4,false)),"Sin actividad",If(vlookup($A727,Pagos!$B$5:$L1241,5,false),vlookup($A727,Pagos!$B$5:$L1241,5,false),vlookup($A727,Pagos!$B$5:$L1241,4,false)))</f>
        <v>45870</v>
      </c>
      <c r="J727" s="198" t="s">
        <v>523</v>
      </c>
      <c r="K727" s="199">
        <v>44287.0</v>
      </c>
      <c r="L727" s="200"/>
      <c r="M727" s="201"/>
      <c r="N727" s="202"/>
      <c r="O727" s="202"/>
    </row>
    <row r="728">
      <c r="A728" s="192">
        <v>1439.0</v>
      </c>
      <c r="B728" s="193" t="s">
        <v>2645</v>
      </c>
      <c r="C728" s="194" t="s">
        <v>526</v>
      </c>
      <c r="D728" s="193" t="s">
        <v>556</v>
      </c>
      <c r="E728" s="193" t="s">
        <v>2646</v>
      </c>
      <c r="F728" s="195">
        <v>1.56134228E8</v>
      </c>
      <c r="G728" s="196">
        <v>0.0</v>
      </c>
      <c r="H728" s="193" t="s">
        <v>2647</v>
      </c>
      <c r="I728" s="197" t="str">
        <f>IF(iserror(vlookup($A728,Pagos!$B$5:L1241,4,false)),"Sin actividad",If(vlookup($A728,Pagos!$B$5:$L1241,5,false),vlookup($A728,Pagos!$B$5:$L1241,5,false),vlookup($A728,Pagos!$B$5:$L1241,4,false)))</f>
        <v>Sin actividad</v>
      </c>
      <c r="J728" s="198" t="s">
        <v>529</v>
      </c>
      <c r="K728" s="199">
        <v>41277.0</v>
      </c>
      <c r="L728" s="206" t="s">
        <v>535</v>
      </c>
      <c r="M728" s="201" t="s">
        <v>2648</v>
      </c>
      <c r="N728" s="202" t="str">
        <f>If(L728&gt;K728,   datedif(K728,L728,"Y") , If(K728&lt;Vitalicios!$C$4, datedif(K728,Vitalicios!$C$4,"Y"),0)  )</f>
        <v>#VALUE!</v>
      </c>
      <c r="O728" s="202"/>
    </row>
    <row r="729">
      <c r="A729" s="192">
        <v>1997.0</v>
      </c>
      <c r="B729" s="193" t="s">
        <v>2649</v>
      </c>
      <c r="C729" s="193" t="s">
        <v>537</v>
      </c>
      <c r="D729" s="193" t="s">
        <v>628</v>
      </c>
      <c r="E729" s="193" t="s">
        <v>2646</v>
      </c>
      <c r="F729" s="195">
        <v>2.2113169835E10</v>
      </c>
      <c r="G729" s="196"/>
      <c r="H729" s="193" t="s">
        <v>2650</v>
      </c>
      <c r="I729" s="197" t="str">
        <f>IF(iserror(vlookup($A729,Pagos!$B$5:L1241,4,false)),"Sin actividad",If(vlookup($A729,Pagos!$B$5:$L1241,5,false),vlookup($A729,Pagos!$B$5:$L1241,5,false),vlookup($A729,Pagos!$B$5:$L1241,4,false)))</f>
        <v>Sin actividad</v>
      </c>
      <c r="J729" s="198" t="s">
        <v>529</v>
      </c>
      <c r="K729" s="199">
        <v>44562.0</v>
      </c>
      <c r="L729" s="200">
        <v>45292.0</v>
      </c>
      <c r="M729" s="201" t="s">
        <v>535</v>
      </c>
      <c r="N729" s="202"/>
      <c r="O729" s="202"/>
    </row>
    <row r="730">
      <c r="A730" s="192">
        <v>2214.0</v>
      </c>
      <c r="B730" s="193" t="s">
        <v>2651</v>
      </c>
      <c r="C730" s="193" t="s">
        <v>537</v>
      </c>
      <c r="D730" s="193"/>
      <c r="E730" s="193"/>
      <c r="F730" s="195">
        <v>1.165839921E9</v>
      </c>
      <c r="G730" s="196"/>
      <c r="H730" s="193" t="s">
        <v>2652</v>
      </c>
      <c r="I730" s="197"/>
      <c r="J730" s="198" t="s">
        <v>523</v>
      </c>
      <c r="K730" s="199">
        <v>45231.0</v>
      </c>
      <c r="L730" s="200"/>
      <c r="M730" s="201"/>
      <c r="N730" s="202"/>
      <c r="O730" s="202"/>
    </row>
    <row r="731">
      <c r="A731" s="192">
        <v>1611.0</v>
      </c>
      <c r="B731" s="193" t="s">
        <v>2653</v>
      </c>
      <c r="C731" s="194" t="s">
        <v>526</v>
      </c>
      <c r="D731" s="193" t="s">
        <v>709</v>
      </c>
      <c r="E731" s="193" t="s">
        <v>2654</v>
      </c>
      <c r="F731" s="195">
        <v>1.54096868E8</v>
      </c>
      <c r="G731" s="196"/>
      <c r="H731" s="193" t="s">
        <v>2655</v>
      </c>
      <c r="I731" s="197">
        <f>IF(iserror(vlookup($A731,Pagos!$B$5:L1241,4,false)),"Sin actividad",If(vlookup($A731,Pagos!$B$5:$L1241,5,false),vlookup($A731,Pagos!$B$5:$L1241,5,false),vlookup($A731,Pagos!$B$5:$L1241,4,false)))</f>
        <v>45870</v>
      </c>
      <c r="J731" s="198"/>
      <c r="K731" s="199"/>
      <c r="L731" s="200"/>
      <c r="M731" s="201"/>
      <c r="N731" s="202">
        <f>If(L731&gt;K731,   datedif(K731,L731,"Y") , If(K731&lt;Vitalicios!$C$4, datedif(K731,Vitalicios!$C$4,"Y"),0)  )</f>
        <v>125</v>
      </c>
      <c r="O731" s="202"/>
    </row>
    <row r="732">
      <c r="A732" s="192">
        <v>1448.0</v>
      </c>
      <c r="B732" s="193" t="s">
        <v>2656</v>
      </c>
      <c r="C732" s="194" t="s">
        <v>526</v>
      </c>
      <c r="D732" s="193" t="s">
        <v>556</v>
      </c>
      <c r="E732" s="193" t="s">
        <v>2657</v>
      </c>
      <c r="F732" s="195">
        <v>4228466.0</v>
      </c>
      <c r="G732" s="196" t="s">
        <v>2658</v>
      </c>
      <c r="H732" s="193"/>
      <c r="I732" s="197" t="str">
        <f>IF(iserror(vlookup($A732,Pagos!$B$5:L1241,4,false)),"Sin actividad",If(vlookup($A732,Pagos!$B$5:$L1241,5,false),vlookup($A732,Pagos!$B$5:$L1241,5,false),vlookup($A732,Pagos!$B$5:$L1241,4,false)))</f>
        <v>Sin actividad</v>
      </c>
      <c r="J732" s="198" t="s">
        <v>529</v>
      </c>
      <c r="K732" s="199">
        <v>41325.0</v>
      </c>
      <c r="L732" s="200"/>
      <c r="M732" s="201"/>
      <c r="N732" s="202">
        <f>If(L732&gt;K732,   datedif(K732,L732,"Y") , If(K732&lt;Vitalicios!$C$4, datedif(K732,Vitalicios!$C$4,"Y"),0)  )</f>
        <v>12</v>
      </c>
      <c r="O732" s="202"/>
    </row>
    <row r="733">
      <c r="A733" s="192">
        <v>2265.0</v>
      </c>
      <c r="B733" s="193" t="s">
        <v>2659</v>
      </c>
      <c r="C733" s="193" t="s">
        <v>537</v>
      </c>
      <c r="D733" s="193" t="s">
        <v>596</v>
      </c>
      <c r="E733" s="193" t="s">
        <v>2660</v>
      </c>
      <c r="F733" s="195">
        <v>2.215224749E9</v>
      </c>
      <c r="G733" s="196"/>
      <c r="H733" s="193" t="s">
        <v>2661</v>
      </c>
      <c r="I733" s="197">
        <f>IF(iserror(vlookup($A733,Pagos!$B$5:L1241,4,false)),"Sin actividad",If(vlookup($A733,Pagos!$B$5:$L1241,5,false),vlookup($A733,Pagos!$B$5:$L1241,5,false),vlookup($A733,Pagos!$B$5:$L1241,4,false)))</f>
        <v>45870</v>
      </c>
      <c r="J733" s="198" t="s">
        <v>529</v>
      </c>
      <c r="K733" s="199">
        <v>44470.0</v>
      </c>
      <c r="L733" s="200">
        <v>44743.0</v>
      </c>
      <c r="M733" s="201"/>
      <c r="N733" s="202"/>
      <c r="O733" s="202"/>
    </row>
    <row r="734">
      <c r="A734" s="192">
        <v>2205.0</v>
      </c>
      <c r="B734" s="193" t="s">
        <v>2662</v>
      </c>
      <c r="C734" s="193" t="s">
        <v>537</v>
      </c>
      <c r="D734" s="193" t="s">
        <v>538</v>
      </c>
      <c r="E734" s="193" t="s">
        <v>2663</v>
      </c>
      <c r="F734" s="195">
        <v>2.21507512E9</v>
      </c>
      <c r="G734" s="196"/>
      <c r="H734" s="193" t="s">
        <v>2664</v>
      </c>
      <c r="I734" s="197"/>
      <c r="J734" s="198"/>
      <c r="K734" s="199"/>
      <c r="L734" s="200"/>
      <c r="M734" s="201"/>
      <c r="N734" s="202"/>
      <c r="O734" s="202"/>
    </row>
    <row r="735">
      <c r="A735" s="192">
        <v>1802.0</v>
      </c>
      <c r="B735" s="193" t="s">
        <v>2665</v>
      </c>
      <c r="C735" s="194"/>
      <c r="D735" s="193" t="s">
        <v>538</v>
      </c>
      <c r="E735" s="193" t="s">
        <v>2666</v>
      </c>
      <c r="F735" s="195">
        <v>6134688.0</v>
      </c>
      <c r="G735" s="196"/>
      <c r="H735" s="193" t="s">
        <v>2667</v>
      </c>
      <c r="I735" s="197">
        <f>IF(iserror(vlookup($A735,Pagos!$B$5:L1241,4,false)),"Sin actividad",If(vlookup($A735,Pagos!$B$5:$L1241,5,false),vlookup($A735,Pagos!$B$5:$L1241,5,false),vlookup($A735,Pagos!$B$5:$L1241,4,false)))</f>
        <v>45870</v>
      </c>
      <c r="J735" s="198" t="s">
        <v>523</v>
      </c>
      <c r="K735" s="199">
        <v>44044.0</v>
      </c>
      <c r="L735" s="200"/>
      <c r="M735" s="201"/>
      <c r="N735" s="202"/>
      <c r="O735" s="202"/>
    </row>
    <row r="736">
      <c r="A736" s="192">
        <v>1663.0</v>
      </c>
      <c r="B736" s="193" t="s">
        <v>2668</v>
      </c>
      <c r="C736" s="194" t="s">
        <v>519</v>
      </c>
      <c r="D736" s="193" t="s">
        <v>538</v>
      </c>
      <c r="E736" s="193" t="s">
        <v>2669</v>
      </c>
      <c r="F736" s="195">
        <v>1.56733961E8</v>
      </c>
      <c r="G736" s="196"/>
      <c r="H736" s="193" t="s">
        <v>2670</v>
      </c>
      <c r="I736" s="197" t="str">
        <f>IF(iserror(vlookup($A736,Pagos!$B$5:L1241,4,false)),"Sin actividad",If(vlookup($A736,Pagos!$B$5:$L1241,5,false),vlookup($A736,Pagos!$B$5:$L1241,5,false),vlookup($A736,Pagos!$B$5:$L1241,4,false)))</f>
        <v>Sin actividad</v>
      </c>
      <c r="J736" s="198" t="s">
        <v>529</v>
      </c>
      <c r="K736" s="199">
        <v>43040.0</v>
      </c>
      <c r="L736" s="200">
        <v>44470.0</v>
      </c>
      <c r="M736" s="201"/>
      <c r="N736" s="202">
        <f>If(L736&gt;K736,   datedif(K736,L736,"Y") , If(K736&lt;Vitalicios!$C$4, datedif(K736,Vitalicios!$C$4,"Y"),0)  )</f>
        <v>3</v>
      </c>
      <c r="O736" s="202"/>
    </row>
    <row r="737">
      <c r="A737" s="192">
        <v>1371.0</v>
      </c>
      <c r="B737" s="193" t="s">
        <v>2671</v>
      </c>
      <c r="C737" s="194" t="s">
        <v>526</v>
      </c>
      <c r="D737" s="193" t="s">
        <v>527</v>
      </c>
      <c r="E737" s="193" t="s">
        <v>2672</v>
      </c>
      <c r="F737" s="195">
        <v>5881994.0</v>
      </c>
      <c r="G737" s="196">
        <v>2.21156157955E11</v>
      </c>
      <c r="H737" s="193" t="s">
        <v>2673</v>
      </c>
      <c r="I737" s="197" t="str">
        <f>IF(iserror(vlookup($A737,Pagos!$B$5:L1241,4,false)),"Sin actividad",If(vlookup($A737,Pagos!$B$5:$L1241,5,false),vlookup($A737,Pagos!$B$5:$L1241,5,false),vlookup($A737,Pagos!$B$5:$L1241,4,false)))</f>
        <v>Sin actividad</v>
      </c>
      <c r="J737" s="198" t="s">
        <v>529</v>
      </c>
      <c r="K737" s="199">
        <v>40642.0</v>
      </c>
      <c r="L737" s="200">
        <v>43525.0</v>
      </c>
      <c r="M737" s="201"/>
      <c r="N737" s="202">
        <f>If(L737&gt;K737,   datedif(K737,L737,"Y") , If(K737&lt;Vitalicios!$C$4, datedif(K737,Vitalicios!$C$4,"Y"),0)  )</f>
        <v>7</v>
      </c>
      <c r="O737" s="202"/>
    </row>
    <row r="738">
      <c r="A738" s="192">
        <v>1557.0</v>
      </c>
      <c r="B738" s="193" t="s">
        <v>2674</v>
      </c>
      <c r="C738" s="194" t="s">
        <v>526</v>
      </c>
      <c r="D738" s="193" t="s">
        <v>527</v>
      </c>
      <c r="E738" s="193" t="s">
        <v>2675</v>
      </c>
      <c r="F738" s="195">
        <v>4176761.0</v>
      </c>
      <c r="G738" s="196">
        <v>2.21156121575E11</v>
      </c>
      <c r="H738" s="193" t="s">
        <v>2676</v>
      </c>
      <c r="I738" s="197">
        <f>IF(iserror(vlookup($A738,Pagos!$B$5:L1241,4,false)),"Sin actividad",If(vlookup($A738,Pagos!$B$5:$L1241,5,false),vlookup($A738,Pagos!$B$5:$L1241,5,false),vlookup($A738,Pagos!$B$5:$L1241,4,false)))</f>
        <v>45870</v>
      </c>
      <c r="J738" s="198" t="s">
        <v>523</v>
      </c>
      <c r="K738" s="199">
        <v>42091.0</v>
      </c>
      <c r="L738" s="200"/>
      <c r="M738" s="201"/>
      <c r="N738" s="202">
        <f>If(L738&gt;K738,   datedif(K738,L738,"Y") , If(K738&lt;Vitalicios!$C$4, datedif(K738,Vitalicios!$C$4,"Y"),0)  )</f>
        <v>10</v>
      </c>
      <c r="O738" s="202"/>
    </row>
    <row r="739">
      <c r="A739" s="192">
        <v>1449.0</v>
      </c>
      <c r="B739" s="193" t="s">
        <v>2677</v>
      </c>
      <c r="C739" s="194" t="s">
        <v>526</v>
      </c>
      <c r="D739" s="193" t="s">
        <v>556</v>
      </c>
      <c r="E739" s="193" t="s">
        <v>2678</v>
      </c>
      <c r="F739" s="195">
        <v>4228466.0</v>
      </c>
      <c r="G739" s="196">
        <v>1.5497671E8</v>
      </c>
      <c r="H739" s="193"/>
      <c r="I739" s="197" t="str">
        <f>IF(iserror(vlookup($A739,Pagos!$B$5:L1241,4,false)),"Sin actividad",If(vlookup($A739,Pagos!$B$5:$L1241,5,false),vlookup($A739,Pagos!$B$5:$L1241,5,false),vlookup($A739,Pagos!$B$5:$L1241,4,false)))</f>
        <v>Sin actividad</v>
      </c>
      <c r="J739" s="198" t="s">
        <v>529</v>
      </c>
      <c r="K739" s="199">
        <v>41325.0</v>
      </c>
      <c r="L739" s="200">
        <v>42005.0</v>
      </c>
      <c r="M739" s="201" t="s">
        <v>1201</v>
      </c>
      <c r="N739" s="202">
        <f>If(L739&gt;K739,   datedif(K739,L739,"Y") , If(K739&lt;Vitalicios!$C$4, datedif(K739,Vitalicios!$C$4,"Y"),0)  )</f>
        <v>1</v>
      </c>
      <c r="O739" s="202"/>
    </row>
    <row r="740">
      <c r="A740" s="192">
        <v>1335.0</v>
      </c>
      <c r="B740" s="193" t="s">
        <v>2679</v>
      </c>
      <c r="C740" s="194" t="s">
        <v>526</v>
      </c>
      <c r="D740" s="193" t="s">
        <v>556</v>
      </c>
      <c r="E740" s="193" t="s">
        <v>2680</v>
      </c>
      <c r="F740" s="195">
        <v>1.11566330082E11</v>
      </c>
      <c r="G740" s="196">
        <v>0.0</v>
      </c>
      <c r="H740" s="193"/>
      <c r="I740" s="197" t="str">
        <f>IF(iserror(vlookup($A740,Pagos!$B$5:L1241,4,false)),"Sin actividad",If(vlookup($A740,Pagos!$B$5:$L1241,5,false),vlookup($A740,Pagos!$B$5:$L1241,5,false),vlookup($A740,Pagos!$B$5:$L1241,4,false)))</f>
        <v>Sin actividad</v>
      </c>
      <c r="J740" s="198" t="s">
        <v>529</v>
      </c>
      <c r="K740" s="199">
        <v>40520.0</v>
      </c>
      <c r="L740" s="200"/>
      <c r="M740" s="201" t="s">
        <v>2154</v>
      </c>
      <c r="N740" s="202">
        <f>If(L740&gt;K740,   datedif(K740,L740,"Y") , If(K740&lt;Vitalicios!$C$4, datedif(K740,Vitalicios!$C$4,"Y"),0)  )</f>
        <v>14</v>
      </c>
      <c r="O740" s="202"/>
    </row>
    <row r="741">
      <c r="A741" s="192">
        <v>1669.0</v>
      </c>
      <c r="B741" s="193" t="s">
        <v>2681</v>
      </c>
      <c r="C741" s="194" t="s">
        <v>519</v>
      </c>
      <c r="D741" s="193" t="s">
        <v>538</v>
      </c>
      <c r="E741" s="193" t="s">
        <v>2682</v>
      </c>
      <c r="F741" s="195" t="s">
        <v>2683</v>
      </c>
      <c r="G741" s="196"/>
      <c r="H741" s="193" t="s">
        <v>2684</v>
      </c>
      <c r="I741" s="197" t="str">
        <f>IF(iserror(vlookup($A741,Pagos!$B$5:L1241,4,false)),"Sin actividad",If(vlookup($A741,Pagos!$B$5:$L1241,5,false),vlookup($A741,Pagos!$B$5:$L1241,5,false),vlookup($A741,Pagos!$B$5:$L1241,4,false)))</f>
        <v>Sin actividad</v>
      </c>
      <c r="J741" s="198" t="s">
        <v>529</v>
      </c>
      <c r="K741" s="199">
        <v>43070.0</v>
      </c>
      <c r="L741" s="200">
        <v>43525.0</v>
      </c>
      <c r="M741" s="201"/>
      <c r="N741" s="202">
        <f>If(L741&gt;K741,   datedif(K741,L741,"Y") , If(K741&lt;Vitalicios!$C$4, datedif(K741,Vitalicios!$C$4,"Y"),0)  )</f>
        <v>1</v>
      </c>
      <c r="O741" s="202"/>
    </row>
    <row r="742">
      <c r="A742" s="192">
        <v>1156.0</v>
      </c>
      <c r="B742" s="193" t="s">
        <v>2685</v>
      </c>
      <c r="C742" s="194" t="s">
        <v>526</v>
      </c>
      <c r="D742" s="193" t="s">
        <v>520</v>
      </c>
      <c r="E742" s="193" t="s">
        <v>2686</v>
      </c>
      <c r="F742" s="195">
        <v>4.2598479E7</v>
      </c>
      <c r="G742" s="196">
        <v>1.553773345E9</v>
      </c>
      <c r="H742" s="193"/>
      <c r="I742" s="197" t="str">
        <f>IF(iserror(vlookup($A742,Pagos!$B$5:L1241,4,false)),"Sin actividad",If(vlookup($A742,Pagos!$B$5:$L1241,5,false),vlookup($A742,Pagos!$B$5:$L1241,5,false),vlookup($A742,Pagos!$B$5:$L1241,4,false)))</f>
        <v>Sin actividad</v>
      </c>
      <c r="J742" s="198" t="s">
        <v>529</v>
      </c>
      <c r="K742" s="199">
        <v>39456.0</v>
      </c>
      <c r="L742" s="200">
        <v>41378.0</v>
      </c>
      <c r="M742" s="201" t="s">
        <v>656</v>
      </c>
      <c r="N742" s="202">
        <f>If(L742&gt;K742,   datedif(K742,L742,"Y") , If(K742&lt;Vitalicios!$C$4, datedif(K742,Vitalicios!$C$4,"Y"),0)  )</f>
        <v>5</v>
      </c>
      <c r="O742" s="202"/>
    </row>
    <row r="743">
      <c r="A743" s="192">
        <v>2097.0</v>
      </c>
      <c r="B743" s="193" t="s">
        <v>2687</v>
      </c>
      <c r="C743" s="194" t="s">
        <v>526</v>
      </c>
      <c r="D743" s="193" t="s">
        <v>520</v>
      </c>
      <c r="E743" s="193" t="s">
        <v>2688</v>
      </c>
      <c r="F743" s="195">
        <v>4536040.0</v>
      </c>
      <c r="G743" s="196">
        <v>1.55113197E8</v>
      </c>
      <c r="H743" s="193" t="s">
        <v>2689</v>
      </c>
      <c r="I743" s="197">
        <f>IF(iserror(vlookup($A743,Pagos!$B$5:L1241,4,false)),"Sin actividad",If(vlookup($A743,Pagos!$B$5:$L1241,5,false),vlookup($A743,Pagos!$B$5:$L1241,5,false),vlookup($A743,Pagos!$B$5:$L1241,4,false)))</f>
        <v>45778</v>
      </c>
      <c r="J743" s="198" t="s">
        <v>523</v>
      </c>
      <c r="K743" s="199">
        <v>44896.0</v>
      </c>
      <c r="L743" s="200"/>
      <c r="M743" s="201"/>
      <c r="N743" s="202">
        <f>If(L743&gt;K743,   datedif(K743,L743,"Y") , If(K743&lt;Vitalicios!$C$4, datedif(K743,Vitalicios!$C$4,"Y"),0)  )</f>
        <v>2</v>
      </c>
      <c r="O743" s="202"/>
    </row>
    <row r="744">
      <c r="A744" s="192">
        <v>2187.0</v>
      </c>
      <c r="B744" s="193" t="s">
        <v>2690</v>
      </c>
      <c r="C744" s="193" t="s">
        <v>537</v>
      </c>
      <c r="D744" s="193" t="s">
        <v>538</v>
      </c>
      <c r="E744" s="193" t="s">
        <v>2691</v>
      </c>
      <c r="F744" s="195"/>
      <c r="G744" s="221">
        <v>2.215945442E9</v>
      </c>
      <c r="H744" s="193" t="s">
        <v>2692</v>
      </c>
      <c r="I744" s="197"/>
      <c r="J744" s="198" t="s">
        <v>529</v>
      </c>
      <c r="K744" s="199">
        <v>45170.0</v>
      </c>
      <c r="L744" s="200">
        <v>45748.0</v>
      </c>
      <c r="M744" s="201" t="s">
        <v>535</v>
      </c>
      <c r="N744" s="202"/>
      <c r="O744" s="202"/>
    </row>
    <row r="745">
      <c r="A745" s="192">
        <v>624.0</v>
      </c>
      <c r="B745" s="193" t="s">
        <v>2693</v>
      </c>
      <c r="C745" s="194" t="s">
        <v>526</v>
      </c>
      <c r="D745" s="193" t="s">
        <v>556</v>
      </c>
      <c r="E745" s="193" t="s">
        <v>1119</v>
      </c>
      <c r="F745" s="195">
        <v>0.0</v>
      </c>
      <c r="G745" s="196">
        <v>0.0</v>
      </c>
      <c r="H745" s="193"/>
      <c r="I745" s="197" t="str">
        <f>IF(iserror(vlookup($A745,Pagos!$B$5:L1241,4,false)),"Sin actividad",If(vlookup($A745,Pagos!$B$5:$L1241,5,false),vlookup($A745,Pagos!$B$5:$L1241,5,false),vlookup($A745,Pagos!$B$5:$L1241,4,false)))</f>
        <v>Sin actividad</v>
      </c>
      <c r="J745" s="198" t="s">
        <v>529</v>
      </c>
      <c r="K745" s="199">
        <v>34322.0</v>
      </c>
      <c r="L745" s="223">
        <v>44743.0</v>
      </c>
      <c r="M745" s="201" t="s">
        <v>535</v>
      </c>
      <c r="N745" s="202">
        <f>If(L745&gt;K745,   datedif(K745,L745,"Y") , If(K745&lt;Vitalicios!$C$4, datedif(K745,Vitalicios!$C$4,"Y"),0)  )</f>
        <v>28</v>
      </c>
      <c r="O745" s="202"/>
    </row>
    <row r="746">
      <c r="A746" s="192">
        <v>2179.0</v>
      </c>
      <c r="B746" s="193" t="s">
        <v>2694</v>
      </c>
      <c r="C746" s="193" t="s">
        <v>537</v>
      </c>
      <c r="D746" s="193" t="s">
        <v>628</v>
      </c>
      <c r="E746" s="193" t="s">
        <v>2695</v>
      </c>
      <c r="F746" s="195">
        <v>1.164984881E9</v>
      </c>
      <c r="G746" s="196"/>
      <c r="H746" s="193" t="s">
        <v>2696</v>
      </c>
      <c r="I746" s="197"/>
      <c r="J746" s="198" t="s">
        <v>523</v>
      </c>
      <c r="K746" s="199">
        <v>45108.0</v>
      </c>
      <c r="L746" s="223"/>
      <c r="M746" s="201"/>
      <c r="N746" s="202"/>
      <c r="O746" s="202"/>
    </row>
    <row r="747">
      <c r="A747" s="192">
        <v>1055.0</v>
      </c>
      <c r="B747" s="193" t="s">
        <v>2697</v>
      </c>
      <c r="C747" s="194" t="s">
        <v>577</v>
      </c>
      <c r="D747" s="193" t="s">
        <v>770</v>
      </c>
      <c r="E747" s="193" t="s">
        <v>2698</v>
      </c>
      <c r="F747" s="195">
        <v>0.0</v>
      </c>
      <c r="G747" s="196">
        <v>0.0</v>
      </c>
      <c r="H747" s="193"/>
      <c r="I747" s="197" t="str">
        <f>IF(iserror(vlookup($A747,Pagos!$B$5:L1241,4,false)),"Sin actividad",If(vlookup($A747,Pagos!$B$5:$L1241,5,false),vlookup($A747,Pagos!$B$5:$L1241,5,false),vlookup($A747,Pagos!$B$5:$L1241,4,false)))</f>
        <v>Sin actividad</v>
      </c>
      <c r="J747" s="198" t="s">
        <v>529</v>
      </c>
      <c r="K747" s="199">
        <v>38353.0</v>
      </c>
      <c r="L747" s="200">
        <v>41517.0</v>
      </c>
      <c r="M747" s="201" t="s">
        <v>656</v>
      </c>
      <c r="N747" s="202">
        <f>If(L747&gt;K747,   datedif(K747,L747,"Y") , If(K747&lt;Vitalicios!$C$4, datedif(K747,Vitalicios!$C$4,"Y"),0)  )</f>
        <v>8</v>
      </c>
      <c r="O747" s="202"/>
    </row>
    <row r="748">
      <c r="A748" s="192">
        <v>976.0</v>
      </c>
      <c r="B748" s="193" t="s">
        <v>2699</v>
      </c>
      <c r="C748" s="194" t="s">
        <v>526</v>
      </c>
      <c r="D748" s="193" t="s">
        <v>556</v>
      </c>
      <c r="E748" s="193">
        <v>0.0</v>
      </c>
      <c r="F748" s="195">
        <v>0.0</v>
      </c>
      <c r="G748" s="196">
        <v>0.0</v>
      </c>
      <c r="H748" s="193"/>
      <c r="I748" s="197" t="str">
        <f>IF(iserror(vlookup($A748,Pagos!$B$5:L1241,4,false)),"Sin actividad",If(vlookup($A748,Pagos!$B$5:$L1241,5,false),vlookup($A748,Pagos!$B$5:$L1241,5,false),vlookup($A748,Pagos!$B$5:$L1241,4,false)))</f>
        <v>Sin actividad</v>
      </c>
      <c r="J748" s="198" t="s">
        <v>529</v>
      </c>
      <c r="K748" s="199">
        <v>37895.0</v>
      </c>
      <c r="L748" s="200"/>
      <c r="M748" s="201"/>
      <c r="N748" s="202">
        <f>If(L748&gt;K748,   datedif(K748,L748,"Y") , If(K748&lt;Vitalicios!$C$4, datedif(K748,Vitalicios!$C$4,"Y"),0)  )</f>
        <v>21</v>
      </c>
      <c r="O748" s="202"/>
    </row>
    <row r="749">
      <c r="A749" s="192">
        <v>2242.0</v>
      </c>
      <c r="B749" s="193" t="s">
        <v>2700</v>
      </c>
      <c r="C749" s="193" t="s">
        <v>526</v>
      </c>
      <c r="D749" s="193" t="s">
        <v>549</v>
      </c>
      <c r="E749" s="193" t="s">
        <v>2701</v>
      </c>
      <c r="F749" s="195">
        <v>4077817.0</v>
      </c>
      <c r="G749" s="196"/>
      <c r="H749" s="193" t="s">
        <v>2702</v>
      </c>
      <c r="I749" s="197"/>
      <c r="J749" s="198" t="s">
        <v>523</v>
      </c>
      <c r="K749" s="199">
        <v>45292.0</v>
      </c>
      <c r="L749" s="200"/>
      <c r="M749" s="201"/>
      <c r="N749" s="202"/>
      <c r="O749" s="202"/>
    </row>
    <row r="750">
      <c r="A750" s="192">
        <v>253.0</v>
      </c>
      <c r="B750" s="193" t="s">
        <v>2703</v>
      </c>
      <c r="C750" s="194" t="s">
        <v>577</v>
      </c>
      <c r="D750" s="193" t="s">
        <v>520</v>
      </c>
      <c r="E750" s="193" t="s">
        <v>2704</v>
      </c>
      <c r="F750" s="195">
        <v>0.0</v>
      </c>
      <c r="G750" s="196">
        <v>0.0</v>
      </c>
      <c r="H750" s="193"/>
      <c r="I750" s="197" t="str">
        <f>IF(iserror(vlookup($A750,Pagos!$B$5:L1241,4,false)),"Sin actividad",If(vlookup($A750,Pagos!$B$5:$L1241,5,false),vlookup($A750,Pagos!$B$5:$L1241,5,false),vlookup($A750,Pagos!$B$5:$L1241,4,false)))</f>
        <v>Sin actividad</v>
      </c>
      <c r="J750" s="198" t="s">
        <v>529</v>
      </c>
      <c r="K750" s="199">
        <v>31959.0</v>
      </c>
      <c r="L750" s="200"/>
      <c r="M750" s="201"/>
      <c r="N750" s="202">
        <f>If(L750&gt;K750,   datedif(K750,L750,"Y") , If(K750&lt;Vitalicios!$C$4, datedif(K750,Vitalicios!$C$4,"Y"),0)  )</f>
        <v>38</v>
      </c>
      <c r="O750" s="202"/>
    </row>
    <row r="751">
      <c r="A751" s="192">
        <v>1806.0</v>
      </c>
      <c r="B751" s="193" t="s">
        <v>2705</v>
      </c>
      <c r="C751" s="193" t="s">
        <v>537</v>
      </c>
      <c r="D751" s="193" t="s">
        <v>2706</v>
      </c>
      <c r="E751" s="193" t="s">
        <v>2707</v>
      </c>
      <c r="F751" s="195">
        <v>2.2154943644E10</v>
      </c>
      <c r="G751" s="196"/>
      <c r="H751" s="193" t="s">
        <v>2708</v>
      </c>
      <c r="I751" s="197" t="str">
        <f>IF(iserror(vlookup($A751,Pagos!$B$5:L1241,4,false)),"Sin actividad",If(vlookup($A751,Pagos!$B$5:$L1241,5,false),vlookup($A751,Pagos!$B$5:$L1241,5,false),vlookup($A751,Pagos!$B$5:$L1241,4,false)))</f>
        <v>Sin actividad</v>
      </c>
      <c r="J751" s="198" t="s">
        <v>529</v>
      </c>
      <c r="K751" s="199">
        <v>44044.0</v>
      </c>
      <c r="L751" s="200">
        <v>44409.0</v>
      </c>
      <c r="M751" s="201" t="s">
        <v>614</v>
      </c>
      <c r="N751" s="202"/>
      <c r="O751" s="202"/>
    </row>
    <row r="752">
      <c r="A752" s="192">
        <v>1807.0</v>
      </c>
      <c r="B752" s="193" t="s">
        <v>2709</v>
      </c>
      <c r="C752" s="193" t="s">
        <v>537</v>
      </c>
      <c r="D752" s="193" t="s">
        <v>2706</v>
      </c>
      <c r="E752" s="193" t="s">
        <v>2707</v>
      </c>
      <c r="F752" s="195">
        <v>2.21156046944E11</v>
      </c>
      <c r="G752" s="196"/>
      <c r="H752" s="193" t="s">
        <v>2710</v>
      </c>
      <c r="I752" s="197" t="str">
        <f>IF(iserror(vlookup($A752,Pagos!$B$5:L1241,4,false)),"Sin actividad",If(vlookup($A752,Pagos!$B$5:$L1241,5,false),vlookup($A752,Pagos!$B$5:$L1241,5,false),vlookup($A752,Pagos!$B$5:$L1241,4,false)))</f>
        <v>Sin actividad</v>
      </c>
      <c r="J752" s="198" t="s">
        <v>529</v>
      </c>
      <c r="K752" s="199">
        <v>44044.0</v>
      </c>
      <c r="L752" s="200">
        <v>44409.0</v>
      </c>
      <c r="M752" s="201" t="s">
        <v>614</v>
      </c>
      <c r="N752" s="202"/>
      <c r="O752" s="202"/>
    </row>
    <row r="753">
      <c r="A753" s="192">
        <v>1815.0</v>
      </c>
      <c r="B753" s="193" t="s">
        <v>2711</v>
      </c>
      <c r="C753" s="193" t="s">
        <v>537</v>
      </c>
      <c r="D753" s="193" t="s">
        <v>596</v>
      </c>
      <c r="E753" s="193" t="s">
        <v>2712</v>
      </c>
      <c r="F753" s="195">
        <v>2.215070281E9</v>
      </c>
      <c r="G753" s="196"/>
      <c r="H753" s="193" t="s">
        <v>2713</v>
      </c>
      <c r="I753" s="197" t="str">
        <f>IF(iserror(vlookup($A753,Pagos!$B$5:L1241,4,false)),"Sin actividad",If(vlookup($A753,Pagos!$B$5:$L1241,5,false),vlookup($A753,Pagos!$B$5:$L1241,5,false),vlookup($A753,Pagos!$B$5:$L1241,4,false)))</f>
        <v>Sin actividad</v>
      </c>
      <c r="J753" s="198" t="s">
        <v>529</v>
      </c>
      <c r="K753" s="199">
        <v>44075.0</v>
      </c>
      <c r="L753" s="200">
        <v>44197.0</v>
      </c>
      <c r="M753" s="201"/>
      <c r="N753" s="202"/>
      <c r="O753" s="202"/>
    </row>
    <row r="754">
      <c r="A754" s="192">
        <v>2004.0</v>
      </c>
      <c r="B754" s="193" t="s">
        <v>2714</v>
      </c>
      <c r="C754" s="193" t="s">
        <v>537</v>
      </c>
      <c r="D754" s="193" t="s">
        <v>538</v>
      </c>
      <c r="E754" s="193" t="s">
        <v>2715</v>
      </c>
      <c r="F754" s="195">
        <v>2.216421895E9</v>
      </c>
      <c r="G754" s="196"/>
      <c r="H754" s="193" t="s">
        <v>2716</v>
      </c>
      <c r="I754" s="197" t="str">
        <f>IF(iserror(vlookup($A754,Pagos!$B$5:L1241,4,false)),"Sin actividad",If(vlookup($A754,Pagos!$B$5:$L1241,5,false),vlookup($A754,Pagos!$B$5:$L1241,5,false),vlookup($A754,Pagos!$B$5:$L1241,4,false)))</f>
        <v>Sin actividad</v>
      </c>
      <c r="J754" s="198" t="s">
        <v>529</v>
      </c>
      <c r="K754" s="199">
        <v>44621.0</v>
      </c>
      <c r="L754" s="200">
        <v>45413.0</v>
      </c>
      <c r="M754" s="201" t="s">
        <v>915</v>
      </c>
      <c r="N754" s="202"/>
      <c r="O754" s="202"/>
    </row>
    <row r="755">
      <c r="A755" s="192">
        <v>1858.0</v>
      </c>
      <c r="B755" s="193" t="s">
        <v>2717</v>
      </c>
      <c r="C755" s="193" t="s">
        <v>526</v>
      </c>
      <c r="D755" s="193" t="s">
        <v>549</v>
      </c>
      <c r="E755" s="193"/>
      <c r="F755" s="195"/>
      <c r="G755" s="196"/>
      <c r="H755" s="193"/>
      <c r="I755" s="197">
        <f>IF(iserror(vlookup($A755,Pagos!$B$5:L1241,4,false)),"Sin actividad",If(vlookup($A755,Pagos!$B$5:$L1241,5,false),vlookup($A755,Pagos!$B$5:$L1241,5,false),vlookup($A755,Pagos!$B$5:$L1241,4,false)))</f>
        <v>45870</v>
      </c>
      <c r="J755" s="198" t="s">
        <v>523</v>
      </c>
      <c r="K755" s="199">
        <v>44166.0</v>
      </c>
      <c r="L755" s="200"/>
      <c r="M755" s="201"/>
      <c r="N755" s="202"/>
      <c r="O755" s="202"/>
    </row>
    <row r="756">
      <c r="A756" s="192">
        <v>7.0</v>
      </c>
      <c r="B756" s="193" t="s">
        <v>2718</v>
      </c>
      <c r="C756" s="194" t="s">
        <v>526</v>
      </c>
      <c r="D756" s="193" t="s">
        <v>520</v>
      </c>
      <c r="E756" s="193" t="s">
        <v>2719</v>
      </c>
      <c r="F756" s="195" t="s">
        <v>2720</v>
      </c>
      <c r="G756" s="196">
        <v>4232519.0</v>
      </c>
      <c r="H756" s="193" t="s">
        <v>2721</v>
      </c>
      <c r="I756" s="197" t="str">
        <f>IF(iserror(vlookup($A756,Pagos!$B$5:L1241,4,false)),"Sin actividad",If(vlookup($A756,Pagos!$B$5:$L1241,5,false),vlookup($A756,Pagos!$B$5:$L1241,5,false),vlookup($A756,Pagos!$B$5:$L1241,4,false)))</f>
        <v>Sin actividad</v>
      </c>
      <c r="J756" s="198" t="s">
        <v>846</v>
      </c>
      <c r="K756" s="199">
        <v>31514.0</v>
      </c>
      <c r="L756" s="200"/>
      <c r="M756" s="201"/>
      <c r="N756" s="202">
        <f>If(L756&gt;K756,   datedif(K756,L756,"Y") , If(K756&lt;Vitalicios!$C$4, datedif(K756,Vitalicios!$C$4,"Y"),0)  )</f>
        <v>39</v>
      </c>
      <c r="O756" s="202"/>
    </row>
    <row r="757">
      <c r="A757" s="192">
        <v>1428.0</v>
      </c>
      <c r="B757" s="193" t="s">
        <v>2722</v>
      </c>
      <c r="C757" s="194" t="s">
        <v>526</v>
      </c>
      <c r="D757" s="193" t="s">
        <v>556</v>
      </c>
      <c r="E757" s="193" t="s">
        <v>2723</v>
      </c>
      <c r="F757" s="195">
        <v>4838490.0</v>
      </c>
      <c r="G757" s="196">
        <v>0.0</v>
      </c>
      <c r="H757" s="193" t="s">
        <v>2724</v>
      </c>
      <c r="I757" s="197" t="str">
        <f>IF(iserror(vlookup($A757,Pagos!$B$5:L1241,4,false)),"Sin actividad",If(vlookup($A757,Pagos!$B$5:$L1241,5,false),vlookup($A757,Pagos!$B$5:$L1241,5,false),vlookup($A757,Pagos!$B$5:$L1241,4,false)))</f>
        <v>Sin actividad</v>
      </c>
      <c r="J757" s="198" t="s">
        <v>529</v>
      </c>
      <c r="K757" s="199">
        <v>41160.0</v>
      </c>
      <c r="L757" s="200">
        <v>43374.0</v>
      </c>
      <c r="M757" s="201" t="s">
        <v>560</v>
      </c>
      <c r="N757" s="202">
        <f>If(L757&gt;K757,   datedif(K757,L757,"Y") , If(K757&lt;Vitalicios!$C$4, datedif(K757,Vitalicios!$C$4,"Y"),0)  )</f>
        <v>6</v>
      </c>
      <c r="O757" s="202"/>
    </row>
    <row r="758">
      <c r="A758" s="192">
        <v>1658.0</v>
      </c>
      <c r="B758" s="193" t="s">
        <v>2725</v>
      </c>
      <c r="C758" s="194" t="s">
        <v>519</v>
      </c>
      <c r="D758" s="193" t="s">
        <v>527</v>
      </c>
      <c r="E758" s="193" t="s">
        <v>2726</v>
      </c>
      <c r="F758" s="195">
        <v>1.55380283E8</v>
      </c>
      <c r="G758" s="196"/>
      <c r="H758" s="193" t="s">
        <v>2727</v>
      </c>
      <c r="I758" s="197" t="str">
        <f>IF(iserror(vlookup($A758,Pagos!$B$5:L1241,4,false)),"Sin actividad",If(vlookup($A758,Pagos!$B$5:$L1241,5,false),vlookup($A758,Pagos!$B$5:$L1241,5,false),vlookup($A758,Pagos!$B$5:$L1241,4,false)))</f>
        <v>Sin actividad</v>
      </c>
      <c r="J758" s="198" t="s">
        <v>529</v>
      </c>
      <c r="K758" s="199">
        <v>43011.0</v>
      </c>
      <c r="L758" s="200">
        <v>43617.0</v>
      </c>
      <c r="M758" s="201"/>
      <c r="N758" s="202">
        <f>If(L758&gt;K758,   datedif(K758,L758,"Y") , If(K758&lt;Vitalicios!$C$4, datedif(K758,Vitalicios!$C$4,"Y"),0)  )</f>
        <v>1</v>
      </c>
      <c r="O758" s="202"/>
    </row>
    <row r="759">
      <c r="A759" s="192">
        <v>1269.0</v>
      </c>
      <c r="B759" s="193" t="s">
        <v>2728</v>
      </c>
      <c r="C759" s="194" t="s">
        <v>526</v>
      </c>
      <c r="D759" s="193" t="s">
        <v>556</v>
      </c>
      <c r="E759" s="193" t="s">
        <v>2729</v>
      </c>
      <c r="F759" s="195">
        <v>1.55417904E8</v>
      </c>
      <c r="G759" s="196">
        <v>0.0</v>
      </c>
      <c r="H759" s="193"/>
      <c r="I759" s="197" t="str">
        <f>IF(iserror(vlookup($A759,Pagos!$B$5:L1241,4,false)),"Sin actividad",If(vlookup($A759,Pagos!$B$5:$L1241,5,false),vlookup($A759,Pagos!$B$5:$L1241,5,false),vlookup($A759,Pagos!$B$5:$L1241,4,false)))</f>
        <v>Sin actividad</v>
      </c>
      <c r="J759" s="198" t="s">
        <v>529</v>
      </c>
      <c r="K759" s="199">
        <v>40167.0</v>
      </c>
      <c r="L759" s="200"/>
      <c r="M759" s="201"/>
      <c r="N759" s="202">
        <f>If(L759&gt;K759,   datedif(K759,L759,"Y") , If(K759&lt;Vitalicios!$C$4, datedif(K759,Vitalicios!$C$4,"Y"),0)  )</f>
        <v>15</v>
      </c>
      <c r="O759" s="202"/>
    </row>
    <row r="760">
      <c r="A760" s="192">
        <v>1504.0</v>
      </c>
      <c r="B760" s="193" t="s">
        <v>2730</v>
      </c>
      <c r="C760" s="194" t="s">
        <v>526</v>
      </c>
      <c r="D760" s="193" t="s">
        <v>520</v>
      </c>
      <c r="E760" s="193" t="s">
        <v>2731</v>
      </c>
      <c r="F760" s="195">
        <v>2.215636961E9</v>
      </c>
      <c r="G760" s="196"/>
      <c r="H760" s="193" t="s">
        <v>2732</v>
      </c>
      <c r="I760" s="197" t="str">
        <f>IF(iserror(vlookup($A760,Pagos!$B$5:L1241,4,false)),"Sin actividad",If(vlookup($A760,Pagos!$B$5:$L1241,5,false),vlookup($A760,Pagos!$B$5:$L1241,5,false),vlookup($A760,Pagos!$B$5:$L1241,4,false)))</f>
        <v>Sin actividad</v>
      </c>
      <c r="J760" s="198" t="s">
        <v>529</v>
      </c>
      <c r="K760" s="199">
        <v>41770.0</v>
      </c>
      <c r="L760" s="200">
        <v>45413.0</v>
      </c>
      <c r="M760" s="201" t="s">
        <v>535</v>
      </c>
      <c r="N760" s="202">
        <f>If(L760&gt;K760,   datedif(K760,L760,"Y") , If(K760&lt;Vitalicios!$C$4, datedif(K760,Vitalicios!$C$4,"Y"),0)  )</f>
        <v>9</v>
      </c>
      <c r="O760" s="202"/>
    </row>
    <row r="761">
      <c r="A761" s="192">
        <v>1594.0</v>
      </c>
      <c r="B761" s="193" t="s">
        <v>2733</v>
      </c>
      <c r="C761" s="194" t="s">
        <v>526</v>
      </c>
      <c r="D761" s="193" t="s">
        <v>709</v>
      </c>
      <c r="E761" s="193" t="s">
        <v>2734</v>
      </c>
      <c r="F761" s="195">
        <v>4280400.0</v>
      </c>
      <c r="G761" s="196"/>
      <c r="H761" s="193"/>
      <c r="I761" s="197">
        <f>IF(iserror(vlookup($A761,Pagos!$B$5:L1241,4,false)),"Sin actividad",If(vlookup($A761,Pagos!$B$5:$L1241,5,false),vlookup($A761,Pagos!$B$5:$L1241,5,false),vlookup($A761,Pagos!$B$5:$L1241,4,false)))</f>
        <v>45870</v>
      </c>
      <c r="J761" s="198" t="s">
        <v>523</v>
      </c>
      <c r="K761" s="199">
        <v>42430.0</v>
      </c>
      <c r="L761" s="200"/>
      <c r="M761" s="201"/>
      <c r="N761" s="202">
        <f>If(L761&gt;K761,   datedif(K761,L761,"Y") , If(K761&lt;Vitalicios!$C$4, datedif(K761,Vitalicios!$C$4,"Y"),0)  )</f>
        <v>9</v>
      </c>
      <c r="O761" s="202"/>
    </row>
    <row r="762">
      <c r="A762" s="192">
        <v>1742.0</v>
      </c>
      <c r="B762" s="193" t="s">
        <v>2735</v>
      </c>
      <c r="C762" s="194" t="s">
        <v>519</v>
      </c>
      <c r="D762" s="193" t="s">
        <v>538</v>
      </c>
      <c r="E762" s="193" t="s">
        <v>2736</v>
      </c>
      <c r="F762" s="195">
        <v>1.56161642E8</v>
      </c>
      <c r="G762" s="196"/>
      <c r="H762" s="193" t="s">
        <v>2737</v>
      </c>
      <c r="I762" s="197">
        <f>IF(iserror(vlookup($A762,Pagos!$B$5:L1241,4,false)),"Sin actividad",If(vlookup($A762,Pagos!$B$5:$L1241,5,false),vlookup($A762,Pagos!$B$5:$L1241,5,false),vlookup($A762,Pagos!$B$5:$L1241,4,false)))</f>
        <v>45870</v>
      </c>
      <c r="J762" s="198" t="s">
        <v>523</v>
      </c>
      <c r="K762" s="199">
        <v>43556.0</v>
      </c>
      <c r="L762" s="200"/>
      <c r="M762" s="201"/>
      <c r="N762" s="202">
        <f>If(L762&gt;K762,   datedif(K762,L762,"Y") , If(K762&lt;Vitalicios!$C$4, datedif(K762,Vitalicios!$C$4,"Y"),0)  )</f>
        <v>6</v>
      </c>
      <c r="O762" s="202"/>
    </row>
    <row r="763">
      <c r="A763" s="192">
        <v>1767.0</v>
      </c>
      <c r="B763" s="193" t="s">
        <v>2738</v>
      </c>
      <c r="C763" s="194" t="s">
        <v>951</v>
      </c>
      <c r="D763" s="193" t="s">
        <v>527</v>
      </c>
      <c r="E763" s="193" t="s">
        <v>2739</v>
      </c>
      <c r="F763" s="195">
        <v>2.215432112E9</v>
      </c>
      <c r="G763" s="196"/>
      <c r="H763" s="193" t="s">
        <v>2740</v>
      </c>
      <c r="I763" s="197">
        <f>IF(iserror(vlookup($A763,Pagos!$B$5:L1241,4,false)),"Sin actividad",If(vlookup($A763,Pagos!$B$5:$L1241,5,false),vlookup($A763,Pagos!$B$5:$L1241,5,false),vlookup($A763,Pagos!$B$5:$L1241,4,false)))</f>
        <v>45870</v>
      </c>
      <c r="J763" s="198" t="s">
        <v>523</v>
      </c>
      <c r="K763" s="199">
        <v>43800.0</v>
      </c>
      <c r="L763" s="200"/>
      <c r="M763" s="201"/>
      <c r="N763" s="202">
        <f>IF(L763&gt;K763,   DATEDIF(K763,L763,"Y") , IF(K763&lt;Vitalicios!$C$4, DATEDIF(K763,Vitalicios!$C$4,"Y"),0)  )</f>
        <v>5</v>
      </c>
      <c r="O763" s="202"/>
    </row>
    <row r="764">
      <c r="A764" s="192">
        <v>2186.0</v>
      </c>
      <c r="B764" s="193" t="s">
        <v>2741</v>
      </c>
      <c r="C764" s="193" t="s">
        <v>951</v>
      </c>
      <c r="D764" s="193"/>
      <c r="E764" s="193"/>
      <c r="F764" s="195">
        <v>2.214954883E9</v>
      </c>
      <c r="G764" s="196"/>
      <c r="H764" s="193"/>
      <c r="I764" s="197"/>
      <c r="J764" s="198" t="s">
        <v>529</v>
      </c>
      <c r="K764" s="199">
        <v>45139.0</v>
      </c>
      <c r="L764" s="200">
        <v>45505.0</v>
      </c>
      <c r="M764" s="201" t="s">
        <v>703</v>
      </c>
      <c r="N764" s="202"/>
      <c r="O764" s="202"/>
    </row>
    <row r="765">
      <c r="A765" s="192">
        <v>2375.0</v>
      </c>
      <c r="B765" s="193" t="s">
        <v>2742</v>
      </c>
      <c r="C765" s="193" t="s">
        <v>951</v>
      </c>
      <c r="D765" s="193" t="s">
        <v>538</v>
      </c>
      <c r="E765" s="193" t="s">
        <v>2743</v>
      </c>
      <c r="F765" s="195">
        <v>1.131507874E9</v>
      </c>
      <c r="G765" s="196"/>
      <c r="H765" s="193" t="s">
        <v>2744</v>
      </c>
      <c r="I765" s="197"/>
      <c r="J765" s="198" t="s">
        <v>523</v>
      </c>
      <c r="K765" s="199">
        <v>45778.0</v>
      </c>
      <c r="L765" s="200"/>
      <c r="M765" s="201"/>
      <c r="N765" s="202"/>
      <c r="O765" s="202"/>
    </row>
    <row r="766">
      <c r="A766" s="192">
        <v>2298.0</v>
      </c>
      <c r="B766" s="193" t="s">
        <v>2745</v>
      </c>
      <c r="C766" s="193" t="s">
        <v>951</v>
      </c>
      <c r="D766" s="193" t="s">
        <v>538</v>
      </c>
      <c r="E766" s="193" t="s">
        <v>2746</v>
      </c>
      <c r="F766" s="195">
        <v>1.156097696E9</v>
      </c>
      <c r="G766" s="196"/>
      <c r="H766" s="193" t="s">
        <v>2747</v>
      </c>
      <c r="I766" s="197"/>
      <c r="J766" s="198" t="s">
        <v>523</v>
      </c>
      <c r="K766" s="199">
        <v>45627.0</v>
      </c>
      <c r="L766" s="200"/>
      <c r="M766" s="201"/>
      <c r="N766" s="202"/>
      <c r="O766" s="202"/>
    </row>
    <row r="767">
      <c r="A767" s="192">
        <v>2364.0</v>
      </c>
      <c r="B767" s="193" t="s">
        <v>2748</v>
      </c>
      <c r="C767" s="193" t="s">
        <v>951</v>
      </c>
      <c r="D767" s="193" t="s">
        <v>485</v>
      </c>
      <c r="E767" s="193" t="s">
        <v>2749</v>
      </c>
      <c r="F767" s="195">
        <v>2.215631676E9</v>
      </c>
      <c r="G767" s="196"/>
      <c r="H767" s="193" t="s">
        <v>2750</v>
      </c>
      <c r="I767" s="197"/>
      <c r="J767" s="198" t="s">
        <v>523</v>
      </c>
      <c r="K767" s="199">
        <v>45748.0</v>
      </c>
      <c r="L767" s="200"/>
      <c r="M767" s="201"/>
      <c r="N767" s="202"/>
      <c r="O767" s="202"/>
    </row>
    <row r="768">
      <c r="A768" s="192">
        <v>2217.0</v>
      </c>
      <c r="B768" s="193" t="s">
        <v>2751</v>
      </c>
      <c r="C768" s="193" t="s">
        <v>951</v>
      </c>
      <c r="D768" s="193" t="s">
        <v>532</v>
      </c>
      <c r="E768" s="193" t="s">
        <v>2752</v>
      </c>
      <c r="F768" s="195">
        <v>2.216030587E9</v>
      </c>
      <c r="G768" s="196"/>
      <c r="H768" s="193" t="s">
        <v>2753</v>
      </c>
      <c r="I768" s="197"/>
      <c r="J768" s="198" t="s">
        <v>529</v>
      </c>
      <c r="K768" s="199">
        <v>45231.0</v>
      </c>
      <c r="L768" s="200">
        <v>45597.0</v>
      </c>
      <c r="M768" s="201" t="s">
        <v>535</v>
      </c>
      <c r="N768" s="202"/>
      <c r="O768" s="202"/>
    </row>
    <row r="769">
      <c r="A769" s="192">
        <v>1424.0</v>
      </c>
      <c r="B769" s="193" t="s">
        <v>2754</v>
      </c>
      <c r="C769" s="194" t="s">
        <v>526</v>
      </c>
      <c r="D769" s="193" t="s">
        <v>770</v>
      </c>
      <c r="E769" s="193" t="s">
        <v>2755</v>
      </c>
      <c r="F769" s="195">
        <v>4.2485175E7</v>
      </c>
      <c r="G769" s="196">
        <v>0.0</v>
      </c>
      <c r="H769" s="193"/>
      <c r="I769" s="197" t="str">
        <f>IF(iserror(vlookup($A769,Pagos!$B$5:L1241,4,false)),"Sin actividad",If(vlookup($A769,Pagos!$B$5:$L1241,5,false),vlookup($A769,Pagos!$B$5:$L1241,5,false),vlookup($A769,Pagos!$B$5:$L1241,4,false)))</f>
        <v>Sin actividad</v>
      </c>
      <c r="J769" s="198" t="s">
        <v>529</v>
      </c>
      <c r="K769" s="199">
        <v>41141.0</v>
      </c>
      <c r="L769" s="200">
        <v>41650.0</v>
      </c>
      <c r="M769" s="201" t="s">
        <v>2102</v>
      </c>
      <c r="N769" s="202">
        <f>If(L769&gt;K769,   datedif(K769,L769,"Y") , If(K769&lt;Vitalicios!$C$4, datedif(K769,Vitalicios!$C$4,"Y"),0)  )</f>
        <v>1</v>
      </c>
      <c r="O769" s="202"/>
    </row>
    <row r="770">
      <c r="A770" s="192">
        <v>1151.0</v>
      </c>
      <c r="B770" s="193" t="s">
        <v>2756</v>
      </c>
      <c r="C770" s="194" t="s">
        <v>526</v>
      </c>
      <c r="D770" s="193" t="s">
        <v>556</v>
      </c>
      <c r="E770" s="193"/>
      <c r="F770" s="195">
        <v>1.142462574E9</v>
      </c>
      <c r="G770" s="196">
        <v>0.0</v>
      </c>
      <c r="H770" s="193"/>
      <c r="I770" s="197" t="str">
        <f>IF(iserror(vlookup($A770,Pagos!$B$5:L1241,4,false)),"Sin actividad",If(vlookup($A770,Pagos!$B$5:$L1241,5,false),vlookup($A770,Pagos!$B$5:$L1241,5,false),vlookup($A770,Pagos!$B$5:$L1241,4,false)))</f>
        <v>Sin actividad</v>
      </c>
      <c r="J770" s="198" t="s">
        <v>529</v>
      </c>
      <c r="K770" s="199">
        <v>39404.0</v>
      </c>
      <c r="L770" s="200"/>
      <c r="M770" s="201" t="s">
        <v>2757</v>
      </c>
      <c r="N770" s="202">
        <f>If(L770&gt;K770,   datedif(K770,L770,"Y") , If(K770&lt;Vitalicios!$C$4, datedif(K770,Vitalicios!$C$4,"Y"),0)  )</f>
        <v>17</v>
      </c>
      <c r="O770" s="202"/>
    </row>
    <row r="771">
      <c r="A771" s="192">
        <v>2076.0</v>
      </c>
      <c r="B771" s="193" t="s">
        <v>2758</v>
      </c>
      <c r="C771" s="193" t="s">
        <v>537</v>
      </c>
      <c r="D771" s="193" t="s">
        <v>538</v>
      </c>
      <c r="E771" s="193" t="s">
        <v>2759</v>
      </c>
      <c r="F771" s="195">
        <v>2.216008203E9</v>
      </c>
      <c r="G771" s="196"/>
      <c r="H771" s="193" t="s">
        <v>2760</v>
      </c>
      <c r="I771" s="197"/>
      <c r="J771" s="198" t="s">
        <v>529</v>
      </c>
      <c r="K771" s="199">
        <v>44835.0</v>
      </c>
      <c r="L771" s="200">
        <v>45413.0</v>
      </c>
      <c r="M771" s="201" t="s">
        <v>535</v>
      </c>
      <c r="N771" s="202"/>
      <c r="O771" s="202"/>
    </row>
    <row r="772">
      <c r="A772" s="192">
        <v>1334.0</v>
      </c>
      <c r="B772" s="193" t="s">
        <v>2761</v>
      </c>
      <c r="C772" s="194" t="s">
        <v>526</v>
      </c>
      <c r="D772" s="193" t="s">
        <v>556</v>
      </c>
      <c r="E772" s="193" t="s">
        <v>2762</v>
      </c>
      <c r="F772" s="195">
        <v>1.55944705E8</v>
      </c>
      <c r="G772" s="196">
        <v>0.0</v>
      </c>
      <c r="H772" s="193"/>
      <c r="I772" s="197" t="str">
        <f>IF(iserror(vlookup($A772,Pagos!$B$5:L1241,4,false)),"Sin actividad",If(vlookup($A772,Pagos!$B$5:$L1241,5,false),vlookup($A772,Pagos!$B$5:$L1241,5,false),vlookup($A772,Pagos!$B$5:$L1241,4,false)))</f>
        <v>Sin actividad</v>
      </c>
      <c r="J772" s="198" t="s">
        <v>529</v>
      </c>
      <c r="K772" s="199">
        <v>40520.0</v>
      </c>
      <c r="L772" s="200">
        <v>43070.0</v>
      </c>
      <c r="M772" s="201"/>
      <c r="N772" s="202">
        <f>If(L772&gt;K772,   datedif(K772,L772,"Y") , If(K772&lt;Vitalicios!$C$4, datedif(K772,Vitalicios!$C$4,"Y"),0)  )</f>
        <v>6</v>
      </c>
      <c r="O772" s="202"/>
    </row>
    <row r="773">
      <c r="A773" s="192">
        <v>164.0</v>
      </c>
      <c r="B773" s="193" t="s">
        <v>2763</v>
      </c>
      <c r="C773" s="194" t="s">
        <v>577</v>
      </c>
      <c r="D773" s="193" t="s">
        <v>520</v>
      </c>
      <c r="E773" s="193" t="s">
        <v>2056</v>
      </c>
      <c r="F773" s="195">
        <v>4521016.0</v>
      </c>
      <c r="G773" s="196">
        <v>0.0</v>
      </c>
      <c r="H773" s="193" t="s">
        <v>2764</v>
      </c>
      <c r="I773" s="197">
        <f>IF(iserror(vlookup($A773,Pagos!$B$5:L1241,4,false)),"Sin actividad",If(vlookup($A773,Pagos!$B$5:$L1241,5,false),vlookup($A773,Pagos!$B$5:$L1241,5,false),vlookup($A773,Pagos!$B$5:$L1241,4,false)))</f>
        <v>45870</v>
      </c>
      <c r="J773" s="198" t="s">
        <v>846</v>
      </c>
      <c r="K773" s="199">
        <v>31711.0</v>
      </c>
      <c r="L773" s="200"/>
      <c r="M773" s="201"/>
      <c r="N773" s="202">
        <f>If(L773&gt;K773,   datedif(K773,L773,"Y") , If(K773&lt;Vitalicios!$C$4, datedif(K773,Vitalicios!$C$4,"Y"),0)  )</f>
        <v>38</v>
      </c>
      <c r="O773" s="202"/>
    </row>
    <row r="774">
      <c r="A774" s="192">
        <v>1511.0</v>
      </c>
      <c r="B774" s="193" t="s">
        <v>2765</v>
      </c>
      <c r="C774" s="193" t="s">
        <v>537</v>
      </c>
      <c r="D774" s="193" t="s">
        <v>520</v>
      </c>
      <c r="E774" s="193" t="s">
        <v>2766</v>
      </c>
      <c r="F774" s="195">
        <v>2.216753166E9</v>
      </c>
      <c r="G774" s="196">
        <v>0.0</v>
      </c>
      <c r="H774" s="193" t="s">
        <v>2767</v>
      </c>
      <c r="I774" s="197" t="str">
        <f>IF(iserror(vlookup($A774,Pagos!$B$5:L1241,4,false)),"Sin actividad",If(vlookup($A774,Pagos!$B$5:$L1241,5,false),vlookup($A774,Pagos!$B$5:$L1241,5,false),vlookup($A774,Pagos!$B$5:$L1241,4,false)))</f>
        <v>Sin actividad</v>
      </c>
      <c r="J774" s="198" t="s">
        <v>529</v>
      </c>
      <c r="K774" s="199">
        <v>41867.0</v>
      </c>
      <c r="L774" s="200">
        <v>43374.0</v>
      </c>
      <c r="M774" s="201" t="s">
        <v>2768</v>
      </c>
      <c r="N774" s="202">
        <f>If(L774&gt;K774,   datedif(K774,L774,"Y") , If(K774&lt;Vitalicios!$C$4, datedif(K774,Vitalicios!$C$4,"Y"),0)  )</f>
        <v>4</v>
      </c>
      <c r="O774" s="202"/>
    </row>
    <row r="775">
      <c r="A775" s="192">
        <v>1186.0</v>
      </c>
      <c r="B775" s="193" t="s">
        <v>2769</v>
      </c>
      <c r="C775" s="194" t="s">
        <v>577</v>
      </c>
      <c r="D775" s="193" t="s">
        <v>556</v>
      </c>
      <c r="E775" s="193" t="s">
        <v>2770</v>
      </c>
      <c r="F775" s="195">
        <v>0.0</v>
      </c>
      <c r="G775" s="196">
        <v>0.0</v>
      </c>
      <c r="H775" s="193" t="s">
        <v>2771</v>
      </c>
      <c r="I775" s="197">
        <f>IF(iserror(vlookup($A775,Pagos!$B$5:L1241,4,false)),"Sin actividad",If(vlookup($A775,Pagos!$B$5:$L1241,5,false),vlookup($A775,Pagos!$B$5:$L1241,5,false),vlookup($A775,Pagos!$B$5:$L1241,4,false)))</f>
        <v>45870</v>
      </c>
      <c r="J775" s="198" t="s">
        <v>523</v>
      </c>
      <c r="K775" s="199">
        <v>39684.0</v>
      </c>
      <c r="L775" s="200"/>
      <c r="M775" s="201"/>
      <c r="N775" s="202">
        <f>If(L775&gt;K775,   datedif(K775,L775,"Y") , If(K775&lt;Vitalicios!$C$4, datedif(K775,Vitalicios!$C$4,"Y"),0)  )</f>
        <v>17</v>
      </c>
      <c r="O775" s="202"/>
    </row>
    <row r="776">
      <c r="A776" s="192">
        <v>1500.0</v>
      </c>
      <c r="B776" s="193" t="s">
        <v>2772</v>
      </c>
      <c r="C776" s="194" t="s">
        <v>526</v>
      </c>
      <c r="D776" s="193" t="s">
        <v>556</v>
      </c>
      <c r="E776" s="193" t="s">
        <v>2773</v>
      </c>
      <c r="F776" s="195">
        <v>4733343.0</v>
      </c>
      <c r="G776" s="196">
        <v>0.0</v>
      </c>
      <c r="H776" s="193"/>
      <c r="I776" s="197" t="str">
        <f>IF(iserror(vlookup($A776,Pagos!$B$5:L1241,4,false)),"Sin actividad",If(vlookup($A776,Pagos!$B$5:$L1241,5,false),vlookup($A776,Pagos!$B$5:$L1241,5,false),vlookup($A776,Pagos!$B$5:$L1241,4,false)))</f>
        <v>Sin actividad</v>
      </c>
      <c r="J776" s="198" t="s">
        <v>529</v>
      </c>
      <c r="K776" s="199">
        <v>41706.0</v>
      </c>
      <c r="L776" s="200">
        <v>43374.0</v>
      </c>
      <c r="M776" s="201" t="s">
        <v>560</v>
      </c>
      <c r="N776" s="202">
        <f>If(L776&gt;K776,   datedif(K776,L776,"Y") , If(K776&lt;Vitalicios!$C$4, datedif(K776,Vitalicios!$C$4,"Y"),0)  )</f>
        <v>4</v>
      </c>
      <c r="O776" s="202"/>
    </row>
    <row r="777">
      <c r="A777" s="192">
        <v>1876.0</v>
      </c>
      <c r="B777" s="193" t="s">
        <v>2774</v>
      </c>
      <c r="C777" s="193" t="s">
        <v>537</v>
      </c>
      <c r="D777" s="193" t="s">
        <v>628</v>
      </c>
      <c r="E777" s="193" t="s">
        <v>2775</v>
      </c>
      <c r="F777" s="195">
        <v>1.55421851E8</v>
      </c>
      <c r="G777" s="196"/>
      <c r="H777" s="193" t="s">
        <v>2776</v>
      </c>
      <c r="I777" s="197" t="str">
        <f>IF(iserror(vlookup($A777,Pagos!$B$5:L1241,4,false)),"Sin actividad",If(vlookup($A777,Pagos!$B$5:$L1241,5,false),vlookup($A777,Pagos!$B$5:$L1241,5,false),vlookup($A777,Pagos!$B$5:$L1241,4,false)))</f>
        <v>Sin actividad</v>
      </c>
      <c r="J777" s="198" t="s">
        <v>529</v>
      </c>
      <c r="K777" s="199">
        <v>44166.0</v>
      </c>
      <c r="L777" s="200"/>
      <c r="M777" s="201" t="s">
        <v>897</v>
      </c>
      <c r="N777" s="202"/>
      <c r="O777" s="202"/>
    </row>
    <row r="778">
      <c r="A778" s="192">
        <v>1231.0</v>
      </c>
      <c r="B778" s="193" t="s">
        <v>2777</v>
      </c>
      <c r="C778" s="194" t="s">
        <v>564</v>
      </c>
      <c r="D778" s="193" t="s">
        <v>556</v>
      </c>
      <c r="E778" s="193">
        <v>0.0</v>
      </c>
      <c r="F778" s="195">
        <v>0.0</v>
      </c>
      <c r="G778" s="196">
        <v>0.0</v>
      </c>
      <c r="H778" s="193"/>
      <c r="I778" s="197" t="str">
        <f>IF(iserror(vlookup($A778,Pagos!$B$5:L1241,4,false)),"Sin actividad",If(vlookup($A778,Pagos!$B$5:$L1241,5,false),vlookup($A778,Pagos!$B$5:$L1241,5,false),vlookup($A778,Pagos!$B$5:$L1241,4,false)))</f>
        <v>Sin actividad</v>
      </c>
      <c r="J778" s="198" t="s">
        <v>529</v>
      </c>
      <c r="K778" s="199">
        <v>40019.0</v>
      </c>
      <c r="L778" s="200"/>
      <c r="M778" s="201"/>
      <c r="N778" s="202">
        <f>If(L778&gt;K778,   datedif(K778,L778,"Y") , If(K778&lt;Vitalicios!$C$4, datedif(K778,Vitalicios!$C$4,"Y"),0)  )</f>
        <v>16</v>
      </c>
      <c r="O778" s="202"/>
    </row>
    <row r="779">
      <c r="A779" s="192">
        <v>1431.0</v>
      </c>
      <c r="B779" s="193" t="s">
        <v>2778</v>
      </c>
      <c r="C779" s="194" t="s">
        <v>526</v>
      </c>
      <c r="D779" s="193" t="s">
        <v>556</v>
      </c>
      <c r="E779" s="193" t="s">
        <v>2779</v>
      </c>
      <c r="F779" s="195">
        <v>1.531651353E9</v>
      </c>
      <c r="G779" s="196">
        <v>0.0</v>
      </c>
      <c r="H779" s="193"/>
      <c r="I779" s="197" t="str">
        <f>IF(iserror(vlookup($A779,Pagos!$B$5:L1241,4,false)),"Sin actividad",If(vlookup($A779,Pagos!$B$5:$L1241,5,false),vlookup($A779,Pagos!$B$5:$L1241,5,false),vlookup($A779,Pagos!$B$5:$L1241,4,false)))</f>
        <v>Sin actividad</v>
      </c>
      <c r="J779" s="198" t="s">
        <v>529</v>
      </c>
      <c r="K779" s="199">
        <v>41189.0</v>
      </c>
      <c r="L779" s="200">
        <v>43344.0</v>
      </c>
      <c r="M779" s="201"/>
      <c r="N779" s="202">
        <f>If(L779&gt;K779,   datedif(K779,L779,"Y") , If(K779&lt;Vitalicios!$C$4, datedif(K779,Vitalicios!$C$4,"Y"),0)  )</f>
        <v>5</v>
      </c>
      <c r="O779" s="202"/>
    </row>
    <row r="780">
      <c r="A780" s="192">
        <v>1300.0</v>
      </c>
      <c r="B780" s="193" t="s">
        <v>2780</v>
      </c>
      <c r="C780" s="194" t="s">
        <v>564</v>
      </c>
      <c r="D780" s="193" t="s">
        <v>556</v>
      </c>
      <c r="E780" s="193">
        <v>0.0</v>
      </c>
      <c r="F780" s="195">
        <v>0.0</v>
      </c>
      <c r="G780" s="196">
        <v>0.0</v>
      </c>
      <c r="H780" s="193"/>
      <c r="I780" s="197" t="str">
        <f>IF(iserror(vlookup($A780,Pagos!$B$5:L1241,4,false)),"Sin actividad",If(vlookup($A780,Pagos!$B$5:$L1241,5,false),vlookup($A780,Pagos!$B$5:$L1241,5,false),vlookup($A780,Pagos!$B$5:$L1241,4,false)))</f>
        <v>Sin actividad</v>
      </c>
      <c r="J780" s="198" t="s">
        <v>529</v>
      </c>
      <c r="K780" s="199">
        <v>40285.0</v>
      </c>
      <c r="L780" s="200"/>
      <c r="M780" s="201"/>
      <c r="N780" s="202">
        <f>If(L780&gt;K780,   datedif(K780,L780,"Y") , If(K780&lt;Vitalicios!$C$4, datedif(K780,Vitalicios!$C$4,"Y"),0)  )</f>
        <v>15</v>
      </c>
      <c r="O780" s="202"/>
    </row>
    <row r="781">
      <c r="A781" s="192">
        <v>1274.0</v>
      </c>
      <c r="B781" s="193" t="s">
        <v>2781</v>
      </c>
      <c r="C781" s="194" t="s">
        <v>526</v>
      </c>
      <c r="D781" s="193" t="s">
        <v>527</v>
      </c>
      <c r="E781" s="193" t="s">
        <v>2782</v>
      </c>
      <c r="F781" s="195">
        <v>4211415.0</v>
      </c>
      <c r="G781" s="196">
        <v>0.0</v>
      </c>
      <c r="H781" s="193" t="s">
        <v>2783</v>
      </c>
      <c r="I781" s="197" t="str">
        <f>IF(iserror(vlookup($A781,Pagos!$B$5:L1241,4,false)),"Sin actividad",If(vlookup($A781,Pagos!$B$5:$L1241,5,false),vlookup($A781,Pagos!$B$5:$L1241,5,false),vlookup($A781,Pagos!$B$5:$L1241,4,false)))</f>
        <v>Sin actividad</v>
      </c>
      <c r="J781" s="198" t="s">
        <v>529</v>
      </c>
      <c r="K781" s="199">
        <v>40174.0</v>
      </c>
      <c r="L781" s="200">
        <v>42736.0</v>
      </c>
      <c r="M781" s="201"/>
      <c r="N781" s="202">
        <f>If(L781&gt;K781,   datedif(K781,L781,"Y") , If(K781&lt;Vitalicios!$C$4, datedif(K781,Vitalicios!$C$4,"Y"),0)  )</f>
        <v>7</v>
      </c>
      <c r="O781" s="202"/>
    </row>
    <row r="782">
      <c r="A782" s="192">
        <v>2092.0</v>
      </c>
      <c r="B782" s="193" t="s">
        <v>2784</v>
      </c>
      <c r="C782" s="193" t="s">
        <v>537</v>
      </c>
      <c r="D782" s="193" t="s">
        <v>538</v>
      </c>
      <c r="E782" s="193" t="s">
        <v>2785</v>
      </c>
      <c r="F782" s="195">
        <v>2.21437107E9</v>
      </c>
      <c r="G782" s="196"/>
      <c r="H782" s="193" t="s">
        <v>2786</v>
      </c>
      <c r="I782" s="197"/>
      <c r="J782" s="198" t="s">
        <v>523</v>
      </c>
      <c r="K782" s="199">
        <v>44866.0</v>
      </c>
      <c r="L782" s="200"/>
      <c r="M782" s="201"/>
      <c r="N782" s="202"/>
      <c r="O782" s="202"/>
    </row>
    <row r="783">
      <c r="A783" s="192">
        <v>1187.0</v>
      </c>
      <c r="B783" s="193" t="s">
        <v>2787</v>
      </c>
      <c r="C783" s="194" t="s">
        <v>564</v>
      </c>
      <c r="D783" s="193" t="s">
        <v>556</v>
      </c>
      <c r="E783" s="193" t="s">
        <v>2788</v>
      </c>
      <c r="F783" s="195">
        <v>4871984.0</v>
      </c>
      <c r="G783" s="196">
        <v>0.0</v>
      </c>
      <c r="H783" s="193"/>
      <c r="I783" s="197" t="str">
        <f>IF(iserror(vlookup($A783,Pagos!$B$5:L1241,4,false)),"Sin actividad",If(vlookup($A783,Pagos!$B$5:$L1241,5,false),vlookup($A783,Pagos!$B$5:$L1241,5,false),vlookup($A783,Pagos!$B$5:$L1241,4,false)))</f>
        <v>Sin actividad</v>
      </c>
      <c r="J783" s="198" t="s">
        <v>529</v>
      </c>
      <c r="K783" s="199">
        <v>39718.0</v>
      </c>
      <c r="L783" s="200"/>
      <c r="M783" s="201"/>
      <c r="N783" s="202">
        <f>If(L783&gt;K783,   datedif(K783,L783,"Y") , If(K783&lt;Vitalicios!$C$4, datedif(K783,Vitalicios!$C$4,"Y"),0)  )</f>
        <v>17</v>
      </c>
      <c r="O783" s="202"/>
    </row>
    <row r="784">
      <c r="A784" s="192">
        <v>1782.0</v>
      </c>
      <c r="B784" s="193" t="s">
        <v>2789</v>
      </c>
      <c r="C784" s="194" t="s">
        <v>519</v>
      </c>
      <c r="D784" s="193" t="s">
        <v>538</v>
      </c>
      <c r="E784" s="193" t="s">
        <v>2790</v>
      </c>
      <c r="F784" s="195">
        <v>5374600.0</v>
      </c>
      <c r="G784" s="196"/>
      <c r="H784" s="193" t="s">
        <v>2791</v>
      </c>
      <c r="I784" s="197" t="str">
        <f>IF(iserror(vlookup($A784,Pagos!$B$5:L1241,4,false)),"Sin actividad",If(vlookup($A784,Pagos!$B$5:$L1241,5,false),vlookup($A784,Pagos!$B$5:$L1241,5,false),vlookup($A784,Pagos!$B$5:$L1241,4,false)))</f>
        <v>Sin actividad</v>
      </c>
      <c r="J784" s="198" t="s">
        <v>529</v>
      </c>
      <c r="K784" s="199">
        <v>43862.0</v>
      </c>
      <c r="L784" s="200">
        <v>44256.0</v>
      </c>
      <c r="M784" s="201" t="s">
        <v>2102</v>
      </c>
      <c r="N784" s="202">
        <f>If(L784&gt;K784,   datedif(K784,L784,"Y") , If(K784&lt;Vitalicios!$C$4, datedif(K784,Vitalicios!$C$4,"Y"),0)  )</f>
        <v>1</v>
      </c>
      <c r="O784" s="202"/>
    </row>
    <row r="785">
      <c r="A785" s="192">
        <v>2249.0</v>
      </c>
      <c r="B785" s="193" t="s">
        <v>2792</v>
      </c>
      <c r="C785" s="193" t="s">
        <v>537</v>
      </c>
      <c r="D785" s="193"/>
      <c r="E785" s="193"/>
      <c r="F785" s="195">
        <v>2.215744178E9</v>
      </c>
      <c r="G785" s="196"/>
      <c r="H785" s="193" t="s">
        <v>2793</v>
      </c>
      <c r="I785" s="197"/>
      <c r="J785" s="198" t="s">
        <v>523</v>
      </c>
      <c r="K785" s="199">
        <v>45352.0</v>
      </c>
      <c r="L785" s="200"/>
      <c r="M785" s="201"/>
      <c r="N785" s="202"/>
      <c r="O785" s="202"/>
    </row>
    <row r="786">
      <c r="A786" s="192">
        <v>2212.0</v>
      </c>
      <c r="B786" s="193" t="s">
        <v>2794</v>
      </c>
      <c r="C786" s="193" t="s">
        <v>537</v>
      </c>
      <c r="D786" s="193"/>
      <c r="E786" s="193"/>
      <c r="F786" s="195">
        <v>2.215957506E9</v>
      </c>
      <c r="G786" s="196"/>
      <c r="H786" s="193" t="s">
        <v>2795</v>
      </c>
      <c r="I786" s="197"/>
      <c r="J786" s="198" t="s">
        <v>523</v>
      </c>
      <c r="K786" s="199">
        <v>45231.0</v>
      </c>
      <c r="L786" s="200"/>
      <c r="M786" s="201"/>
      <c r="N786" s="202"/>
      <c r="O786" s="202"/>
    </row>
    <row r="787">
      <c r="A787" s="192">
        <v>1833.0</v>
      </c>
      <c r="B787" s="193" t="s">
        <v>2796</v>
      </c>
      <c r="C787" s="193" t="s">
        <v>679</v>
      </c>
      <c r="D787" s="193" t="s">
        <v>538</v>
      </c>
      <c r="E787" s="193" t="s">
        <v>2797</v>
      </c>
      <c r="F787" s="195">
        <v>2.216618367E9</v>
      </c>
      <c r="G787" s="196"/>
      <c r="H787" s="193" t="s">
        <v>2798</v>
      </c>
      <c r="I787" s="197" t="str">
        <f>IF(iserror(vlookup($A787,Pagos!$B$5:L1241,4,false)),"Sin actividad",If(vlookup($A787,Pagos!$B$5:$L1241,5,false),vlookup($A787,Pagos!$B$5:$L1241,5,false),vlookup($A787,Pagos!$B$5:$L1241,4,false)))</f>
        <v>Sin actividad</v>
      </c>
      <c r="J787" s="198" t="s">
        <v>529</v>
      </c>
      <c r="K787" s="199">
        <v>44112.0</v>
      </c>
      <c r="L787" s="200">
        <v>45323.0</v>
      </c>
      <c r="M787" s="201" t="s">
        <v>535</v>
      </c>
      <c r="N787" s="202"/>
      <c r="O787" s="202"/>
    </row>
    <row r="788">
      <c r="A788" s="192">
        <v>1828.0</v>
      </c>
      <c r="B788" s="193" t="s">
        <v>2799</v>
      </c>
      <c r="C788" s="193" t="s">
        <v>679</v>
      </c>
      <c r="D788" s="193" t="s">
        <v>538</v>
      </c>
      <c r="E788" s="193" t="s">
        <v>2800</v>
      </c>
      <c r="F788" s="195">
        <v>2.21501409E8</v>
      </c>
      <c r="G788" s="196"/>
      <c r="H788" s="193" t="s">
        <v>2801</v>
      </c>
      <c r="I788" s="197">
        <f>IF(iserror(vlookup($A788,Pagos!$B$5:L1241,4,false)),"Sin actividad",If(vlookup($A788,Pagos!$B$5:$L1241,5,false),vlookup($A788,Pagos!$B$5:$L1241,5,false),vlookup($A788,Pagos!$B$5:$L1241,4,false)))</f>
        <v>45962</v>
      </c>
      <c r="J788" s="198" t="s">
        <v>523</v>
      </c>
      <c r="K788" s="199">
        <v>44075.0</v>
      </c>
      <c r="L788" s="200"/>
      <c r="M788" s="201"/>
      <c r="N788" s="202"/>
      <c r="O788" s="202"/>
    </row>
    <row r="789">
      <c r="A789" s="192">
        <v>1493.0</v>
      </c>
      <c r="B789" s="193" t="s">
        <v>2802</v>
      </c>
      <c r="C789" s="194" t="s">
        <v>526</v>
      </c>
      <c r="D789" s="193" t="s">
        <v>556</v>
      </c>
      <c r="E789" s="193" t="s">
        <v>2383</v>
      </c>
      <c r="F789" s="195">
        <v>1.53551727E8</v>
      </c>
      <c r="G789" s="196">
        <v>0.0</v>
      </c>
      <c r="H789" s="193"/>
      <c r="I789" s="197" t="str">
        <f>IF(iserror(vlookup($A789,Pagos!$B$5:L1241,4,false)),"Sin actividad",If(vlookup($A789,Pagos!$B$5:$L1241,5,false),vlookup($A789,Pagos!$B$5:$L1241,5,false),vlookup($A789,Pagos!$B$5:$L1241,4,false)))</f>
        <v>Sin actividad</v>
      </c>
      <c r="J789" s="198" t="s">
        <v>529</v>
      </c>
      <c r="K789" s="199">
        <v>41678.0</v>
      </c>
      <c r="L789" s="200">
        <v>43374.0</v>
      </c>
      <c r="M789" s="201" t="s">
        <v>560</v>
      </c>
      <c r="N789" s="202">
        <f>If(L789&gt;K789,   datedif(K789,L789,"Y") , If(K789&lt;Vitalicios!$C$4, datedif(K789,Vitalicios!$C$4,"Y"),0)  )</f>
        <v>4</v>
      </c>
      <c r="O789" s="202"/>
    </row>
    <row r="790">
      <c r="A790" s="192">
        <v>1765.0</v>
      </c>
      <c r="B790" s="193" t="s">
        <v>2803</v>
      </c>
      <c r="C790" s="194" t="s">
        <v>519</v>
      </c>
      <c r="D790" s="193" t="s">
        <v>770</v>
      </c>
      <c r="E790" s="193" t="s">
        <v>2804</v>
      </c>
      <c r="F790" s="195">
        <v>2.645060267E9</v>
      </c>
      <c r="G790" s="196"/>
      <c r="H790" s="193" t="s">
        <v>2805</v>
      </c>
      <c r="I790" s="197" t="str">
        <f>IF(iserror(vlookup($A790,Pagos!$B$5:L1241,4,false)),"Sin actividad",If(vlookup($A790,Pagos!$B$5:$L1241,5,false),vlookup($A790,Pagos!$B$5:$L1241,5,false),vlookup($A790,Pagos!$B$5:$L1241,4,false)))</f>
        <v>Sin actividad</v>
      </c>
      <c r="J790" s="198" t="s">
        <v>529</v>
      </c>
      <c r="K790" s="199">
        <v>43800.0</v>
      </c>
      <c r="L790" s="200">
        <v>43891.0</v>
      </c>
      <c r="M790" s="201" t="s">
        <v>716</v>
      </c>
      <c r="N790" s="202">
        <f>IF(L790&gt;K790,   DATEDIF(K790,L790,"Y") , IF(K790&lt;Vitalicios!$C$4, DATEDIF(K790,Vitalicios!$C$4,"Y"),0)  )</f>
        <v>0</v>
      </c>
      <c r="O790" s="202"/>
    </row>
    <row r="791">
      <c r="A791" s="192">
        <v>2047.0</v>
      </c>
      <c r="B791" s="193" t="s">
        <v>2806</v>
      </c>
      <c r="C791" s="193" t="s">
        <v>679</v>
      </c>
      <c r="D791" s="193" t="s">
        <v>2807</v>
      </c>
      <c r="E791" s="193" t="s">
        <v>2808</v>
      </c>
      <c r="F791" s="195">
        <v>2.214943124E9</v>
      </c>
      <c r="G791" s="196"/>
      <c r="H791" s="193" t="s">
        <v>2809</v>
      </c>
      <c r="I791" s="197"/>
      <c r="J791" s="198" t="s">
        <v>523</v>
      </c>
      <c r="K791" s="199">
        <v>44805.0</v>
      </c>
      <c r="L791" s="200"/>
      <c r="M791" s="201"/>
      <c r="N791" s="202"/>
      <c r="O791" s="202"/>
    </row>
    <row r="792">
      <c r="A792" s="192">
        <v>2010.0</v>
      </c>
      <c r="B792" s="193" t="s">
        <v>2810</v>
      </c>
      <c r="C792" s="193" t="s">
        <v>679</v>
      </c>
      <c r="D792" s="193" t="s">
        <v>596</v>
      </c>
      <c r="E792" s="193" t="s">
        <v>2811</v>
      </c>
      <c r="F792" s="195">
        <v>2.21618738E9</v>
      </c>
      <c r="G792" s="196"/>
      <c r="H792" s="193" t="s">
        <v>2812</v>
      </c>
      <c r="I792" s="197" t="str">
        <f>IF(iserror(vlookup($A792,Pagos!$B$5:L1241,4,false)),"Sin actividad",If(vlookup($A792,Pagos!$B$5:$L1241,5,false),vlookup($A792,Pagos!$B$5:$L1241,5,false),vlookup($A792,Pagos!$B$5:$L1241,4,false)))</f>
        <v>Sin actividad</v>
      </c>
      <c r="J792" s="198" t="s">
        <v>529</v>
      </c>
      <c r="K792" s="199">
        <v>44621.0</v>
      </c>
      <c r="L792" s="200">
        <v>44805.0</v>
      </c>
      <c r="M792" s="201" t="s">
        <v>614</v>
      </c>
      <c r="N792" s="202"/>
      <c r="O792" s="202"/>
    </row>
    <row r="793">
      <c r="A793" s="192">
        <v>2071.0</v>
      </c>
      <c r="B793" s="193" t="s">
        <v>2813</v>
      </c>
      <c r="C793" s="193" t="s">
        <v>679</v>
      </c>
      <c r="D793" s="193" t="s">
        <v>538</v>
      </c>
      <c r="E793" s="193" t="s">
        <v>2814</v>
      </c>
      <c r="F793" s="195">
        <v>1.124010746E9</v>
      </c>
      <c r="G793" s="196"/>
      <c r="H793" s="193" t="s">
        <v>2815</v>
      </c>
      <c r="I793" s="197">
        <v>44835.0</v>
      </c>
      <c r="J793" s="198" t="s">
        <v>529</v>
      </c>
      <c r="K793" s="199">
        <v>45200.0</v>
      </c>
      <c r="L793" s="200"/>
      <c r="M793" s="201" t="s">
        <v>614</v>
      </c>
      <c r="N793" s="202"/>
      <c r="O793" s="202"/>
    </row>
    <row r="794">
      <c r="A794" s="192">
        <v>1422.0</v>
      </c>
      <c r="B794" s="193" t="s">
        <v>2816</v>
      </c>
      <c r="C794" s="194" t="s">
        <v>526</v>
      </c>
      <c r="D794" s="193" t="s">
        <v>556</v>
      </c>
      <c r="E794" s="193" t="s">
        <v>2817</v>
      </c>
      <c r="F794" s="195">
        <v>1.55059759E8</v>
      </c>
      <c r="G794" s="196">
        <v>0.0</v>
      </c>
      <c r="H794" s="193"/>
      <c r="I794" s="197" t="str">
        <f>IF(iserror(vlookup($A794,Pagos!$B$5:L1241,4,false)),"Sin actividad",If(vlookup($A794,Pagos!$B$5:$L1241,5,false),vlookup($A794,Pagos!$B$5:$L1241,5,false),vlookup($A794,Pagos!$B$5:$L1241,4,false)))</f>
        <v>Sin actividad</v>
      </c>
      <c r="J794" s="198" t="s">
        <v>529</v>
      </c>
      <c r="K794" s="199">
        <v>41131.0</v>
      </c>
      <c r="L794" s="200">
        <v>42529.0</v>
      </c>
      <c r="M794" s="201" t="s">
        <v>1201</v>
      </c>
      <c r="N794" s="202">
        <f>If(L794&gt;K794,   datedif(K794,L794,"Y") , If(K794&lt;Vitalicios!$C$4, datedif(K794,Vitalicios!$C$4,"Y"),0)  )</f>
        <v>3</v>
      </c>
      <c r="O794" s="202"/>
    </row>
    <row r="795">
      <c r="A795" s="192">
        <v>1819.0</v>
      </c>
      <c r="B795" s="193" t="s">
        <v>2818</v>
      </c>
      <c r="C795" s="193" t="s">
        <v>537</v>
      </c>
      <c r="D795" s="193" t="s">
        <v>1151</v>
      </c>
      <c r="E795" s="193" t="s">
        <v>2819</v>
      </c>
      <c r="F795" s="195">
        <v>2.215666158E9</v>
      </c>
      <c r="G795" s="196"/>
      <c r="H795" s="193" t="s">
        <v>2820</v>
      </c>
      <c r="I795" s="197">
        <f>IF(iserror(vlookup($A795,Pagos!$B$5:L1241,4,false)),"Sin actividad",If(vlookup($A795,Pagos!$B$5:$L1241,5,false),vlookup($A795,Pagos!$B$5:$L1241,5,false),vlookup($A795,Pagos!$B$5:$L1241,4,false)))</f>
        <v>45870</v>
      </c>
      <c r="J795" s="198" t="s">
        <v>523</v>
      </c>
      <c r="K795" s="199">
        <v>44075.0</v>
      </c>
      <c r="L795" s="200"/>
      <c r="M795" s="201"/>
      <c r="N795" s="202"/>
      <c r="O795" s="202"/>
    </row>
    <row r="796">
      <c r="A796" s="192">
        <v>1138.0</v>
      </c>
      <c r="B796" s="193" t="s">
        <v>2821</v>
      </c>
      <c r="C796" s="194" t="s">
        <v>526</v>
      </c>
      <c r="D796" s="193" t="s">
        <v>556</v>
      </c>
      <c r="E796" s="193" t="s">
        <v>2822</v>
      </c>
      <c r="F796" s="195">
        <v>1.55561677E8</v>
      </c>
      <c r="G796" s="196">
        <v>0.0</v>
      </c>
      <c r="H796" s="193" t="s">
        <v>2823</v>
      </c>
      <c r="I796" s="197" t="str">
        <f>IF(iserror(vlookup($A796,Pagos!$B$5:L1241,4,false)),"Sin actividad",If(vlookup($A796,Pagos!$B$5:$L1241,5,false),vlookup($A796,Pagos!$B$5:$L1241,5,false),vlookup($A796,Pagos!$B$5:$L1241,4,false)))</f>
        <v>Sin actividad</v>
      </c>
      <c r="J796" s="198" t="s">
        <v>529</v>
      </c>
      <c r="K796" s="199">
        <v>39158.0</v>
      </c>
      <c r="L796" s="200"/>
      <c r="M796" s="201"/>
      <c r="N796" s="202">
        <f>If(L796&gt;K796,   datedif(K796,L796,"Y") , If(K796&lt;Vitalicios!$C$4, datedif(K796,Vitalicios!$C$4,"Y"),0)  )</f>
        <v>18</v>
      </c>
      <c r="O796" s="202"/>
    </row>
    <row r="797">
      <c r="A797" s="192">
        <v>1847.0</v>
      </c>
      <c r="B797" s="193" t="s">
        <v>2824</v>
      </c>
      <c r="C797" s="193" t="s">
        <v>537</v>
      </c>
      <c r="D797" s="193" t="s">
        <v>2825</v>
      </c>
      <c r="E797" s="193" t="s">
        <v>2826</v>
      </c>
      <c r="F797" s="195">
        <v>2.215682223E9</v>
      </c>
      <c r="G797" s="196"/>
      <c r="H797" s="193" t="s">
        <v>2827</v>
      </c>
      <c r="I797" s="197" t="str">
        <f>IF(iserror(vlookup($A797,Pagos!$B$5:L1241,4,false)),"Sin actividad",If(vlookup($A797,Pagos!$B$5:$L1241,5,false),vlookup($A797,Pagos!$B$5:$L1241,5,false),vlookup($A797,Pagos!$B$5:$L1241,4,false)))</f>
        <v>Sin actividad</v>
      </c>
      <c r="J797" s="198" t="s">
        <v>529</v>
      </c>
      <c r="K797" s="199">
        <v>44136.0</v>
      </c>
      <c r="L797" s="200">
        <v>44562.0</v>
      </c>
      <c r="M797" s="201" t="s">
        <v>535</v>
      </c>
      <c r="N797" s="202"/>
      <c r="O797" s="202"/>
    </row>
    <row r="798">
      <c r="A798" s="192">
        <v>1687.0</v>
      </c>
      <c r="B798" s="193" t="s">
        <v>2828</v>
      </c>
      <c r="C798" s="194" t="s">
        <v>519</v>
      </c>
      <c r="D798" s="193" t="s">
        <v>520</v>
      </c>
      <c r="E798" s="193" t="s">
        <v>2829</v>
      </c>
      <c r="F798" s="195">
        <v>1.54852639E8</v>
      </c>
      <c r="G798" s="196"/>
      <c r="H798" s="193" t="s">
        <v>2830</v>
      </c>
      <c r="I798" s="197" t="str">
        <f>IF(iserror(vlookup($A798,Pagos!$B$5:L1241,4,false)),"Sin actividad",If(vlookup($A798,Pagos!$B$5:$L1241,5,false),vlookup($A798,Pagos!$B$5:$L1241,5,false),vlookup($A798,Pagos!$B$5:$L1241,4,false)))</f>
        <v>Sin actividad</v>
      </c>
      <c r="J798" s="198" t="s">
        <v>529</v>
      </c>
      <c r="K798" s="199">
        <v>43132.0</v>
      </c>
      <c r="L798" s="200">
        <v>43831.0</v>
      </c>
      <c r="M798" s="201"/>
      <c r="N798" s="202">
        <f>If(L798&gt;K798,   datedif(K798,L798,"Y") , If(K798&lt;Vitalicios!$C$4, datedif(K798,Vitalicios!$C$4,"Y"),0)  )</f>
        <v>1</v>
      </c>
      <c r="O798" s="202"/>
    </row>
    <row r="799">
      <c r="A799" s="192">
        <v>2321.0</v>
      </c>
      <c r="B799" s="193" t="s">
        <v>2831</v>
      </c>
      <c r="C799" s="193" t="s">
        <v>537</v>
      </c>
      <c r="D799" s="193" t="s">
        <v>538</v>
      </c>
      <c r="E799" s="193" t="s">
        <v>2832</v>
      </c>
      <c r="F799" s="195">
        <v>2.214590352E9</v>
      </c>
      <c r="G799" s="196"/>
      <c r="H799" s="193" t="s">
        <v>2833</v>
      </c>
      <c r="I799" s="197"/>
      <c r="J799" s="198" t="s">
        <v>523</v>
      </c>
      <c r="K799" s="199">
        <v>45689.0</v>
      </c>
      <c r="L799" s="200"/>
      <c r="M799" s="201"/>
      <c r="N799" s="202"/>
      <c r="O799" s="202"/>
    </row>
    <row r="800">
      <c r="A800" s="192">
        <v>1571.0</v>
      </c>
      <c r="B800" s="193" t="s">
        <v>2834</v>
      </c>
      <c r="C800" s="193" t="s">
        <v>537</v>
      </c>
      <c r="D800" s="193" t="s">
        <v>520</v>
      </c>
      <c r="E800" s="193" t="s">
        <v>2835</v>
      </c>
      <c r="F800" s="195">
        <v>1.54090458E8</v>
      </c>
      <c r="G800" s="196"/>
      <c r="H800" s="193" t="s">
        <v>2836</v>
      </c>
      <c r="I800" s="197" t="str">
        <f>IF(iserror(vlookup($A800,Pagos!$B$5:L1241,4,false)),"Sin actividad",If(vlookup($A800,Pagos!$B$5:$L1241,5,false),vlookup($A800,Pagos!$B$5:$L1241,5,false),vlookup($A800,Pagos!$B$5:$L1241,4,false)))</f>
        <v>Sin actividad</v>
      </c>
      <c r="J800" s="198" t="s">
        <v>529</v>
      </c>
      <c r="K800" s="199">
        <v>42309.0</v>
      </c>
      <c r="L800" s="200"/>
      <c r="M800" s="201" t="s">
        <v>2837</v>
      </c>
      <c r="N800" s="202">
        <f>If(L800&gt;K800,   datedif(K800,L800,"Y") , If(K800&lt;Vitalicios!$C$4, datedif(K800,Vitalicios!$C$4,"Y"),0)  )</f>
        <v>9</v>
      </c>
      <c r="O800" s="202"/>
    </row>
    <row r="801">
      <c r="A801" s="192">
        <v>1351.0</v>
      </c>
      <c r="B801" s="193" t="s">
        <v>2838</v>
      </c>
      <c r="C801" s="194" t="s">
        <v>526</v>
      </c>
      <c r="D801" s="193" t="s">
        <v>556</v>
      </c>
      <c r="E801" s="193" t="s">
        <v>2839</v>
      </c>
      <c r="F801" s="195">
        <v>4845789.0</v>
      </c>
      <c r="G801" s="196">
        <v>0.0</v>
      </c>
      <c r="H801" s="193"/>
      <c r="I801" s="197" t="str">
        <f>IF(iserror(vlookup($A801,Pagos!$B$5:L1241,4,false)),"Sin actividad",If(vlookup($A801,Pagos!$B$5:$L1241,5,false),vlookup($A801,Pagos!$B$5:$L1241,5,false),vlookup($A801,Pagos!$B$5:$L1241,4,false)))</f>
        <v>Sin actividad</v>
      </c>
      <c r="J801" s="198" t="s">
        <v>529</v>
      </c>
      <c r="K801" s="199">
        <v>40566.0</v>
      </c>
      <c r="L801" s="200">
        <v>43525.0</v>
      </c>
      <c r="M801" s="201"/>
      <c r="N801" s="202">
        <f>If(L801&gt;K801,   datedif(K801,L801,"Y") , If(K801&lt;Vitalicios!$C$4, datedif(K801,Vitalicios!$C$4,"Y"),0)  )</f>
        <v>8</v>
      </c>
      <c r="O801" s="202"/>
    </row>
    <row r="802">
      <c r="A802" s="192">
        <v>1770.0</v>
      </c>
      <c r="B802" s="193" t="s">
        <v>2840</v>
      </c>
      <c r="C802" s="194" t="s">
        <v>519</v>
      </c>
      <c r="D802" s="193" t="s">
        <v>527</v>
      </c>
      <c r="E802" s="193" t="s">
        <v>2841</v>
      </c>
      <c r="F802" s="195">
        <v>1.54257464E8</v>
      </c>
      <c r="G802" s="196"/>
      <c r="H802" s="193" t="s">
        <v>2842</v>
      </c>
      <c r="I802" s="197" t="str">
        <f>IF(iserror(vlookup($A802,Pagos!$B$5:L1241,4,false)),"Sin actividad",If(vlookup($A802,Pagos!$B$5:$L1241,5,false),vlookup($A802,Pagos!$B$5:$L1241,5,false),vlookup($A802,Pagos!$B$5:$L1241,4,false)))</f>
        <v>Sin actividad</v>
      </c>
      <c r="J802" s="198" t="s">
        <v>529</v>
      </c>
      <c r="K802" s="199">
        <v>43831.0</v>
      </c>
      <c r="L802" s="200"/>
      <c r="M802" s="201"/>
      <c r="N802" s="202">
        <f>If(L802&gt;K802,   datedif(K802,L802,"Y") , If(K802&lt;Vitalicios!$C$4, datedif(K802,Vitalicios!$C$4,"Y"),0)  )</f>
        <v>5</v>
      </c>
      <c r="O802" s="202"/>
    </row>
    <row r="803">
      <c r="A803" s="192">
        <v>2006.0</v>
      </c>
      <c r="B803" s="193" t="s">
        <v>2843</v>
      </c>
      <c r="C803" s="193" t="s">
        <v>537</v>
      </c>
      <c r="D803" s="193" t="s">
        <v>520</v>
      </c>
      <c r="E803" s="193" t="s">
        <v>2844</v>
      </c>
      <c r="F803" s="195">
        <v>0.0</v>
      </c>
      <c r="G803" s="196">
        <v>0.0</v>
      </c>
      <c r="H803" s="193"/>
      <c r="I803" s="197">
        <f>IF(iserror(vlookup($A803,Pagos!$B$5:L1241,4,false)),"Sin actividad",If(vlookup($A803,Pagos!$B$5:$L1241,5,false),vlookup($A803,Pagos!$B$5:$L1241,5,false),vlookup($A803,Pagos!$B$5:$L1241,4,false)))</f>
        <v>45870</v>
      </c>
      <c r="J803" s="198" t="s">
        <v>523</v>
      </c>
      <c r="K803" s="199">
        <v>44621.0</v>
      </c>
      <c r="L803" s="200">
        <v>42155.0</v>
      </c>
      <c r="M803" s="201" t="s">
        <v>2845</v>
      </c>
      <c r="N803" s="202">
        <f>If(L803&gt;K803,   datedif(K803,L803,"Y") , If(K803&lt;Vitalicios!$C$4, datedif(K803,Vitalicios!$C$4,"Y"),0)  )</f>
        <v>3</v>
      </c>
      <c r="O803" s="202"/>
    </row>
    <row r="804">
      <c r="A804" s="192">
        <v>2206.0</v>
      </c>
      <c r="B804" s="193" t="s">
        <v>2846</v>
      </c>
      <c r="C804" s="193" t="s">
        <v>537</v>
      </c>
      <c r="D804" s="193"/>
      <c r="E804" s="193" t="s">
        <v>2847</v>
      </c>
      <c r="F804" s="195">
        <v>2.215060086E9</v>
      </c>
      <c r="G804" s="196"/>
      <c r="H804" s="193" t="s">
        <v>2848</v>
      </c>
      <c r="I804" s="197"/>
      <c r="J804" s="198" t="s">
        <v>523</v>
      </c>
      <c r="K804" s="199">
        <v>45231.0</v>
      </c>
      <c r="L804" s="200"/>
      <c r="M804" s="201"/>
      <c r="N804" s="202"/>
      <c r="O804" s="202"/>
    </row>
    <row r="805">
      <c r="A805" s="192">
        <v>2382.0</v>
      </c>
      <c r="B805" s="193" t="s">
        <v>2849</v>
      </c>
      <c r="C805" s="193" t="s">
        <v>537</v>
      </c>
      <c r="D805" s="193" t="s">
        <v>538</v>
      </c>
      <c r="E805" s="193" t="s">
        <v>2850</v>
      </c>
      <c r="F805" s="195">
        <v>2.216143379E9</v>
      </c>
      <c r="G805" s="196"/>
      <c r="H805" s="193" t="s">
        <v>2851</v>
      </c>
      <c r="I805" s="197"/>
      <c r="J805" s="198" t="s">
        <v>523</v>
      </c>
      <c r="K805" s="199">
        <v>45809.0</v>
      </c>
      <c r="L805" s="200"/>
      <c r="M805" s="201"/>
      <c r="N805" s="202"/>
      <c r="O805" s="202"/>
    </row>
    <row r="806">
      <c r="A806" s="192">
        <v>693.0</v>
      </c>
      <c r="B806" s="193" t="s">
        <v>2852</v>
      </c>
      <c r="C806" s="194" t="s">
        <v>564</v>
      </c>
      <c r="D806" s="193" t="s">
        <v>520</v>
      </c>
      <c r="E806" s="193">
        <v>0.0</v>
      </c>
      <c r="F806" s="195">
        <v>0.0</v>
      </c>
      <c r="G806" s="196">
        <v>0.0</v>
      </c>
      <c r="H806" s="193"/>
      <c r="I806" s="197" t="str">
        <f>IF(iserror(vlookup($A806,Pagos!$B$5:L1241,4,false)),"Sin actividad",If(vlookup($A806,Pagos!$B$5:$L1241,5,false),vlookup($A806,Pagos!$B$5:$L1241,5,false),vlookup($A806,Pagos!$B$5:$L1241,4,false)))</f>
        <v>Sin actividad</v>
      </c>
      <c r="J806" s="198" t="s">
        <v>529</v>
      </c>
      <c r="K806" s="199">
        <v>35411.0</v>
      </c>
      <c r="L806" s="200"/>
      <c r="M806" s="201"/>
      <c r="N806" s="202">
        <f>If(L806&gt;K806,   datedif(K806,L806,"Y") , If(K806&lt;Vitalicios!$C$4, datedif(K806,Vitalicios!$C$4,"Y"),0)  )</f>
        <v>28</v>
      </c>
      <c r="O806" s="202"/>
    </row>
    <row r="807">
      <c r="A807" s="192">
        <v>2124.0</v>
      </c>
      <c r="B807" s="193" t="s">
        <v>2853</v>
      </c>
      <c r="C807" s="193" t="s">
        <v>537</v>
      </c>
      <c r="D807" s="193" t="s">
        <v>628</v>
      </c>
      <c r="E807" s="193" t="s">
        <v>2854</v>
      </c>
      <c r="F807" s="195">
        <v>2.216206925E9</v>
      </c>
      <c r="G807" s="196"/>
      <c r="H807" s="193" t="s">
        <v>2855</v>
      </c>
      <c r="I807" s="197"/>
      <c r="J807" s="198" t="s">
        <v>523</v>
      </c>
      <c r="K807" s="199">
        <v>44927.0</v>
      </c>
      <c r="L807" s="200"/>
      <c r="M807" s="201"/>
      <c r="N807" s="202"/>
      <c r="O807" s="202"/>
    </row>
    <row r="808">
      <c r="A808" s="192">
        <v>2039.0</v>
      </c>
      <c r="B808" s="193" t="s">
        <v>2856</v>
      </c>
      <c r="C808" s="193" t="s">
        <v>526</v>
      </c>
      <c r="D808" s="193" t="s">
        <v>532</v>
      </c>
      <c r="E808" s="193" t="s">
        <v>2857</v>
      </c>
      <c r="F808" s="195">
        <v>2.215118053E9</v>
      </c>
      <c r="G808" s="196"/>
      <c r="H808" s="193" t="s">
        <v>2858</v>
      </c>
      <c r="I808" s="197"/>
      <c r="J808" s="198" t="s">
        <v>523</v>
      </c>
      <c r="K808" s="199">
        <v>44774.0</v>
      </c>
      <c r="L808" s="200"/>
      <c r="M808" s="201"/>
      <c r="N808" s="202"/>
      <c r="O808" s="202"/>
    </row>
    <row r="809">
      <c r="A809" s="192">
        <v>1307.0</v>
      </c>
      <c r="B809" s="193" t="s">
        <v>2859</v>
      </c>
      <c r="C809" s="194" t="s">
        <v>526</v>
      </c>
      <c r="D809" s="193" t="s">
        <v>556</v>
      </c>
      <c r="E809" s="193" t="s">
        <v>2860</v>
      </c>
      <c r="F809" s="195">
        <v>0.0</v>
      </c>
      <c r="G809" s="196">
        <v>0.0</v>
      </c>
      <c r="H809" s="193"/>
      <c r="I809" s="197" t="str">
        <f>IF(iserror(vlookup($A809,Pagos!$B$5:L1241,4,false)),"Sin actividad",If(vlookup($A809,Pagos!$B$5:$L1241,5,false),vlookup($A809,Pagos!$B$5:$L1241,5,false),vlookup($A809,Pagos!$B$5:$L1241,4,false)))</f>
        <v>Sin actividad</v>
      </c>
      <c r="J809" s="198" t="s">
        <v>529</v>
      </c>
      <c r="K809" s="199">
        <v>40418.0</v>
      </c>
      <c r="L809" s="200"/>
      <c r="M809" s="201"/>
      <c r="N809" s="202">
        <f>If(L809&gt;K809,   datedif(K809,L809,"Y") , If(K809&lt;Vitalicios!$C$4, datedif(K809,Vitalicios!$C$4,"Y"),0)  )</f>
        <v>15</v>
      </c>
      <c r="O809" s="202"/>
    </row>
    <row r="810">
      <c r="A810" s="192">
        <v>1999.0</v>
      </c>
      <c r="B810" s="193" t="s">
        <v>2861</v>
      </c>
      <c r="C810" s="193" t="s">
        <v>537</v>
      </c>
      <c r="D810" s="193" t="s">
        <v>538</v>
      </c>
      <c r="E810" s="193" t="s">
        <v>2862</v>
      </c>
      <c r="F810" s="195">
        <v>1.140562914E9</v>
      </c>
      <c r="G810" s="196"/>
      <c r="H810" s="193" t="s">
        <v>2863</v>
      </c>
      <c r="I810" s="197" t="str">
        <f>IF(iserror(vlookup($A810,Pagos!$B$5:L1241,4,false)),"Sin actividad",If(vlookup($A810,Pagos!$B$5:$L1241,5,false),vlookup($A810,Pagos!$B$5:$L1241,5,false),vlookup($A810,Pagos!$B$5:$L1241,4,false)))</f>
        <v>Sin actividad</v>
      </c>
      <c r="J810" s="198" t="s">
        <v>529</v>
      </c>
      <c r="K810" s="199">
        <v>44562.0</v>
      </c>
      <c r="L810" s="200">
        <v>45413.0</v>
      </c>
      <c r="M810" s="201" t="s">
        <v>915</v>
      </c>
      <c r="N810" s="202"/>
      <c r="O810" s="202"/>
    </row>
    <row r="811">
      <c r="A811" s="192">
        <v>1655.0</v>
      </c>
      <c r="B811" s="193" t="s">
        <v>2864</v>
      </c>
      <c r="C811" s="194" t="s">
        <v>519</v>
      </c>
      <c r="D811" s="193" t="s">
        <v>527</v>
      </c>
      <c r="E811" s="193" t="s">
        <v>2865</v>
      </c>
      <c r="F811" s="195">
        <v>4232744.0</v>
      </c>
      <c r="G811" s="196"/>
      <c r="H811" s="193" t="s">
        <v>2866</v>
      </c>
      <c r="I811" s="197" t="str">
        <f>IF(iserror(vlookup($A811,Pagos!$B$5:L1241,4,false)),"Sin actividad",If(vlookup($A811,Pagos!$B$5:$L1241,5,false),vlookup($A811,Pagos!$B$5:$L1241,5,false),vlookup($A811,Pagos!$B$5:$L1241,4,false)))</f>
        <v>Sin actividad</v>
      </c>
      <c r="J811" s="198" t="s">
        <v>529</v>
      </c>
      <c r="K811" s="199"/>
      <c r="L811" s="200">
        <v>43617.0</v>
      </c>
      <c r="M811" s="201"/>
      <c r="N811" s="202">
        <f>If(L811&gt;K811,   datedif(K811,L811,"Y") , If(K811&lt;Vitalicios!$C$4, datedif(K811,Vitalicios!$C$4,"Y"),0)  )</f>
        <v>119</v>
      </c>
      <c r="O811" s="202"/>
    </row>
    <row r="812">
      <c r="A812" s="192">
        <v>2182.0</v>
      </c>
      <c r="B812" s="193" t="s">
        <v>2867</v>
      </c>
      <c r="C812" s="193" t="s">
        <v>537</v>
      </c>
      <c r="D812" s="193"/>
      <c r="E812" s="193"/>
      <c r="F812" s="195">
        <v>1.15696033E9</v>
      </c>
      <c r="G812" s="196"/>
      <c r="H812" s="193" t="s">
        <v>2868</v>
      </c>
      <c r="I812" s="197"/>
      <c r="J812" s="198" t="s">
        <v>529</v>
      </c>
      <c r="K812" s="199">
        <v>45139.0</v>
      </c>
      <c r="L812" s="200">
        <v>45413.0</v>
      </c>
      <c r="M812" s="201" t="s">
        <v>915</v>
      </c>
      <c r="N812" s="202"/>
      <c r="O812" s="202"/>
    </row>
    <row r="813">
      <c r="A813" s="192">
        <v>1816.0</v>
      </c>
      <c r="B813" s="193" t="s">
        <v>2869</v>
      </c>
      <c r="C813" s="193" t="s">
        <v>679</v>
      </c>
      <c r="D813" s="193" t="s">
        <v>628</v>
      </c>
      <c r="E813" s="193" t="s">
        <v>2870</v>
      </c>
      <c r="F813" s="195">
        <v>2.214951421E9</v>
      </c>
      <c r="G813" s="196"/>
      <c r="H813" s="193" t="s">
        <v>2871</v>
      </c>
      <c r="I813" s="197" t="str">
        <f>IF(iserror(vlookup($A813,Pagos!$B$5:L1241,4,false)),"Sin actividad",If(vlookup($A813,Pagos!$B$5:$L1241,5,false),vlookup($A813,Pagos!$B$5:$L1241,5,false),vlookup($A813,Pagos!$B$5:$L1241,4,false)))</f>
        <v>Sin actividad</v>
      </c>
      <c r="J813" s="198" t="s">
        <v>523</v>
      </c>
      <c r="K813" s="199">
        <v>44075.0</v>
      </c>
      <c r="L813" s="200">
        <v>45413.0</v>
      </c>
      <c r="M813" s="201" t="s">
        <v>535</v>
      </c>
      <c r="N813" s="202"/>
      <c r="O813" s="202"/>
    </row>
    <row r="814">
      <c r="A814" s="192">
        <v>1998.0</v>
      </c>
      <c r="B814" s="193" t="s">
        <v>2872</v>
      </c>
      <c r="C814" s="193" t="s">
        <v>679</v>
      </c>
      <c r="D814" s="193" t="s">
        <v>538</v>
      </c>
      <c r="E814" s="193" t="s">
        <v>2873</v>
      </c>
      <c r="F814" s="195">
        <v>2.214946897E9</v>
      </c>
      <c r="G814" s="196"/>
      <c r="H814" s="193" t="s">
        <v>2874</v>
      </c>
      <c r="I814" s="197" t="str">
        <f>IF(iserror(vlookup($A814,Pagos!$B$5:L1241,4,false)),"Sin actividad",If(vlookup($A814,Pagos!$B$5:$L1241,5,false),vlookup($A814,Pagos!$B$5:$L1241,5,false),vlookup($A814,Pagos!$B$5:$L1241,4,false)))</f>
        <v>Sin actividad</v>
      </c>
      <c r="J814" s="198" t="s">
        <v>529</v>
      </c>
      <c r="K814" s="199">
        <v>44562.0</v>
      </c>
      <c r="L814" s="200">
        <v>45413.0</v>
      </c>
      <c r="M814" s="201" t="s">
        <v>2875</v>
      </c>
      <c r="N814" s="202"/>
      <c r="O814" s="202"/>
    </row>
    <row r="815">
      <c r="A815" s="192">
        <v>2231.0</v>
      </c>
      <c r="B815" s="193" t="s">
        <v>2876</v>
      </c>
      <c r="C815" s="193" t="s">
        <v>679</v>
      </c>
      <c r="D815" s="193" t="s">
        <v>596</v>
      </c>
      <c r="E815" s="193" t="s">
        <v>2877</v>
      </c>
      <c r="F815" s="195">
        <v>2.216171093E9</v>
      </c>
      <c r="G815" s="196"/>
      <c r="H815" s="193" t="s">
        <v>2878</v>
      </c>
      <c r="I815" s="197">
        <v>45292.0</v>
      </c>
      <c r="J815" s="198" t="s">
        <v>529</v>
      </c>
      <c r="K815" s="199"/>
      <c r="L815" s="200">
        <v>45505.0</v>
      </c>
      <c r="M815" s="201" t="s">
        <v>703</v>
      </c>
      <c r="N815" s="202"/>
      <c r="O815" s="202"/>
    </row>
    <row r="816">
      <c r="A816" s="192">
        <v>2011.0</v>
      </c>
      <c r="B816" s="193" t="s">
        <v>2879</v>
      </c>
      <c r="C816" s="193" t="s">
        <v>679</v>
      </c>
      <c r="D816" s="193" t="s">
        <v>538</v>
      </c>
      <c r="E816" s="193" t="s">
        <v>2880</v>
      </c>
      <c r="F816" s="195">
        <v>2.216349669E9</v>
      </c>
      <c r="G816" s="196"/>
      <c r="H816" s="193" t="s">
        <v>2881</v>
      </c>
      <c r="I816" s="197" t="str">
        <f>IF(iserror(vlookup($A816,Pagos!$B$5:L1241,4,false)),"Sin actividad",If(vlookup($A816,Pagos!$B$5:$L1241,5,false),vlookup($A816,Pagos!$B$5:$L1241,5,false),vlookup($A816,Pagos!$B$5:$L1241,4,false)))</f>
        <v>Sin actividad</v>
      </c>
      <c r="J816" s="198" t="s">
        <v>529</v>
      </c>
      <c r="K816" s="199">
        <v>44621.0</v>
      </c>
      <c r="L816" s="206" t="s">
        <v>2882</v>
      </c>
      <c r="M816" s="201" t="s">
        <v>1201</v>
      </c>
      <c r="N816" s="202"/>
      <c r="O816" s="202"/>
    </row>
    <row r="817">
      <c r="A817" s="192">
        <v>1417.0</v>
      </c>
      <c r="B817" s="193" t="s">
        <v>2883</v>
      </c>
      <c r="C817" s="194" t="s">
        <v>526</v>
      </c>
      <c r="D817" s="193" t="s">
        <v>556</v>
      </c>
      <c r="E817" s="193" t="s">
        <v>2884</v>
      </c>
      <c r="F817" s="195">
        <v>1.55567178E8</v>
      </c>
      <c r="G817" s="196">
        <v>0.0</v>
      </c>
      <c r="H817" s="193"/>
      <c r="I817" s="197" t="str">
        <f>IF(iserror(vlookup($A817,Pagos!$B$5:L1241,4,false)),"Sin actividad",If(vlookup($A817,Pagos!$B$5:$L1241,5,false),vlookup($A817,Pagos!$B$5:$L1241,5,false),vlookup($A817,Pagos!$B$5:$L1241,4,false)))</f>
        <v>Sin actividad</v>
      </c>
      <c r="J817" s="198" t="s">
        <v>529</v>
      </c>
      <c r="K817" s="199">
        <v>41020.0</v>
      </c>
      <c r="L817" s="200">
        <v>42522.0</v>
      </c>
      <c r="M817" s="201" t="s">
        <v>1201</v>
      </c>
      <c r="N817" s="202">
        <f>If(L817&gt;K817,   datedif(K817,L817,"Y") , If(K817&lt;Vitalicios!$C$4, datedif(K817,Vitalicios!$C$4,"Y"),0)  )</f>
        <v>4</v>
      </c>
      <c r="O817" s="202"/>
    </row>
    <row r="818">
      <c r="A818" s="192">
        <v>2066.0</v>
      </c>
      <c r="B818" s="193" t="s">
        <v>2885</v>
      </c>
      <c r="C818" s="193" t="s">
        <v>537</v>
      </c>
      <c r="D818" s="193" t="s">
        <v>628</v>
      </c>
      <c r="E818" s="193" t="s">
        <v>2886</v>
      </c>
      <c r="F818" s="195">
        <v>1.14190582E9</v>
      </c>
      <c r="G818" s="196"/>
      <c r="H818" s="193" t="s">
        <v>2887</v>
      </c>
      <c r="I818" s="197"/>
      <c r="J818" s="198" t="s">
        <v>529</v>
      </c>
      <c r="K818" s="199">
        <v>44805.0</v>
      </c>
      <c r="L818" s="200">
        <v>45047.0</v>
      </c>
      <c r="M818" s="201" t="s">
        <v>857</v>
      </c>
      <c r="N818" s="202"/>
      <c r="O818" s="202"/>
    </row>
    <row r="819">
      <c r="A819" s="192">
        <v>1616.0</v>
      </c>
      <c r="B819" s="193" t="s">
        <v>2888</v>
      </c>
      <c r="C819" s="194" t="s">
        <v>519</v>
      </c>
      <c r="D819" s="193" t="s">
        <v>520</v>
      </c>
      <c r="E819" s="193" t="s">
        <v>2889</v>
      </c>
      <c r="F819" s="195">
        <v>4633299.0</v>
      </c>
      <c r="G819" s="196"/>
      <c r="H819" s="193" t="s">
        <v>2890</v>
      </c>
      <c r="I819" s="197">
        <f>IF(iserror(vlookup($A819,Pagos!$B$5:L1241,4,false)),"Sin actividad",If(vlookup($A819,Pagos!$B$5:$L1241,5,false),vlookup($A819,Pagos!$B$5:$L1241,5,false),vlookup($A819,Pagos!$B$5:$L1241,4,false)))</f>
        <v>45870</v>
      </c>
      <c r="J819" s="198" t="s">
        <v>523</v>
      </c>
      <c r="K819" s="199">
        <v>42705.0</v>
      </c>
      <c r="L819" s="200"/>
      <c r="M819" s="201"/>
      <c r="N819" s="202">
        <f>If(L819&gt;K819,   datedif(K819,L819,"Y") , If(K819&lt;Vitalicios!$C$4, datedif(K819,Vitalicios!$C$4,"Y"),0)  )</f>
        <v>8</v>
      </c>
      <c r="O819" s="202"/>
    </row>
    <row r="820">
      <c r="A820" s="192">
        <v>2185.0</v>
      </c>
      <c r="B820" s="193" t="s">
        <v>2891</v>
      </c>
      <c r="C820" s="193" t="s">
        <v>537</v>
      </c>
      <c r="D820" s="193" t="s">
        <v>1729</v>
      </c>
      <c r="E820" s="193" t="s">
        <v>2892</v>
      </c>
      <c r="F820" s="195">
        <v>1.15696033E9</v>
      </c>
      <c r="G820" s="196"/>
      <c r="H820" s="193" t="s">
        <v>2893</v>
      </c>
      <c r="I820" s="197"/>
      <c r="J820" s="198" t="s">
        <v>523</v>
      </c>
      <c r="K820" s="199">
        <v>45108.0</v>
      </c>
      <c r="L820" s="200">
        <v>45505.0</v>
      </c>
      <c r="M820" s="201" t="s">
        <v>703</v>
      </c>
      <c r="N820" s="202"/>
      <c r="O820" s="202"/>
    </row>
    <row r="821">
      <c r="A821" s="192">
        <v>2270.0</v>
      </c>
      <c r="B821" s="193" t="s">
        <v>2894</v>
      </c>
      <c r="C821" s="193" t="s">
        <v>537</v>
      </c>
      <c r="D821" s="193" t="s">
        <v>628</v>
      </c>
      <c r="E821" s="193" t="s">
        <v>2895</v>
      </c>
      <c r="F821" s="195">
        <v>2.215730836E9</v>
      </c>
      <c r="G821" s="196"/>
      <c r="H821" s="193" t="s">
        <v>2896</v>
      </c>
      <c r="I821" s="197"/>
      <c r="J821" s="198" t="s">
        <v>523</v>
      </c>
      <c r="K821" s="199">
        <v>45505.0</v>
      </c>
      <c r="L821" s="200"/>
      <c r="M821" s="201"/>
      <c r="N821" s="202"/>
      <c r="O821" s="202"/>
    </row>
    <row r="822">
      <c r="A822" s="192">
        <v>2312.0</v>
      </c>
      <c r="B822" s="193" t="s">
        <v>2897</v>
      </c>
      <c r="C822" s="193" t="s">
        <v>537</v>
      </c>
      <c r="D822" s="193" t="s">
        <v>532</v>
      </c>
      <c r="E822" s="193" t="s">
        <v>2898</v>
      </c>
      <c r="F822" s="195">
        <v>1.156935435E9</v>
      </c>
      <c r="G822" s="196"/>
      <c r="H822" s="193" t="s">
        <v>2899</v>
      </c>
      <c r="I822" s="197"/>
      <c r="J822" s="198" t="s">
        <v>523</v>
      </c>
      <c r="K822" s="199">
        <v>45658.0</v>
      </c>
      <c r="L822" s="200"/>
      <c r="M822" s="201"/>
      <c r="N822" s="202"/>
      <c r="O822" s="202"/>
    </row>
    <row r="823">
      <c r="A823" s="192">
        <v>1612.0</v>
      </c>
      <c r="B823" s="193" t="s">
        <v>2900</v>
      </c>
      <c r="C823" s="194" t="s">
        <v>526</v>
      </c>
      <c r="D823" s="193" t="s">
        <v>527</v>
      </c>
      <c r="E823" s="193" t="s">
        <v>2901</v>
      </c>
      <c r="F823" s="195">
        <v>4890094.0</v>
      </c>
      <c r="G823" s="196"/>
      <c r="H823" s="193" t="s">
        <v>2902</v>
      </c>
      <c r="I823" s="197" t="str">
        <f>IF(iserror(vlookup($A823,Pagos!$B$5:L1241,4,false)),"Sin actividad",If(vlookup($A823,Pagos!$B$5:$L1241,5,false),vlookup($A823,Pagos!$B$5:$L1241,5,false),vlookup($A823,Pagos!$B$5:$L1241,4,false)))</f>
        <v>Sin actividad</v>
      </c>
      <c r="J823" s="198" t="s">
        <v>529</v>
      </c>
      <c r="K823" s="199"/>
      <c r="L823" s="200">
        <v>43160.0</v>
      </c>
      <c r="M823" s="201" t="s">
        <v>2903</v>
      </c>
      <c r="N823" s="202">
        <f>If(L823&gt;K823,   datedif(K823,L823,"Y") , If(K823&lt;Vitalicios!$C$4, datedif(K823,Vitalicios!$C$4,"Y"),0)  )</f>
        <v>118</v>
      </c>
      <c r="O823" s="202"/>
    </row>
    <row r="824">
      <c r="A824" s="192">
        <v>1502.0</v>
      </c>
      <c r="B824" s="193" t="s">
        <v>2904</v>
      </c>
      <c r="C824" s="194" t="s">
        <v>526</v>
      </c>
      <c r="D824" s="193" t="s">
        <v>693</v>
      </c>
      <c r="E824" s="193" t="s">
        <v>2905</v>
      </c>
      <c r="F824" s="195">
        <v>4141326.0</v>
      </c>
      <c r="G824" s="196">
        <v>1.55255355E8</v>
      </c>
      <c r="H824" s="193"/>
      <c r="I824" s="197" t="str">
        <f>IF(iserror(vlookup($A824,Pagos!$B$5:L1241,4,false)),"Sin actividad",If(vlookup($A824,Pagos!$B$5:$L1241,5,false),vlookup($A824,Pagos!$B$5:$L1241,5,false),vlookup($A824,Pagos!$B$5:$L1241,4,false)))</f>
        <v>Sin actividad</v>
      </c>
      <c r="J824" s="198" t="s">
        <v>529</v>
      </c>
      <c r="K824" s="199">
        <v>41727.0</v>
      </c>
      <c r="L824" s="200">
        <v>42583.0</v>
      </c>
      <c r="M824" s="201" t="s">
        <v>2906</v>
      </c>
      <c r="N824" s="202">
        <f>If(L824&gt;K824,   datedif(K824,L824,"Y") , If(K824&lt;Vitalicios!$C$4, datedif(K824,Vitalicios!$C$4,"Y"),0)  )</f>
        <v>2</v>
      </c>
      <c r="O824" s="202"/>
    </row>
    <row r="825">
      <c r="A825" s="192">
        <v>1482.0</v>
      </c>
      <c r="B825" s="193" t="s">
        <v>2907</v>
      </c>
      <c r="C825" s="194" t="s">
        <v>526</v>
      </c>
      <c r="D825" s="193" t="s">
        <v>556</v>
      </c>
      <c r="E825" s="193" t="s">
        <v>2908</v>
      </c>
      <c r="F825" s="195"/>
      <c r="G825" s="196">
        <v>0.0</v>
      </c>
      <c r="H825" s="193"/>
      <c r="I825" s="197" t="str">
        <f>IF(iserror(vlookup($A825,Pagos!$B$5:L1241,4,false)),"Sin actividad",If(vlookup($A825,Pagos!$B$5:$L1241,5,false),vlookup($A825,Pagos!$B$5:$L1241,5,false),vlookup($A825,Pagos!$B$5:$L1241,4,false)))</f>
        <v>Sin actividad</v>
      </c>
      <c r="J825" s="198" t="s">
        <v>529</v>
      </c>
      <c r="K825" s="199">
        <v>41306.0</v>
      </c>
      <c r="L825" s="200">
        <v>43983.0</v>
      </c>
      <c r="M825" s="201" t="s">
        <v>2909</v>
      </c>
      <c r="N825" s="202">
        <f>If(L825&gt;K825,   datedif(K825,L825,"Y") , If(K825&lt;Vitalicios!$C$4, datedif(K825,Vitalicios!$C$4,"Y"),0)  )</f>
        <v>7</v>
      </c>
      <c r="O825" s="202"/>
    </row>
    <row r="826">
      <c r="A826" s="192">
        <v>1696.0</v>
      </c>
      <c r="B826" s="193" t="s">
        <v>2910</v>
      </c>
      <c r="C826" s="194" t="s">
        <v>519</v>
      </c>
      <c r="D826" s="193" t="s">
        <v>520</v>
      </c>
      <c r="E826" s="193" t="s">
        <v>2911</v>
      </c>
      <c r="F826" s="195">
        <v>1.55677857E8</v>
      </c>
      <c r="G826" s="196"/>
      <c r="H826" s="193" t="s">
        <v>2912</v>
      </c>
      <c r="I826" s="197">
        <f>IF(iserror(vlookup($A826,Pagos!$B$5:L1241,4,false)),"Sin actividad",If(vlookup($A826,Pagos!$B$5:$L1241,5,false),vlookup($A826,Pagos!$B$5:$L1241,5,false),vlookup($A826,Pagos!$B$5:$L1241,4,false)))</f>
        <v>45870</v>
      </c>
      <c r="J826" s="198" t="s">
        <v>523</v>
      </c>
      <c r="K826" s="199">
        <v>43191.0</v>
      </c>
      <c r="L826" s="200"/>
      <c r="M826" s="201"/>
      <c r="N826" s="202">
        <f>If(L826&gt;K826,   datedif(K826,L826,"Y") , If(K826&lt;Vitalicios!$C$4, datedif(K826,Vitalicios!$C$4,"Y"),0)  )</f>
        <v>7</v>
      </c>
      <c r="O826" s="202"/>
    </row>
    <row r="827">
      <c r="A827" s="192">
        <v>1954.0</v>
      </c>
      <c r="B827" s="193" t="s">
        <v>2913</v>
      </c>
      <c r="C827" s="193" t="s">
        <v>537</v>
      </c>
      <c r="D827" s="193" t="s">
        <v>538</v>
      </c>
      <c r="E827" s="193" t="s">
        <v>2914</v>
      </c>
      <c r="F827" s="195">
        <v>4828263.0</v>
      </c>
      <c r="G827" s="196"/>
      <c r="H827" s="193" t="s">
        <v>2915</v>
      </c>
      <c r="I827" s="197">
        <f>IF(iserror(vlookup($A827,Pagos!$B$5:L1241,4,false)),"Sin actividad",If(vlookup($A827,Pagos!$B$5:$L1241,5,false),vlookup($A827,Pagos!$B$5:$L1241,5,false),vlookup($A827,Pagos!$B$5:$L1241,4,false)))</f>
        <v>45809</v>
      </c>
      <c r="J827" s="198" t="s">
        <v>523</v>
      </c>
      <c r="K827" s="199">
        <v>44501.0</v>
      </c>
      <c r="L827" s="200"/>
      <c r="M827" s="201"/>
      <c r="N827" s="202"/>
      <c r="O827" s="202"/>
    </row>
    <row r="828">
      <c r="A828" s="192">
        <v>1844.0</v>
      </c>
      <c r="B828" s="193" t="s">
        <v>2916</v>
      </c>
      <c r="C828" s="193" t="s">
        <v>526</v>
      </c>
      <c r="D828" s="193" t="s">
        <v>2917</v>
      </c>
      <c r="E828" s="193" t="s">
        <v>2918</v>
      </c>
      <c r="F828" s="195">
        <v>2.215547364E9</v>
      </c>
      <c r="G828" s="196"/>
      <c r="H828" s="193" t="s">
        <v>2919</v>
      </c>
      <c r="I828" s="197">
        <f>IF(iserror(vlookup($A828,Pagos!$B$5:L1241,4,false)),"Sin actividad",If(vlookup($A828,Pagos!$B$5:$L1241,5,false),vlookup($A828,Pagos!$B$5:$L1241,5,false),vlookup($A828,Pagos!$B$5:$L1241,4,false)))</f>
        <v>45870</v>
      </c>
      <c r="J828" s="198" t="s">
        <v>523</v>
      </c>
      <c r="K828" s="199">
        <v>44136.0</v>
      </c>
      <c r="L828" s="200"/>
      <c r="M828" s="201"/>
      <c r="N828" s="202"/>
      <c r="O828" s="202"/>
    </row>
    <row r="829">
      <c r="A829" s="192">
        <v>1962.0</v>
      </c>
      <c r="B829" s="193" t="s">
        <v>2920</v>
      </c>
      <c r="C829" s="193" t="s">
        <v>679</v>
      </c>
      <c r="D829" s="193" t="s">
        <v>628</v>
      </c>
      <c r="E829" s="193" t="s">
        <v>2921</v>
      </c>
      <c r="F829" s="195">
        <v>2.213601575E9</v>
      </c>
      <c r="G829" s="196"/>
      <c r="H829" s="193" t="s">
        <v>2922</v>
      </c>
      <c r="I829" s="197" t="str">
        <f>IF(iserror(vlookup($A829,Pagos!$B$5:L1241,4,false)),"Sin actividad",If(vlookup($A829,Pagos!$B$5:$L1241,5,false),vlookup($A829,Pagos!$B$5:$L1241,5,false),vlookup($A829,Pagos!$B$5:$L1241,4,false)))</f>
        <v>Sin actividad</v>
      </c>
      <c r="J829" s="198" t="s">
        <v>529</v>
      </c>
      <c r="K829" s="199"/>
      <c r="L829" s="200">
        <v>44896.0</v>
      </c>
      <c r="M829" s="201"/>
      <c r="N829" s="202"/>
      <c r="O829" s="202"/>
    </row>
    <row r="830">
      <c r="A830" s="192">
        <v>1280.0</v>
      </c>
      <c r="B830" s="193" t="s">
        <v>2923</v>
      </c>
      <c r="C830" s="194" t="s">
        <v>526</v>
      </c>
      <c r="D830" s="193" t="s">
        <v>556</v>
      </c>
      <c r="E830" s="193" t="s">
        <v>2924</v>
      </c>
      <c r="F830" s="195">
        <v>0.0</v>
      </c>
      <c r="G830" s="196">
        <v>0.0</v>
      </c>
      <c r="H830" s="193"/>
      <c r="I830" s="197">
        <f>IF(iserror(vlookup($A830,Pagos!$B$5:L1241,4,false)),"Sin actividad",If(vlookup($A830,Pagos!$B$5:$L1241,5,false),vlookup($A830,Pagos!$B$5:$L1241,5,false),vlookup($A830,Pagos!$B$5:$L1241,4,false)))</f>
        <v>45992</v>
      </c>
      <c r="J830" s="198" t="s">
        <v>523</v>
      </c>
      <c r="K830" s="199">
        <v>40181.0</v>
      </c>
      <c r="L830" s="200"/>
      <c r="M830" s="201"/>
      <c r="N830" s="202">
        <f>If(L830&gt;K830,   datedif(K830,L830,"Y") , If(K830&lt;Vitalicios!$C$4, datedif(K830,Vitalicios!$C$4,"Y"),0)  )</f>
        <v>15</v>
      </c>
      <c r="O830" s="202"/>
    </row>
    <row r="831">
      <c r="A831" s="192">
        <v>2117.0</v>
      </c>
      <c r="B831" s="193" t="s">
        <v>2925</v>
      </c>
      <c r="C831" s="193" t="s">
        <v>537</v>
      </c>
      <c r="D831" s="193" t="s">
        <v>538</v>
      </c>
      <c r="E831" s="193" t="s">
        <v>2926</v>
      </c>
      <c r="F831" s="195"/>
      <c r="G831" s="221">
        <v>2.235824615E9</v>
      </c>
      <c r="H831" s="193" t="s">
        <v>2927</v>
      </c>
      <c r="I831" s="197"/>
      <c r="J831" s="198" t="s">
        <v>523</v>
      </c>
      <c r="K831" s="199">
        <v>44927.0</v>
      </c>
      <c r="L831" s="200"/>
      <c r="M831" s="201"/>
      <c r="N831" s="202"/>
      <c r="O831" s="202"/>
    </row>
    <row r="832">
      <c r="A832" s="192">
        <v>2058.0</v>
      </c>
      <c r="B832" s="193" t="s">
        <v>2928</v>
      </c>
      <c r="C832" s="193" t="s">
        <v>537</v>
      </c>
      <c r="D832" s="193" t="s">
        <v>628</v>
      </c>
      <c r="E832" s="193" t="s">
        <v>2929</v>
      </c>
      <c r="F832" s="195">
        <v>2.214202323E9</v>
      </c>
      <c r="G832" s="196"/>
      <c r="H832" s="193" t="s">
        <v>2930</v>
      </c>
      <c r="I832" s="197"/>
      <c r="J832" s="198" t="s">
        <v>523</v>
      </c>
      <c r="K832" s="199">
        <v>44743.0</v>
      </c>
      <c r="L832" s="200"/>
      <c r="M832" s="201"/>
      <c r="N832" s="202"/>
      <c r="O832" s="202"/>
    </row>
    <row r="833">
      <c r="A833" s="192">
        <v>2161.0</v>
      </c>
      <c r="B833" s="193" t="s">
        <v>2931</v>
      </c>
      <c r="C833" s="193" t="s">
        <v>537</v>
      </c>
      <c r="D833" s="193" t="s">
        <v>538</v>
      </c>
      <c r="E833" s="193" t="s">
        <v>2932</v>
      </c>
      <c r="F833" s="195">
        <v>2.215563843E9</v>
      </c>
      <c r="G833" s="196"/>
      <c r="H833" s="193" t="s">
        <v>2933</v>
      </c>
      <c r="I833" s="197"/>
      <c r="J833" s="198" t="s">
        <v>523</v>
      </c>
      <c r="K833" s="199">
        <v>44986.0</v>
      </c>
      <c r="L833" s="200"/>
      <c r="M833" s="201"/>
      <c r="N833" s="202"/>
      <c r="O833" s="202"/>
    </row>
    <row r="834">
      <c r="A834" s="192">
        <v>2181.0</v>
      </c>
      <c r="B834" s="193" t="s">
        <v>2934</v>
      </c>
      <c r="C834" s="193" t="s">
        <v>537</v>
      </c>
      <c r="D834" s="193" t="s">
        <v>538</v>
      </c>
      <c r="E834" s="193" t="s">
        <v>2935</v>
      </c>
      <c r="F834" s="195">
        <v>2.21618968E9</v>
      </c>
      <c r="G834" s="196"/>
      <c r="H834" s="193" t="s">
        <v>2936</v>
      </c>
      <c r="I834" s="197"/>
      <c r="J834" s="198" t="s">
        <v>523</v>
      </c>
      <c r="K834" s="199">
        <v>45108.0</v>
      </c>
      <c r="L834" s="200"/>
      <c r="M834" s="201"/>
      <c r="N834" s="202"/>
      <c r="O834" s="202"/>
    </row>
    <row r="835">
      <c r="A835" s="192">
        <v>2049.0</v>
      </c>
      <c r="B835" s="193" t="s">
        <v>2937</v>
      </c>
      <c r="C835" s="193" t="s">
        <v>526</v>
      </c>
      <c r="D835" s="193" t="s">
        <v>538</v>
      </c>
      <c r="E835" s="193" t="s">
        <v>2938</v>
      </c>
      <c r="F835" s="195">
        <v>2.216213614E9</v>
      </c>
      <c r="G835" s="196"/>
      <c r="H835" s="193" t="s">
        <v>2939</v>
      </c>
      <c r="I835" s="197"/>
      <c r="J835" s="198" t="s">
        <v>529</v>
      </c>
      <c r="K835" s="199">
        <v>44805.0</v>
      </c>
      <c r="L835" s="224">
        <v>45170.0</v>
      </c>
      <c r="M835" s="201" t="s">
        <v>535</v>
      </c>
      <c r="N835" s="202"/>
      <c r="O835" s="202"/>
    </row>
    <row r="836">
      <c r="A836" s="192">
        <v>1704.0</v>
      </c>
      <c r="B836" s="193" t="s">
        <v>2940</v>
      </c>
      <c r="C836" s="194" t="s">
        <v>519</v>
      </c>
      <c r="D836" s="193" t="s">
        <v>709</v>
      </c>
      <c r="E836" s="193">
        <v>2.21435414E9</v>
      </c>
      <c r="F836" s="195"/>
      <c r="G836" s="196"/>
      <c r="H836" s="193" t="s">
        <v>2941</v>
      </c>
      <c r="I836" s="197" t="str">
        <f>IF(iserror(vlookup($A836,Pagos!$B$5:L1241,4,false)),"Sin actividad",If(vlookup($A836,Pagos!$B$5:$L1241,5,false),vlookup($A836,Pagos!$B$5:$L1241,5,false),vlookup($A836,Pagos!$B$5:$L1241,4,false)))</f>
        <v>Sin actividad</v>
      </c>
      <c r="J836" s="198" t="s">
        <v>529</v>
      </c>
      <c r="K836" s="199">
        <v>43313.0</v>
      </c>
      <c r="L836" s="200">
        <v>43525.0</v>
      </c>
      <c r="M836" s="201" t="s">
        <v>894</v>
      </c>
      <c r="N836" s="202">
        <f>If(L836&gt;K836,   datedif(K836,L836,"Y") , If(K836&lt;Vitalicios!$C$4, datedif(K836,Vitalicios!$C$4,"Y"),0)  )</f>
        <v>0</v>
      </c>
      <c r="O836" s="202"/>
    </row>
    <row r="837">
      <c r="A837" s="192">
        <v>2368.0</v>
      </c>
      <c r="B837" s="193" t="s">
        <v>2942</v>
      </c>
      <c r="C837" s="193" t="s">
        <v>537</v>
      </c>
      <c r="D837" s="193" t="s">
        <v>485</v>
      </c>
      <c r="E837" s="193" t="s">
        <v>2943</v>
      </c>
      <c r="F837" s="195">
        <v>2.213172096E9</v>
      </c>
      <c r="G837" s="196"/>
      <c r="H837" s="193" t="s">
        <v>2944</v>
      </c>
      <c r="I837" s="197"/>
      <c r="J837" s="198" t="s">
        <v>523</v>
      </c>
      <c r="K837" s="199">
        <v>45748.0</v>
      </c>
      <c r="L837" s="200"/>
      <c r="M837" s="201"/>
      <c r="N837" s="202"/>
      <c r="O837" s="202"/>
    </row>
    <row r="838">
      <c r="A838" s="192">
        <v>2367.0</v>
      </c>
      <c r="B838" s="193" t="s">
        <v>2945</v>
      </c>
      <c r="C838" s="193" t="s">
        <v>537</v>
      </c>
      <c r="D838" s="193"/>
      <c r="E838" s="193" t="s">
        <v>485</v>
      </c>
      <c r="F838" s="195">
        <v>1.15822289E9</v>
      </c>
      <c r="G838" s="196"/>
      <c r="H838" s="193" t="s">
        <v>2946</v>
      </c>
      <c r="I838" s="197"/>
      <c r="J838" s="198" t="s">
        <v>523</v>
      </c>
      <c r="K838" s="199">
        <v>45748.0</v>
      </c>
      <c r="L838" s="200"/>
      <c r="M838" s="201"/>
      <c r="N838" s="202"/>
      <c r="O838" s="202"/>
    </row>
    <row r="839">
      <c r="A839" s="192">
        <v>1317.0</v>
      </c>
      <c r="B839" s="193" t="s">
        <v>2947</v>
      </c>
      <c r="C839" s="194" t="s">
        <v>526</v>
      </c>
      <c r="D839" s="193" t="s">
        <v>556</v>
      </c>
      <c r="E839" s="193" t="s">
        <v>2948</v>
      </c>
      <c r="F839" s="195" t="s">
        <v>2949</v>
      </c>
      <c r="G839" s="196">
        <v>0.0</v>
      </c>
      <c r="H839" s="193"/>
      <c r="I839" s="197" t="str">
        <f>IF(iserror(vlookup($A839,Pagos!$B$5:L1241,4,false)),"Sin actividad",If(vlookup($A839,Pagos!$B$5:$L1241,5,false),vlookup($A839,Pagos!$B$5:$L1241,5,false),vlookup($A839,Pagos!$B$5:$L1241,4,false)))</f>
        <v>Sin actividad</v>
      </c>
      <c r="J839" s="198" t="s">
        <v>529</v>
      </c>
      <c r="K839" s="199">
        <v>40481.0</v>
      </c>
      <c r="L839" s="200"/>
      <c r="M839" s="201" t="s">
        <v>2950</v>
      </c>
      <c r="N839" s="202">
        <f>If(L839&gt;K839,   datedif(K839,L839,"Y") , If(K839&lt;Vitalicios!$C$4, datedif(K839,Vitalicios!$C$4,"Y"),0)  )</f>
        <v>14</v>
      </c>
      <c r="O839" s="202"/>
    </row>
    <row r="840">
      <c r="A840" s="192">
        <v>2276.0</v>
      </c>
      <c r="B840" s="193" t="s">
        <v>2951</v>
      </c>
      <c r="C840" s="193" t="s">
        <v>537</v>
      </c>
      <c r="D840" s="193" t="s">
        <v>538</v>
      </c>
      <c r="E840" s="193" t="s">
        <v>2952</v>
      </c>
      <c r="F840" s="195">
        <v>2.215066207E9</v>
      </c>
      <c r="G840" s="196"/>
      <c r="H840" s="193" t="s">
        <v>2953</v>
      </c>
      <c r="I840" s="197"/>
      <c r="J840" s="198" t="s">
        <v>523</v>
      </c>
      <c r="K840" s="199">
        <v>45536.0</v>
      </c>
      <c r="L840" s="200"/>
      <c r="M840" s="201"/>
      <c r="N840" s="202"/>
      <c r="O840" s="202"/>
    </row>
    <row r="841">
      <c r="A841" s="192">
        <v>1598.0</v>
      </c>
      <c r="B841" s="193" t="s">
        <v>2954</v>
      </c>
      <c r="C841" s="194" t="s">
        <v>526</v>
      </c>
      <c r="D841" s="193" t="s">
        <v>556</v>
      </c>
      <c r="E841" s="193"/>
      <c r="F841" s="195"/>
      <c r="G841" s="196">
        <v>0.0</v>
      </c>
      <c r="H841" s="193"/>
      <c r="I841" s="197" t="str">
        <f>IF(iserror(vlookup($A841,Pagos!$B$5:L1241,4,false)),"Sin actividad",If(vlookup($A841,Pagos!$B$5:$L1241,5,false),vlookup($A841,Pagos!$B$5:$L1241,5,false),vlookup($A841,Pagos!$B$5:$L1241,4,false)))</f>
        <v>Sin actividad</v>
      </c>
      <c r="J841" s="198" t="s">
        <v>529</v>
      </c>
      <c r="K841" s="199">
        <v>42454.0</v>
      </c>
      <c r="L841" s="200">
        <v>43374.0</v>
      </c>
      <c r="M841" s="201" t="s">
        <v>560</v>
      </c>
      <c r="N841" s="202">
        <f>If(L841&gt;K841,   datedif(K841,L841,"Y") , If(K841&lt;Vitalicios!$C$4, datedif(K841,Vitalicios!$C$4,"Y"),0)  )</f>
        <v>2</v>
      </c>
      <c r="O841" s="202"/>
    </row>
    <row r="842">
      <c r="A842" s="192">
        <v>582.0</v>
      </c>
      <c r="B842" s="193" t="s">
        <v>2955</v>
      </c>
      <c r="C842" s="194" t="s">
        <v>577</v>
      </c>
      <c r="D842" s="193" t="s">
        <v>556</v>
      </c>
      <c r="E842" s="193" t="s">
        <v>2956</v>
      </c>
      <c r="F842" s="195">
        <v>0.0</v>
      </c>
      <c r="G842" s="196">
        <v>0.0</v>
      </c>
      <c r="H842" s="193"/>
      <c r="I842" s="197" t="str">
        <f>IF(iserror(vlookup($A842,Pagos!$B$5:L1241,4,false)),"Sin actividad",If(vlookup($A842,Pagos!$B$5:$L1241,5,false),vlookup($A842,Pagos!$B$5:$L1241,5,false),vlookup($A842,Pagos!$B$5:$L1241,4,false)))</f>
        <v>Sin actividad</v>
      </c>
      <c r="J842" s="198" t="s">
        <v>529</v>
      </c>
      <c r="K842" s="199">
        <v>33970.0</v>
      </c>
      <c r="L842" s="200">
        <v>44136.0</v>
      </c>
      <c r="M842" s="201" t="s">
        <v>2043</v>
      </c>
      <c r="N842" s="202">
        <f>If(L842&gt;K842,   datedif(K842,L842,"Y") , If(K842&lt;Vitalicios!$C$4, datedif(K842,Vitalicios!$C$4,"Y"),0)  )</f>
        <v>27</v>
      </c>
      <c r="O842" s="202"/>
    </row>
    <row r="843">
      <c r="A843" s="192">
        <v>1101.0</v>
      </c>
      <c r="B843" s="193" t="s">
        <v>2957</v>
      </c>
      <c r="C843" s="194" t="s">
        <v>577</v>
      </c>
      <c r="D843" s="193" t="s">
        <v>520</v>
      </c>
      <c r="E843" s="193" t="s">
        <v>842</v>
      </c>
      <c r="F843" s="195">
        <v>0.0</v>
      </c>
      <c r="G843" s="196">
        <v>0.0</v>
      </c>
      <c r="H843" s="193"/>
      <c r="I843" s="197" t="str">
        <f>IF(iserror(vlookup($A843,Pagos!$B$5:L1241,4,false)),"Sin actividad",If(vlookup($A843,Pagos!$B$5:$L1241,5,false),vlookup($A843,Pagos!$B$5:$L1241,5,false),vlookup($A843,Pagos!$B$5:$L1241,4,false)))</f>
        <v>Sin actividad</v>
      </c>
      <c r="J843" s="198" t="s">
        <v>529</v>
      </c>
      <c r="K843" s="199">
        <v>39063.0</v>
      </c>
      <c r="L843" s="200">
        <v>41754.0</v>
      </c>
      <c r="M843" s="201" t="s">
        <v>1201</v>
      </c>
      <c r="N843" s="202">
        <f>If(L843&gt;K843,   datedif(K843,L843,"Y") , If(K843&lt;Vitalicios!$C$4, datedif(K843,Vitalicios!$C$4,"Y"),0)  )</f>
        <v>7</v>
      </c>
      <c r="O843" s="202"/>
    </row>
    <row r="844">
      <c r="A844" s="192">
        <v>1177.0</v>
      </c>
      <c r="B844" s="193" t="s">
        <v>2958</v>
      </c>
      <c r="C844" s="194" t="s">
        <v>577</v>
      </c>
      <c r="D844" s="193" t="s">
        <v>556</v>
      </c>
      <c r="E844" s="193" t="s">
        <v>2959</v>
      </c>
      <c r="F844" s="195">
        <v>0.0</v>
      </c>
      <c r="G844" s="196">
        <v>0.0</v>
      </c>
      <c r="H844" s="193"/>
      <c r="I844" s="197" t="str">
        <f>IF(iserror(vlookup($A844,Pagos!$B$5:L1241,4,false)),"Sin actividad",If(vlookup($A844,Pagos!$B$5:$L1241,5,false),vlookup($A844,Pagos!$B$5:$L1241,5,false),vlookup($A844,Pagos!$B$5:$L1241,4,false)))</f>
        <v>Sin actividad</v>
      </c>
      <c r="J844" s="198" t="s">
        <v>529</v>
      </c>
      <c r="K844" s="199">
        <v>39489.0</v>
      </c>
      <c r="L844" s="200">
        <v>41639.0</v>
      </c>
      <c r="M844" s="201"/>
      <c r="N844" s="202">
        <f>If(L844&gt;K844,   datedif(K844,L844,"Y") , If(K844&lt;Vitalicios!$C$4, datedif(K844,Vitalicios!$C$4,"Y"),0)  )</f>
        <v>5</v>
      </c>
      <c r="O844" s="202"/>
    </row>
    <row r="845">
      <c r="A845" s="192">
        <v>1491.0</v>
      </c>
      <c r="B845" s="193" t="s">
        <v>2960</v>
      </c>
      <c r="C845" s="194" t="s">
        <v>577</v>
      </c>
      <c r="D845" s="193" t="s">
        <v>520</v>
      </c>
      <c r="E845" s="193" t="s">
        <v>2959</v>
      </c>
      <c r="F845" s="195">
        <v>0.0</v>
      </c>
      <c r="G845" s="196">
        <v>0.0</v>
      </c>
      <c r="H845" s="193"/>
      <c r="I845" s="197" t="str">
        <f>IF(iserror(vlookup($A845,Pagos!$B$5:L1241,4,false)),"Sin actividad",If(vlookup($A845,Pagos!$B$5:$L1241,5,false),vlookup($A845,Pagos!$B$5:$L1241,5,false),vlookup($A845,Pagos!$B$5:$L1241,4,false)))</f>
        <v>Sin actividad</v>
      </c>
      <c r="J845" s="198" t="s">
        <v>529</v>
      </c>
      <c r="K845" s="199">
        <v>41664.0</v>
      </c>
      <c r="L845" s="200">
        <v>42675.0</v>
      </c>
      <c r="M845" s="201" t="s">
        <v>535</v>
      </c>
      <c r="N845" s="202">
        <f>If(L845&gt;K845,   datedif(K845,L845,"Y") , If(K845&lt;Vitalicios!$C$4, datedif(K845,Vitalicios!$C$4,"Y"),0)  )</f>
        <v>2</v>
      </c>
      <c r="O845" s="202"/>
    </row>
    <row r="846">
      <c r="A846" s="192">
        <v>2318.0</v>
      </c>
      <c r="B846" s="193" t="s">
        <v>2961</v>
      </c>
      <c r="C846" s="194" t="s">
        <v>577</v>
      </c>
      <c r="D846" s="193" t="s">
        <v>532</v>
      </c>
      <c r="E846" s="193" t="s">
        <v>2962</v>
      </c>
      <c r="F846" s="195">
        <v>5934320.0</v>
      </c>
      <c r="G846" s="196">
        <v>0.0</v>
      </c>
      <c r="H846" s="193" t="s">
        <v>2963</v>
      </c>
      <c r="I846" s="197">
        <v>45658.0</v>
      </c>
      <c r="J846" s="198" t="s">
        <v>523</v>
      </c>
      <c r="K846" s="199">
        <v>45689.0</v>
      </c>
      <c r="L846" s="200"/>
      <c r="M846" s="201" t="s">
        <v>861</v>
      </c>
      <c r="N846" s="202">
        <f>If(L846&gt;K846,   datedif(K846,L846,"Y") , If(K846&lt;Vitalicios!$C$4, datedif(K846,Vitalicios!$C$4,"Y"),0)  )</f>
        <v>0</v>
      </c>
      <c r="O846" s="202"/>
    </row>
    <row r="847">
      <c r="A847" s="192">
        <v>1874.0</v>
      </c>
      <c r="B847" s="193" t="s">
        <v>2964</v>
      </c>
      <c r="C847" s="193" t="s">
        <v>537</v>
      </c>
      <c r="D847" s="193" t="s">
        <v>2825</v>
      </c>
      <c r="E847" s="193" t="s">
        <v>2965</v>
      </c>
      <c r="F847" s="195">
        <v>2.214767608E9</v>
      </c>
      <c r="G847" s="196"/>
      <c r="H847" s="193" t="s">
        <v>2966</v>
      </c>
      <c r="I847" s="197" t="str">
        <f>IF(iserror(vlookup($A847,Pagos!$B$5:L1241,4,false)),"Sin actividad",If(vlookup($A847,Pagos!$B$5:$L1241,5,false),vlookup($A847,Pagos!$B$5:$L1241,5,false),vlookup($A847,Pagos!$B$5:$L1241,4,false)))</f>
        <v>Sin actividad</v>
      </c>
      <c r="J847" s="198" t="s">
        <v>529</v>
      </c>
      <c r="K847" s="199">
        <v>44166.0</v>
      </c>
      <c r="L847" s="200"/>
      <c r="M847" s="201"/>
      <c r="N847" s="202"/>
      <c r="O847" s="202"/>
    </row>
    <row r="848">
      <c r="A848" s="192">
        <v>2314.0</v>
      </c>
      <c r="B848" s="193" t="s">
        <v>2967</v>
      </c>
      <c r="C848" s="194" t="s">
        <v>526</v>
      </c>
      <c r="D848" s="193" t="s">
        <v>1025</v>
      </c>
      <c r="E848" s="193" t="s">
        <v>2968</v>
      </c>
      <c r="F848" s="195">
        <v>1.54987985E8</v>
      </c>
      <c r="G848" s="196">
        <v>0.0</v>
      </c>
      <c r="H848" s="193" t="s">
        <v>2969</v>
      </c>
      <c r="I848" s="197">
        <f>IF(iserror(vlookup($A848,Pagos!$B$5:L1241,4,false)),"Sin actividad",If(vlookup($A848,Pagos!$B$5:$L1241,5,false),vlookup($A848,Pagos!$B$5:$L1241,5,false),vlookup($A848,Pagos!$B$5:$L1241,4,false)))</f>
        <v>45901</v>
      </c>
      <c r="J848" s="198" t="s">
        <v>523</v>
      </c>
      <c r="K848" s="199">
        <v>45658.0</v>
      </c>
      <c r="L848" s="200"/>
      <c r="M848" s="201" t="s">
        <v>1582</v>
      </c>
      <c r="N848" s="202">
        <f>If(L848&gt;K848,   datedif(K848,L848,"Y") , If(K848&lt;Vitalicios!$C$4, datedif(K848,Vitalicios!$C$4,"Y"),0)  )</f>
        <v>0</v>
      </c>
      <c r="O848" s="202"/>
    </row>
    <row r="849">
      <c r="A849" s="192">
        <v>1279.0</v>
      </c>
      <c r="B849" s="193" t="s">
        <v>2970</v>
      </c>
      <c r="C849" s="194" t="s">
        <v>526</v>
      </c>
      <c r="D849" s="193" t="s">
        <v>556</v>
      </c>
      <c r="E849" s="193" t="s">
        <v>2924</v>
      </c>
      <c r="F849" s="195">
        <v>0.0</v>
      </c>
      <c r="G849" s="196">
        <v>0.0</v>
      </c>
      <c r="H849" s="193" t="s">
        <v>2971</v>
      </c>
      <c r="I849" s="197">
        <f>IF(iserror(vlookup($A849,Pagos!$B$5:L1241,4,false)),"Sin actividad",If(vlookup($A849,Pagos!$B$5:$L1241,5,false),vlookup($A849,Pagos!$B$5:$L1241,5,false),vlookup($A849,Pagos!$B$5:$L1241,4,false)))</f>
        <v>45992</v>
      </c>
      <c r="J849" s="198" t="s">
        <v>523</v>
      </c>
      <c r="K849" s="199">
        <v>40181.0</v>
      </c>
      <c r="L849" s="200"/>
      <c r="M849" s="201"/>
      <c r="N849" s="202">
        <f>If(L849&gt;K849,   datedif(K849,L849,"Y") , If(K849&lt;Vitalicios!$C$4, datedif(K849,Vitalicios!$C$4,"Y"),0)  )</f>
        <v>15</v>
      </c>
      <c r="O849" s="202"/>
    </row>
    <row r="850">
      <c r="A850" s="192">
        <v>1409.0</v>
      </c>
      <c r="B850" s="193" t="s">
        <v>2972</v>
      </c>
      <c r="C850" s="194" t="s">
        <v>577</v>
      </c>
      <c r="D850" s="193" t="s">
        <v>556</v>
      </c>
      <c r="E850" s="193" t="s">
        <v>2973</v>
      </c>
      <c r="F850" s="195">
        <v>4538833.0</v>
      </c>
      <c r="G850" s="196">
        <v>0.0</v>
      </c>
      <c r="H850" s="193" t="s">
        <v>2974</v>
      </c>
      <c r="I850" s="197" t="str">
        <f>IF(iserror(vlookup($A850,Pagos!$B$5:L1241,4,false)),"Sin actividad",If(vlookup($A850,Pagos!$B$5:$L1241,5,false),vlookup($A850,Pagos!$B$5:$L1241,5,false),vlookup($A850,Pagos!$B$5:$L1241,4,false)))</f>
        <v>Sin actividad</v>
      </c>
      <c r="J850" s="198" t="s">
        <v>529</v>
      </c>
      <c r="K850" s="199">
        <v>40933.0</v>
      </c>
      <c r="L850" s="200">
        <v>43647.0</v>
      </c>
      <c r="M850" s="201"/>
      <c r="N850" s="202">
        <f>If(L850&gt;K850,   datedif(K850,L850,"Y") , If(K850&lt;Vitalicios!$C$4, datedif(K850,Vitalicios!$C$4,"Y"),0)  )</f>
        <v>7</v>
      </c>
      <c r="O850" s="202"/>
    </row>
    <row r="851">
      <c r="A851" s="192">
        <v>1587.0</v>
      </c>
      <c r="B851" s="193" t="s">
        <v>2975</v>
      </c>
      <c r="C851" s="194" t="s">
        <v>577</v>
      </c>
      <c r="D851" s="193" t="s">
        <v>520</v>
      </c>
      <c r="E851" s="193" t="s">
        <v>2976</v>
      </c>
      <c r="F851" s="195">
        <v>1.55084503E8</v>
      </c>
      <c r="G851" s="196"/>
      <c r="H851" s="193" t="s">
        <v>2977</v>
      </c>
      <c r="I851" s="197" t="str">
        <f>IF(iserror(vlookup($A851,Pagos!$B$5:L1241,4,false)),"Sin actividad",If(vlookup($A851,Pagos!$B$5:$L1241,5,false),vlookup($A851,Pagos!$B$5:$L1241,5,false),vlookup($A851,Pagos!$B$5:$L1241,4,false)))</f>
        <v>Sin actividad</v>
      </c>
      <c r="J851" s="198" t="s">
        <v>529</v>
      </c>
      <c r="K851" s="199">
        <v>42370.0</v>
      </c>
      <c r="L851" s="200">
        <v>45778.0</v>
      </c>
      <c r="M851" s="201" t="s">
        <v>535</v>
      </c>
      <c r="N851" s="202">
        <f>If(L851&gt;K851,   datedif(K851,L851,"Y") , If(K851&lt;Vitalicios!$C$4, datedif(K851,Vitalicios!$C$4,"Y"),0)  )</f>
        <v>9</v>
      </c>
      <c r="O851" s="202"/>
    </row>
    <row r="852">
      <c r="A852" s="192">
        <v>1478.0</v>
      </c>
      <c r="B852" s="193" t="s">
        <v>2978</v>
      </c>
      <c r="C852" s="194" t="s">
        <v>526</v>
      </c>
      <c r="D852" s="193" t="s">
        <v>693</v>
      </c>
      <c r="E852" s="193" t="s">
        <v>2979</v>
      </c>
      <c r="F852" s="195">
        <v>1.11568534949E11</v>
      </c>
      <c r="G852" s="196">
        <v>0.0</v>
      </c>
      <c r="H852" s="193" t="s">
        <v>2980</v>
      </c>
      <c r="I852" s="197" t="str">
        <f>IF(iserror(vlookup($A852,Pagos!$B$5:L1241,4,false)),"Sin actividad",If(vlookup($A852,Pagos!$B$5:$L1241,5,false),vlookup($A852,Pagos!$B$5:$L1241,5,false),vlookup($A852,Pagos!$B$5:$L1241,4,false)))</f>
        <v>Sin actividad</v>
      </c>
      <c r="J852" s="198" t="s">
        <v>529</v>
      </c>
      <c r="K852" s="199">
        <v>41573.0</v>
      </c>
      <c r="L852" s="200">
        <v>44986.0</v>
      </c>
      <c r="M852" s="201" t="s">
        <v>535</v>
      </c>
      <c r="N852" s="202">
        <f>If(L852&gt;K852,   datedif(K852,L852,"Y") , If(K852&lt;Vitalicios!$C$4, datedif(K852,Vitalicios!$C$4,"Y"),0)  )</f>
        <v>9</v>
      </c>
      <c r="O852" s="202"/>
    </row>
    <row r="853">
      <c r="A853" s="192">
        <v>2150.0</v>
      </c>
      <c r="B853" s="193" t="s">
        <v>2981</v>
      </c>
      <c r="C853" s="193" t="s">
        <v>537</v>
      </c>
      <c r="D853" s="193" t="s">
        <v>485</v>
      </c>
      <c r="E853" s="193" t="s">
        <v>2982</v>
      </c>
      <c r="F853" s="195">
        <v>2.214551722E9</v>
      </c>
      <c r="G853" s="196"/>
      <c r="H853" s="193" t="s">
        <v>2983</v>
      </c>
      <c r="I853" s="197"/>
      <c r="J853" s="198" t="s">
        <v>529</v>
      </c>
      <c r="K853" s="199">
        <v>44986.0</v>
      </c>
      <c r="L853" s="200">
        <v>45017.0</v>
      </c>
      <c r="M853" s="201" t="s">
        <v>535</v>
      </c>
      <c r="N853" s="202"/>
      <c r="O853" s="202"/>
    </row>
    <row r="854">
      <c r="A854" s="192">
        <v>1955.0</v>
      </c>
      <c r="B854" s="193" t="s">
        <v>2984</v>
      </c>
      <c r="C854" s="193" t="s">
        <v>537</v>
      </c>
      <c r="D854" s="193" t="s">
        <v>538</v>
      </c>
      <c r="E854" s="193" t="s">
        <v>2985</v>
      </c>
      <c r="F854" s="195">
        <v>2.215908865E9</v>
      </c>
      <c r="G854" s="196"/>
      <c r="H854" s="193" t="s">
        <v>2986</v>
      </c>
      <c r="I854" s="197" t="str">
        <f>IF(iserror(vlookup($A854,Pagos!$B$5:L1241,4,false)),"Sin actividad",If(vlookup($A854,Pagos!$B$5:$L1241,5,false),vlookup($A854,Pagos!$B$5:$L1241,5,false),vlookup($A854,Pagos!$B$5:$L1241,4,false)))</f>
        <v>Sin actividad</v>
      </c>
      <c r="J854" s="198" t="s">
        <v>529</v>
      </c>
      <c r="K854" s="199">
        <v>45597.0</v>
      </c>
      <c r="L854" s="200"/>
      <c r="M854" s="201"/>
      <c r="N854" s="202"/>
      <c r="O854" s="202"/>
    </row>
    <row r="855">
      <c r="A855" s="192">
        <v>1692.0</v>
      </c>
      <c r="B855" s="193" t="s">
        <v>2987</v>
      </c>
      <c r="C855" s="194" t="s">
        <v>519</v>
      </c>
      <c r="D855" s="193" t="s">
        <v>538</v>
      </c>
      <c r="E855" s="193" t="s">
        <v>2988</v>
      </c>
      <c r="F855" s="195"/>
      <c r="G855" s="196"/>
      <c r="H855" s="193" t="s">
        <v>2989</v>
      </c>
      <c r="I855" s="197" t="str">
        <f>IF(iserror(vlookup($A855,Pagos!$B$5:L1241,4,false)),"Sin actividad",If(vlookup($A855,Pagos!$B$5:$L1241,5,false),vlookup($A855,Pagos!$B$5:$L1241,5,false),vlookup($A855,Pagos!$B$5:$L1241,4,false)))</f>
        <v>Sin actividad</v>
      </c>
      <c r="J855" s="198" t="s">
        <v>529</v>
      </c>
      <c r="K855" s="199">
        <v>43160.0</v>
      </c>
      <c r="L855" s="200">
        <v>43525.0</v>
      </c>
      <c r="M855" s="201"/>
      <c r="N855" s="202">
        <f>If(L855&gt;K855,   datedif(K855,L855,"Y") , If(K855&lt;Vitalicios!$C$4, datedif(K855,Vitalicios!$C$4,"Y"),0)  )</f>
        <v>1</v>
      </c>
      <c r="O855" s="202"/>
    </row>
    <row r="856">
      <c r="A856" s="192">
        <v>1661.0</v>
      </c>
      <c r="B856" s="193" t="s">
        <v>2990</v>
      </c>
      <c r="C856" s="194" t="s">
        <v>519</v>
      </c>
      <c r="D856" s="193" t="s">
        <v>538</v>
      </c>
      <c r="E856" s="193" t="s">
        <v>2991</v>
      </c>
      <c r="F856" s="195">
        <v>1.55738854E8</v>
      </c>
      <c r="G856" s="196"/>
      <c r="H856" s="193" t="s">
        <v>2992</v>
      </c>
      <c r="I856" s="197" t="str">
        <f>IF(iserror(vlookup($A856,Pagos!$B$5:L1241,4,false)),"Sin actividad",If(vlookup($A856,Pagos!$B$5:$L1241,5,false),vlookup($A856,Pagos!$B$5:$L1241,5,false),vlookup($A856,Pagos!$B$5:$L1241,4,false)))</f>
        <v>Sin actividad</v>
      </c>
      <c r="J856" s="198" t="s">
        <v>529</v>
      </c>
      <c r="K856" s="199">
        <v>43014.0</v>
      </c>
      <c r="L856" s="200">
        <v>43525.0</v>
      </c>
      <c r="M856" s="201"/>
      <c r="N856" s="202">
        <f>If(L856&gt;K856,   datedif(K856,L856,"Y") , If(K856&lt;Vitalicios!$C$4, datedif(K856,Vitalicios!$C$4,"Y"),0)  )</f>
        <v>1</v>
      </c>
      <c r="O856" s="202"/>
    </row>
    <row r="857">
      <c r="A857" s="192">
        <v>1982.0</v>
      </c>
      <c r="B857" s="193" t="s">
        <v>2993</v>
      </c>
      <c r="C857" s="193" t="s">
        <v>537</v>
      </c>
      <c r="D857" s="193" t="s">
        <v>538</v>
      </c>
      <c r="E857" s="193" t="s">
        <v>2994</v>
      </c>
      <c r="F857" s="195">
        <v>2.216751801E9</v>
      </c>
      <c r="G857" s="196"/>
      <c r="H857" s="193" t="s">
        <v>2995</v>
      </c>
      <c r="I857" s="197" t="str">
        <f>IF(iserror(vlookup($A857,Pagos!$B$5:L1241,4,false)),"Sin actividad",If(vlookup($A857,Pagos!$B$5:$L1241,5,false),vlookup($A857,Pagos!$B$5:$L1241,5,false),vlookup($A857,Pagos!$B$5:$L1241,4,false)))</f>
        <v>Sin actividad</v>
      </c>
      <c r="J857" s="198" t="s">
        <v>529</v>
      </c>
      <c r="K857" s="199">
        <v>44562.0</v>
      </c>
      <c r="L857" s="200">
        <v>44866.0</v>
      </c>
      <c r="M857" s="201" t="s">
        <v>535</v>
      </c>
      <c r="N857" s="202"/>
      <c r="O857" s="202"/>
    </row>
    <row r="858">
      <c r="A858" s="192">
        <v>1293.0</v>
      </c>
      <c r="B858" s="193" t="s">
        <v>2996</v>
      </c>
      <c r="C858" s="194" t="s">
        <v>526</v>
      </c>
      <c r="D858" s="193" t="s">
        <v>556</v>
      </c>
      <c r="E858" s="193" t="s">
        <v>2997</v>
      </c>
      <c r="F858" s="195">
        <v>0.0</v>
      </c>
      <c r="G858" s="196">
        <v>0.0</v>
      </c>
      <c r="H858" s="193" t="s">
        <v>2998</v>
      </c>
      <c r="I858" s="197">
        <f>IF(iserror(vlookup($A858,Pagos!$B$5:L1241,4,false)),"Sin actividad",If(vlookup($A858,Pagos!$B$5:$L1241,5,false),vlookup($A858,Pagos!$B$5:$L1241,5,false),vlookup($A858,Pagos!$B$5:$L1241,4,false)))</f>
        <v>45870</v>
      </c>
      <c r="J858" s="198" t="s">
        <v>523</v>
      </c>
      <c r="K858" s="199">
        <v>40236.0</v>
      </c>
      <c r="L858" s="200"/>
      <c r="M858" s="201"/>
      <c r="N858" s="202">
        <f>If(L858&gt;K858,   datedif(K858,L858,"Y") , If(K858&lt;Vitalicios!$C$4, datedif(K858,Vitalicios!$C$4,"Y"),0)  )</f>
        <v>15</v>
      </c>
      <c r="O858" s="202"/>
    </row>
    <row r="859">
      <c r="A859" s="192">
        <v>706.0</v>
      </c>
      <c r="B859" s="193" t="s">
        <v>2999</v>
      </c>
      <c r="C859" s="194" t="s">
        <v>526</v>
      </c>
      <c r="D859" s="193" t="s">
        <v>520</v>
      </c>
      <c r="E859" s="193" t="s">
        <v>3000</v>
      </c>
      <c r="F859" s="195">
        <v>1.142050075E9</v>
      </c>
      <c r="G859" s="196">
        <v>0.0</v>
      </c>
      <c r="H859" s="193" t="s">
        <v>3001</v>
      </c>
      <c r="I859" s="197" t="str">
        <f>IF(iserror(vlookup($A859,Pagos!$B$5:L1241,4,false)),"Sin actividad",If(vlookup($A859,Pagos!$B$5:$L1241,5,false),vlookup($A859,Pagos!$B$5:$L1241,5,false),vlookup($A859,Pagos!$B$5:$L1241,4,false)))</f>
        <v>Sin actividad</v>
      </c>
      <c r="J859" s="198" t="s">
        <v>529</v>
      </c>
      <c r="K859" s="199">
        <v>35462.0</v>
      </c>
      <c r="L859" s="200"/>
      <c r="M859" s="201"/>
      <c r="N859" s="202">
        <f>If(L859&gt;K859,   datedif(K859,L859,"Y") , If(K859&lt;Vitalicios!$C$4, datedif(K859,Vitalicios!$C$4,"Y"),0)  )</f>
        <v>28</v>
      </c>
      <c r="O859" s="202"/>
    </row>
    <row r="860">
      <c r="A860" s="192">
        <v>1752.0</v>
      </c>
      <c r="B860" s="193" t="s">
        <v>3002</v>
      </c>
      <c r="C860" s="194" t="s">
        <v>519</v>
      </c>
      <c r="D860" s="193" t="s">
        <v>538</v>
      </c>
      <c r="E860" s="193" t="s">
        <v>3003</v>
      </c>
      <c r="F860" s="219" t="s">
        <v>3004</v>
      </c>
      <c r="G860" s="196"/>
      <c r="H860" s="193" t="s">
        <v>3005</v>
      </c>
      <c r="I860" s="197" t="str">
        <f>IF(iserror(vlookup($A860,Pagos!$B$5:L1241,4,false)),"Sin actividad",If(vlookup($A860,Pagos!$B$5:$L1241,5,false),vlookup($A860,Pagos!$B$5:$L1241,5,false),vlookup($A860,Pagos!$B$5:$L1241,4,false)))</f>
        <v>Sin actividad</v>
      </c>
      <c r="J860" s="198" t="s">
        <v>529</v>
      </c>
      <c r="K860" s="199">
        <v>43739.0</v>
      </c>
      <c r="L860" s="200">
        <v>44197.0</v>
      </c>
      <c r="M860" s="201" t="s">
        <v>1030</v>
      </c>
      <c r="N860" s="202">
        <f>If(L860&gt;K860,   datedif(K860,L860,"Y") , If(K860&lt;Vitalicios!$C$4, datedif(K860,Vitalicios!$C$4,"Y"),0)  )</f>
        <v>1</v>
      </c>
      <c r="O860" s="202"/>
    </row>
    <row r="861">
      <c r="A861" s="192">
        <v>2244.0</v>
      </c>
      <c r="B861" s="193" t="s">
        <v>3006</v>
      </c>
      <c r="C861" s="193" t="s">
        <v>537</v>
      </c>
      <c r="D861" s="193" t="s">
        <v>549</v>
      </c>
      <c r="E861" s="193" t="s">
        <v>3007</v>
      </c>
      <c r="F861" s="195">
        <v>2.216683814E9</v>
      </c>
      <c r="G861" s="196"/>
      <c r="H861" s="193" t="s">
        <v>3008</v>
      </c>
      <c r="I861" s="197"/>
      <c r="J861" s="198" t="s">
        <v>523</v>
      </c>
      <c r="K861" s="199">
        <v>45292.0</v>
      </c>
      <c r="L861" s="200"/>
      <c r="M861" s="201"/>
      <c r="N861" s="202"/>
      <c r="O861" s="202"/>
    </row>
    <row r="862">
      <c r="A862" s="192">
        <v>1519.0</v>
      </c>
      <c r="B862" s="193" t="s">
        <v>3009</v>
      </c>
      <c r="C862" s="194" t="s">
        <v>526</v>
      </c>
      <c r="D862" s="193" t="s">
        <v>556</v>
      </c>
      <c r="E862" s="193" t="s">
        <v>3010</v>
      </c>
      <c r="F862" s="195">
        <v>1.56223578E8</v>
      </c>
      <c r="G862" s="196">
        <v>0.0</v>
      </c>
      <c r="H862" s="193"/>
      <c r="I862" s="197" t="str">
        <f>IF(iserror(vlookup($A862,Pagos!$B$5:L1241,4,false)),"Sin actividad",If(vlookup($A862,Pagos!$B$5:$L1241,5,false),vlookup($A862,Pagos!$B$5:$L1241,5,false),vlookup($A862,Pagos!$B$5:$L1241,4,false)))</f>
        <v>Sin actividad</v>
      </c>
      <c r="J862" s="198" t="s">
        <v>529</v>
      </c>
      <c r="K862" s="199">
        <v>41742.0</v>
      </c>
      <c r="L862" s="200">
        <v>43374.0</v>
      </c>
      <c r="M862" s="201" t="s">
        <v>560</v>
      </c>
      <c r="N862" s="202">
        <f>If(L862&gt;K862,   datedif(K862,L862,"Y") , If(K862&lt;Vitalicios!$C$4, datedif(K862,Vitalicios!$C$4,"Y"),0)  )</f>
        <v>4</v>
      </c>
      <c r="O862" s="202"/>
    </row>
    <row r="863">
      <c r="A863" s="192">
        <v>1812.0</v>
      </c>
      <c r="B863" s="193" t="s">
        <v>3011</v>
      </c>
      <c r="C863" s="194"/>
      <c r="D863" s="193" t="s">
        <v>3012</v>
      </c>
      <c r="E863" s="193" t="s">
        <v>3013</v>
      </c>
      <c r="F863" s="195">
        <v>2.216016974E9</v>
      </c>
      <c r="G863" s="196"/>
      <c r="H863" s="193" t="s">
        <v>3014</v>
      </c>
      <c r="I863" s="197" t="str">
        <f>IF(iserror(vlookup($A863,Pagos!$B$5:L1241,4,false)),"Sin actividad",If(vlookup($A863,Pagos!$B$5:$L1241,5,false),vlookup($A863,Pagos!$B$5:$L1241,5,false),vlookup($A863,Pagos!$B$5:$L1241,4,false)))</f>
        <v>Sin actividad</v>
      </c>
      <c r="J863" s="198" t="s">
        <v>529</v>
      </c>
      <c r="K863" s="199">
        <v>44075.0</v>
      </c>
      <c r="L863" s="200">
        <v>44501.0</v>
      </c>
      <c r="M863" s="201"/>
      <c r="N863" s="202"/>
      <c r="O863" s="202"/>
    </row>
    <row r="864">
      <c r="A864" s="192">
        <v>2151.0</v>
      </c>
      <c r="B864" s="193" t="s">
        <v>3015</v>
      </c>
      <c r="C864" s="193" t="s">
        <v>537</v>
      </c>
      <c r="D864" s="193" t="s">
        <v>485</v>
      </c>
      <c r="E864" s="193" t="s">
        <v>3016</v>
      </c>
      <c r="F864" s="195">
        <v>6119546.0</v>
      </c>
      <c r="G864" s="196"/>
      <c r="H864" s="193" t="s">
        <v>3017</v>
      </c>
      <c r="I864" s="197"/>
      <c r="J864" s="198" t="s">
        <v>529</v>
      </c>
      <c r="K864" s="199">
        <v>44986.0</v>
      </c>
      <c r="L864" s="200">
        <v>45323.0</v>
      </c>
      <c r="M864" s="201" t="s">
        <v>716</v>
      </c>
      <c r="N864" s="202"/>
      <c r="O864" s="202"/>
    </row>
    <row r="865">
      <c r="A865" s="192">
        <v>1868.0</v>
      </c>
      <c r="B865" s="193" t="s">
        <v>3018</v>
      </c>
      <c r="C865" s="193" t="s">
        <v>537</v>
      </c>
      <c r="D865" s="193" t="s">
        <v>538</v>
      </c>
      <c r="E865" s="193" t="s">
        <v>3019</v>
      </c>
      <c r="F865" s="195">
        <v>2.216124558E9</v>
      </c>
      <c r="G865" s="196"/>
      <c r="H865" s="193" t="s">
        <v>3020</v>
      </c>
      <c r="I865" s="197">
        <f>IF(iserror(vlookup($A865,Pagos!$B$5:L1241,4,false)),"Sin actividad",If(vlookup($A865,Pagos!$B$5:$L1241,5,false),vlookup($A865,Pagos!$B$5:$L1241,5,false),vlookup($A865,Pagos!$B$5:$L1241,4,false)))</f>
        <v>45870</v>
      </c>
      <c r="J865" s="198" t="s">
        <v>523</v>
      </c>
      <c r="K865" s="199"/>
      <c r="L865" s="200"/>
      <c r="M865" s="201"/>
      <c r="N865" s="202"/>
      <c r="O865" s="202"/>
    </row>
    <row r="866">
      <c r="A866" s="192">
        <v>1800.0</v>
      </c>
      <c r="B866" s="193" t="s">
        <v>3021</v>
      </c>
      <c r="C866" s="193" t="s">
        <v>537</v>
      </c>
      <c r="D866" s="193" t="s">
        <v>1713</v>
      </c>
      <c r="E866" s="193" t="s">
        <v>3022</v>
      </c>
      <c r="F866" s="195">
        <v>2.216156631E9</v>
      </c>
      <c r="G866" s="196"/>
      <c r="H866" s="193" t="s">
        <v>3023</v>
      </c>
      <c r="I866" s="197">
        <f>IF(iserror(vlookup($A866,Pagos!$B$5:L1241,4,false)),"Sin actividad",If(vlookup($A866,Pagos!$B$5:$L1241,5,false),vlookup($A866,Pagos!$B$5:$L1241,5,false),vlookup($A866,Pagos!$B$5:$L1241,4,false)))</f>
        <v>45992</v>
      </c>
      <c r="J866" s="198" t="s">
        <v>523</v>
      </c>
      <c r="K866" s="199">
        <v>44044.0</v>
      </c>
      <c r="L866" s="200"/>
      <c r="M866" s="201"/>
      <c r="N866" s="202"/>
      <c r="O866" s="202"/>
    </row>
    <row r="867">
      <c r="A867" s="192">
        <v>1965.0</v>
      </c>
      <c r="B867" s="193" t="s">
        <v>3024</v>
      </c>
      <c r="C867" s="193" t="s">
        <v>537</v>
      </c>
      <c r="D867" s="193" t="s">
        <v>628</v>
      </c>
      <c r="E867" s="193" t="s">
        <v>3025</v>
      </c>
      <c r="F867" s="195">
        <v>1.153104294E9</v>
      </c>
      <c r="G867" s="196"/>
      <c r="H867" s="193" t="s">
        <v>3026</v>
      </c>
      <c r="I867" s="197">
        <f>IF(iserror(vlookup($A867,Pagos!$B$5:L1241,4,false)),"Sin actividad",If(vlookup($A867,Pagos!$B$5:$L1241,5,false),vlookup($A867,Pagos!$B$5:$L1241,5,false),vlookup($A867,Pagos!$B$5:$L1241,4,false)))</f>
        <v>45870</v>
      </c>
      <c r="J867" s="198" t="s">
        <v>523</v>
      </c>
      <c r="K867" s="199">
        <v>44531.0</v>
      </c>
      <c r="L867" s="200"/>
      <c r="M867" s="201"/>
      <c r="N867" s="202"/>
      <c r="O867" s="202"/>
    </row>
    <row r="868">
      <c r="A868" s="192">
        <v>1654.0</v>
      </c>
      <c r="B868" s="193" t="s">
        <v>3027</v>
      </c>
      <c r="C868" s="194" t="s">
        <v>519</v>
      </c>
      <c r="D868" s="193" t="s">
        <v>527</v>
      </c>
      <c r="E868" s="193" t="s">
        <v>3028</v>
      </c>
      <c r="F868" s="195">
        <v>4593004.0</v>
      </c>
      <c r="G868" s="196"/>
      <c r="H868" s="193" t="s">
        <v>3029</v>
      </c>
      <c r="I868" s="197" t="str">
        <f>IF(iserror(vlookup($A868,Pagos!$B$5:L1241,4,false)),"Sin actividad",If(vlookup($A868,Pagos!$B$5:$L1241,5,false),vlookup($A868,Pagos!$B$5:$L1241,5,false),vlookup($A868,Pagos!$B$5:$L1241,4,false)))</f>
        <v>Sin actividad</v>
      </c>
      <c r="J868" s="198" t="s">
        <v>529</v>
      </c>
      <c r="K868" s="199"/>
      <c r="L868" s="200">
        <v>43252.0</v>
      </c>
      <c r="M868" s="201"/>
      <c r="N868" s="202">
        <f>If(L868&gt;K868,   datedif(K868,L868,"Y") , If(K868&lt;Vitalicios!$C$4, datedif(K868,Vitalicios!$C$4,"Y"),0)  )</f>
        <v>118</v>
      </c>
      <c r="O868" s="202"/>
    </row>
    <row r="869">
      <c r="A869" s="192">
        <v>5.0</v>
      </c>
      <c r="B869" s="193" t="s">
        <v>3030</v>
      </c>
      <c r="C869" s="194" t="s">
        <v>577</v>
      </c>
      <c r="D869" s="193" t="s">
        <v>520</v>
      </c>
      <c r="E869" s="193" t="s">
        <v>3031</v>
      </c>
      <c r="F869" s="195">
        <v>0.0</v>
      </c>
      <c r="G869" s="196">
        <v>0.0</v>
      </c>
      <c r="H869" s="193"/>
      <c r="I869" s="197" t="str">
        <f>IF(iserror(vlookup($A869,Pagos!$B$5:L1241,4,false)),"Sin actividad",If(vlookup($A869,Pagos!$B$5:$L1241,5,false),vlookup($A869,Pagos!$B$5:$L1241,5,false),vlookup($A869,Pagos!$B$5:$L1241,4,false)))</f>
        <v>Sin actividad</v>
      </c>
      <c r="J869" s="198" t="s">
        <v>846</v>
      </c>
      <c r="K869" s="199">
        <v>31514.0</v>
      </c>
      <c r="L869" s="200"/>
      <c r="M869" s="201"/>
      <c r="N869" s="202">
        <f>If(L869&gt;K869,   datedif(K869,L869,"Y") , If(K869&lt;Vitalicios!$C$4, datedif(K869,Vitalicios!$C$4,"Y"),0)  )</f>
        <v>39</v>
      </c>
      <c r="O869" s="202"/>
    </row>
    <row r="870">
      <c r="A870" s="192">
        <v>13.0</v>
      </c>
      <c r="B870" s="193" t="s">
        <v>3032</v>
      </c>
      <c r="C870" s="194" t="s">
        <v>577</v>
      </c>
      <c r="D870" s="193" t="s">
        <v>520</v>
      </c>
      <c r="E870" s="193" t="s">
        <v>3033</v>
      </c>
      <c r="F870" s="195">
        <v>0.0</v>
      </c>
      <c r="G870" s="196">
        <v>0.0</v>
      </c>
      <c r="H870" s="193"/>
      <c r="I870" s="197" t="str">
        <f>IF(iserror(vlookup($A870,Pagos!$B$5:L1241,4,false)),"Sin actividad",If(vlookup($A870,Pagos!$B$5:$L1241,5,false),vlookup($A870,Pagos!$B$5:$L1241,5,false),vlookup($A870,Pagos!$B$5:$L1241,4,false)))</f>
        <v>Sin actividad</v>
      </c>
      <c r="J870" s="198" t="s">
        <v>3034</v>
      </c>
      <c r="K870" s="199">
        <v>31514.0</v>
      </c>
      <c r="L870" s="200"/>
      <c r="M870" s="201"/>
      <c r="N870" s="202">
        <f>If(L870&gt;K870,   datedif(K870,L870,"Y") , If(K870&lt;Vitalicios!$C$4, datedif(K870,Vitalicios!$C$4,"Y"),0)  )</f>
        <v>39</v>
      </c>
      <c r="O870" s="202"/>
    </row>
    <row r="871">
      <c r="A871" s="192">
        <v>12.0</v>
      </c>
      <c r="B871" s="193" t="s">
        <v>3035</v>
      </c>
      <c r="C871" s="194" t="s">
        <v>577</v>
      </c>
      <c r="D871" s="193" t="s">
        <v>520</v>
      </c>
      <c r="E871" s="193" t="s">
        <v>3036</v>
      </c>
      <c r="F871" s="195">
        <v>0.0</v>
      </c>
      <c r="G871" s="196">
        <v>0.0</v>
      </c>
      <c r="H871" s="193"/>
      <c r="I871" s="197" t="str">
        <f>IF(iserror(vlookup($A871,Pagos!$B$5:L1241,4,false)),"Sin actividad",If(vlookup($A871,Pagos!$B$5:$L1241,5,false),vlookup($A871,Pagos!$B$5:$L1241,5,false),vlookup($A871,Pagos!$B$5:$L1241,4,false)))</f>
        <v>Sin actividad</v>
      </c>
      <c r="J871" s="198" t="s">
        <v>846</v>
      </c>
      <c r="K871" s="199">
        <v>31514.0</v>
      </c>
      <c r="L871" s="200"/>
      <c r="M871" s="201"/>
      <c r="N871" s="202">
        <f>If(L871&gt;K871,   datedif(K871,L871,"Y") , If(K871&lt;Vitalicios!$C$4, datedif(K871,Vitalicios!$C$4,"Y"),0)  )</f>
        <v>39</v>
      </c>
      <c r="O871" s="202"/>
    </row>
    <row r="872">
      <c r="A872" s="192">
        <v>1857.0</v>
      </c>
      <c r="B872" s="193" t="s">
        <v>3037</v>
      </c>
      <c r="C872" s="193" t="s">
        <v>537</v>
      </c>
      <c r="D872" s="193" t="s">
        <v>538</v>
      </c>
      <c r="E872" s="193" t="s">
        <v>3038</v>
      </c>
      <c r="F872" s="195">
        <v>2.215714113E9</v>
      </c>
      <c r="G872" s="196"/>
      <c r="H872" s="193" t="s">
        <v>3039</v>
      </c>
      <c r="I872" s="197" t="str">
        <f>IF(iserror(vlookup($A872,Pagos!$B$5:L1241,4,false)),"Sin actividad",If(vlookup($A872,Pagos!$B$5:$L1241,5,false),vlookup($A872,Pagos!$B$5:$L1241,5,false),vlookup($A872,Pagos!$B$5:$L1241,4,false)))</f>
        <v>Sin actividad</v>
      </c>
      <c r="J872" s="198" t="s">
        <v>529</v>
      </c>
      <c r="K872" s="199">
        <v>44166.0</v>
      </c>
      <c r="L872" s="200">
        <v>44986.0</v>
      </c>
      <c r="M872" s="201"/>
      <c r="N872" s="202"/>
      <c r="O872" s="202"/>
    </row>
    <row r="873">
      <c r="A873" s="192">
        <v>1366.0</v>
      </c>
      <c r="B873" s="193" t="s">
        <v>3040</v>
      </c>
      <c r="C873" s="194" t="s">
        <v>526</v>
      </c>
      <c r="D873" s="193" t="s">
        <v>556</v>
      </c>
      <c r="E873" s="193" t="s">
        <v>3041</v>
      </c>
      <c r="F873" s="195">
        <v>1.149220836E9</v>
      </c>
      <c r="G873" s="196">
        <v>0.0</v>
      </c>
      <c r="H873" s="193" t="s">
        <v>3042</v>
      </c>
      <c r="I873" s="197">
        <f>IF(iserror(vlookup($A873,Pagos!$B$5:L1241,4,false)),"Sin actividad",If(vlookup($A873,Pagos!$B$5:$L1241,5,false),vlookup($A873,Pagos!$B$5:$L1241,5,false),vlookup($A873,Pagos!$B$5:$L1241,4,false)))</f>
        <v>45870</v>
      </c>
      <c r="J873" s="198" t="s">
        <v>523</v>
      </c>
      <c r="K873" s="199">
        <v>40608.0</v>
      </c>
      <c r="L873" s="200"/>
      <c r="M873" s="201"/>
      <c r="N873" s="202">
        <f>If(L873&gt;K873,   datedif(K873,L873,"Y") , If(K873&lt;Vitalicios!$C$4, datedif(K873,Vitalicios!$C$4,"Y"),0)  )</f>
        <v>14</v>
      </c>
      <c r="O873" s="202"/>
    </row>
    <row r="874">
      <c r="A874" s="192">
        <v>2168.0</v>
      </c>
      <c r="B874" s="193" t="s">
        <v>3043</v>
      </c>
      <c r="C874" s="193" t="s">
        <v>537</v>
      </c>
      <c r="D874" s="193" t="s">
        <v>532</v>
      </c>
      <c r="E874" s="193" t="s">
        <v>3044</v>
      </c>
      <c r="F874" s="195">
        <v>2.216714053E9</v>
      </c>
      <c r="G874" s="196"/>
      <c r="H874" s="193"/>
      <c r="I874" s="197"/>
      <c r="J874" s="198" t="s">
        <v>523</v>
      </c>
      <c r="K874" s="199">
        <v>45017.0</v>
      </c>
      <c r="L874" s="200"/>
      <c r="M874" s="201"/>
      <c r="N874" s="202"/>
      <c r="O874" s="202"/>
    </row>
    <row r="875">
      <c r="A875" s="192">
        <v>1986.0</v>
      </c>
      <c r="B875" s="193" t="s">
        <v>3045</v>
      </c>
      <c r="C875" s="193" t="s">
        <v>537</v>
      </c>
      <c r="D875" s="193" t="s">
        <v>538</v>
      </c>
      <c r="E875" s="193" t="s">
        <v>3046</v>
      </c>
      <c r="F875" s="195">
        <v>2.216002662E9</v>
      </c>
      <c r="G875" s="196"/>
      <c r="H875" s="193" t="s">
        <v>3047</v>
      </c>
      <c r="I875" s="197">
        <f>IF(iserror(vlookup($A875,Pagos!$B$5:L1241,4,false)),"Sin actividad",If(vlookup($A875,Pagos!$B$5:$L1241,5,false),vlookup($A875,Pagos!$B$5:$L1241,5,false),vlookup($A875,Pagos!$B$5:$L1241,4,false)))</f>
        <v>45870</v>
      </c>
      <c r="J875" s="198" t="s">
        <v>523</v>
      </c>
      <c r="K875" s="199">
        <v>44562.0</v>
      </c>
      <c r="L875" s="200"/>
      <c r="M875" s="201"/>
      <c r="N875" s="202"/>
      <c r="O875" s="202"/>
    </row>
    <row r="876">
      <c r="A876" s="192">
        <v>1602.0</v>
      </c>
      <c r="B876" s="193" t="s">
        <v>3048</v>
      </c>
      <c r="C876" s="194" t="s">
        <v>526</v>
      </c>
      <c r="D876" s="193" t="s">
        <v>527</v>
      </c>
      <c r="E876" s="193" t="s">
        <v>3049</v>
      </c>
      <c r="F876" s="195">
        <v>1.54184322E8</v>
      </c>
      <c r="G876" s="196"/>
      <c r="H876" s="193" t="s">
        <v>3050</v>
      </c>
      <c r="I876" s="197">
        <f>IF(iserror(vlookup($A876,Pagos!$B$5:L1241,4,false)),"Sin actividad",If(vlookup($A876,Pagos!$B$5:$L1241,5,false),vlookup($A876,Pagos!$B$5:$L1241,5,false),vlookup($A876,Pagos!$B$5:$L1241,4,false)))</f>
        <v>45870</v>
      </c>
      <c r="J876" s="198" t="s">
        <v>523</v>
      </c>
      <c r="K876" s="199">
        <v>42491.0</v>
      </c>
      <c r="L876" s="200"/>
      <c r="M876" s="201"/>
      <c r="N876" s="202">
        <f>If(L876&gt;K876,   datedif(K876,L876,"Y") , If(K876&lt;Vitalicios!$C$4, datedif(K876,Vitalicios!$C$4,"Y"),0)  )</f>
        <v>9</v>
      </c>
      <c r="O876" s="202"/>
    </row>
    <row r="877">
      <c r="A877" s="192">
        <v>1134.0</v>
      </c>
      <c r="B877" s="193" t="s">
        <v>3051</v>
      </c>
      <c r="C877" s="194" t="s">
        <v>526</v>
      </c>
      <c r="D877" s="193" t="s">
        <v>520</v>
      </c>
      <c r="E877" s="193" t="s">
        <v>3052</v>
      </c>
      <c r="F877" s="195">
        <v>4793092.0</v>
      </c>
      <c r="G877" s="196">
        <v>0.0</v>
      </c>
      <c r="H877" s="193" t="s">
        <v>3053</v>
      </c>
      <c r="I877" s="197" t="str">
        <f>IF(iserror(vlookup($A877,Pagos!$B$5:L1241,4,false)),"Sin actividad",If(vlookup($A877,Pagos!$B$5:$L1241,5,false),vlookup($A877,Pagos!$B$5:$L1241,5,false),vlookup($A877,Pagos!$B$5:$L1241,4,false)))</f>
        <v>Sin actividad</v>
      </c>
      <c r="J877" s="198" t="s">
        <v>529</v>
      </c>
      <c r="K877" s="199">
        <v>39098.0</v>
      </c>
      <c r="L877" s="200">
        <v>43344.0</v>
      </c>
      <c r="M877" s="201" t="s">
        <v>3054</v>
      </c>
      <c r="N877" s="202">
        <f>If(L877&gt;K877,   datedif(K877,L877,"Y") , If(K877&lt;Vitalicios!$C$4, datedif(K877,Vitalicios!$C$4,"Y"),0)  )</f>
        <v>11</v>
      </c>
      <c r="O877" s="202"/>
    </row>
    <row r="878">
      <c r="A878" s="192">
        <v>1721.0</v>
      </c>
      <c r="B878" s="193" t="s">
        <v>3055</v>
      </c>
      <c r="C878" s="194" t="s">
        <v>519</v>
      </c>
      <c r="D878" s="193" t="s">
        <v>520</v>
      </c>
      <c r="E878" s="193" t="s">
        <v>3056</v>
      </c>
      <c r="F878" s="195">
        <v>1.55668739E8</v>
      </c>
      <c r="G878" s="196"/>
      <c r="H878" s="193" t="s">
        <v>3057</v>
      </c>
      <c r="I878" s="197" t="str">
        <f>IF(iserror(vlookup($A878,Pagos!$B$5:L1241,4,false)),"Sin actividad",If(vlookup($A878,Pagos!$B$5:$L1241,5,false),vlookup($A878,Pagos!$B$5:$L1241,5,false),vlookup($A878,Pagos!$B$5:$L1241,4,false)))</f>
        <v>Sin actividad</v>
      </c>
      <c r="J878" s="198" t="s">
        <v>529</v>
      </c>
      <c r="K878" s="199">
        <v>43435.0</v>
      </c>
      <c r="L878" s="200"/>
      <c r="M878" s="201" t="s">
        <v>2043</v>
      </c>
      <c r="N878" s="202">
        <f>If(L878&gt;K878,   datedif(K878,L878,"Y") , If(K878&lt;Vitalicios!$C$4, datedif(K878,Vitalicios!$C$4,"Y"),0)  )</f>
        <v>6</v>
      </c>
      <c r="O878" s="202"/>
    </row>
    <row r="879">
      <c r="A879" s="192">
        <v>1756.0</v>
      </c>
      <c r="B879" s="193" t="s">
        <v>3058</v>
      </c>
      <c r="C879" s="194" t="s">
        <v>519</v>
      </c>
      <c r="D879" s="193" t="s">
        <v>538</v>
      </c>
      <c r="E879" s="193" t="s">
        <v>3059</v>
      </c>
      <c r="F879" s="219" t="s">
        <v>3060</v>
      </c>
      <c r="G879" s="196"/>
      <c r="H879" s="193" t="s">
        <v>3061</v>
      </c>
      <c r="I879" s="197">
        <f>IF(iserror(vlookup($A879,Pagos!$B$5:L1241,4,false)),"Sin actividad",If(vlookup($A879,Pagos!$B$5:$L1241,5,false),vlookup($A879,Pagos!$B$5:$L1241,5,false),vlookup($A879,Pagos!$B$5:$L1241,4,false)))</f>
        <v>45992</v>
      </c>
      <c r="J879" s="198" t="s">
        <v>523</v>
      </c>
      <c r="K879" s="199">
        <v>43770.0</v>
      </c>
      <c r="L879" s="200"/>
      <c r="M879" s="201"/>
      <c r="N879" s="202">
        <f>If(L879&gt;K879,   datedif(K879,L879,"Y") , If(K879&lt;Vitalicios!$C$4, datedif(K879,Vitalicios!$C$4,"Y"),0)  )</f>
        <v>5</v>
      </c>
      <c r="O879" s="202"/>
    </row>
    <row r="880">
      <c r="A880" s="192">
        <v>2385.0</v>
      </c>
      <c r="B880" s="193" t="s">
        <v>3062</v>
      </c>
      <c r="C880" s="193" t="s">
        <v>537</v>
      </c>
      <c r="D880" s="193" t="s">
        <v>532</v>
      </c>
      <c r="E880" s="193" t="s">
        <v>3063</v>
      </c>
      <c r="F880" s="195">
        <v>1.160937613E9</v>
      </c>
      <c r="G880" s="196"/>
      <c r="H880" s="193" t="s">
        <v>3064</v>
      </c>
      <c r="I880" s="197"/>
      <c r="J880" s="198" t="s">
        <v>523</v>
      </c>
      <c r="K880" s="199">
        <v>45839.0</v>
      </c>
      <c r="L880" s="200"/>
      <c r="M880" s="201"/>
      <c r="N880" s="202"/>
      <c r="O880" s="202"/>
    </row>
    <row r="881">
      <c r="A881" s="192">
        <v>2320.0</v>
      </c>
      <c r="B881" s="193" t="s">
        <v>3065</v>
      </c>
      <c r="C881" s="193" t="s">
        <v>679</v>
      </c>
      <c r="D881" s="193" t="s">
        <v>532</v>
      </c>
      <c r="E881" s="193" t="s">
        <v>3066</v>
      </c>
      <c r="F881" s="195">
        <v>1.15639879E8</v>
      </c>
      <c r="G881" s="196"/>
      <c r="H881" s="193" t="s">
        <v>3067</v>
      </c>
      <c r="I881" s="197"/>
      <c r="J881" s="198" t="s">
        <v>523</v>
      </c>
      <c r="K881" s="199">
        <v>45689.0</v>
      </c>
      <c r="L881" s="200"/>
      <c r="M881" s="201"/>
      <c r="N881" s="202"/>
      <c r="O881" s="202"/>
    </row>
    <row r="882">
      <c r="A882" s="192">
        <v>1213.0</v>
      </c>
      <c r="B882" s="193" t="s">
        <v>3068</v>
      </c>
      <c r="C882" s="194" t="s">
        <v>537</v>
      </c>
      <c r="D882" s="193" t="s">
        <v>1082</v>
      </c>
      <c r="E882" s="193" t="s">
        <v>3069</v>
      </c>
      <c r="F882" s="195">
        <v>1.13682089E9</v>
      </c>
      <c r="G882" s="196">
        <v>0.0</v>
      </c>
      <c r="H882" s="193" t="s">
        <v>3070</v>
      </c>
      <c r="I882" s="197">
        <f>IF(iserror(vlookup($A882,Pagos!$B$5:L1241,4,false)),"Sin actividad",If(vlookup($A882,Pagos!$B$5:$L1241,5,false),vlookup($A882,Pagos!$B$5:$L1241,5,false),vlookup($A882,Pagos!$B$5:$L1241,4,false)))</f>
        <v>45901</v>
      </c>
      <c r="J882" s="198" t="s">
        <v>523</v>
      </c>
      <c r="K882" s="199">
        <v>44075.0</v>
      </c>
      <c r="L882" s="200"/>
      <c r="M882" s="201" t="s">
        <v>3071</v>
      </c>
      <c r="N882" s="202">
        <f>If(L882&gt;K882,   datedif(K882,L882,"Y") , If(K882&lt;Vitalicios!$C$4, datedif(K882,Vitalicios!$C$4,"Y"),0)  )</f>
        <v>5</v>
      </c>
      <c r="O882" s="202"/>
    </row>
    <row r="883">
      <c r="A883" s="192">
        <v>2098.0</v>
      </c>
      <c r="B883" s="193" t="s">
        <v>3072</v>
      </c>
      <c r="C883" s="193" t="s">
        <v>537</v>
      </c>
      <c r="D883" s="193" t="s">
        <v>532</v>
      </c>
      <c r="E883" s="193" t="s">
        <v>3073</v>
      </c>
      <c r="F883" s="195">
        <v>2.216754543E9</v>
      </c>
      <c r="G883" s="196"/>
      <c r="H883" s="193" t="s">
        <v>3074</v>
      </c>
      <c r="I883" s="197"/>
      <c r="J883" s="198" t="s">
        <v>529</v>
      </c>
      <c r="K883" s="199">
        <v>44896.0</v>
      </c>
      <c r="L883" s="200">
        <v>45444.0</v>
      </c>
      <c r="M883" s="201" t="s">
        <v>535</v>
      </c>
      <c r="N883" s="202">
        <f>If(L883&gt;K883,   datedif(K883,L883,"Y") , If(K883&lt;Vitalicios!$C$4, datedif(K883,Vitalicios!$C$4,"Y"),0)  )</f>
        <v>1</v>
      </c>
      <c r="O883" s="202"/>
    </row>
    <row r="884">
      <c r="A884" s="192">
        <v>861.0</v>
      </c>
      <c r="B884" s="193" t="s">
        <v>3075</v>
      </c>
      <c r="C884" s="194" t="s">
        <v>577</v>
      </c>
      <c r="D884" s="193" t="s">
        <v>770</v>
      </c>
      <c r="E884" s="193" t="s">
        <v>3076</v>
      </c>
      <c r="F884" s="195">
        <v>4847759.0</v>
      </c>
      <c r="G884" s="196">
        <v>0.0</v>
      </c>
      <c r="H884" s="193" t="s">
        <v>3077</v>
      </c>
      <c r="I884" s="197" t="str">
        <f>IF(iserror(vlookup($A884,Pagos!$B$5:L1241,4,false)),"Sin actividad",If(vlookup($A884,Pagos!$B$5:$L1241,5,false),vlookup($A884,Pagos!$B$5:$L1241,5,false),vlookup($A884,Pagos!$B$5:$L1241,4,false)))</f>
        <v>Sin actividad</v>
      </c>
      <c r="J884" s="198" t="s">
        <v>529</v>
      </c>
      <c r="K884" s="199">
        <v>36903.0</v>
      </c>
      <c r="L884" s="200">
        <v>45108.0</v>
      </c>
      <c r="M884" s="201" t="s">
        <v>2418</v>
      </c>
      <c r="N884" s="202">
        <f>If(L884&gt;K884,   datedif(K884,L884,"Y") , If(K884&lt;Vitalicios!$C$4, datedif(K884,Vitalicios!$C$4,"Y"),0)  )</f>
        <v>22</v>
      </c>
      <c r="O884" s="202"/>
    </row>
    <row r="885">
      <c r="A885" s="192">
        <v>2342.0</v>
      </c>
      <c r="B885" s="193" t="s">
        <v>3078</v>
      </c>
      <c r="C885" s="193" t="s">
        <v>537</v>
      </c>
      <c r="D885" s="193" t="s">
        <v>3079</v>
      </c>
      <c r="E885" s="193" t="s">
        <v>3080</v>
      </c>
      <c r="F885" s="195">
        <v>2.214207612E9</v>
      </c>
      <c r="G885" s="196">
        <v>0.0</v>
      </c>
      <c r="H885" s="193" t="s">
        <v>3081</v>
      </c>
      <c r="I885" s="197">
        <f>IF(iserror(vlookup($A885,Pagos!$B$5:L1241,4,false)),"Sin actividad",If(vlookup($A885,Pagos!$B$5:$L1241,5,false),vlookup($A885,Pagos!$B$5:$L1241,5,false),vlookup($A885,Pagos!$B$5:$L1241,4,false)))</f>
        <v>45870</v>
      </c>
      <c r="J885" s="198" t="s">
        <v>523</v>
      </c>
      <c r="K885" s="199">
        <v>45717.0</v>
      </c>
      <c r="L885" s="200"/>
      <c r="M885" s="201" t="s">
        <v>712</v>
      </c>
      <c r="N885" s="202">
        <f>If(L885&gt;K885,   datedif(K885,L885,"Y") , If(K885&lt;Vitalicios!$C$4, datedif(K885,Vitalicios!$C$4,"Y"),0)  )</f>
        <v>0</v>
      </c>
      <c r="O885" s="202"/>
    </row>
    <row r="886">
      <c r="A886" s="192">
        <v>2216.0</v>
      </c>
      <c r="B886" s="193" t="s">
        <v>3082</v>
      </c>
      <c r="C886" s="194" t="s">
        <v>519</v>
      </c>
      <c r="D886" s="193" t="s">
        <v>527</v>
      </c>
      <c r="E886" s="193" t="s">
        <v>3083</v>
      </c>
      <c r="F886" s="195">
        <v>1.54977454E8</v>
      </c>
      <c r="G886" s="196"/>
      <c r="H886" s="193" t="s">
        <v>3084</v>
      </c>
      <c r="I886" s="197">
        <f>IF(iserror(vlookup($A886,Pagos!$B$5:L1241,4,false)),"Sin actividad",If(vlookup($A886,Pagos!$B$5:$L1241,5,false),vlookup($A886,Pagos!$B$5:$L1241,5,false),vlookup($A886,Pagos!$B$5:$L1241,4,false)))</f>
        <v>45870</v>
      </c>
      <c r="J886" s="198" t="s">
        <v>529</v>
      </c>
      <c r="K886" s="199">
        <v>42950.0</v>
      </c>
      <c r="L886" s="200">
        <v>43101.0</v>
      </c>
      <c r="M886" s="201" t="s">
        <v>589</v>
      </c>
      <c r="N886" s="202">
        <f>If(L886&gt;K886,   datedif(K886,L886,"Y") , If(K886&lt;Vitalicios!$C$4, datedif(K886,Vitalicios!$C$4,"Y"),0)  )</f>
        <v>0</v>
      </c>
      <c r="O886" s="202"/>
    </row>
    <row r="887">
      <c r="A887" s="192">
        <v>2228.0</v>
      </c>
      <c r="B887" s="193" t="s">
        <v>3085</v>
      </c>
      <c r="C887" s="193" t="s">
        <v>679</v>
      </c>
      <c r="D887" s="193" t="s">
        <v>538</v>
      </c>
      <c r="E887" s="193" t="s">
        <v>1507</v>
      </c>
      <c r="F887" s="195">
        <v>2.215653228E9</v>
      </c>
      <c r="G887" s="196"/>
      <c r="H887" s="193" t="s">
        <v>3086</v>
      </c>
      <c r="I887" s="197"/>
      <c r="J887" s="198" t="s">
        <v>523</v>
      </c>
      <c r="K887" s="199">
        <v>44927.0</v>
      </c>
      <c r="L887" s="200"/>
      <c r="M887" s="201"/>
      <c r="N887" s="202"/>
      <c r="O887" s="202"/>
    </row>
    <row r="888">
      <c r="A888" s="192">
        <v>1067.0</v>
      </c>
      <c r="B888" s="193" t="s">
        <v>3087</v>
      </c>
      <c r="C888" s="194" t="s">
        <v>526</v>
      </c>
      <c r="D888" s="193" t="s">
        <v>556</v>
      </c>
      <c r="E888" s="193" t="s">
        <v>3088</v>
      </c>
      <c r="F888" s="195">
        <v>1.143058011E9</v>
      </c>
      <c r="G888" s="196">
        <v>0.0</v>
      </c>
      <c r="H888" s="193"/>
      <c r="I888" s="197" t="str">
        <f>IF(iserror(vlookup($A888,Pagos!$B$5:L1241,4,false)),"Sin actividad",If(vlookup($A888,Pagos!$B$5:$L1241,5,false),vlookup($A888,Pagos!$B$5:$L1241,5,false),vlookup($A888,Pagos!$B$5:$L1241,4,false)))</f>
        <v>Sin actividad</v>
      </c>
      <c r="J888" s="198" t="s">
        <v>529</v>
      </c>
      <c r="K888" s="199">
        <v>45231.0</v>
      </c>
      <c r="L888" s="200"/>
      <c r="M888" s="201"/>
      <c r="N888" s="202">
        <f>If(L888&gt;K888,   datedif(K888,L888,"Y") , If(K888&lt;Vitalicios!$C$4, datedif(K888,Vitalicios!$C$4,"Y"),0)  )</f>
        <v>1</v>
      </c>
      <c r="O888" s="202"/>
    </row>
    <row r="889">
      <c r="A889" s="192">
        <v>2009.0</v>
      </c>
      <c r="B889" s="193" t="s">
        <v>3089</v>
      </c>
      <c r="C889" s="193" t="s">
        <v>537</v>
      </c>
      <c r="D889" s="193" t="s">
        <v>538</v>
      </c>
      <c r="E889" s="193" t="s">
        <v>3090</v>
      </c>
      <c r="F889" s="195">
        <v>2.216422132E9</v>
      </c>
      <c r="G889" s="196"/>
      <c r="H889" s="193" t="s">
        <v>3091</v>
      </c>
      <c r="I889" s="197" t="str">
        <f>IF(iserror(vlookup($A889,Pagos!$B$5:L1241,4,false)),"Sin actividad",If(vlookup($A889,Pagos!$B$5:$L1241,5,false),vlookup($A889,Pagos!$B$5:$L1241,5,false),vlookup($A889,Pagos!$B$5:$L1241,4,false)))</f>
        <v>Sin actividad</v>
      </c>
      <c r="J889" s="198" t="s">
        <v>529</v>
      </c>
      <c r="K889" s="199">
        <v>44621.0</v>
      </c>
      <c r="L889" s="200">
        <v>44805.0</v>
      </c>
      <c r="M889" s="201" t="s">
        <v>614</v>
      </c>
      <c r="N889" s="202"/>
      <c r="O889" s="202"/>
    </row>
    <row r="890">
      <c r="A890" s="192">
        <v>982.0</v>
      </c>
      <c r="B890" s="193" t="s">
        <v>3092</v>
      </c>
      <c r="C890" s="194" t="s">
        <v>577</v>
      </c>
      <c r="D890" s="193" t="s">
        <v>520</v>
      </c>
      <c r="E890" s="193" t="s">
        <v>3093</v>
      </c>
      <c r="F890" s="195">
        <v>0.0</v>
      </c>
      <c r="G890" s="196">
        <v>0.0</v>
      </c>
      <c r="H890" s="193" t="s">
        <v>3094</v>
      </c>
      <c r="I890" s="197">
        <f>IF(iserror(vlookup($A890,Pagos!$B$5:L1241,4,false)),"Sin actividad",If(vlookup($A890,Pagos!$B$5:$L1241,5,false),vlookup($A890,Pagos!$B$5:$L1241,5,false),vlookup($A890,Pagos!$B$5:$L1241,4,false)))</f>
        <v>45992</v>
      </c>
      <c r="J890" s="198" t="s">
        <v>523</v>
      </c>
      <c r="K890" s="199">
        <v>37895.0</v>
      </c>
      <c r="L890" s="200"/>
      <c r="M890" s="201"/>
      <c r="N890" s="202">
        <f>If(L890&gt;K890,   datedif(K890,L890,"Y") , If(K890&lt;Vitalicios!$C$4, datedif(K890,Vitalicios!$C$4,"Y"),0)  )</f>
        <v>21</v>
      </c>
      <c r="O890" s="202"/>
    </row>
    <row r="891">
      <c r="A891" s="192">
        <v>1825.0</v>
      </c>
      <c r="B891" s="193" t="s">
        <v>3095</v>
      </c>
      <c r="C891" s="193" t="s">
        <v>537</v>
      </c>
      <c r="D891" s="193" t="s">
        <v>538</v>
      </c>
      <c r="E891" s="193" t="s">
        <v>3096</v>
      </c>
      <c r="F891" s="195"/>
      <c r="G891" s="196"/>
      <c r="H891" s="193" t="s">
        <v>3097</v>
      </c>
      <c r="I891" s="197" t="str">
        <f>IF(iserror(vlookup($A891,Pagos!$B$5:L1241,4,false)),"Sin actividad",If(vlookup($A891,Pagos!$B$5:$L1241,5,false),vlookup($A891,Pagos!$B$5:$L1241,5,false),vlookup($A891,Pagos!$B$5:$L1241,4,false)))</f>
        <v>Sin actividad</v>
      </c>
      <c r="J891" s="198" t="s">
        <v>529</v>
      </c>
      <c r="K891" s="199"/>
      <c r="L891" s="200">
        <v>44743.0</v>
      </c>
      <c r="M891" s="201" t="s">
        <v>535</v>
      </c>
      <c r="N891" s="202"/>
      <c r="O891" s="202"/>
    </row>
    <row r="892">
      <c r="A892" s="192">
        <v>834.0</v>
      </c>
      <c r="B892" s="193" t="s">
        <v>3098</v>
      </c>
      <c r="C892" s="194" t="s">
        <v>564</v>
      </c>
      <c r="D892" s="193" t="s">
        <v>556</v>
      </c>
      <c r="E892" s="193">
        <v>0.0</v>
      </c>
      <c r="F892" s="195">
        <v>0.0</v>
      </c>
      <c r="G892" s="196">
        <v>0.0</v>
      </c>
      <c r="H892" s="193"/>
      <c r="I892" s="197" t="str">
        <f>IF(iserror(vlookup($A892,Pagos!$B$5:L1241,4,false)),"Sin actividad",If(vlookup($A892,Pagos!$B$5:$L1241,5,false),vlookup($A892,Pagos!$B$5:$L1241,5,false),vlookup($A892,Pagos!$B$5:$L1241,4,false)))</f>
        <v>Sin actividad</v>
      </c>
      <c r="J892" s="198" t="s">
        <v>529</v>
      </c>
      <c r="K892" s="199"/>
      <c r="L892" s="200"/>
      <c r="M892" s="201"/>
      <c r="N892" s="202">
        <f>If(L892&gt;K892,   datedif(K892,L892,"Y") , If(K892&lt;Vitalicios!$C$4, datedif(K892,Vitalicios!$C$4,"Y"),0)  )</f>
        <v>125</v>
      </c>
      <c r="O892" s="202"/>
    </row>
    <row r="893">
      <c r="A893" s="192">
        <v>1204.0</v>
      </c>
      <c r="B893" s="193" t="s">
        <v>3099</v>
      </c>
      <c r="C893" s="194" t="s">
        <v>577</v>
      </c>
      <c r="D893" s="193" t="s">
        <v>556</v>
      </c>
      <c r="E893" s="193" t="s">
        <v>3100</v>
      </c>
      <c r="F893" s="195">
        <v>4824984.0</v>
      </c>
      <c r="G893" s="196">
        <v>0.0</v>
      </c>
      <c r="H893" s="193" t="s">
        <v>3101</v>
      </c>
      <c r="I893" s="197">
        <f>IF(iserror(vlookup($A893,Pagos!$B$5:L1241,4,false)),"Sin actividad",If(vlookup($A893,Pagos!$B$5:$L1241,5,false),vlookup($A893,Pagos!$B$5:$L1241,5,false),vlookup($A893,Pagos!$B$5:$L1241,4,false)))</f>
        <v>45870</v>
      </c>
      <c r="J893" s="198" t="s">
        <v>523</v>
      </c>
      <c r="K893" s="199">
        <v>39823.0</v>
      </c>
      <c r="L893" s="200"/>
      <c r="M893" s="201"/>
      <c r="N893" s="202">
        <f>If(L893&gt;K893,   datedif(K893,L893,"Y") , If(K893&lt;Vitalicios!$C$4, datedif(K893,Vitalicios!$C$4,"Y"),0)  )</f>
        <v>16</v>
      </c>
      <c r="O893" s="202"/>
    </row>
    <row r="894">
      <c r="A894" s="192">
        <v>2350.0</v>
      </c>
      <c r="B894" s="193" t="s">
        <v>3102</v>
      </c>
      <c r="C894" s="193" t="s">
        <v>537</v>
      </c>
      <c r="D894" s="193" t="s">
        <v>538</v>
      </c>
      <c r="E894" s="193" t="s">
        <v>3103</v>
      </c>
      <c r="F894" s="195">
        <v>2.216406161E9</v>
      </c>
      <c r="G894" s="196"/>
      <c r="H894" s="193" t="s">
        <v>3104</v>
      </c>
      <c r="I894" s="197"/>
      <c r="J894" s="198" t="s">
        <v>523</v>
      </c>
      <c r="K894" s="199">
        <v>45748.0</v>
      </c>
      <c r="L894" s="200"/>
      <c r="M894" s="201"/>
      <c r="N894" s="202"/>
      <c r="O894" s="202"/>
    </row>
    <row r="895">
      <c r="A895" s="192">
        <v>1395.0</v>
      </c>
      <c r="B895" s="193" t="s">
        <v>3105</v>
      </c>
      <c r="C895" s="194" t="s">
        <v>526</v>
      </c>
      <c r="D895" s="193" t="s">
        <v>556</v>
      </c>
      <c r="E895" s="193" t="s">
        <v>3106</v>
      </c>
      <c r="F895" s="195">
        <v>4513679.0</v>
      </c>
      <c r="G895" s="196">
        <v>0.0</v>
      </c>
      <c r="H895" s="193"/>
      <c r="I895" s="197" t="str">
        <f>IF(iserror(vlookup($A895,Pagos!$B$5:L1241,4,false)),"Sin actividad",If(vlookup($A895,Pagos!$B$5:$L1241,5,false),vlookup($A895,Pagos!$B$5:$L1241,5,false),vlookup($A895,Pagos!$B$5:$L1241,4,false)))</f>
        <v>Sin actividad</v>
      </c>
      <c r="J895" s="198" t="s">
        <v>529</v>
      </c>
      <c r="K895" s="199">
        <v>40887.0</v>
      </c>
      <c r="L895" s="200">
        <v>43160.0</v>
      </c>
      <c r="M895" s="201"/>
      <c r="N895" s="202">
        <f>If(L895&gt;K895,   datedif(K895,L895,"Y") , If(K895&lt;Vitalicios!$C$4, datedif(K895,Vitalicios!$C$4,"Y"),0)  )</f>
        <v>6</v>
      </c>
      <c r="O895" s="202"/>
    </row>
    <row r="896">
      <c r="A896" s="192">
        <v>1224.0</v>
      </c>
      <c r="B896" s="193" t="s">
        <v>3107</v>
      </c>
      <c r="C896" s="194" t="s">
        <v>564</v>
      </c>
      <c r="D896" s="193" t="s">
        <v>556</v>
      </c>
      <c r="E896" s="193">
        <v>0.0</v>
      </c>
      <c r="F896" s="195">
        <v>0.0</v>
      </c>
      <c r="G896" s="196">
        <v>0.0</v>
      </c>
      <c r="H896" s="193"/>
      <c r="I896" s="197" t="str">
        <f>IF(iserror(vlookup($A896,Pagos!$B$5:L1241,4,false)),"Sin actividad",If(vlookup($A896,Pagos!$B$5:$L1241,5,false),vlookup($A896,Pagos!$B$5:$L1241,5,false),vlookup($A896,Pagos!$B$5:$L1241,4,false)))</f>
        <v>Sin actividad</v>
      </c>
      <c r="J896" s="198" t="s">
        <v>529</v>
      </c>
      <c r="K896" s="199">
        <v>39872.0</v>
      </c>
      <c r="L896" s="200"/>
      <c r="M896" s="201" t="s">
        <v>3108</v>
      </c>
      <c r="N896" s="202">
        <f>If(L896&gt;K896,   datedif(K896,L896,"Y") , If(K896&lt;Vitalicios!$C$4, datedif(K896,Vitalicios!$C$4,"Y"),0)  )</f>
        <v>16</v>
      </c>
      <c r="O896" s="202"/>
    </row>
    <row r="897">
      <c r="A897" s="192">
        <v>2204.0</v>
      </c>
      <c r="B897" s="193" t="s">
        <v>3109</v>
      </c>
      <c r="C897" s="194" t="s">
        <v>519</v>
      </c>
      <c r="D897" s="193" t="s">
        <v>3110</v>
      </c>
      <c r="E897" s="193" t="s">
        <v>3111</v>
      </c>
      <c r="F897" s="195">
        <v>1.54355692E8</v>
      </c>
      <c r="G897" s="196"/>
      <c r="H897" s="193" t="s">
        <v>3112</v>
      </c>
      <c r="I897" s="197" t="str">
        <f>IF(iserror(vlookup($A897,Pagos!$B$5:L1241,4,false)),"Sin actividad",If(vlookup($A897,Pagos!$B$5:$L1241,5,false),vlookup($A897,Pagos!$B$5:$L1241,5,false),vlookup($A897,Pagos!$B$5:$L1241,4,false)))</f>
        <v>Sin actividad</v>
      </c>
      <c r="J897" s="198" t="s">
        <v>529</v>
      </c>
      <c r="K897" s="199">
        <v>43405.0</v>
      </c>
      <c r="L897" s="200">
        <v>45992.0</v>
      </c>
      <c r="M897" s="201" t="s">
        <v>3108</v>
      </c>
      <c r="N897" s="202">
        <f>If(L897&gt;K897,   datedif(K897,L897,"Y") , If(K897&lt;Vitalicios!$C$4, datedif(K897,Vitalicios!$C$4,"Y"),0)  )</f>
        <v>7</v>
      </c>
      <c r="O897" s="202"/>
    </row>
    <row r="898">
      <c r="A898" s="192">
        <v>2215.0</v>
      </c>
      <c r="B898" s="193" t="s">
        <v>3113</v>
      </c>
      <c r="C898" s="193" t="s">
        <v>537</v>
      </c>
      <c r="D898" s="193" t="s">
        <v>538</v>
      </c>
      <c r="E898" s="193" t="s">
        <v>3114</v>
      </c>
      <c r="F898" s="195">
        <v>2.21497441E8</v>
      </c>
      <c r="G898" s="196"/>
      <c r="H898" s="193" t="s">
        <v>3115</v>
      </c>
      <c r="I898" s="197"/>
      <c r="J898" s="198" t="s">
        <v>523</v>
      </c>
      <c r="K898" s="199">
        <v>45231.0</v>
      </c>
      <c r="L898" s="200"/>
      <c r="M898" s="201"/>
      <c r="N898" s="202"/>
      <c r="O898" s="202"/>
    </row>
    <row r="899">
      <c r="A899" s="192">
        <v>1850.0</v>
      </c>
      <c r="B899" s="193" t="s">
        <v>3116</v>
      </c>
      <c r="C899" s="193" t="s">
        <v>679</v>
      </c>
      <c r="D899" s="193" t="s">
        <v>538</v>
      </c>
      <c r="E899" s="193" t="s">
        <v>3117</v>
      </c>
      <c r="F899" s="195">
        <v>2.21495485E9</v>
      </c>
      <c r="G899" s="196"/>
      <c r="H899" s="193" t="s">
        <v>3118</v>
      </c>
      <c r="I899" s="197" t="str">
        <f>IF(iserror(vlookup($A899,Pagos!$B$5:L1241,4,false)),"Sin actividad",If(vlookup($A899,Pagos!$B$5:$L1241,5,false),vlookup($A899,Pagos!$B$5:$L1241,5,false),vlookup($A899,Pagos!$B$5:$L1241,4,false)))</f>
        <v>Sin actividad</v>
      </c>
      <c r="J899" s="198" t="s">
        <v>529</v>
      </c>
      <c r="K899" s="199">
        <v>44136.0</v>
      </c>
      <c r="L899" s="200"/>
      <c r="M899" s="201" t="s">
        <v>1013</v>
      </c>
      <c r="N899" s="202"/>
      <c r="O899" s="202"/>
    </row>
    <row r="900">
      <c r="A900" s="192">
        <v>2262.0</v>
      </c>
      <c r="B900" s="193" t="s">
        <v>3119</v>
      </c>
      <c r="C900" s="193" t="s">
        <v>679</v>
      </c>
      <c r="D900" s="193" t="s">
        <v>628</v>
      </c>
      <c r="E900" s="193" t="s">
        <v>3120</v>
      </c>
      <c r="F900" s="195">
        <v>4643181.0</v>
      </c>
      <c r="G900" s="196"/>
      <c r="H900" s="193" t="s">
        <v>3121</v>
      </c>
      <c r="I900" s="197"/>
      <c r="J900" s="198" t="s">
        <v>529</v>
      </c>
      <c r="K900" s="199">
        <v>45352.0</v>
      </c>
      <c r="L900" s="200">
        <v>45627.0</v>
      </c>
      <c r="M900" s="201" t="s">
        <v>631</v>
      </c>
      <c r="N900" s="202"/>
      <c r="O900" s="202"/>
    </row>
    <row r="901">
      <c r="A901" s="192">
        <v>1904.0</v>
      </c>
      <c r="B901" s="193" t="s">
        <v>3122</v>
      </c>
      <c r="C901" s="193" t="s">
        <v>537</v>
      </c>
      <c r="D901" s="193" t="s">
        <v>3123</v>
      </c>
      <c r="E901" s="193" t="s">
        <v>3124</v>
      </c>
      <c r="F901" s="195">
        <v>2.214770303E9</v>
      </c>
      <c r="G901" s="196"/>
      <c r="H901" s="193" t="s">
        <v>3125</v>
      </c>
      <c r="I901" s="197" t="str">
        <f>IF(iserror(vlookup($A901,Pagos!$B$5:L1241,4,false)),"Sin actividad",If(vlookup($A901,Pagos!$B$5:$L1241,5,false),vlookup($A901,Pagos!$B$5:$L1241,5,false),vlookup($A901,Pagos!$B$5:$L1241,4,false)))</f>
        <v>Sin actividad</v>
      </c>
      <c r="J901" s="198" t="s">
        <v>529</v>
      </c>
      <c r="K901" s="199">
        <v>44348.0</v>
      </c>
      <c r="L901" s="200">
        <v>44743.0</v>
      </c>
      <c r="M901" s="201" t="s">
        <v>535</v>
      </c>
      <c r="N901" s="202"/>
      <c r="O901" s="202"/>
    </row>
    <row r="902">
      <c r="A902" s="192">
        <v>1880.0</v>
      </c>
      <c r="B902" s="193" t="s">
        <v>3126</v>
      </c>
      <c r="C902" s="193" t="s">
        <v>537</v>
      </c>
      <c r="D902" s="193" t="s">
        <v>2059</v>
      </c>
      <c r="E902" s="193" t="s">
        <v>3127</v>
      </c>
      <c r="F902" s="195"/>
      <c r="G902" s="196"/>
      <c r="H902" s="193" t="s">
        <v>3128</v>
      </c>
      <c r="I902" s="197" t="str">
        <f>IF(iserror(vlookup($A902,Pagos!$B$5:L1241,4,false)),"Sin actividad",If(vlookup($A902,Pagos!$B$5:$L1241,5,false),vlookup($A902,Pagos!$B$5:$L1241,5,false),vlookup($A902,Pagos!$B$5:$L1241,4,false)))</f>
        <v>Sin actividad</v>
      </c>
      <c r="J902" s="198" t="s">
        <v>529</v>
      </c>
      <c r="K902" s="199">
        <v>44228.0</v>
      </c>
      <c r="L902" s="200">
        <v>44958.0</v>
      </c>
      <c r="M902" s="201" t="s">
        <v>535</v>
      </c>
      <c r="N902" s="202"/>
      <c r="O902" s="202"/>
    </row>
    <row r="903">
      <c r="A903" s="192">
        <v>1097.0</v>
      </c>
      <c r="B903" s="193" t="s">
        <v>3129</v>
      </c>
      <c r="C903" s="194" t="s">
        <v>526</v>
      </c>
      <c r="D903" s="193" t="s">
        <v>556</v>
      </c>
      <c r="E903" s="193" t="s">
        <v>3130</v>
      </c>
      <c r="F903" s="195">
        <v>4245307.0</v>
      </c>
      <c r="G903" s="196">
        <v>0.0</v>
      </c>
      <c r="H903" s="193" t="s">
        <v>3131</v>
      </c>
      <c r="I903" s="197">
        <f>IF(iserror(vlookup($A903,Pagos!$B$5:L1241,4,false)),"Sin actividad",If(vlookup($A903,Pagos!$B$5:$L1241,5,false),vlookup($A903,Pagos!$B$5:$L1241,5,false),vlookup($A903,Pagos!$B$5:$L1241,4,false)))</f>
        <v>45870</v>
      </c>
      <c r="J903" s="198" t="s">
        <v>523</v>
      </c>
      <c r="K903" s="199">
        <v>38724.0</v>
      </c>
      <c r="L903" s="200"/>
      <c r="M903" s="201"/>
      <c r="N903" s="202">
        <f>If(L903&gt;K903,   datedif(K903,L903,"Y") , If(K903&lt;Vitalicios!$C$4, datedif(K903,Vitalicios!$C$4,"Y"),0)  )</f>
        <v>19</v>
      </c>
      <c r="O903" s="202"/>
    </row>
    <row r="904">
      <c r="A904" s="192">
        <v>1267.0</v>
      </c>
      <c r="B904" s="193" t="s">
        <v>3132</v>
      </c>
      <c r="C904" s="194" t="s">
        <v>564</v>
      </c>
      <c r="D904" s="193" t="s">
        <v>556</v>
      </c>
      <c r="E904" s="193">
        <v>0.0</v>
      </c>
      <c r="F904" s="195">
        <v>0.0</v>
      </c>
      <c r="G904" s="196">
        <v>0.0</v>
      </c>
      <c r="H904" s="193"/>
      <c r="I904" s="197" t="str">
        <f>IF(iserror(vlookup($A904,Pagos!$B$5:L1241,4,false)),"Sin actividad",If(vlookup($A904,Pagos!$B$5:$L1241,5,false),vlookup($A904,Pagos!$B$5:$L1241,5,false),vlookup($A904,Pagos!$B$5:$L1241,4,false)))</f>
        <v>Sin actividad</v>
      </c>
      <c r="J904" s="198" t="s">
        <v>529</v>
      </c>
      <c r="K904" s="199">
        <v>40160.0</v>
      </c>
      <c r="L904" s="200"/>
      <c r="M904" s="201"/>
      <c r="N904" s="202">
        <f>If(L904&gt;K904,   datedif(K904,L904,"Y") , If(K904&lt;Vitalicios!$C$4, datedif(K904,Vitalicios!$C$4,"Y"),0)  )</f>
        <v>15</v>
      </c>
      <c r="O904" s="202"/>
    </row>
    <row r="905">
      <c r="A905" s="192">
        <v>984.0</v>
      </c>
      <c r="B905" s="193" t="s">
        <v>3133</v>
      </c>
      <c r="C905" s="194" t="s">
        <v>577</v>
      </c>
      <c r="D905" s="193" t="s">
        <v>556</v>
      </c>
      <c r="E905" s="193" t="s">
        <v>3134</v>
      </c>
      <c r="F905" s="195">
        <v>0.0</v>
      </c>
      <c r="G905" s="196">
        <v>0.0</v>
      </c>
      <c r="H905" s="193"/>
      <c r="I905" s="197" t="str">
        <f>IF(iserror(vlookup($A905,Pagos!$B$5:L1241,4,false)),"Sin actividad",If(vlookup($A905,Pagos!$B$5:$L1241,5,false),vlookup($A905,Pagos!$B$5:$L1241,5,false),vlookup($A905,Pagos!$B$5:$L1241,4,false)))</f>
        <v>Sin actividad</v>
      </c>
      <c r="J905" s="198" t="s">
        <v>529</v>
      </c>
      <c r="K905" s="199">
        <v>38322.0</v>
      </c>
      <c r="L905" s="200">
        <v>43617.0</v>
      </c>
      <c r="M905" s="201"/>
      <c r="N905" s="202">
        <f>If(L905&gt;K905,   datedif(K905,L905,"Y") , If(K905&lt;Vitalicios!$C$4, datedif(K905,Vitalicios!$C$4,"Y"),0)  )</f>
        <v>14</v>
      </c>
      <c r="O905" s="202"/>
    </row>
    <row r="906">
      <c r="A906" s="192">
        <v>1267.0</v>
      </c>
      <c r="B906" s="193" t="s">
        <v>3135</v>
      </c>
      <c r="C906" s="194" t="s">
        <v>564</v>
      </c>
      <c r="D906" s="193" t="s">
        <v>556</v>
      </c>
      <c r="E906" s="193">
        <v>0.0</v>
      </c>
      <c r="F906" s="195">
        <v>0.0</v>
      </c>
      <c r="G906" s="196">
        <v>0.0</v>
      </c>
      <c r="H906" s="193"/>
      <c r="I906" s="197" t="str">
        <f>IF(iserror(vlookup($A906,Pagos!$B$5:L1241,4,false)),"Sin actividad",If(vlookup($A906,Pagos!$B$5:$L1241,5,false),vlookup($A906,Pagos!$B$5:$L1241,5,false),vlookup($A906,Pagos!$B$5:$L1241,4,false)))</f>
        <v>Sin actividad</v>
      </c>
      <c r="J906" s="198" t="s">
        <v>529</v>
      </c>
      <c r="K906" s="199">
        <v>40160.0</v>
      </c>
      <c r="L906" s="200"/>
      <c r="M906" s="201"/>
      <c r="N906" s="202">
        <f>If(L906&gt;K906,   datedif(K906,L906,"Y") , If(K906&lt;Vitalicios!$C$4, datedif(K906,Vitalicios!$C$4,"Y"),0)  )</f>
        <v>15</v>
      </c>
      <c r="O906" s="202"/>
    </row>
    <row r="907">
      <c r="A907" s="192">
        <v>1769.0</v>
      </c>
      <c r="B907" s="193" t="s">
        <v>3136</v>
      </c>
      <c r="C907" s="194" t="s">
        <v>519</v>
      </c>
      <c r="D907" s="193" t="s">
        <v>527</v>
      </c>
      <c r="E907" s="193" t="s">
        <v>3137</v>
      </c>
      <c r="F907" s="195">
        <v>1.54347676E8</v>
      </c>
      <c r="G907" s="196"/>
      <c r="H907" s="193" t="s">
        <v>3138</v>
      </c>
      <c r="I907" s="197" t="str">
        <f>IF(iserror(vlookup($A907,Pagos!$B$5:L1241,4,false)),"Sin actividad",If(vlookup($A907,Pagos!$B$5:$L1241,5,false),vlookup($A907,Pagos!$B$5:$L1241,5,false),vlookup($A907,Pagos!$B$5:$L1241,4,false)))</f>
        <v>Sin actividad</v>
      </c>
      <c r="J907" s="198" t="s">
        <v>529</v>
      </c>
      <c r="K907" s="199">
        <v>43831.0</v>
      </c>
      <c r="L907" s="200">
        <v>44197.0</v>
      </c>
      <c r="M907" s="201"/>
      <c r="N907" s="202">
        <f>If(L907&gt;K907,   datedif(K907,L907,"Y") , If(K907&lt;Vitalicios!$C$4, datedif(K907,Vitalicios!$C$4,"Y"),0)  )</f>
        <v>1</v>
      </c>
      <c r="O907" s="202"/>
    </row>
    <row r="908">
      <c r="A908" s="192">
        <v>1725.0</v>
      </c>
      <c r="B908" s="193" t="s">
        <v>3139</v>
      </c>
      <c r="C908" s="194" t="s">
        <v>519</v>
      </c>
      <c r="D908" s="193" t="s">
        <v>538</v>
      </c>
      <c r="E908" s="193" t="s">
        <v>3140</v>
      </c>
      <c r="F908" s="195">
        <v>1.56162818E8</v>
      </c>
      <c r="G908" s="196"/>
      <c r="H908" s="193" t="s">
        <v>3141</v>
      </c>
      <c r="I908" s="197">
        <f>IF(iserror(vlookup($A908,Pagos!$B$5:L1241,4,false)),"Sin actividad",If(vlookup($A908,Pagos!$B$5:$L1241,5,false),vlookup($A908,Pagos!$B$5:$L1241,5,false),vlookup($A908,Pagos!$B$5:$L1241,4,false)))</f>
        <v>45748</v>
      </c>
      <c r="J908" s="198" t="s">
        <v>523</v>
      </c>
      <c r="K908" s="199">
        <v>43497.0</v>
      </c>
      <c r="L908" s="200"/>
      <c r="M908" s="201"/>
      <c r="N908" s="202">
        <f>If(L908&gt;K908,   datedif(K908,L908,"Y") , If(K908&lt;Vitalicios!$C$4, datedif(K908,Vitalicios!$C$4,"Y"),0)  )</f>
        <v>6</v>
      </c>
      <c r="O908" s="202"/>
    </row>
    <row r="909">
      <c r="A909" s="192">
        <v>1776.0</v>
      </c>
      <c r="B909" s="193" t="s">
        <v>3142</v>
      </c>
      <c r="C909" s="194" t="s">
        <v>519</v>
      </c>
      <c r="D909" s="193" t="s">
        <v>538</v>
      </c>
      <c r="E909" s="193" t="s">
        <v>3143</v>
      </c>
      <c r="F909" s="195">
        <v>1.56541941E8</v>
      </c>
      <c r="G909" s="196"/>
      <c r="H909" s="193" t="s">
        <v>3144</v>
      </c>
      <c r="I909" s="197" t="str">
        <f>IF(iserror(vlookup($A909,Pagos!$B$5:L1241,4,false)),"Sin actividad",If(vlookup($A909,Pagos!$B$5:$L1241,5,false),vlookup($A909,Pagos!$B$5:$L1241,5,false),vlookup($A909,Pagos!$B$5:$L1241,4,false)))</f>
        <v>Sin actividad</v>
      </c>
      <c r="J909" s="198" t="s">
        <v>529</v>
      </c>
      <c r="K909" s="199">
        <v>43862.0</v>
      </c>
      <c r="L909" s="200">
        <v>45505.0</v>
      </c>
      <c r="M909" s="201" t="s">
        <v>703</v>
      </c>
      <c r="N909" s="202">
        <f>If(L909&gt;K909,   datedif(K909,L909,"Y") , If(K909&lt;Vitalicios!$C$4, datedif(K909,Vitalicios!$C$4,"Y"),0)  )</f>
        <v>4</v>
      </c>
      <c r="O909" s="202"/>
    </row>
    <row r="910">
      <c r="A910" s="192">
        <v>2347.0</v>
      </c>
      <c r="B910" s="193" t="s">
        <v>3145</v>
      </c>
      <c r="C910" s="193" t="s">
        <v>537</v>
      </c>
      <c r="D910" s="193" t="s">
        <v>3146</v>
      </c>
      <c r="E910" s="193" t="s">
        <v>3147</v>
      </c>
      <c r="F910" s="195">
        <v>1.5661089E7</v>
      </c>
      <c r="G910" s="196"/>
      <c r="H910" s="193" t="s">
        <v>3148</v>
      </c>
      <c r="I910" s="197">
        <f>IF(iserror(vlookup($A910,Pagos!$B$5:L1241,4,false)),"Sin actividad",If(vlookup($A910,Pagos!$B$5:$L1241,5,false),vlookup($A910,Pagos!$B$5:$L1241,5,false),vlookup($A910,Pagos!$B$5:$L1241,4,false)))</f>
        <v>45870</v>
      </c>
      <c r="J910" s="198" t="s">
        <v>523</v>
      </c>
      <c r="K910" s="199">
        <v>43282.0</v>
      </c>
      <c r="L910" s="200">
        <v>45717.0</v>
      </c>
      <c r="M910" s="201" t="s">
        <v>3149</v>
      </c>
      <c r="N910" s="202">
        <f>If(L910&gt;K910,   datedif(K910,L910,"Y") , If(K910&lt;Vitalicios!$C$4, datedif(K910,Vitalicios!$C$4,"Y"),0)  )</f>
        <v>6</v>
      </c>
      <c r="O910" s="202"/>
    </row>
    <row r="911">
      <c r="A911" s="192">
        <v>1720.0</v>
      </c>
      <c r="B911" s="193" t="s">
        <v>3150</v>
      </c>
      <c r="C911" s="194" t="s">
        <v>3151</v>
      </c>
      <c r="D911" s="193" t="s">
        <v>520</v>
      </c>
      <c r="E911" s="193" t="s">
        <v>3152</v>
      </c>
      <c r="F911" s="195">
        <v>1.54201535E8</v>
      </c>
      <c r="G911" s="196"/>
      <c r="H911" s="193" t="s">
        <v>3153</v>
      </c>
      <c r="I911" s="197">
        <f>IF(iserror(vlookup($A911,Pagos!$B$5:L1241,4,false)),"Sin actividad",If(vlookup($A911,Pagos!$B$5:$L1241,5,false),vlookup($A911,Pagos!$B$5:$L1241,5,false),vlookup($A911,Pagos!$B$5:$L1241,4,false)))</f>
        <v>45778</v>
      </c>
      <c r="J911" s="198" t="s">
        <v>523</v>
      </c>
      <c r="K911" s="199">
        <v>43435.0</v>
      </c>
      <c r="L911" s="200"/>
      <c r="M911" s="201"/>
      <c r="N911" s="202">
        <f>If(L911&gt;K911,   datedif(K911,L911,"Y") , If(K911&lt;Vitalicios!$C$4, datedif(K911,Vitalicios!$C$4,"Y"),0)  )</f>
        <v>6</v>
      </c>
      <c r="O911" s="202"/>
    </row>
    <row r="912">
      <c r="A912" s="192">
        <v>1385.0</v>
      </c>
      <c r="B912" s="193" t="s">
        <v>3154</v>
      </c>
      <c r="C912" s="194" t="s">
        <v>526</v>
      </c>
      <c r="D912" s="193" t="s">
        <v>556</v>
      </c>
      <c r="E912" s="193" t="s">
        <v>3155</v>
      </c>
      <c r="F912" s="195">
        <v>4792091.0</v>
      </c>
      <c r="G912" s="196">
        <v>0.0</v>
      </c>
      <c r="H912" s="193" t="s">
        <v>3156</v>
      </c>
      <c r="I912" s="197">
        <f>IF(iserror(vlookup($A912,Pagos!$B$5:L1241,4,false)),"Sin actividad",If(vlookup($A912,Pagos!$B$5:$L1241,5,false),vlookup($A912,Pagos!$B$5:$L1241,5,false),vlookup($A912,Pagos!$B$5:$L1241,4,false)))</f>
        <v>45870</v>
      </c>
      <c r="J912" s="198" t="s">
        <v>523</v>
      </c>
      <c r="K912" s="199">
        <v>40864.0</v>
      </c>
      <c r="L912" s="200"/>
      <c r="M912" s="201"/>
      <c r="N912" s="202">
        <f>If(L912&gt;K912,   datedif(K912,L912,"Y") , If(K912&lt;Vitalicios!$C$4, datedif(K912,Vitalicios!$C$4,"Y"),0)  )</f>
        <v>13</v>
      </c>
      <c r="O912" s="202"/>
    </row>
    <row r="913">
      <c r="A913" s="192">
        <v>1189.0</v>
      </c>
      <c r="B913" s="193" t="s">
        <v>3157</v>
      </c>
      <c r="C913" s="194" t="s">
        <v>577</v>
      </c>
      <c r="D913" s="193" t="s">
        <v>556</v>
      </c>
      <c r="E913" s="193" t="s">
        <v>3158</v>
      </c>
      <c r="F913" s="195">
        <v>0.0</v>
      </c>
      <c r="G913" s="196">
        <v>0.0</v>
      </c>
      <c r="H913" s="193" t="s">
        <v>3159</v>
      </c>
      <c r="I913" s="197">
        <f>IF(iserror(vlookup($A913,Pagos!$B$5:L1241,4,false)),"Sin actividad",If(vlookup($A913,Pagos!$B$5:$L1241,5,false),vlookup($A913,Pagos!$B$5:$L1241,5,false),vlookup($A913,Pagos!$B$5:$L1241,4,false)))</f>
        <v>45870</v>
      </c>
      <c r="J913" s="198" t="s">
        <v>523</v>
      </c>
      <c r="K913" s="199">
        <v>39753.0</v>
      </c>
      <c r="L913" s="200"/>
      <c r="M913" s="201"/>
      <c r="N913" s="202">
        <f>If(L913&gt;K913,   datedif(K913,L913,"Y") , If(K913&lt;Vitalicios!$C$4, datedif(K913,Vitalicios!$C$4,"Y"),0)  )</f>
        <v>16</v>
      </c>
      <c r="O913" s="202"/>
    </row>
    <row r="914">
      <c r="A914" s="192">
        <v>1670.0</v>
      </c>
      <c r="B914" s="193" t="s">
        <v>3160</v>
      </c>
      <c r="C914" s="194" t="s">
        <v>519</v>
      </c>
      <c r="D914" s="193" t="s">
        <v>527</v>
      </c>
      <c r="E914" s="193" t="s">
        <v>3161</v>
      </c>
      <c r="F914" s="195">
        <v>1.56191223E8</v>
      </c>
      <c r="G914" s="196"/>
      <c r="H914" s="193" t="s">
        <v>3162</v>
      </c>
      <c r="I914" s="197" t="str">
        <f>IF(iserror(vlookup($A914,Pagos!$B$5:L1241,4,false)),"Sin actividad",If(vlookup($A914,Pagos!$B$5:$L1241,5,false),vlookup($A914,Pagos!$B$5:$L1241,5,false),vlookup($A914,Pagos!$B$5:$L1241,4,false)))</f>
        <v>Sin actividad</v>
      </c>
      <c r="J914" s="198" t="s">
        <v>529</v>
      </c>
      <c r="K914" s="199">
        <v>43070.0</v>
      </c>
      <c r="L914" s="200"/>
      <c r="M914" s="201"/>
      <c r="N914" s="202">
        <f>If(L914&gt;K914,   datedif(K914,L914,"Y") , If(K914&lt;Vitalicios!$C$4, datedif(K914,Vitalicios!$C$4,"Y"),0)  )</f>
        <v>7</v>
      </c>
      <c r="O914" s="202"/>
    </row>
    <row r="915">
      <c r="A915" s="192">
        <v>2337.0</v>
      </c>
      <c r="B915" s="193" t="s">
        <v>3163</v>
      </c>
      <c r="C915" s="193" t="s">
        <v>537</v>
      </c>
      <c r="D915" s="193" t="s">
        <v>3164</v>
      </c>
      <c r="E915" s="193" t="s">
        <v>3165</v>
      </c>
      <c r="F915" s="195">
        <v>2.2184595E8</v>
      </c>
      <c r="G915" s="196"/>
      <c r="H915" s="193" t="s">
        <v>3166</v>
      </c>
      <c r="I915" s="197"/>
      <c r="J915" s="198" t="s">
        <v>523</v>
      </c>
      <c r="K915" s="199">
        <v>45689.0</v>
      </c>
      <c r="L915" s="200"/>
      <c r="M915" s="201"/>
      <c r="N915" s="202"/>
      <c r="O915" s="202"/>
    </row>
    <row r="916">
      <c r="A916" s="192">
        <v>1073.0</v>
      </c>
      <c r="B916" s="193" t="s">
        <v>3167</v>
      </c>
      <c r="C916" s="194" t="s">
        <v>537</v>
      </c>
      <c r="D916" s="193" t="s">
        <v>48</v>
      </c>
      <c r="E916" s="193">
        <v>0.0</v>
      </c>
      <c r="F916" s="195">
        <v>0.0</v>
      </c>
      <c r="G916" s="196">
        <v>0.0</v>
      </c>
      <c r="H916" s="193"/>
      <c r="I916" s="197" t="str">
        <f>IF(iserror(vlookup($A916,Pagos!$B$5:L1241,4,false)),"Sin actividad",If(vlookup($A916,Pagos!$B$5:$L1241,5,false),vlookup($A916,Pagos!$B$5:$L1241,5,false),vlookup($A916,Pagos!$B$5:$L1241,4,false)))</f>
        <v>Sin actividad</v>
      </c>
      <c r="J916" s="198" t="s">
        <v>529</v>
      </c>
      <c r="K916" s="199">
        <v>38514.0</v>
      </c>
      <c r="L916" s="200">
        <v>45261.0</v>
      </c>
      <c r="M916" s="201" t="s">
        <v>535</v>
      </c>
      <c r="N916" s="202">
        <f>If(L916&gt;K916,   datedif(K916,L916,"Y") , If(K916&lt;Vitalicios!$C$4, datedif(K916,Vitalicios!$C$4,"Y"),0)  )</f>
        <v>18</v>
      </c>
      <c r="O916" s="202"/>
    </row>
    <row r="917">
      <c r="A917" s="192">
        <v>2209.0</v>
      </c>
      <c r="B917" s="193" t="s">
        <v>3168</v>
      </c>
      <c r="C917" s="194" t="s">
        <v>526</v>
      </c>
      <c r="D917" s="193" t="s">
        <v>527</v>
      </c>
      <c r="E917" s="193" t="s">
        <v>3169</v>
      </c>
      <c r="F917" s="195" t="s">
        <v>3170</v>
      </c>
      <c r="G917" s="196"/>
      <c r="H917" s="193" t="s">
        <v>3171</v>
      </c>
      <c r="I917" s="197">
        <f>IF(iserror(vlookup($A917,Pagos!$B$5:L1241,4,false)),"Sin actividad",If(vlookup($A917,Pagos!$B$5:$L1241,5,false),vlookup($A917,Pagos!$B$5:$L1241,5,false),vlookup($A917,Pagos!$B$5:$L1241,4,false)))</f>
        <v>45870</v>
      </c>
      <c r="J917" s="198" t="s">
        <v>523</v>
      </c>
      <c r="K917" s="199">
        <v>45231.0</v>
      </c>
      <c r="L917" s="200"/>
      <c r="M917" s="201"/>
      <c r="N917" s="202">
        <f>If(L917&gt;K917,   datedif(K917,L917,"Y") , If(K917&lt;Vitalicios!$C$4, datedif(K917,Vitalicios!$C$4,"Y"),0)  )</f>
        <v>1</v>
      </c>
      <c r="O917" s="202"/>
    </row>
    <row r="918">
      <c r="A918" s="192">
        <v>1905.0</v>
      </c>
      <c r="B918" s="193" t="s">
        <v>3172</v>
      </c>
      <c r="C918" s="193" t="s">
        <v>537</v>
      </c>
      <c r="D918" s="193" t="s">
        <v>538</v>
      </c>
      <c r="E918" s="193" t="s">
        <v>3173</v>
      </c>
      <c r="F918" s="195">
        <v>2.215363829E9</v>
      </c>
      <c r="G918" s="196"/>
      <c r="H918" s="193" t="s">
        <v>3174</v>
      </c>
      <c r="I918" s="197">
        <f>IF(iserror(vlookup($A918,Pagos!$B$5:L1241,4,false)),"Sin actividad",If(vlookup($A918,Pagos!$B$5:$L1241,5,false),vlookup($A918,Pagos!$B$5:$L1241,5,false),vlookup($A918,Pagos!$B$5:$L1241,4,false)))</f>
        <v>45778</v>
      </c>
      <c r="J918" s="198" t="s">
        <v>523</v>
      </c>
      <c r="K918" s="199">
        <v>44317.0</v>
      </c>
      <c r="L918" s="200"/>
      <c r="M918" s="201"/>
      <c r="N918" s="202"/>
      <c r="O918" s="202"/>
    </row>
    <row r="919">
      <c r="A919" s="225">
        <v>1863.0</v>
      </c>
      <c r="B919" s="205" t="s">
        <v>3175</v>
      </c>
      <c r="C919" s="205" t="s">
        <v>537</v>
      </c>
      <c r="D919" s="205" t="s">
        <v>538</v>
      </c>
      <c r="E919" s="193" t="s">
        <v>3176</v>
      </c>
      <c r="F919" s="226">
        <v>2.213101912E9</v>
      </c>
      <c r="G919" s="227"/>
      <c r="H919" s="205" t="s">
        <v>3177</v>
      </c>
      <c r="I919" s="197">
        <f>IF(iserror(vlookup($A919,Pagos!$B$5:L1241,4,false)),"Sin actividad",If(vlookup($A919,Pagos!$B$5:$L1241,5,false),vlookup($A919,Pagos!$B$5:$L1241,5,false),vlookup($A919,Pagos!$B$5:$L1241,4,false)))</f>
        <v>45870</v>
      </c>
      <c r="J919" s="228" t="s">
        <v>523</v>
      </c>
      <c r="K919" s="229">
        <v>44197.0</v>
      </c>
      <c r="L919" s="230"/>
      <c r="M919" s="231"/>
      <c r="N919" s="232"/>
      <c r="O919" s="232"/>
    </row>
    <row r="920">
      <c r="A920" s="225">
        <v>2263.0</v>
      </c>
      <c r="B920" s="205" t="s">
        <v>3178</v>
      </c>
      <c r="C920" s="205" t="s">
        <v>537</v>
      </c>
      <c r="D920" s="205" t="s">
        <v>628</v>
      </c>
      <c r="E920" s="193" t="s">
        <v>3179</v>
      </c>
      <c r="F920" s="226">
        <v>2.2135322919E10</v>
      </c>
      <c r="G920" s="227"/>
      <c r="H920" s="205" t="s">
        <v>3180</v>
      </c>
      <c r="I920" s="197"/>
      <c r="J920" s="228" t="s">
        <v>529</v>
      </c>
      <c r="K920" s="229">
        <v>45352.0</v>
      </c>
      <c r="L920" s="230">
        <v>45505.0</v>
      </c>
      <c r="M920" s="231" t="s">
        <v>535</v>
      </c>
      <c r="N920" s="232"/>
      <c r="O920" s="232"/>
    </row>
    <row r="921">
      <c r="A921" s="192">
        <v>1447.0</v>
      </c>
      <c r="B921" s="193" t="s">
        <v>3181</v>
      </c>
      <c r="C921" s="194" t="s">
        <v>526</v>
      </c>
      <c r="D921" s="193" t="s">
        <v>770</v>
      </c>
      <c r="E921" s="193" t="s">
        <v>3182</v>
      </c>
      <c r="F921" s="195">
        <v>4710471.0</v>
      </c>
      <c r="G921" s="196" t="s">
        <v>3183</v>
      </c>
      <c r="H921" s="193" t="s">
        <v>3184</v>
      </c>
      <c r="I921" s="197" t="str">
        <f>IF(iserror(vlookup($A921,Pagos!$B$5:L1241,4,false)),"Sin actividad",If(vlookup($A921,Pagos!$B$5:$L1241,5,false),vlookup($A921,Pagos!$B$5:$L1241,5,false),vlookup($A921,Pagos!$B$5:$L1241,4,false)))</f>
        <v>Sin actividad</v>
      </c>
      <c r="J921" s="198" t="s">
        <v>529</v>
      </c>
      <c r="K921" s="199">
        <v>41325.0</v>
      </c>
      <c r="L921" s="200">
        <v>42887.0</v>
      </c>
      <c r="M921" s="201"/>
      <c r="N921" s="202">
        <f>If(L921&gt;K921,   datedif(K921,L921,"Y") , If(K921&lt;Vitalicios!$C$4, datedif(K921,Vitalicios!$C$4,"Y"),0)  )</f>
        <v>4</v>
      </c>
      <c r="O921" s="202"/>
    </row>
    <row r="922">
      <c r="A922" s="192">
        <v>2200.0</v>
      </c>
      <c r="B922" s="193" t="s">
        <v>3185</v>
      </c>
      <c r="C922" s="193" t="s">
        <v>537</v>
      </c>
      <c r="D922" s="193"/>
      <c r="E922" s="193"/>
      <c r="F922" s="195">
        <v>2.216055075E9</v>
      </c>
      <c r="G922" s="196"/>
      <c r="H922" s="193" t="s">
        <v>3186</v>
      </c>
      <c r="I922" s="197"/>
      <c r="J922" s="198" t="s">
        <v>523</v>
      </c>
      <c r="K922" s="199">
        <v>45139.0</v>
      </c>
      <c r="L922" s="200"/>
      <c r="M922" s="201" t="s">
        <v>3187</v>
      </c>
      <c r="N922" s="202"/>
      <c r="O922" s="202"/>
    </row>
    <row r="923">
      <c r="A923" s="192">
        <v>1651.0</v>
      </c>
      <c r="B923" s="193" t="s">
        <v>3188</v>
      </c>
      <c r="C923" s="194" t="s">
        <v>519</v>
      </c>
      <c r="D923" s="193" t="s">
        <v>538</v>
      </c>
      <c r="E923" s="193" t="s">
        <v>3189</v>
      </c>
      <c r="F923" s="195">
        <v>1.55377846E8</v>
      </c>
      <c r="G923" s="196"/>
      <c r="H923" s="193" t="s">
        <v>3190</v>
      </c>
      <c r="I923" s="197" t="str">
        <f>IF(iserror(vlookup($A923,Pagos!$B$5:L1241,4,false)),"Sin actividad",If(vlookup($A923,Pagos!$B$5:$L1241,5,false),vlookup($A923,Pagos!$B$5:$L1241,5,false),vlookup($A923,Pagos!$B$5:$L1241,4,false)))</f>
        <v>Sin actividad</v>
      </c>
      <c r="J923" s="198" t="s">
        <v>529</v>
      </c>
      <c r="K923" s="199">
        <v>42951.0</v>
      </c>
      <c r="L923" s="200">
        <v>43800.0</v>
      </c>
      <c r="M923" s="201"/>
      <c r="N923" s="202">
        <f>If(L923&gt;K923,   datedif(K923,L923,"Y") , If(K923&lt;Vitalicios!$C$4, datedif(K923,Vitalicios!$C$4,"Y"),0)  )</f>
        <v>2</v>
      </c>
      <c r="O923" s="202"/>
    </row>
    <row r="924">
      <c r="A924" s="192">
        <v>1972.0</v>
      </c>
      <c r="B924" s="193" t="s">
        <v>3191</v>
      </c>
      <c r="C924" s="193" t="s">
        <v>537</v>
      </c>
      <c r="D924" s="193" t="s">
        <v>628</v>
      </c>
      <c r="E924" s="193" t="s">
        <v>3192</v>
      </c>
      <c r="F924" s="195">
        <v>2.215741388E9</v>
      </c>
      <c r="G924" s="196"/>
      <c r="H924" s="193"/>
      <c r="I924" s="197" t="str">
        <f>IF(iserror(vlookup($A924,Pagos!$B$5:L1241,4,false)),"Sin actividad",If(vlookup($A924,Pagos!$B$5:$L1241,5,false),vlookup($A924,Pagos!$B$5:$L1241,5,false),vlookup($A924,Pagos!$B$5:$L1241,4,false)))</f>
        <v>Sin actividad</v>
      </c>
      <c r="J924" s="198" t="s">
        <v>529</v>
      </c>
      <c r="K924" s="199">
        <v>44562.0</v>
      </c>
      <c r="L924" s="200">
        <v>44593.0</v>
      </c>
      <c r="M924" s="201"/>
      <c r="N924" s="202"/>
      <c r="O924" s="202"/>
    </row>
    <row r="925">
      <c r="A925" s="192">
        <v>2111.0</v>
      </c>
      <c r="B925" s="193" t="s">
        <v>3193</v>
      </c>
      <c r="C925" s="193" t="s">
        <v>537</v>
      </c>
      <c r="D925" s="193" t="s">
        <v>628</v>
      </c>
      <c r="E925" s="193" t="s">
        <v>3194</v>
      </c>
      <c r="F925" s="195">
        <v>2.215741803E9</v>
      </c>
      <c r="G925" s="196"/>
      <c r="H925" s="193" t="s">
        <v>3195</v>
      </c>
      <c r="I925" s="197"/>
      <c r="J925" s="198" t="s">
        <v>523</v>
      </c>
      <c r="K925" s="199">
        <v>44927.0</v>
      </c>
      <c r="L925" s="200"/>
      <c r="M925" s="201"/>
      <c r="N925" s="202"/>
      <c r="O925" s="202"/>
    </row>
    <row r="926">
      <c r="A926" s="192">
        <v>1329.0</v>
      </c>
      <c r="B926" s="193" t="s">
        <v>3196</v>
      </c>
      <c r="C926" s="194" t="s">
        <v>526</v>
      </c>
      <c r="D926" s="193" t="s">
        <v>520</v>
      </c>
      <c r="E926" s="193" t="s">
        <v>3197</v>
      </c>
      <c r="F926" s="195">
        <v>4.6597118E7</v>
      </c>
      <c r="G926" s="196">
        <v>0.0</v>
      </c>
      <c r="H926" s="193"/>
      <c r="I926" s="197" t="str">
        <f>IF(iserror(vlookup($A926,Pagos!$B$5:L1241,4,false)),"Sin actividad",If(vlookup($A926,Pagos!$B$5:$L1241,5,false),vlookup($A926,Pagos!$B$5:$L1241,5,false),vlookup($A926,Pagos!$B$5:$L1241,4,false)))</f>
        <v>Sin actividad</v>
      </c>
      <c r="J926" s="198" t="s">
        <v>529</v>
      </c>
      <c r="K926" s="199">
        <v>40502.0</v>
      </c>
      <c r="L926" s="200"/>
      <c r="M926" s="201" t="s">
        <v>3198</v>
      </c>
      <c r="N926" s="202">
        <f>If(L926&gt;K926,   datedif(K926,L926,"Y") , If(K926&lt;Vitalicios!$C$4, datedif(K926,Vitalicios!$C$4,"Y"),0)  )</f>
        <v>14</v>
      </c>
      <c r="O926" s="202"/>
    </row>
    <row r="927">
      <c r="A927" s="192">
        <v>1622.0</v>
      </c>
      <c r="B927" s="193" t="s">
        <v>3199</v>
      </c>
      <c r="C927" s="194" t="s">
        <v>519</v>
      </c>
      <c r="D927" s="193" t="s">
        <v>520</v>
      </c>
      <c r="E927" s="193" t="s">
        <v>3200</v>
      </c>
      <c r="F927" s="195">
        <v>1.54558746E8</v>
      </c>
      <c r="G927" s="196"/>
      <c r="H927" s="193" t="s">
        <v>3201</v>
      </c>
      <c r="I927" s="197" t="str">
        <f>IF(iserror(vlookup($A927,Pagos!$B$5:L1241,4,false)),"Sin actividad",If(vlookup($A927,Pagos!$B$5:$L1241,5,false),vlookup($A927,Pagos!$B$5:$L1241,5,false),vlookup($A927,Pagos!$B$5:$L1241,4,false)))</f>
        <v>Sin actividad</v>
      </c>
      <c r="J927" s="198" t="s">
        <v>529</v>
      </c>
      <c r="K927" s="199">
        <v>42767.0</v>
      </c>
      <c r="L927" s="200">
        <v>43525.0</v>
      </c>
      <c r="M927" s="201"/>
      <c r="N927" s="202">
        <f>If(L927&gt;K927,   datedif(K927,L927,"Y") , If(K927&lt;Vitalicios!$C$4, datedif(K927,Vitalicios!$C$4,"Y"),0)  )</f>
        <v>2</v>
      </c>
      <c r="O927" s="202"/>
    </row>
    <row r="928">
      <c r="A928" s="192">
        <v>2015.0</v>
      </c>
      <c r="B928" s="193" t="s">
        <v>3202</v>
      </c>
      <c r="C928" s="193" t="s">
        <v>537</v>
      </c>
      <c r="D928" s="193" t="s">
        <v>538</v>
      </c>
      <c r="E928" s="193" t="s">
        <v>3203</v>
      </c>
      <c r="F928" s="195">
        <v>2.216228532E9</v>
      </c>
      <c r="G928" s="196"/>
      <c r="H928" s="193" t="s">
        <v>3204</v>
      </c>
      <c r="I928" s="197">
        <f>IF(iserror(vlookup($A928,Pagos!$B$5:L1241,4,false)),"Sin actividad",If(vlookup($A928,Pagos!$B$5:$L1241,5,false),vlookup($A928,Pagos!$B$5:$L1241,5,false),vlookup($A928,Pagos!$B$5:$L1241,4,false)))</f>
        <v>45870</v>
      </c>
      <c r="J928" s="198" t="s">
        <v>523</v>
      </c>
      <c r="K928" s="199">
        <v>44652.0</v>
      </c>
      <c r="L928" s="200"/>
      <c r="M928" s="201"/>
      <c r="N928" s="202"/>
      <c r="O928" s="202"/>
    </row>
    <row r="929">
      <c r="A929" s="192">
        <v>2165.0</v>
      </c>
      <c r="B929" s="193" t="s">
        <v>3205</v>
      </c>
      <c r="C929" s="193" t="s">
        <v>537</v>
      </c>
      <c r="D929" s="193" t="s">
        <v>538</v>
      </c>
      <c r="E929" s="193" t="s">
        <v>3206</v>
      </c>
      <c r="F929" s="195">
        <v>2.215442669E9</v>
      </c>
      <c r="G929" s="196"/>
      <c r="H929" s="193" t="s">
        <v>3207</v>
      </c>
      <c r="I929" s="197"/>
      <c r="J929" s="198" t="s">
        <v>523</v>
      </c>
      <c r="K929" s="199">
        <v>45017.0</v>
      </c>
      <c r="L929" s="200"/>
      <c r="M929" s="201"/>
      <c r="N929" s="202"/>
      <c r="O929" s="202"/>
    </row>
    <row r="930">
      <c r="A930" s="192">
        <v>1831.0</v>
      </c>
      <c r="B930" s="193" t="s">
        <v>3208</v>
      </c>
      <c r="C930" s="193" t="s">
        <v>679</v>
      </c>
      <c r="D930" s="193" t="s">
        <v>532</v>
      </c>
      <c r="E930" s="193" t="s">
        <v>3209</v>
      </c>
      <c r="F930" s="195">
        <v>5520854.0</v>
      </c>
      <c r="G930" s="196"/>
      <c r="H930" s="193" t="s">
        <v>3210</v>
      </c>
      <c r="I930" s="197">
        <f>IF(iserror(vlookup($A930,Pagos!$B$5:L1241,4,false)),"Sin actividad",If(vlookup($A930,Pagos!$B$5:$L1241,5,false),vlookup($A930,Pagos!$B$5:$L1241,5,false),vlookup($A930,Pagos!$B$5:$L1241,4,false)))</f>
        <v>45870</v>
      </c>
      <c r="J930" s="198" t="s">
        <v>523</v>
      </c>
      <c r="K930" s="199">
        <v>44105.0</v>
      </c>
      <c r="L930" s="200"/>
      <c r="M930" s="201"/>
      <c r="N930" s="202"/>
      <c r="O930" s="202"/>
    </row>
    <row r="931">
      <c r="A931" s="192">
        <v>1834.0</v>
      </c>
      <c r="B931" s="193" t="s">
        <v>3211</v>
      </c>
      <c r="C931" s="193" t="s">
        <v>679</v>
      </c>
      <c r="D931" s="193" t="s">
        <v>538</v>
      </c>
      <c r="E931" s="193" t="s">
        <v>3212</v>
      </c>
      <c r="F931" s="195">
        <v>1.15328114E8</v>
      </c>
      <c r="G931" s="196"/>
      <c r="H931" s="193" t="s">
        <v>3213</v>
      </c>
      <c r="I931" s="197">
        <f>IF(iserror(vlookup($A931,Pagos!$B$5:L1241,4,false)),"Sin actividad",If(vlookup($A931,Pagos!$B$5:$L1241,5,false),vlookup($A931,Pagos!$B$5:$L1241,5,false),vlookup($A931,Pagos!$B$5:$L1241,4,false)))</f>
        <v>45870</v>
      </c>
      <c r="J931" s="198" t="s">
        <v>523</v>
      </c>
      <c r="K931" s="199">
        <v>44117.0</v>
      </c>
      <c r="L931" s="200"/>
      <c r="M931" s="201"/>
      <c r="N931" s="202"/>
      <c r="O931" s="202"/>
    </row>
    <row r="932">
      <c r="A932" s="192">
        <v>1848.0</v>
      </c>
      <c r="B932" s="193" t="s">
        <v>3214</v>
      </c>
      <c r="C932" s="193" t="s">
        <v>679</v>
      </c>
      <c r="D932" s="193" t="s">
        <v>1209</v>
      </c>
      <c r="E932" s="193" t="s">
        <v>3215</v>
      </c>
      <c r="F932" s="195">
        <v>1.15425914E8</v>
      </c>
      <c r="G932" s="196"/>
      <c r="H932" s="193" t="s">
        <v>3216</v>
      </c>
      <c r="I932" s="197" t="str">
        <f>IF(iserror(vlookup($A932,Pagos!$B$5:L1241,4,false)),"Sin actividad",If(vlookup($A932,Pagos!$B$5:$L1241,5,false),vlookup($A932,Pagos!$B$5:$L1241,5,false),vlookup($A932,Pagos!$B$5:$L1241,4,false)))</f>
        <v>Sin actividad</v>
      </c>
      <c r="J932" s="198" t="s">
        <v>529</v>
      </c>
      <c r="K932" s="199">
        <v>44150.0</v>
      </c>
      <c r="L932" s="200">
        <v>45047.0</v>
      </c>
      <c r="M932" s="201" t="s">
        <v>535</v>
      </c>
      <c r="N932" s="202"/>
      <c r="O932" s="202"/>
    </row>
    <row r="933">
      <c r="A933" s="192">
        <v>1985.0</v>
      </c>
      <c r="B933" s="193" t="s">
        <v>3217</v>
      </c>
      <c r="C933" s="193" t="s">
        <v>679</v>
      </c>
      <c r="D933" s="193" t="s">
        <v>549</v>
      </c>
      <c r="E933" s="193" t="s">
        <v>3218</v>
      </c>
      <c r="F933" s="195">
        <v>2.21577209E9</v>
      </c>
      <c r="G933" s="196"/>
      <c r="H933" s="193" t="s">
        <v>3219</v>
      </c>
      <c r="I933" s="197">
        <f>IF(iserror(vlookup($A933,Pagos!$B$5:L1241,4,false)),"Sin actividad",If(vlookup($A933,Pagos!$B$5:$L1241,5,false),vlookup($A933,Pagos!$B$5:$L1241,5,false),vlookup($A933,Pagos!$B$5:$L1241,4,false)))</f>
        <v>45870</v>
      </c>
      <c r="J933" s="198" t="s">
        <v>523</v>
      </c>
      <c r="K933" s="199">
        <v>44562.0</v>
      </c>
      <c r="L933" s="200"/>
      <c r="M933" s="201"/>
      <c r="N933" s="202"/>
      <c r="O933" s="202"/>
    </row>
    <row r="934">
      <c r="A934" s="192">
        <v>1739.0</v>
      </c>
      <c r="B934" s="193" t="s">
        <v>3220</v>
      </c>
      <c r="C934" s="194" t="s">
        <v>519</v>
      </c>
      <c r="D934" s="193" t="s">
        <v>538</v>
      </c>
      <c r="E934" s="193" t="s">
        <v>3221</v>
      </c>
      <c r="F934" s="195">
        <v>1.569570951E9</v>
      </c>
      <c r="G934" s="196"/>
      <c r="H934" s="193" t="s">
        <v>3222</v>
      </c>
      <c r="I934" s="197">
        <f>IF(iserror(vlookup($A934,Pagos!$B$5:L1241,4,false)),"Sin actividad",If(vlookup($A934,Pagos!$B$5:$L1241,5,false),vlookup($A934,Pagos!$B$5:$L1241,5,false),vlookup($A934,Pagos!$B$5:$L1241,4,false)))</f>
        <v>45870</v>
      </c>
      <c r="J934" s="198" t="s">
        <v>523</v>
      </c>
      <c r="K934" s="199">
        <v>43556.0</v>
      </c>
      <c r="L934" s="200"/>
      <c r="M934" s="201"/>
      <c r="N934" s="202">
        <f>If(L934&gt;K934,   datedif(K934,L934,"Y") , If(K934&lt;Vitalicios!$C$4, datedif(K934,Vitalicios!$C$4,"Y"),0)  )</f>
        <v>6</v>
      </c>
      <c r="O934" s="202"/>
    </row>
    <row r="935">
      <c r="A935" s="192">
        <v>2269.0</v>
      </c>
      <c r="B935" s="193" t="s">
        <v>3223</v>
      </c>
      <c r="C935" s="193" t="s">
        <v>679</v>
      </c>
      <c r="D935" s="193" t="s">
        <v>628</v>
      </c>
      <c r="E935" s="193" t="s">
        <v>629</v>
      </c>
      <c r="F935" s="195">
        <v>2.216244368E9</v>
      </c>
      <c r="G935" s="196"/>
      <c r="H935" s="193" t="s">
        <v>3224</v>
      </c>
      <c r="I935" s="197">
        <v>45505.0</v>
      </c>
      <c r="J935" s="198" t="s">
        <v>529</v>
      </c>
      <c r="K935" s="199">
        <v>45748.0</v>
      </c>
      <c r="L935" s="200"/>
      <c r="M935" s="201" t="s">
        <v>631</v>
      </c>
      <c r="N935" s="202"/>
      <c r="O935" s="202"/>
    </row>
    <row r="936">
      <c r="A936" s="192">
        <v>2384.0</v>
      </c>
      <c r="B936" s="193" t="s">
        <v>3225</v>
      </c>
      <c r="C936" s="193" t="s">
        <v>679</v>
      </c>
      <c r="D936" s="193" t="s">
        <v>628</v>
      </c>
      <c r="E936" s="193" t="s">
        <v>3226</v>
      </c>
      <c r="F936" s="195">
        <v>2.214005364E9</v>
      </c>
      <c r="G936" s="196"/>
      <c r="H936" s="193" t="s">
        <v>3227</v>
      </c>
      <c r="I936" s="197"/>
      <c r="J936" s="198" t="s">
        <v>523</v>
      </c>
      <c r="K936" s="199">
        <v>45839.0</v>
      </c>
      <c r="L936" s="200"/>
      <c r="M936" s="201"/>
      <c r="N936" s="202"/>
      <c r="O936" s="202"/>
    </row>
    <row r="937">
      <c r="A937" s="192">
        <v>1642.0</v>
      </c>
      <c r="B937" s="193" t="s">
        <v>3228</v>
      </c>
      <c r="C937" s="194" t="s">
        <v>519</v>
      </c>
      <c r="D937" s="193" t="s">
        <v>538</v>
      </c>
      <c r="E937" s="193" t="s">
        <v>3229</v>
      </c>
      <c r="F937" s="195">
        <v>1.55483426E8</v>
      </c>
      <c r="G937" s="196"/>
      <c r="H937" s="193" t="s">
        <v>3230</v>
      </c>
      <c r="I937" s="197" t="str">
        <f>IF(iserror(vlookup($A937,Pagos!$B$5:L1241,4,false)),"Sin actividad",If(vlookup($A937,Pagos!$B$5:$L1241,5,false),vlookup($A937,Pagos!$B$5:$L1241,5,false),vlookup($A937,Pagos!$B$5:$L1241,4,false)))</f>
        <v>Sin actividad</v>
      </c>
      <c r="J937" s="198" t="s">
        <v>529</v>
      </c>
      <c r="K937" s="199">
        <v>42856.0</v>
      </c>
      <c r="L937" s="200">
        <v>43525.0</v>
      </c>
      <c r="M937" s="201"/>
      <c r="N937" s="202">
        <f>If(L937&gt;K937,   datedif(K937,L937,"Y") , If(K937&lt;Vitalicios!$C$4, datedif(K937,Vitalicios!$C$4,"Y"),0)  )</f>
        <v>1</v>
      </c>
      <c r="O937" s="202"/>
    </row>
    <row r="938">
      <c r="A938" s="192">
        <v>1350.0</v>
      </c>
      <c r="B938" s="193" t="s">
        <v>3231</v>
      </c>
      <c r="C938" s="194" t="s">
        <v>526</v>
      </c>
      <c r="D938" s="193" t="s">
        <v>520</v>
      </c>
      <c r="E938" s="193" t="s">
        <v>3232</v>
      </c>
      <c r="F938" s="195">
        <v>0.0</v>
      </c>
      <c r="G938" s="196">
        <v>0.0</v>
      </c>
      <c r="H938" s="193"/>
      <c r="I938" s="197" t="str">
        <f>IF(iserror(vlookup($A938,Pagos!$B$5:L1241,4,false)),"Sin actividad",If(vlookup($A938,Pagos!$B$5:$L1241,5,false),vlookup($A938,Pagos!$B$5:$L1241,5,false),vlookup($A938,Pagos!$B$5:$L1241,4,false)))</f>
        <v>Sin actividad</v>
      </c>
      <c r="J938" s="198" t="s">
        <v>529</v>
      </c>
      <c r="K938" s="199">
        <v>40566.0</v>
      </c>
      <c r="L938" s="200"/>
      <c r="M938" s="201"/>
      <c r="N938" s="202">
        <f>If(L938&gt;K938,   datedif(K938,L938,"Y") , If(K938&lt;Vitalicios!$C$4, datedif(K938,Vitalicios!$C$4,"Y"),0)  )</f>
        <v>14</v>
      </c>
      <c r="O938" s="202"/>
    </row>
    <row r="939">
      <c r="A939" s="192">
        <v>1157.0</v>
      </c>
      <c r="B939" s="193" t="s">
        <v>3233</v>
      </c>
      <c r="C939" s="194" t="s">
        <v>526</v>
      </c>
      <c r="D939" s="193" t="s">
        <v>556</v>
      </c>
      <c r="E939" s="193" t="s">
        <v>3234</v>
      </c>
      <c r="F939" s="195">
        <v>4.2431052E7</v>
      </c>
      <c r="G939" s="196">
        <v>0.0</v>
      </c>
      <c r="H939" s="193"/>
      <c r="I939" s="197" t="str">
        <f>IF(iserror(vlookup($A939,Pagos!$B$5:L1241,4,false)),"Sin actividad",If(vlookup($A939,Pagos!$B$5:$L1241,5,false),vlookup($A939,Pagos!$B$5:$L1241,5,false),vlookup($A939,Pagos!$B$5:$L1241,4,false)))</f>
        <v>Sin actividad</v>
      </c>
      <c r="J939" s="198" t="s">
        <v>529</v>
      </c>
      <c r="K939" s="199">
        <v>39451.0</v>
      </c>
      <c r="L939" s="200">
        <v>42461.0</v>
      </c>
      <c r="M939" s="201"/>
      <c r="N939" s="202">
        <f>If(L939&gt;K939,   datedif(K939,L939,"Y") , If(K939&lt;Vitalicios!$C$4, datedif(K939,Vitalicios!$C$4,"Y"),0)  )</f>
        <v>8</v>
      </c>
      <c r="O939" s="202"/>
    </row>
    <row r="940">
      <c r="A940" s="192">
        <v>1298.0</v>
      </c>
      <c r="B940" s="193" t="s">
        <v>3235</v>
      </c>
      <c r="C940" s="194" t="s">
        <v>526</v>
      </c>
      <c r="D940" s="193" t="s">
        <v>527</v>
      </c>
      <c r="E940" s="193" t="s">
        <v>3236</v>
      </c>
      <c r="F940" s="195">
        <v>4235571.0</v>
      </c>
      <c r="G940" s="196">
        <v>0.0</v>
      </c>
      <c r="H940" s="193" t="s">
        <v>3237</v>
      </c>
      <c r="I940" s="197" t="str">
        <f>IF(iserror(vlookup($A940,Pagos!$B$5:L1241,4,false)),"Sin actividad",If(vlookup($A940,Pagos!$B$5:$L1241,5,false),vlookup($A940,Pagos!$B$5:$L1241,5,false),vlookup($A940,Pagos!$B$5:$L1241,4,false)))</f>
        <v>Sin actividad</v>
      </c>
      <c r="J940" s="198" t="s">
        <v>529</v>
      </c>
      <c r="K940" s="199">
        <v>40265.0</v>
      </c>
      <c r="L940" s="200"/>
      <c r="M940" s="201"/>
      <c r="N940" s="202">
        <f>If(L940&gt;K940,   datedif(K940,L940,"Y") , If(K940&lt;Vitalicios!$C$4, datedif(K940,Vitalicios!$C$4,"Y"),0)  )</f>
        <v>15</v>
      </c>
      <c r="O940" s="202"/>
    </row>
    <row r="941">
      <c r="A941" s="192">
        <v>1990.0</v>
      </c>
      <c r="B941" s="193" t="s">
        <v>3238</v>
      </c>
      <c r="C941" s="193" t="s">
        <v>537</v>
      </c>
      <c r="D941" s="193" t="s">
        <v>532</v>
      </c>
      <c r="E941" s="193" t="s">
        <v>3239</v>
      </c>
      <c r="F941" s="195">
        <v>2.214555851E9</v>
      </c>
      <c r="G941" s="196"/>
      <c r="H941" s="193" t="s">
        <v>3240</v>
      </c>
      <c r="I941" s="197" t="str">
        <f>IF(iserror(vlookup($A941,Pagos!$B$5:L1241,4,false)),"Sin actividad",If(vlookup($A941,Pagos!$B$5:$L1241,5,false),vlookup($A941,Pagos!$B$5:$L1241,5,false),vlookup($A941,Pagos!$B$5:$L1241,4,false)))</f>
        <v>Sin actividad</v>
      </c>
      <c r="J941" s="198" t="s">
        <v>529</v>
      </c>
      <c r="K941" s="199">
        <v>44562.0</v>
      </c>
      <c r="L941" s="200">
        <v>44866.0</v>
      </c>
      <c r="M941" s="201"/>
      <c r="N941" s="202"/>
      <c r="O941" s="202"/>
    </row>
    <row r="942">
      <c r="A942" s="192">
        <v>1520.0</v>
      </c>
      <c r="B942" s="193" t="s">
        <v>3241</v>
      </c>
      <c r="C942" s="194" t="s">
        <v>526</v>
      </c>
      <c r="D942" s="193" t="s">
        <v>770</v>
      </c>
      <c r="E942" s="193" t="s">
        <v>3242</v>
      </c>
      <c r="F942" s="195">
        <v>1.55232156E8</v>
      </c>
      <c r="G942" s="196">
        <v>0.0</v>
      </c>
      <c r="H942" s="193"/>
      <c r="I942" s="197" t="str">
        <f>IF(iserror(vlookup($A942,Pagos!$B$5:L1241,4,false)),"Sin actividad",If(vlookup($A942,Pagos!$B$5:$L1241,5,false),vlookup($A942,Pagos!$B$5:$L1241,5,false),vlookup($A942,Pagos!$B$5:$L1241,4,false)))</f>
        <v>Sin actividad</v>
      </c>
      <c r="J942" s="198" t="s">
        <v>529</v>
      </c>
      <c r="K942" s="199">
        <v>41742.0</v>
      </c>
      <c r="L942" s="200">
        <v>43374.0</v>
      </c>
      <c r="M942" s="201" t="s">
        <v>560</v>
      </c>
      <c r="N942" s="202">
        <f>If(L942&gt;K942,   datedif(K942,L942,"Y") , If(K942&lt;Vitalicios!$C$4, datedif(K942,Vitalicios!$C$4,"Y"),0)  )</f>
        <v>4</v>
      </c>
      <c r="O942" s="202"/>
    </row>
    <row r="943">
      <c r="A943" s="192">
        <v>1852.0</v>
      </c>
      <c r="B943" s="193" t="s">
        <v>3243</v>
      </c>
      <c r="C943" s="193" t="s">
        <v>537</v>
      </c>
      <c r="D943" s="193" t="s">
        <v>538</v>
      </c>
      <c r="E943" s="193" t="s">
        <v>3244</v>
      </c>
      <c r="F943" s="195">
        <v>2.213075904E9</v>
      </c>
      <c r="G943" s="196"/>
      <c r="H943" s="193" t="s">
        <v>3245</v>
      </c>
      <c r="I943" s="197" t="str">
        <f>IF(iserror(vlookup($A943,Pagos!$B$5:L1241,4,false)),"Sin actividad",If(vlookup($A943,Pagos!$B$5:$L1241,5,false),vlookup($A943,Pagos!$B$5:$L1241,5,false),vlookup($A943,Pagos!$B$5:$L1241,4,false)))</f>
        <v>Sin actividad</v>
      </c>
      <c r="J943" s="198" t="s">
        <v>529</v>
      </c>
      <c r="K943" s="199">
        <v>44136.0</v>
      </c>
      <c r="L943" s="200">
        <v>44287.0</v>
      </c>
      <c r="M943" s="201" t="s">
        <v>535</v>
      </c>
      <c r="N943" s="202"/>
      <c r="O943" s="202"/>
    </row>
    <row r="944">
      <c r="A944" s="192">
        <v>1627.0</v>
      </c>
      <c r="B944" s="193" t="s">
        <v>3246</v>
      </c>
      <c r="C944" s="194" t="s">
        <v>519</v>
      </c>
      <c r="D944" s="193" t="s">
        <v>538</v>
      </c>
      <c r="E944" s="193" t="s">
        <v>3247</v>
      </c>
      <c r="F944" s="195">
        <v>1.55571055E8</v>
      </c>
      <c r="G944" s="196"/>
      <c r="H944" s="193" t="s">
        <v>3248</v>
      </c>
      <c r="I944" s="197">
        <f>IF(iserror(vlookup($A944,Pagos!$B$5:L1241,4,false)),"Sin actividad",If(vlookup($A944,Pagos!$B$5:$L1241,5,false),vlookup($A944,Pagos!$B$5:$L1241,5,false),vlookup($A944,Pagos!$B$5:$L1241,4,false)))</f>
        <v>45870</v>
      </c>
      <c r="J944" s="198" t="s">
        <v>523</v>
      </c>
      <c r="K944" s="199">
        <v>42773.0</v>
      </c>
      <c r="L944" s="200"/>
      <c r="M944" s="201"/>
      <c r="N944" s="202">
        <f>If(L944&gt;K944,   datedif(K944,L944,"Y") , If(K944&lt;Vitalicios!$C$4, datedif(K944,Vitalicios!$C$4,"Y"),0)  )</f>
        <v>8</v>
      </c>
      <c r="O944" s="202"/>
    </row>
    <row r="945">
      <c r="A945" s="192">
        <v>1685.0</v>
      </c>
      <c r="B945" s="193" t="s">
        <v>3249</v>
      </c>
      <c r="C945" s="194" t="s">
        <v>519</v>
      </c>
      <c r="D945" s="193" t="s">
        <v>538</v>
      </c>
      <c r="E945" s="193" t="s">
        <v>3250</v>
      </c>
      <c r="F945" s="195"/>
      <c r="G945" s="196"/>
      <c r="H945" s="193" t="s">
        <v>3251</v>
      </c>
      <c r="I945" s="197" t="str">
        <f>IF(iserror(vlookup($A945,Pagos!$B$5:L1241,4,false)),"Sin actividad",If(vlookup($A945,Pagos!$B$5:$L1241,5,false),vlookup($A945,Pagos!$B$5:$L1241,5,false),vlookup($A945,Pagos!$B$5:$L1241,4,false)))</f>
        <v>Sin actividad</v>
      </c>
      <c r="J945" s="198" t="s">
        <v>529</v>
      </c>
      <c r="K945" s="199">
        <v>43132.0</v>
      </c>
      <c r="L945" s="200">
        <v>45078.0</v>
      </c>
      <c r="M945" s="201" t="s">
        <v>535</v>
      </c>
      <c r="N945" s="202">
        <f>If(L945&gt;K945,   datedif(K945,L945,"Y") , If(K945&lt;Vitalicios!$C$4, datedif(K945,Vitalicios!$C$4,"Y"),0)  )</f>
        <v>5</v>
      </c>
      <c r="O945" s="202"/>
    </row>
    <row r="946">
      <c r="A946" s="192">
        <v>1919.0</v>
      </c>
      <c r="B946" s="193" t="s">
        <v>3252</v>
      </c>
      <c r="C946" s="193" t="s">
        <v>679</v>
      </c>
      <c r="D946" s="193" t="s">
        <v>538</v>
      </c>
      <c r="E946" s="193" t="s">
        <v>3253</v>
      </c>
      <c r="F946" s="195">
        <v>2.215670848E9</v>
      </c>
      <c r="G946" s="196"/>
      <c r="H946" s="193" t="s">
        <v>3254</v>
      </c>
      <c r="I946" s="197" t="str">
        <f>IF(iserror(vlookup($A946,Pagos!$B$5:L1241,4,false)),"Sin actividad",If(vlookup($A946,Pagos!$B$5:$L1241,5,false),vlookup($A946,Pagos!$B$5:$L1241,5,false),vlookup($A946,Pagos!$B$5:$L1241,4,false)))</f>
        <v>Sin actividad</v>
      </c>
      <c r="J946" s="198" t="s">
        <v>529</v>
      </c>
      <c r="K946" s="199">
        <v>44378.0</v>
      </c>
      <c r="L946" s="200">
        <v>45261.0</v>
      </c>
      <c r="M946" s="201" t="s">
        <v>614</v>
      </c>
      <c r="N946" s="202"/>
      <c r="O946" s="202"/>
    </row>
    <row r="947">
      <c r="A947" s="192">
        <v>934.0</v>
      </c>
      <c r="B947" s="193" t="s">
        <v>3255</v>
      </c>
      <c r="C947" s="194" t="s">
        <v>577</v>
      </c>
      <c r="D947" s="193" t="s">
        <v>520</v>
      </c>
      <c r="E947" s="193" t="s">
        <v>3256</v>
      </c>
      <c r="F947" s="195">
        <v>0.0</v>
      </c>
      <c r="G947" s="196">
        <v>0.0</v>
      </c>
      <c r="H947" s="193"/>
      <c r="I947" s="197" t="str">
        <f>IF(iserror(vlookup($A947,Pagos!$B$5:L1241,4,false)),"Sin actividad",If(vlookup($A947,Pagos!$B$5:$L1241,5,false),vlookup($A947,Pagos!$B$5:$L1241,5,false),vlookup($A947,Pagos!$B$5:$L1241,4,false)))</f>
        <v>Sin actividad</v>
      </c>
      <c r="J947" s="198" t="s">
        <v>529</v>
      </c>
      <c r="K947" s="199">
        <v>37622.0</v>
      </c>
      <c r="L947" s="200"/>
      <c r="M947" s="201"/>
      <c r="N947" s="202">
        <f>If(L947&gt;K947,   datedif(K947,L947,"Y") , If(K947&lt;Vitalicios!$C$4, datedif(K947,Vitalicios!$C$4,"Y"),0)  )</f>
        <v>22</v>
      </c>
      <c r="O947" s="202"/>
    </row>
    <row r="948">
      <c r="A948" s="192">
        <v>1929.0</v>
      </c>
      <c r="B948" s="193" t="s">
        <v>3257</v>
      </c>
      <c r="C948" s="193" t="s">
        <v>537</v>
      </c>
      <c r="D948" s="193" t="s">
        <v>538</v>
      </c>
      <c r="E948" s="193" t="s">
        <v>3258</v>
      </c>
      <c r="F948" s="195">
        <v>2.215485023E9</v>
      </c>
      <c r="G948" s="196"/>
      <c r="H948" s="193" t="s">
        <v>3259</v>
      </c>
      <c r="I948" s="197">
        <f>IF(iserror(vlookup($A948,Pagos!$B$5:L1241,4,false)),"Sin actividad",If(vlookup($A948,Pagos!$B$5:$L1241,5,false),vlookup($A948,Pagos!$B$5:$L1241,5,false),vlookup($A948,Pagos!$B$5:$L1241,4,false)))</f>
        <v>45870</v>
      </c>
      <c r="J948" s="198" t="s">
        <v>523</v>
      </c>
      <c r="K948" s="199">
        <v>44440.0</v>
      </c>
      <c r="L948" s="200"/>
      <c r="M948" s="201"/>
      <c r="N948" s="202"/>
      <c r="O948" s="202"/>
    </row>
    <row r="949">
      <c r="A949" s="192">
        <v>1331.0</v>
      </c>
      <c r="B949" s="193" t="s">
        <v>3260</v>
      </c>
      <c r="C949" s="194" t="s">
        <v>526</v>
      </c>
      <c r="D949" s="193" t="s">
        <v>556</v>
      </c>
      <c r="E949" s="193">
        <v>0.0</v>
      </c>
      <c r="F949" s="195">
        <v>0.0</v>
      </c>
      <c r="G949" s="196">
        <v>0.0</v>
      </c>
      <c r="H949" s="193"/>
      <c r="I949" s="197" t="str">
        <f>IF(iserror(vlookup($A949,Pagos!$B$5:L1241,4,false)),"Sin actividad",If(vlookup($A949,Pagos!$B$5:$L1241,5,false),vlookup($A949,Pagos!$B$5:$L1241,5,false),vlookup($A949,Pagos!$B$5:$L1241,4,false)))</f>
        <v>Sin actividad</v>
      </c>
      <c r="J949" s="198" t="s">
        <v>529</v>
      </c>
      <c r="K949" s="199">
        <v>40515.0</v>
      </c>
      <c r="L949" s="200"/>
      <c r="M949" s="201" t="s">
        <v>3261</v>
      </c>
      <c r="N949" s="202">
        <f>If(L949&gt;K949,   datedif(K949,L949,"Y") , If(K949&lt;Vitalicios!$C$4, datedif(K949,Vitalicios!$C$4,"Y"),0)  )</f>
        <v>14</v>
      </c>
      <c r="O949" s="202"/>
    </row>
    <row r="950">
      <c r="A950" s="192">
        <v>2290.0</v>
      </c>
      <c r="B950" s="193" t="s">
        <v>3262</v>
      </c>
      <c r="C950" s="193" t="s">
        <v>537</v>
      </c>
      <c r="D950" s="193" t="s">
        <v>3164</v>
      </c>
      <c r="E950" s="193" t="s">
        <v>3263</v>
      </c>
      <c r="F950" s="195">
        <v>2.21589847E9</v>
      </c>
      <c r="G950" s="196"/>
      <c r="H950" s="193" t="s">
        <v>3264</v>
      </c>
      <c r="I950" s="197"/>
      <c r="J950" s="198" t="s">
        <v>523</v>
      </c>
      <c r="K950" s="199">
        <v>45597.0</v>
      </c>
      <c r="L950" s="200"/>
      <c r="M950" s="201"/>
      <c r="N950" s="202"/>
      <c r="O950" s="202"/>
    </row>
    <row r="951">
      <c r="A951" s="192">
        <v>1564.0</v>
      </c>
      <c r="B951" s="193" t="s">
        <v>3265</v>
      </c>
      <c r="C951" s="194" t="s">
        <v>526</v>
      </c>
      <c r="D951" s="193" t="s">
        <v>693</v>
      </c>
      <c r="E951" s="193" t="s">
        <v>3266</v>
      </c>
      <c r="F951" s="195">
        <v>1.549865302E9</v>
      </c>
      <c r="G951" s="196">
        <v>4240358.0</v>
      </c>
      <c r="H951" s="193" t="s">
        <v>3267</v>
      </c>
      <c r="I951" s="197" t="str">
        <f>IF(iserror(vlookup($A951,Pagos!$B$5:L1241,4,false)),"Sin actividad",If(vlookup($A951,Pagos!$B$5:$L1241,5,false),vlookup($A951,Pagos!$B$5:$L1241,5,false),vlookup($A951,Pagos!$B$5:$L1241,4,false)))</f>
        <v>Sin actividad</v>
      </c>
      <c r="J951" s="198" t="s">
        <v>529</v>
      </c>
      <c r="K951" s="199">
        <v>42218.0</v>
      </c>
      <c r="L951" s="200"/>
      <c r="M951" s="201"/>
      <c r="N951" s="202">
        <f>If(L951&gt;K951,   datedif(K951,L951,"Y") , If(K951&lt;Vitalicios!$C$4, datedif(K951,Vitalicios!$C$4,"Y"),0)  )</f>
        <v>10</v>
      </c>
      <c r="O951" s="202"/>
    </row>
    <row r="952">
      <c r="A952" s="192">
        <v>1255.0</v>
      </c>
      <c r="B952" s="193" t="s">
        <v>3268</v>
      </c>
      <c r="C952" s="194" t="s">
        <v>526</v>
      </c>
      <c r="D952" s="193" t="s">
        <v>527</v>
      </c>
      <c r="E952" s="193" t="s">
        <v>3269</v>
      </c>
      <c r="F952" s="195">
        <v>4792825.0</v>
      </c>
      <c r="G952" s="196">
        <v>0.0</v>
      </c>
      <c r="H952" s="193"/>
      <c r="I952" s="197" t="str">
        <f>IF(iserror(vlookup($A952,Pagos!$B$5:L1241,4,false)),"Sin actividad",If(vlookup($A952,Pagos!$B$5:$L1241,5,false),vlookup($A952,Pagos!$B$5:$L1241,5,false),vlookup($A952,Pagos!$B$5:$L1241,4,false)))</f>
        <v>Sin actividad</v>
      </c>
      <c r="J952" s="198" t="s">
        <v>529</v>
      </c>
      <c r="K952" s="199">
        <v>40156.0</v>
      </c>
      <c r="L952" s="200">
        <v>41579.0</v>
      </c>
      <c r="M952" s="201" t="s">
        <v>2102</v>
      </c>
      <c r="N952" s="202">
        <f>If(L952&gt;K952,   datedif(K952,L952,"Y") , If(K952&lt;Vitalicios!$C$4, datedif(K952,Vitalicios!$C$4,"Y"),0)  )</f>
        <v>3</v>
      </c>
      <c r="O952" s="202"/>
    </row>
    <row r="953">
      <c r="A953" s="192">
        <v>1389.0</v>
      </c>
      <c r="B953" s="193" t="s">
        <v>3270</v>
      </c>
      <c r="C953" s="194" t="s">
        <v>526</v>
      </c>
      <c r="D953" s="193" t="s">
        <v>527</v>
      </c>
      <c r="E953" s="193" t="s">
        <v>3271</v>
      </c>
      <c r="F953" s="195">
        <v>1.55457676E8</v>
      </c>
      <c r="G953" s="196">
        <v>0.0</v>
      </c>
      <c r="H953" s="193"/>
      <c r="I953" s="197" t="str">
        <f>IF(iserror(vlookup($A953,Pagos!$B$5:L1241,4,false)),"Sin actividad",If(vlookup($A953,Pagos!$B$5:$L1241,5,false),vlookup($A953,Pagos!$B$5:$L1241,5,false),vlookup($A953,Pagos!$B$5:$L1241,4,false)))</f>
        <v>Sin actividad</v>
      </c>
      <c r="J953" s="198" t="s">
        <v>529</v>
      </c>
      <c r="K953" s="199">
        <v>40880.0</v>
      </c>
      <c r="L953" s="200"/>
      <c r="M953" s="201"/>
      <c r="N953" s="202">
        <f>If(L953&gt;K953,   datedif(K953,L953,"Y") , If(K953&lt;Vitalicios!$C$4, datedif(K953,Vitalicios!$C$4,"Y"),0)  )</f>
        <v>13</v>
      </c>
      <c r="O953" s="202"/>
    </row>
    <row r="954">
      <c r="A954" s="192">
        <v>1452.0</v>
      </c>
      <c r="B954" s="193" t="s">
        <v>3272</v>
      </c>
      <c r="C954" s="194" t="s">
        <v>526</v>
      </c>
      <c r="D954" s="193" t="s">
        <v>2510</v>
      </c>
      <c r="E954" s="193" t="s">
        <v>3273</v>
      </c>
      <c r="F954" s="195">
        <v>4231099.0</v>
      </c>
      <c r="G954" s="196">
        <v>1.11532194793E11</v>
      </c>
      <c r="H954" s="193" t="s">
        <v>3274</v>
      </c>
      <c r="I954" s="197">
        <f>IF(iserror(vlookup($A954,Pagos!$B$5:L1241,4,false)),"Sin actividad",If(vlookup($A954,Pagos!$B$5:$L1241,5,false),vlookup($A954,Pagos!$B$5:$L1241,5,false),vlookup($A954,Pagos!$B$5:$L1241,4,false)))</f>
        <v>45870</v>
      </c>
      <c r="J954" s="198" t="s">
        <v>523</v>
      </c>
      <c r="K954" s="199">
        <v>41334.0</v>
      </c>
      <c r="L954" s="200"/>
      <c r="M954" s="201"/>
      <c r="N954" s="202">
        <f>If(L954&gt;K954,   datedif(K954,L954,"Y") , If(K954&lt;Vitalicios!$C$4, datedif(K954,Vitalicios!$C$4,"Y"),0)  )</f>
        <v>12</v>
      </c>
      <c r="O954" s="202"/>
    </row>
    <row r="955">
      <c r="A955" s="192">
        <v>1615.0</v>
      </c>
      <c r="B955" s="193" t="s">
        <v>3275</v>
      </c>
      <c r="C955" s="194" t="s">
        <v>519</v>
      </c>
      <c r="D955" s="193" t="s">
        <v>527</v>
      </c>
      <c r="E955" s="193" t="s">
        <v>3276</v>
      </c>
      <c r="F955" s="195">
        <v>4837645.0</v>
      </c>
      <c r="G955" s="196"/>
      <c r="H955" s="193"/>
      <c r="I955" s="197" t="str">
        <f>IF(iserror(vlookup($A955,Pagos!$B$5:L1241,4,false)),"Sin actividad",If(vlookup($A955,Pagos!$B$5:$L1241,5,false),vlookup($A955,Pagos!$B$5:$L1241,5,false),vlookup($A955,Pagos!$B$5:$L1241,4,false)))</f>
        <v>Sin actividad</v>
      </c>
      <c r="J955" s="198" t="s">
        <v>529</v>
      </c>
      <c r="K955" s="199">
        <v>42705.0</v>
      </c>
      <c r="L955" s="200">
        <v>43132.0</v>
      </c>
      <c r="M955" s="201"/>
      <c r="N955" s="202">
        <f>If(L955&gt;K955,   datedif(K955,L955,"Y") , If(K955&lt;Vitalicios!$C$4, datedif(K955,Vitalicios!$C$4,"Y"),0)  )</f>
        <v>1</v>
      </c>
      <c r="O955" s="202"/>
    </row>
    <row r="956">
      <c r="A956" s="192">
        <v>1710.0</v>
      </c>
      <c r="B956" s="193" t="s">
        <v>3277</v>
      </c>
      <c r="C956" s="194" t="s">
        <v>519</v>
      </c>
      <c r="D956" s="193" t="s">
        <v>520</v>
      </c>
      <c r="E956" s="193" t="s">
        <v>3278</v>
      </c>
      <c r="F956" s="195">
        <v>1.55084304E8</v>
      </c>
      <c r="G956" s="196"/>
      <c r="H956" s="193" t="s">
        <v>3279</v>
      </c>
      <c r="I956" s="197" t="str">
        <f>IF(iserror(vlookup($A956,Pagos!$B$5:L1241,4,false)),"Sin actividad",If(vlookup($A956,Pagos!$B$5:$L1241,5,false),vlookup($A956,Pagos!$B$5:$L1241,5,false),vlookup($A956,Pagos!$B$5:$L1241,4,false)))</f>
        <v>Sin actividad</v>
      </c>
      <c r="J956" s="198" t="s">
        <v>529</v>
      </c>
      <c r="K956" s="199">
        <v>43376.0</v>
      </c>
      <c r="L956" s="200">
        <v>44887.0</v>
      </c>
      <c r="M956" s="201" t="s">
        <v>3280</v>
      </c>
      <c r="N956" s="202">
        <f>If(L956&gt;K956,   datedif(K956,L956,"Y") , If(K956&lt;Vitalicios!$C$4, datedif(K956,Vitalicios!$C$4,"Y"),0)  )</f>
        <v>4</v>
      </c>
      <c r="O956" s="202"/>
    </row>
    <row r="957">
      <c r="A957" s="192">
        <v>2362.0</v>
      </c>
      <c r="B957" s="193" t="s">
        <v>3281</v>
      </c>
      <c r="C957" s="193" t="s">
        <v>537</v>
      </c>
      <c r="D957" s="193" t="s">
        <v>3282</v>
      </c>
      <c r="E957" s="193" t="s">
        <v>3283</v>
      </c>
      <c r="F957" s="195">
        <v>2.215917387E9</v>
      </c>
      <c r="G957" s="196"/>
      <c r="H957" s="193" t="s">
        <v>3284</v>
      </c>
      <c r="I957" s="197"/>
      <c r="J957" s="198" t="s">
        <v>523</v>
      </c>
      <c r="K957" s="199">
        <v>45748.0</v>
      </c>
      <c r="L957" s="200"/>
      <c r="M957" s="201"/>
      <c r="N957" s="202"/>
      <c r="O957" s="202"/>
    </row>
    <row r="958">
      <c r="A958" s="192">
        <v>1867.0</v>
      </c>
      <c r="B958" s="193" t="s">
        <v>3285</v>
      </c>
      <c r="C958" s="193" t="s">
        <v>537</v>
      </c>
      <c r="D958" s="193" t="s">
        <v>538</v>
      </c>
      <c r="E958" s="193" t="s">
        <v>3286</v>
      </c>
      <c r="F958" s="195">
        <v>2.216027958E9</v>
      </c>
      <c r="G958" s="196"/>
      <c r="H958" s="193" t="s">
        <v>3287</v>
      </c>
      <c r="I958" s="197" t="str">
        <f>IF(iserror(vlookup($A958,Pagos!$B$5:L1241,4,false)),"Sin actividad",If(vlookup($A958,Pagos!$B$5:$L1241,5,false),vlookup($A958,Pagos!$B$5:$L1241,5,false),vlookup($A958,Pagos!$B$5:$L1241,4,false)))</f>
        <v>Sin actividad</v>
      </c>
      <c r="J958" s="198" t="s">
        <v>529</v>
      </c>
      <c r="K958" s="199">
        <v>44197.0</v>
      </c>
      <c r="L958" s="200">
        <v>44986.0</v>
      </c>
      <c r="M958" s="201" t="s">
        <v>716</v>
      </c>
      <c r="N958" s="202"/>
      <c r="O958" s="202"/>
    </row>
    <row r="959">
      <c r="A959" s="192">
        <v>2112.0</v>
      </c>
      <c r="B959" s="193" t="s">
        <v>3288</v>
      </c>
      <c r="C959" s="193" t="s">
        <v>679</v>
      </c>
      <c r="D959" s="193" t="s">
        <v>538</v>
      </c>
      <c r="E959" s="193" t="s">
        <v>3289</v>
      </c>
      <c r="F959" s="195">
        <v>2.21669377E9</v>
      </c>
      <c r="G959" s="196"/>
      <c r="H959" s="193" t="s">
        <v>3290</v>
      </c>
      <c r="I959" s="197"/>
      <c r="J959" s="198" t="s">
        <v>523</v>
      </c>
      <c r="K959" s="199">
        <v>44927.0</v>
      </c>
      <c r="L959" s="200"/>
      <c r="M959" s="201"/>
      <c r="N959" s="202"/>
      <c r="O959" s="202"/>
    </row>
    <row r="960">
      <c r="A960" s="192">
        <v>531.0</v>
      </c>
      <c r="B960" s="193" t="s">
        <v>3291</v>
      </c>
      <c r="C960" s="194" t="s">
        <v>526</v>
      </c>
      <c r="D960" s="193" t="s">
        <v>520</v>
      </c>
      <c r="E960" s="193">
        <v>0.0</v>
      </c>
      <c r="F960" s="195">
        <v>0.0</v>
      </c>
      <c r="G960" s="196">
        <v>0.0</v>
      </c>
      <c r="H960" s="193"/>
      <c r="I960" s="197" t="str">
        <f>IF(iserror(vlookup($A960,Pagos!$B$5:L1241,4,false)),"Sin actividad",If(vlookup($A960,Pagos!$B$5:$L1241,5,false),vlookup($A960,Pagos!$B$5:$L1241,5,false),vlookup($A960,Pagos!$B$5:$L1241,4,false)))</f>
        <v>Sin actividad</v>
      </c>
      <c r="J960" s="198" t="s">
        <v>529</v>
      </c>
      <c r="K960" s="199">
        <v>33334.0</v>
      </c>
      <c r="L960" s="200">
        <v>43282.0</v>
      </c>
      <c r="M960" s="201"/>
      <c r="N960" s="202">
        <f>If(L960&gt;K960,   datedif(K960,L960,"Y") , If(K960&lt;Vitalicios!$C$4, datedif(K960,Vitalicios!$C$4,"Y"),0)  )</f>
        <v>27</v>
      </c>
      <c r="O960" s="202"/>
    </row>
    <row r="961" ht="18.0" customHeight="1">
      <c r="A961" s="192">
        <v>1515.0</v>
      </c>
      <c r="B961" s="193" t="s">
        <v>3292</v>
      </c>
      <c r="C961" s="194" t="s">
        <v>526</v>
      </c>
      <c r="D961" s="193" t="s">
        <v>527</v>
      </c>
      <c r="E961" s="193" t="s">
        <v>3293</v>
      </c>
      <c r="F961" s="195">
        <v>4847220.0</v>
      </c>
      <c r="G961" s="196">
        <v>1.55911371E8</v>
      </c>
      <c r="H961" s="193" t="s">
        <v>3294</v>
      </c>
      <c r="I961" s="197" t="str">
        <f>IF(iserror(vlookup($A961,Pagos!$B$5:L1241,4,false)),"Sin actividad",If(vlookup($A961,Pagos!$B$5:$L1241,5,false),vlookup($A961,Pagos!$B$5:$L1241,5,false),vlookup($A961,Pagos!$B$5:$L1241,4,false)))</f>
        <v>Sin actividad</v>
      </c>
      <c r="J961" s="198" t="s">
        <v>529</v>
      </c>
      <c r="K961" s="199">
        <v>41889.0</v>
      </c>
      <c r="L961" s="200">
        <v>43374.0</v>
      </c>
      <c r="M961" s="201" t="s">
        <v>3295</v>
      </c>
      <c r="N961" s="202">
        <f>If(L961&gt;K961,   datedif(K961,L961,"Y") , If(K961&lt;Vitalicios!$C$4, datedif(K961,Vitalicios!$C$4,"Y"),0)  )</f>
        <v>4</v>
      </c>
      <c r="O961" s="202" t="s">
        <v>3296</v>
      </c>
    </row>
    <row r="962">
      <c r="A962" s="192">
        <v>2279.0</v>
      </c>
      <c r="B962" s="193" t="s">
        <v>3297</v>
      </c>
      <c r="C962" s="194" t="s">
        <v>519</v>
      </c>
      <c r="D962" s="193" t="s">
        <v>709</v>
      </c>
      <c r="E962" s="193" t="s">
        <v>3298</v>
      </c>
      <c r="F962" s="195" t="s">
        <v>3299</v>
      </c>
      <c r="G962" s="196"/>
      <c r="H962" s="193" t="s">
        <v>3300</v>
      </c>
      <c r="I962" s="197">
        <f>IF(iserror(vlookup($A962,Pagos!$B$5:L1241,4,false)),"Sin actividad",If(vlookup($A962,Pagos!$B$5:$L1241,5,false),vlookup($A962,Pagos!$B$5:$L1241,5,false),vlookup($A962,Pagos!$B$5:$L1241,4,false)))</f>
        <v>45870</v>
      </c>
      <c r="J962" s="198" t="s">
        <v>523</v>
      </c>
      <c r="K962" s="199">
        <v>43041.0</v>
      </c>
      <c r="L962" s="200">
        <v>45536.0</v>
      </c>
      <c r="M962" s="201" t="s">
        <v>3301</v>
      </c>
      <c r="N962" s="202">
        <f>If(L962&gt;K962,   datedif(K962,L962,"Y") , If(K962&lt;Vitalicios!$C$4, datedif(K962,Vitalicios!$C$4,"Y"),0)  )</f>
        <v>6</v>
      </c>
      <c r="O962" s="202"/>
    </row>
    <row r="963">
      <c r="A963" s="192">
        <v>1922.0</v>
      </c>
      <c r="B963" s="193" t="s">
        <v>3302</v>
      </c>
      <c r="C963" s="193" t="s">
        <v>537</v>
      </c>
      <c r="D963" s="193" t="s">
        <v>538</v>
      </c>
      <c r="E963" s="193" t="s">
        <v>3303</v>
      </c>
      <c r="F963" s="195">
        <v>2.215312005E9</v>
      </c>
      <c r="G963" s="196"/>
      <c r="H963" s="193" t="s">
        <v>3304</v>
      </c>
      <c r="I963" s="197">
        <f>IF(iserror(vlookup($A963,Pagos!$B$5:L1241,4,false)),"Sin actividad",If(vlookup($A963,Pagos!$B$5:$L1241,5,false),vlookup($A963,Pagos!$B$5:$L1241,5,false),vlookup($A963,Pagos!$B$5:$L1241,4,false)))</f>
        <v>45870</v>
      </c>
      <c r="J963" s="198" t="s">
        <v>523</v>
      </c>
      <c r="K963" s="199">
        <v>44409.0</v>
      </c>
      <c r="L963" s="200"/>
      <c r="M963" s="201"/>
      <c r="N963" s="202"/>
      <c r="O963" s="202"/>
    </row>
    <row r="964">
      <c r="A964" s="192">
        <v>1533.0</v>
      </c>
      <c r="B964" s="193" t="s">
        <v>3305</v>
      </c>
      <c r="C964" s="194" t="s">
        <v>526</v>
      </c>
      <c r="D964" s="193" t="s">
        <v>527</v>
      </c>
      <c r="E964" s="193" t="s">
        <v>3306</v>
      </c>
      <c r="F964" s="195">
        <v>1.54318498E8</v>
      </c>
      <c r="G964" s="196"/>
      <c r="H964" s="193"/>
      <c r="I964" s="197" t="str">
        <f>IF(iserror(vlookup($A964,Pagos!$B$5:L1241,4,false)),"Sin actividad",If(vlookup($A964,Pagos!$B$5:$L1241,5,false),vlookup($A964,Pagos!$B$5:$L1241,5,false),vlookup($A964,Pagos!$B$5:$L1241,4,false)))</f>
        <v>Sin actividad</v>
      </c>
      <c r="J964" s="198" t="s">
        <v>529</v>
      </c>
      <c r="K964" s="199">
        <v>41959.0</v>
      </c>
      <c r="L964" s="200">
        <v>43374.0</v>
      </c>
      <c r="M964" s="201" t="s">
        <v>560</v>
      </c>
      <c r="N964" s="202">
        <f>If(L964&gt;K964,   datedif(K964,L964,"Y") , If(K964&lt;Vitalicios!$C$4, datedif(K964,Vitalicios!$C$4,"Y"),0)  )</f>
        <v>3</v>
      </c>
      <c r="O964" s="202"/>
    </row>
    <row r="965" ht="20.25" customHeight="1">
      <c r="A965" s="192">
        <v>1485.0</v>
      </c>
      <c r="B965" s="193" t="s">
        <v>3307</v>
      </c>
      <c r="C965" s="194" t="s">
        <v>526</v>
      </c>
      <c r="D965" s="193" t="s">
        <v>556</v>
      </c>
      <c r="E965" s="193" t="s">
        <v>3308</v>
      </c>
      <c r="F965" s="195" t="s">
        <v>3309</v>
      </c>
      <c r="G965" s="196" t="s">
        <v>3310</v>
      </c>
      <c r="H965" s="193" t="s">
        <v>3311</v>
      </c>
      <c r="I965" s="197" t="str">
        <f>IF(iserror(vlookup($A965,Pagos!$B$5:L1241,4,false)),"Sin actividad",If(vlookup($A965,Pagos!$B$5:$L1241,5,false),vlookup($A965,Pagos!$B$5:$L1241,5,false),vlookup($A965,Pagos!$B$5:$L1241,4,false)))</f>
        <v>Sin actividad</v>
      </c>
      <c r="J965" s="198" t="s">
        <v>529</v>
      </c>
      <c r="K965" s="199">
        <v>41622.0</v>
      </c>
      <c r="L965" s="200">
        <v>42221.0</v>
      </c>
      <c r="M965" s="201" t="s">
        <v>3312</v>
      </c>
      <c r="N965" s="202">
        <f>If(L965&gt;K965,   datedif(K965,L965,"Y") , If(K965&lt;Vitalicios!$C$4, datedif(K965,Vitalicios!$C$4,"Y"),0)  )</f>
        <v>1</v>
      </c>
      <c r="O965" s="202"/>
    </row>
    <row r="966">
      <c r="A966" s="192">
        <v>1434.0</v>
      </c>
      <c r="B966" s="193" t="s">
        <v>3313</v>
      </c>
      <c r="C966" s="194" t="s">
        <v>526</v>
      </c>
      <c r="D966" s="193" t="s">
        <v>770</v>
      </c>
      <c r="E966" s="193" t="s">
        <v>3314</v>
      </c>
      <c r="F966" s="195">
        <v>4228888.0</v>
      </c>
      <c r="G966" s="196">
        <v>0.0</v>
      </c>
      <c r="H966" s="193"/>
      <c r="I966" s="197" t="str">
        <f>IF(iserror(vlookup($A966,Pagos!$B$5:L1241,4,false)),"Sin actividad",If(vlookup($A966,Pagos!$B$5:$L1241,5,false),vlookup($A966,Pagos!$B$5:$L1241,5,false),vlookup($A966,Pagos!$B$5:$L1241,4,false)))</f>
        <v>Sin actividad</v>
      </c>
      <c r="J966" s="198" t="s">
        <v>529</v>
      </c>
      <c r="K966" s="199">
        <v>41239.0</v>
      </c>
      <c r="L966" s="200">
        <v>44033.0</v>
      </c>
      <c r="M966" s="201"/>
      <c r="N966" s="202">
        <f>If(L966&gt;K966,   datedif(K966,L966,"Y") , If(K966&lt;Vitalicios!$C$4, datedif(K966,Vitalicios!$C$4,"Y"),0)  )</f>
        <v>7</v>
      </c>
      <c r="O966" s="202"/>
    </row>
    <row r="967">
      <c r="A967" s="192">
        <v>2027.0</v>
      </c>
      <c r="B967" s="193" t="s">
        <v>3315</v>
      </c>
      <c r="C967" s="193" t="s">
        <v>537</v>
      </c>
      <c r="D967" s="193" t="s">
        <v>538</v>
      </c>
      <c r="E967" s="193" t="s">
        <v>3316</v>
      </c>
      <c r="F967" s="195">
        <v>2.21548649E9</v>
      </c>
      <c r="G967" s="196"/>
      <c r="H967" s="193" t="s">
        <v>3317</v>
      </c>
      <c r="I967" s="197"/>
      <c r="J967" s="198" t="s">
        <v>523</v>
      </c>
      <c r="K967" s="199">
        <v>44713.0</v>
      </c>
      <c r="L967" s="200"/>
      <c r="M967" s="201"/>
      <c r="N967" s="202"/>
      <c r="O967" s="202"/>
    </row>
    <row r="968">
      <c r="A968" s="192">
        <v>2036.0</v>
      </c>
      <c r="B968" s="193" t="s">
        <v>3318</v>
      </c>
      <c r="C968" s="193" t="s">
        <v>537</v>
      </c>
      <c r="D968" s="193" t="s">
        <v>538</v>
      </c>
      <c r="E968" s="193" t="s">
        <v>3319</v>
      </c>
      <c r="F968" s="195">
        <v>2.215404156E9</v>
      </c>
      <c r="G968" s="196"/>
      <c r="H968" s="193" t="s">
        <v>3320</v>
      </c>
      <c r="I968" s="197"/>
      <c r="J968" s="198" t="s">
        <v>529</v>
      </c>
      <c r="K968" s="199"/>
      <c r="L968" s="200">
        <v>44774.0</v>
      </c>
      <c r="M968" s="201" t="s">
        <v>3321</v>
      </c>
      <c r="N968" s="202"/>
      <c r="O968" s="202"/>
    </row>
    <row r="969">
      <c r="A969" s="192">
        <v>1788.0</v>
      </c>
      <c r="B969" s="193" t="s">
        <v>3322</v>
      </c>
      <c r="C969" s="194" t="s">
        <v>951</v>
      </c>
      <c r="D969" s="193" t="s">
        <v>520</v>
      </c>
      <c r="E969" s="193" t="s">
        <v>3323</v>
      </c>
      <c r="F969" s="219" t="s">
        <v>3324</v>
      </c>
      <c r="G969" s="196"/>
      <c r="H969" s="193" t="s">
        <v>3325</v>
      </c>
      <c r="I969" s="197" t="str">
        <f>IF(iserror(vlookup($A969,Pagos!$B$5:L1241,4,false)),"Sin actividad",If(vlookup($A969,Pagos!$B$5:$L1241,5,false),vlookup($A969,Pagos!$B$5:$L1241,5,false),vlookup($A969,Pagos!$B$5:$L1241,4,false)))</f>
        <v>Sin actividad</v>
      </c>
      <c r="J969" s="198" t="s">
        <v>529</v>
      </c>
      <c r="K969" s="199">
        <v>43891.0</v>
      </c>
      <c r="L969" s="200">
        <v>44652.0</v>
      </c>
      <c r="M969" s="201" t="s">
        <v>3326</v>
      </c>
      <c r="N969" s="202">
        <f>If(L969&gt;K969,   datedif(K969,L969,"Y") , If(K969&lt;Vitalicios!$C$4, datedif(K969,Vitalicios!$C$4,"Y"),0)  )</f>
        <v>2</v>
      </c>
      <c r="O969" s="202"/>
    </row>
    <row r="970">
      <c r="A970" s="192">
        <v>2234.0</v>
      </c>
      <c r="B970" s="193" t="s">
        <v>3327</v>
      </c>
      <c r="C970" s="193" t="s">
        <v>951</v>
      </c>
      <c r="D970" s="193" t="s">
        <v>538</v>
      </c>
      <c r="E970" s="193" t="s">
        <v>3328</v>
      </c>
      <c r="F970" s="195">
        <v>2.2156791513E10</v>
      </c>
      <c r="G970" s="196"/>
      <c r="H970" s="193" t="s">
        <v>3329</v>
      </c>
      <c r="I970" s="197"/>
      <c r="J970" s="198" t="s">
        <v>529</v>
      </c>
      <c r="K970" s="199">
        <v>45292.0</v>
      </c>
      <c r="L970" s="200">
        <v>45597.0</v>
      </c>
      <c r="M970" s="201" t="s">
        <v>535</v>
      </c>
      <c r="N970" s="202"/>
      <c r="O970" s="202"/>
    </row>
    <row r="971">
      <c r="A971" s="192">
        <v>1276.0</v>
      </c>
      <c r="B971" s="193" t="s">
        <v>3330</v>
      </c>
      <c r="C971" s="194" t="s">
        <v>526</v>
      </c>
      <c r="D971" s="193" t="s">
        <v>556</v>
      </c>
      <c r="E971" s="193" t="s">
        <v>3331</v>
      </c>
      <c r="F971" s="195">
        <v>1.11541570908E11</v>
      </c>
      <c r="G971" s="196">
        <v>0.0</v>
      </c>
      <c r="H971" s="193"/>
      <c r="I971" s="197" t="str">
        <f>IF(iserror(vlookup($A971,Pagos!$B$5:L1241,4,false)),"Sin actividad",If(vlookup($A971,Pagos!$B$5:$L1241,5,false),vlookup($A971,Pagos!$B$5:$L1241,5,false),vlookup($A971,Pagos!$B$5:$L1241,4,false)))</f>
        <v>Sin actividad</v>
      </c>
      <c r="J971" s="198" t="s">
        <v>529</v>
      </c>
      <c r="K971" s="199">
        <v>40178.0</v>
      </c>
      <c r="L971" s="200">
        <v>41821.0</v>
      </c>
      <c r="M971" s="201" t="s">
        <v>656</v>
      </c>
      <c r="N971" s="202">
        <f>If(L971&gt;K971,   datedif(K971,L971,"Y") , If(K971&lt;Vitalicios!$C$4, datedif(K971,Vitalicios!$C$4,"Y"),0)  )</f>
        <v>4</v>
      </c>
      <c r="O971" s="202"/>
    </row>
    <row r="972">
      <c r="A972" s="192">
        <v>1700.0</v>
      </c>
      <c r="B972" s="193" t="s">
        <v>3332</v>
      </c>
      <c r="C972" s="193" t="s">
        <v>526</v>
      </c>
      <c r="D972" s="193" t="s">
        <v>538</v>
      </c>
      <c r="E972" s="193" t="s">
        <v>3333</v>
      </c>
      <c r="F972" s="195">
        <v>2.215673503E9</v>
      </c>
      <c r="G972" s="196"/>
      <c r="H972" s="193"/>
      <c r="I972" s="197" t="str">
        <f>IF(iserror(vlookup($A972,Pagos!$B$5:L1241,4,false)),"Sin actividad",If(vlookup($A972,Pagos!$B$5:$L1241,5,false),vlookup($A972,Pagos!$B$5:$L1241,5,false),vlookup($A972,Pagos!$B$5:$L1241,4,false)))</f>
        <v>Sin actividad</v>
      </c>
      <c r="J972" s="198" t="s">
        <v>529</v>
      </c>
      <c r="K972" s="199">
        <v>44166.0</v>
      </c>
      <c r="L972" s="200">
        <v>45505.0</v>
      </c>
      <c r="M972" s="201" t="s">
        <v>716</v>
      </c>
      <c r="N972" s="202"/>
      <c r="O972" s="202"/>
    </row>
    <row r="973">
      <c r="A973" s="192">
        <v>1633.0</v>
      </c>
      <c r="B973" s="193" t="s">
        <v>3334</v>
      </c>
      <c r="C973" s="194" t="s">
        <v>526</v>
      </c>
      <c r="D973" s="193" t="s">
        <v>709</v>
      </c>
      <c r="E973" s="193" t="s">
        <v>3335</v>
      </c>
      <c r="F973" s="195">
        <v>1.55458285E8</v>
      </c>
      <c r="G973" s="196"/>
      <c r="H973" s="193" t="s">
        <v>3336</v>
      </c>
      <c r="I973" s="197">
        <f>IF(iserror(vlookup($A973,Pagos!$B$5:L1241,4,false)),"Sin actividad",If(vlookup($A973,Pagos!$B$5:$L1241,5,false),vlookup($A973,Pagos!$B$5:$L1241,5,false),vlookup($A973,Pagos!$B$5:$L1241,4,false)))</f>
        <v>45839</v>
      </c>
      <c r="J973" s="198" t="s">
        <v>523</v>
      </c>
      <c r="K973" s="199">
        <v>42795.0</v>
      </c>
      <c r="L973" s="200"/>
      <c r="M973" s="201"/>
      <c r="N973" s="202">
        <f>If(L973&gt;K973,   datedif(K973,L973,"Y") , If(K973&lt;Vitalicios!$C$4, datedif(K973,Vitalicios!$C$4,"Y"),0)  )</f>
        <v>8</v>
      </c>
      <c r="O973" s="202"/>
    </row>
    <row r="974">
      <c r="A974" s="192">
        <v>1558.0</v>
      </c>
      <c r="B974" s="193" t="s">
        <v>3337</v>
      </c>
      <c r="C974" s="194" t="s">
        <v>526</v>
      </c>
      <c r="D974" s="193" t="s">
        <v>48</v>
      </c>
      <c r="E974" s="193" t="s">
        <v>3338</v>
      </c>
      <c r="F974" s="195" t="s">
        <v>3339</v>
      </c>
      <c r="G974" s="196" t="s">
        <v>3340</v>
      </c>
      <c r="H974" s="193" t="s">
        <v>3341</v>
      </c>
      <c r="I974" s="197" t="str">
        <f>IF(iserror(vlookup($A974,Pagos!$B$5:L1241,4,false)),"Sin actividad",If(vlookup($A974,Pagos!$B$5:$L1241,5,false),vlookup($A974,Pagos!$B$5:$L1241,5,false),vlookup($A974,Pagos!$B$5:$L1241,4,false)))</f>
        <v>Sin actividad</v>
      </c>
      <c r="J974" s="198" t="s">
        <v>529</v>
      </c>
      <c r="K974" s="199">
        <v>42098.0</v>
      </c>
      <c r="L974" s="200">
        <v>43374.0</v>
      </c>
      <c r="M974" s="201" t="s">
        <v>560</v>
      </c>
      <c r="N974" s="202">
        <f>If(L974&gt;K974,   datedif(K974,L974,"Y") , If(K974&lt;Vitalicios!$C$4, datedif(K974,Vitalicios!$C$4,"Y"),0)  )</f>
        <v>3</v>
      </c>
      <c r="O974" s="202"/>
    </row>
    <row r="975">
      <c r="A975" s="192">
        <v>1588.0</v>
      </c>
      <c r="B975" s="193" t="s">
        <v>3342</v>
      </c>
      <c r="C975" s="194" t="s">
        <v>577</v>
      </c>
      <c r="D975" s="193" t="s">
        <v>527</v>
      </c>
      <c r="E975" s="193" t="s">
        <v>3343</v>
      </c>
      <c r="F975" s="195">
        <v>1.55444743E8</v>
      </c>
      <c r="G975" s="196"/>
      <c r="H975" s="193" t="s">
        <v>3344</v>
      </c>
      <c r="I975" s="197" t="str">
        <f>IF(iserror(vlookup($A975,Pagos!$B$5:L1241,4,false)),"Sin actividad",If(vlookup($A975,Pagos!$B$5:$L1241,5,false),vlookup($A975,Pagos!$B$5:$L1241,5,false),vlookup($A975,Pagos!$B$5:$L1241,4,false)))</f>
        <v>Sin actividad</v>
      </c>
      <c r="J975" s="198" t="s">
        <v>529</v>
      </c>
      <c r="K975" s="199">
        <v>42370.0</v>
      </c>
      <c r="L975" s="200">
        <v>43160.0</v>
      </c>
      <c r="M975" s="201"/>
      <c r="N975" s="202">
        <f>If(L975&gt;K975,   datedif(K975,L975,"Y") , If(K975&lt;Vitalicios!$C$4, datedif(K975,Vitalicios!$C$4,"Y"),0)  )</f>
        <v>2</v>
      </c>
      <c r="O975" s="202"/>
    </row>
    <row r="976">
      <c r="A976" s="192">
        <v>1987.0</v>
      </c>
      <c r="B976" s="193" t="s">
        <v>3345</v>
      </c>
      <c r="C976" s="193" t="s">
        <v>537</v>
      </c>
      <c r="D976" s="193" t="s">
        <v>549</v>
      </c>
      <c r="E976" s="193" t="s">
        <v>3346</v>
      </c>
      <c r="F976" s="195">
        <v>2.216082932E9</v>
      </c>
      <c r="G976" s="196"/>
      <c r="H976" s="193" t="s">
        <v>3347</v>
      </c>
      <c r="I976" s="197">
        <f>IF(iserror(vlookup($A976,Pagos!$B$5:L1241,4,false)),"Sin actividad",If(vlookup($A976,Pagos!$B$5:$L1241,5,false),vlookup($A976,Pagos!$B$5:$L1241,5,false),vlookup($A976,Pagos!$B$5:$L1241,4,false)))</f>
        <v>45870</v>
      </c>
      <c r="J976" s="198" t="s">
        <v>523</v>
      </c>
      <c r="K976" s="199">
        <v>44562.0</v>
      </c>
      <c r="L976" s="200"/>
      <c r="M976" s="201"/>
      <c r="N976" s="202"/>
      <c r="O976" s="202"/>
    </row>
    <row r="977">
      <c r="A977" s="192">
        <v>1435.0</v>
      </c>
      <c r="B977" s="193" t="s">
        <v>3348</v>
      </c>
      <c r="C977" s="194" t="s">
        <v>526</v>
      </c>
      <c r="D977" s="193" t="s">
        <v>556</v>
      </c>
      <c r="E977" s="193" t="s">
        <v>3349</v>
      </c>
      <c r="F977" s="195">
        <v>1.5619819E8</v>
      </c>
      <c r="G977" s="196">
        <v>0.0</v>
      </c>
      <c r="H977" s="193"/>
      <c r="I977" s="197" t="str">
        <f>IF(iserror(vlookup($A977,Pagos!$B$5:L1241,4,false)),"Sin actividad",If(vlookup($A977,Pagos!$B$5:$L1241,5,false),vlookup($A977,Pagos!$B$5:$L1241,5,false),vlookup($A977,Pagos!$B$5:$L1241,4,false)))</f>
        <v>Sin actividad</v>
      </c>
      <c r="J977" s="198" t="s">
        <v>529</v>
      </c>
      <c r="K977" s="199">
        <v>41259.0</v>
      </c>
      <c r="L977" s="200"/>
      <c r="M977" s="201"/>
      <c r="N977" s="202">
        <f>If(L977&gt;K977,   datedif(K977,L977,"Y") , If(K977&lt;Vitalicios!$C$4, datedif(K977,Vitalicios!$C$4,"Y"),0)  )</f>
        <v>12</v>
      </c>
      <c r="O977" s="202"/>
    </row>
    <row r="978">
      <c r="A978" s="192">
        <v>1839.0</v>
      </c>
      <c r="B978" s="193" t="s">
        <v>3350</v>
      </c>
      <c r="C978" s="193" t="s">
        <v>537</v>
      </c>
      <c r="D978" s="193" t="s">
        <v>596</v>
      </c>
      <c r="E978" s="193" t="s">
        <v>3351</v>
      </c>
      <c r="F978" s="195">
        <v>2.215935699E9</v>
      </c>
      <c r="G978" s="196"/>
      <c r="H978" s="193" t="s">
        <v>3352</v>
      </c>
      <c r="I978" s="197" t="str">
        <f>IF(iserror(vlookup($A978,Pagos!$B$5:L1241,4,false)),"Sin actividad",If(vlookup($A978,Pagos!$B$5:$L1241,5,false),vlookup($A978,Pagos!$B$5:$L1241,5,false),vlookup($A978,Pagos!$B$5:$L1241,4,false)))</f>
        <v>Sin actividad</v>
      </c>
      <c r="J978" s="198" t="s">
        <v>529</v>
      </c>
      <c r="K978" s="199">
        <v>44136.0</v>
      </c>
      <c r="L978" s="200"/>
      <c r="M978" s="201"/>
      <c r="N978" s="202"/>
      <c r="O978" s="202"/>
    </row>
    <row r="979" ht="15.0" customHeight="1">
      <c r="A979" s="192">
        <v>1572.0</v>
      </c>
      <c r="B979" s="193" t="s">
        <v>3353</v>
      </c>
      <c r="C979" s="194" t="s">
        <v>526</v>
      </c>
      <c r="D979" s="193" t="s">
        <v>709</v>
      </c>
      <c r="E979" s="193" t="s">
        <v>3354</v>
      </c>
      <c r="F979" s="195">
        <v>1.142242088E9</v>
      </c>
      <c r="G979" s="196"/>
      <c r="H979" s="193" t="s">
        <v>3355</v>
      </c>
      <c r="I979" s="197" t="str">
        <f>IF(iserror(vlookup($A979,Pagos!$B$5:L1241,4,false)),"Sin actividad",If(vlookup($A979,Pagos!$B$5:$L1241,5,false),vlookup($A979,Pagos!$B$5:$L1241,5,false),vlookup($A979,Pagos!$B$5:$L1241,4,false)))</f>
        <v>Sin actividad</v>
      </c>
      <c r="J979" s="198" t="s">
        <v>529</v>
      </c>
      <c r="K979" s="199">
        <v>42309.0</v>
      </c>
      <c r="L979" s="200">
        <v>43374.0</v>
      </c>
      <c r="M979" s="201" t="s">
        <v>560</v>
      </c>
      <c r="N979" s="202">
        <f>If(L979&gt;K979,   datedif(K979,L979,"Y") , If(K979&lt;Vitalicios!$C$4, datedif(K979,Vitalicios!$C$4,"Y"),0)  )</f>
        <v>2</v>
      </c>
      <c r="O979" s="202"/>
    </row>
    <row r="980" ht="15.0" customHeight="1">
      <c r="A980" s="192">
        <v>2101.0</v>
      </c>
      <c r="B980" s="193" t="s">
        <v>3356</v>
      </c>
      <c r="C980" s="193" t="s">
        <v>537</v>
      </c>
      <c r="D980" s="193" t="s">
        <v>538</v>
      </c>
      <c r="E980" s="193" t="s">
        <v>3357</v>
      </c>
      <c r="F980" s="195">
        <v>1.526295833E9</v>
      </c>
      <c r="G980" s="196"/>
      <c r="H980" s="193" t="s">
        <v>3358</v>
      </c>
      <c r="I980" s="197"/>
      <c r="J980" s="198" t="s">
        <v>523</v>
      </c>
      <c r="K980" s="199">
        <v>44896.0</v>
      </c>
      <c r="L980" s="200"/>
      <c r="M980" s="201"/>
      <c r="N980" s="202"/>
      <c r="O980" s="202"/>
    </row>
    <row r="981">
      <c r="A981" s="192">
        <v>1498.0</v>
      </c>
      <c r="B981" s="193" t="s">
        <v>3359</v>
      </c>
      <c r="C981" s="194" t="s">
        <v>577</v>
      </c>
      <c r="D981" s="193" t="s">
        <v>520</v>
      </c>
      <c r="E981" s="193" t="s">
        <v>3360</v>
      </c>
      <c r="F981" s="195">
        <v>4570257.0</v>
      </c>
      <c r="G981" s="196">
        <v>0.0</v>
      </c>
      <c r="H981" s="193"/>
      <c r="I981" s="197" t="str">
        <f>IF(iserror(vlookup($A981,Pagos!$B$5:L1241,4,false)),"Sin actividad",If(vlookup($A981,Pagos!$B$5:$L1241,5,false),vlookup($A981,Pagos!$B$5:$L1241,5,false),vlookup($A981,Pagos!$B$5:$L1241,4,false)))</f>
        <v>Sin actividad</v>
      </c>
      <c r="J981" s="198" t="s">
        <v>529</v>
      </c>
      <c r="K981" s="199">
        <v>41693.0</v>
      </c>
      <c r="L981" s="200">
        <v>43525.0</v>
      </c>
      <c r="M981" s="201"/>
      <c r="N981" s="202">
        <f>If(L981&gt;K981,   datedif(K981,L981,"Y") , If(K981&lt;Vitalicios!$C$4, datedif(K981,Vitalicios!$C$4,"Y"),0)  )</f>
        <v>5</v>
      </c>
      <c r="O981" s="202"/>
    </row>
    <row r="982">
      <c r="A982" s="192">
        <v>1203.0</v>
      </c>
      <c r="B982" s="193" t="s">
        <v>3361</v>
      </c>
      <c r="C982" s="194" t="s">
        <v>526</v>
      </c>
      <c r="D982" s="193" t="s">
        <v>556</v>
      </c>
      <c r="E982" s="193">
        <v>0.0</v>
      </c>
      <c r="F982" s="195">
        <v>0.0</v>
      </c>
      <c r="G982" s="196">
        <v>0.0</v>
      </c>
      <c r="H982" s="193"/>
      <c r="I982" s="197" t="str">
        <f>IF(iserror(vlookup($A982,Pagos!$B$5:L1241,4,false)),"Sin actividad",If(vlookup($A982,Pagos!$B$5:$L1241,5,false),vlookup($A982,Pagos!$B$5:$L1241,5,false),vlookup($A982,Pagos!$B$5:$L1241,4,false)))</f>
        <v>Sin actividad</v>
      </c>
      <c r="J982" s="198" t="s">
        <v>529</v>
      </c>
      <c r="K982" s="199">
        <v>39823.0</v>
      </c>
      <c r="L982" s="200"/>
      <c r="M982" s="201" t="s">
        <v>3198</v>
      </c>
      <c r="N982" s="202">
        <f>If(L982&gt;K982,   datedif(K982,L982,"Y") , If(K982&lt;Vitalicios!$C$4, datedif(K982,Vitalicios!$C$4,"Y"),0)  )</f>
        <v>16</v>
      </c>
      <c r="O982" s="202"/>
    </row>
    <row r="983">
      <c r="A983" s="192">
        <v>2020.0</v>
      </c>
      <c r="B983" s="193" t="s">
        <v>3362</v>
      </c>
      <c r="C983" s="193" t="s">
        <v>537</v>
      </c>
      <c r="D983" s="193" t="s">
        <v>628</v>
      </c>
      <c r="E983" s="193" t="s">
        <v>3363</v>
      </c>
      <c r="F983" s="195">
        <v>2.21440988E9</v>
      </c>
      <c r="G983" s="196"/>
      <c r="H983" s="193" t="s">
        <v>3364</v>
      </c>
      <c r="I983" s="197" t="str">
        <f>IF(iserror(vlookup($A983,Pagos!$B$5:L1241,4,false)),"Sin actividad",If(vlookup($A983,Pagos!$B$5:$L1241,5,false),vlookup($A983,Pagos!$B$5:$L1241,5,false),vlookup($A983,Pagos!$B$5:$L1241,4,false)))</f>
        <v>Sin actividad</v>
      </c>
      <c r="J983" s="198" t="s">
        <v>529</v>
      </c>
      <c r="K983" s="199">
        <v>44682.0</v>
      </c>
      <c r="L983" s="200"/>
      <c r="M983" s="201" t="s">
        <v>620</v>
      </c>
      <c r="N983" s="202"/>
      <c r="O983" s="202"/>
    </row>
    <row r="984">
      <c r="A984" s="192">
        <v>2129.0</v>
      </c>
      <c r="B984" s="193" t="s">
        <v>3365</v>
      </c>
      <c r="C984" s="193" t="s">
        <v>537</v>
      </c>
      <c r="D984" s="193" t="s">
        <v>596</v>
      </c>
      <c r="E984" s="193" t="s">
        <v>3366</v>
      </c>
      <c r="F984" s="195">
        <v>2.215675797E9</v>
      </c>
      <c r="G984" s="196"/>
      <c r="H984" s="193" t="s">
        <v>3367</v>
      </c>
      <c r="I984" s="197"/>
      <c r="J984" s="198" t="s">
        <v>523</v>
      </c>
      <c r="K984" s="199">
        <v>44927.0</v>
      </c>
      <c r="L984" s="200"/>
      <c r="M984" s="201"/>
      <c r="N984" s="202"/>
      <c r="O984" s="202"/>
    </row>
    <row r="985">
      <c r="A985" s="192">
        <v>2194.0</v>
      </c>
      <c r="B985" s="193" t="s">
        <v>3368</v>
      </c>
      <c r="C985" s="193" t="s">
        <v>537</v>
      </c>
      <c r="D985" s="193" t="s">
        <v>709</v>
      </c>
      <c r="E985" s="193" t="s">
        <v>3369</v>
      </c>
      <c r="F985" s="195">
        <v>2.214583247E9</v>
      </c>
      <c r="G985" s="196"/>
      <c r="H985" s="193" t="s">
        <v>3370</v>
      </c>
      <c r="I985" s="197"/>
      <c r="J985" s="198" t="s">
        <v>529</v>
      </c>
      <c r="K985" s="199">
        <v>45139.0</v>
      </c>
      <c r="L985" s="200">
        <v>45505.0</v>
      </c>
      <c r="M985" s="201" t="s">
        <v>3371</v>
      </c>
      <c r="N985" s="202"/>
      <c r="O985" s="202"/>
    </row>
    <row r="986">
      <c r="A986" s="192">
        <v>2245.0</v>
      </c>
      <c r="B986" s="193" t="s">
        <v>3372</v>
      </c>
      <c r="C986" s="193" t="s">
        <v>537</v>
      </c>
      <c r="D986" s="193" t="s">
        <v>538</v>
      </c>
      <c r="E986" s="193" t="s">
        <v>3373</v>
      </c>
      <c r="F986" s="195">
        <v>2.2136169997E10</v>
      </c>
      <c r="G986" s="196"/>
      <c r="H986" s="193" t="s">
        <v>3374</v>
      </c>
      <c r="I986" s="197"/>
      <c r="J986" s="198" t="s">
        <v>523</v>
      </c>
      <c r="K986" s="199">
        <v>45292.0</v>
      </c>
      <c r="L986" s="200"/>
      <c r="M986" s="201"/>
      <c r="N986" s="202"/>
      <c r="O986" s="202"/>
    </row>
    <row r="987">
      <c r="A987" s="192">
        <v>1052.0</v>
      </c>
      <c r="B987" s="193" t="s">
        <v>3375</v>
      </c>
      <c r="C987" s="194" t="s">
        <v>526</v>
      </c>
      <c r="D987" s="193" t="s">
        <v>556</v>
      </c>
      <c r="E987" s="193">
        <v>0.0</v>
      </c>
      <c r="F987" s="195">
        <v>0.0</v>
      </c>
      <c r="G987" s="196">
        <v>0.0</v>
      </c>
      <c r="H987" s="193"/>
      <c r="I987" s="197" t="str">
        <f>IF(iserror(vlookup($A987,Pagos!$B$5:L1241,4,false)),"Sin actividad",If(vlookup($A987,Pagos!$B$5:$L1241,5,false),vlookup($A987,Pagos!$B$5:$L1241,5,false),vlookup($A987,Pagos!$B$5:$L1241,4,false)))</f>
        <v>Sin actividad</v>
      </c>
      <c r="J987" s="198" t="s">
        <v>529</v>
      </c>
      <c r="K987" s="199">
        <v>38353.0</v>
      </c>
      <c r="L987" s="200"/>
      <c r="M987" s="201" t="s">
        <v>3376</v>
      </c>
      <c r="N987" s="202">
        <f>If(L987&gt;K987,   datedif(K987,L987,"Y") , If(K987&lt;Vitalicios!$C$4, datedif(K987,Vitalicios!$C$4,"Y"),0)  )</f>
        <v>20</v>
      </c>
      <c r="O987" s="202"/>
    </row>
    <row r="988">
      <c r="A988" s="192">
        <v>2110.0</v>
      </c>
      <c r="B988" s="193" t="s">
        <v>3377</v>
      </c>
      <c r="C988" s="193" t="s">
        <v>537</v>
      </c>
      <c r="D988" s="193" t="s">
        <v>538</v>
      </c>
      <c r="E988" s="193" t="s">
        <v>3378</v>
      </c>
      <c r="F988" s="195">
        <v>2.21542729E8</v>
      </c>
      <c r="G988" s="196"/>
      <c r="H988" s="193" t="s">
        <v>3379</v>
      </c>
      <c r="I988" s="197"/>
      <c r="J988" s="198" t="s">
        <v>523</v>
      </c>
      <c r="K988" s="199">
        <v>44927.0</v>
      </c>
      <c r="L988" s="200"/>
      <c r="M988" s="201"/>
      <c r="N988" s="202"/>
      <c r="O988" s="202"/>
    </row>
    <row r="989">
      <c r="A989" s="192">
        <v>2208.0</v>
      </c>
      <c r="B989" s="193" t="s">
        <v>3380</v>
      </c>
      <c r="C989" s="193" t="s">
        <v>537</v>
      </c>
      <c r="D989" s="193" t="s">
        <v>538</v>
      </c>
      <c r="E989" s="193" t="s">
        <v>3381</v>
      </c>
      <c r="F989" s="195">
        <v>2.214978871E9</v>
      </c>
      <c r="G989" s="196"/>
      <c r="H989" s="193" t="s">
        <v>3382</v>
      </c>
      <c r="I989" s="197"/>
      <c r="J989" s="198" t="s">
        <v>523</v>
      </c>
      <c r="K989" s="199">
        <v>45231.0</v>
      </c>
      <c r="L989" s="200"/>
      <c r="M989" s="201"/>
      <c r="N989" s="202"/>
      <c r="O989" s="202"/>
    </row>
    <row r="990">
      <c r="A990" s="192">
        <v>1322.0</v>
      </c>
      <c r="B990" s="193" t="s">
        <v>3383</v>
      </c>
      <c r="C990" s="194" t="s">
        <v>526</v>
      </c>
      <c r="D990" s="193" t="s">
        <v>556</v>
      </c>
      <c r="E990" s="193">
        <v>0.0</v>
      </c>
      <c r="F990" s="195">
        <v>0.0</v>
      </c>
      <c r="G990" s="196">
        <v>0.0</v>
      </c>
      <c r="H990" s="193"/>
      <c r="I990" s="197" t="str">
        <f>IF(iserror(vlookup($A990,Pagos!$B$5:L1241,4,false)),"Sin actividad",If(vlookup($A990,Pagos!$B$5:$L1241,5,false),vlookup($A990,Pagos!$B$5:$L1241,5,false),vlookup($A990,Pagos!$B$5:$L1241,4,false)))</f>
        <v>Sin actividad</v>
      </c>
      <c r="J990" s="198" t="s">
        <v>529</v>
      </c>
      <c r="K990" s="199">
        <v>40496.0</v>
      </c>
      <c r="L990" s="200"/>
      <c r="M990" s="201" t="s">
        <v>3198</v>
      </c>
      <c r="N990" s="202">
        <f>If(L990&gt;K990,   datedif(K990,L990,"Y") , If(K990&lt;Vitalicios!$C$4, datedif(K990,Vitalicios!$C$4,"Y"),0)  )</f>
        <v>14</v>
      </c>
      <c r="O990" s="202"/>
    </row>
    <row r="991">
      <c r="A991" s="192">
        <v>697.0</v>
      </c>
      <c r="B991" s="193" t="s">
        <v>3384</v>
      </c>
      <c r="C991" s="194" t="s">
        <v>577</v>
      </c>
      <c r="D991" s="193" t="s">
        <v>520</v>
      </c>
      <c r="E991" s="193" t="s">
        <v>3134</v>
      </c>
      <c r="F991" s="195">
        <v>0.0</v>
      </c>
      <c r="G991" s="196">
        <v>0.0</v>
      </c>
      <c r="H991" s="193" t="s">
        <v>3385</v>
      </c>
      <c r="I991" s="197">
        <f>IF(iserror(vlookup($A991,Pagos!$B$5:L1241,4,false)),"Sin actividad",If(vlookup($A991,Pagos!$B$5:$L1241,5,false),vlookup($A991,Pagos!$B$5:$L1241,5,false),vlookup($A991,Pagos!$B$5:$L1241,4,false)))</f>
        <v>45870</v>
      </c>
      <c r="J991" s="198" t="s">
        <v>523</v>
      </c>
      <c r="K991" s="199">
        <v>35413.0</v>
      </c>
      <c r="L991" s="200"/>
      <c r="M991" s="201"/>
      <c r="N991" s="202">
        <f>If(L991&gt;K991,   datedif(K991,L991,"Y") , If(K991&lt;Vitalicios!$C$4, datedif(K991,Vitalicios!$C$4,"Y"),0)  )</f>
        <v>28</v>
      </c>
      <c r="O991" s="202"/>
    </row>
    <row r="992">
      <c r="A992" s="192">
        <v>1898.0</v>
      </c>
      <c r="B992" s="193" t="s">
        <v>3386</v>
      </c>
      <c r="C992" s="193" t="s">
        <v>537</v>
      </c>
      <c r="D992" s="193" t="s">
        <v>628</v>
      </c>
      <c r="E992" s="193" t="s">
        <v>3387</v>
      </c>
      <c r="F992" s="195">
        <v>2.216019772E9</v>
      </c>
      <c r="G992" s="196"/>
      <c r="H992" s="193" t="s">
        <v>3388</v>
      </c>
      <c r="I992" s="197" t="str">
        <f>IF(iserror(vlookup($A992,Pagos!$B$5:L1241,4,false)),"Sin actividad",If(vlookup($A992,Pagos!$B$5:$L1241,5,false),vlookup($A992,Pagos!$B$5:$L1241,5,false),vlookup($A992,Pagos!$B$5:$L1241,4,false)))</f>
        <v>Sin actividad</v>
      </c>
      <c r="J992" s="198" t="s">
        <v>529</v>
      </c>
      <c r="K992" s="199">
        <v>44256.0</v>
      </c>
      <c r="L992" s="200">
        <v>44682.0</v>
      </c>
      <c r="M992" s="201" t="s">
        <v>3389</v>
      </c>
      <c r="N992" s="202"/>
      <c r="O992" s="202"/>
    </row>
    <row r="993">
      <c r="A993" s="192">
        <v>1935.0</v>
      </c>
      <c r="B993" s="193" t="s">
        <v>3390</v>
      </c>
      <c r="C993" s="193" t="s">
        <v>537</v>
      </c>
      <c r="D993" s="193" t="s">
        <v>538</v>
      </c>
      <c r="E993" s="193" t="s">
        <v>3391</v>
      </c>
      <c r="F993" s="195">
        <v>2.215591982E9</v>
      </c>
      <c r="G993" s="196"/>
      <c r="H993" s="193" t="s">
        <v>3392</v>
      </c>
      <c r="I993" s="197">
        <f>IF(iserror(vlookup($A993,Pagos!$B$5:L1241,4,false)),"Sin actividad",If(vlookup($A993,Pagos!$B$5:$L1241,5,false),vlookup($A993,Pagos!$B$5:$L1241,5,false),vlookup($A993,Pagos!$B$5:$L1241,4,false)))</f>
        <v>45870</v>
      </c>
      <c r="J993" s="198" t="s">
        <v>523</v>
      </c>
      <c r="K993" s="199">
        <v>44470.0</v>
      </c>
      <c r="L993" s="200"/>
      <c r="M993" s="201"/>
      <c r="N993" s="202"/>
      <c r="O993" s="202"/>
    </row>
    <row r="994">
      <c r="A994" s="192">
        <v>1985.0</v>
      </c>
      <c r="B994" s="193" t="s">
        <v>3393</v>
      </c>
      <c r="C994" s="193"/>
      <c r="D994" s="193"/>
      <c r="E994" s="193"/>
      <c r="F994" s="195"/>
      <c r="G994" s="196"/>
      <c r="H994" s="193"/>
      <c r="I994" s="197"/>
      <c r="J994" s="198"/>
      <c r="K994" s="199"/>
      <c r="L994" s="200"/>
      <c r="M994" s="201"/>
      <c r="N994" s="202"/>
      <c r="O994" s="202"/>
    </row>
    <row r="995">
      <c r="A995" s="192">
        <v>2119.0</v>
      </c>
      <c r="B995" s="193" t="s">
        <v>3394</v>
      </c>
      <c r="C995" s="193" t="s">
        <v>537</v>
      </c>
      <c r="D995" s="193" t="s">
        <v>596</v>
      </c>
      <c r="E995" s="193" t="s">
        <v>2183</v>
      </c>
      <c r="F995" s="195">
        <v>2.216389559E9</v>
      </c>
      <c r="G995" s="196"/>
      <c r="H995" s="193" t="s">
        <v>3395</v>
      </c>
      <c r="I995" s="197"/>
      <c r="J995" s="198" t="s">
        <v>529</v>
      </c>
      <c r="K995" s="199">
        <v>44927.0</v>
      </c>
      <c r="L995" s="200">
        <v>45566.0</v>
      </c>
      <c r="M995" s="201" t="s">
        <v>535</v>
      </c>
      <c r="N995" s="202"/>
      <c r="O995" s="202"/>
    </row>
    <row r="996">
      <c r="A996" s="192">
        <v>2254.0</v>
      </c>
      <c r="B996" s="193" t="s">
        <v>3396</v>
      </c>
      <c r="C996" s="193" t="s">
        <v>537</v>
      </c>
      <c r="D996" s="193" t="s">
        <v>532</v>
      </c>
      <c r="E996" s="193" t="s">
        <v>3397</v>
      </c>
      <c r="F996" s="195">
        <v>2.214351514E9</v>
      </c>
      <c r="G996" s="196"/>
      <c r="H996" s="193" t="s">
        <v>3398</v>
      </c>
      <c r="I996" s="197"/>
      <c r="J996" s="198" t="s">
        <v>523</v>
      </c>
      <c r="K996" s="199">
        <v>45352.0</v>
      </c>
      <c r="L996" s="200"/>
      <c r="M996" s="201"/>
      <c r="N996" s="202"/>
      <c r="O996" s="202"/>
    </row>
    <row r="997">
      <c r="A997" s="192">
        <v>2094.0</v>
      </c>
      <c r="B997" s="193" t="s">
        <v>3399</v>
      </c>
      <c r="C997" s="193" t="s">
        <v>537</v>
      </c>
      <c r="D997" s="193" t="s">
        <v>538</v>
      </c>
      <c r="E997" s="193" t="s">
        <v>3400</v>
      </c>
      <c r="F997" s="195">
        <v>2.2157223362E10</v>
      </c>
      <c r="G997" s="196"/>
      <c r="H997" s="193" t="s">
        <v>3401</v>
      </c>
      <c r="I997" s="197"/>
      <c r="J997" s="198" t="s">
        <v>529</v>
      </c>
      <c r="K997" s="199">
        <v>44866.0</v>
      </c>
      <c r="L997" s="200">
        <v>45627.0</v>
      </c>
      <c r="M997" s="201"/>
      <c r="N997" s="202"/>
      <c r="O997" s="202"/>
    </row>
    <row r="998">
      <c r="A998" s="192">
        <v>1963.0</v>
      </c>
      <c r="B998" s="193" t="s">
        <v>3402</v>
      </c>
      <c r="C998" s="193" t="s">
        <v>679</v>
      </c>
      <c r="D998" s="193" t="s">
        <v>628</v>
      </c>
      <c r="E998" s="193" t="s">
        <v>3403</v>
      </c>
      <c r="F998" s="195">
        <v>2.214591632E9</v>
      </c>
      <c r="G998" s="196"/>
      <c r="H998" s="193" t="s">
        <v>3404</v>
      </c>
      <c r="I998" s="197" t="str">
        <f>IF(iserror(vlookup($A998,Pagos!$B$5:L1241,4,false)),"Sin actividad",If(vlookup($A998,Pagos!$B$5:$L1241,5,false),vlookup($A998,Pagos!$B$5:$L1241,5,false),vlookup($A998,Pagos!$B$5:$L1241,4,false)))</f>
        <v>Sin actividad</v>
      </c>
      <c r="J998" s="198" t="s">
        <v>529</v>
      </c>
      <c r="K998" s="199">
        <v>44531.0</v>
      </c>
      <c r="L998" s="200"/>
      <c r="M998" s="201" t="s">
        <v>620</v>
      </c>
      <c r="N998" s="202"/>
      <c r="O998" s="202"/>
    </row>
    <row r="999">
      <c r="A999" s="192">
        <v>1731.0</v>
      </c>
      <c r="B999" s="193" t="s">
        <v>3405</v>
      </c>
      <c r="C999" s="194" t="s">
        <v>519</v>
      </c>
      <c r="D999" s="193" t="s">
        <v>527</v>
      </c>
      <c r="E999" s="193" t="s">
        <v>3406</v>
      </c>
      <c r="F999" s="195">
        <v>1.55425447E8</v>
      </c>
      <c r="G999" s="196"/>
      <c r="H999" s="193" t="s">
        <v>3407</v>
      </c>
      <c r="I999" s="197" t="str">
        <f>IF(iserror(vlookup($A999,Pagos!$B$5:L1241,4,false)),"Sin actividad",If(vlookup($A999,Pagos!$B$5:$L1241,5,false),vlookup($A999,Pagos!$B$5:$L1241,5,false),vlookup($A999,Pagos!$B$5:$L1241,4,false)))</f>
        <v>Sin actividad</v>
      </c>
      <c r="J999" s="198" t="s">
        <v>529</v>
      </c>
      <c r="K999" s="199">
        <v>43497.0</v>
      </c>
      <c r="L999" s="200">
        <v>44378.0</v>
      </c>
      <c r="M999" s="201" t="s">
        <v>614</v>
      </c>
      <c r="N999" s="202">
        <f>If(L999&gt;K999,   datedif(K999,L999,"Y") , If(K999&lt;Vitalicios!$C$4, datedif(K999,Vitalicios!$C$4,"Y"),0)  )</f>
        <v>2</v>
      </c>
      <c r="O999" s="202"/>
    </row>
    <row r="1000">
      <c r="A1000" s="192">
        <v>1321.0</v>
      </c>
      <c r="B1000" s="193" t="s">
        <v>3408</v>
      </c>
      <c r="C1000" s="194" t="s">
        <v>526</v>
      </c>
      <c r="D1000" s="193" t="s">
        <v>556</v>
      </c>
      <c r="E1000" s="193" t="s">
        <v>3409</v>
      </c>
      <c r="F1000" s="195">
        <v>4.2532507E7</v>
      </c>
      <c r="G1000" s="196">
        <v>0.0</v>
      </c>
      <c r="H1000" s="193" t="s">
        <v>3410</v>
      </c>
      <c r="I1000" s="197">
        <f>IF(iserror(vlookup($A1000,Pagos!$B$5:L1241,4,false)),"Sin actividad",If(vlookup($A1000,Pagos!$B$5:$L1241,5,false),vlookup($A1000,Pagos!$B$5:$L1241,5,false),vlookup($A1000,Pagos!$B$5:$L1241,4,false)))</f>
        <v>45901</v>
      </c>
      <c r="J1000" s="198" t="s">
        <v>523</v>
      </c>
      <c r="K1000" s="199">
        <v>40495.0</v>
      </c>
      <c r="L1000" s="200"/>
      <c r="M1000" s="201"/>
      <c r="N1000" s="202">
        <f>If(L1000&gt;K1000,   datedif(K1000,L1000,"Y") , If(K1000&lt;Vitalicios!$C$4, datedif(K1000,Vitalicios!$C$4,"Y"),0)  )</f>
        <v>14</v>
      </c>
      <c r="O1000" s="202"/>
    </row>
    <row r="1001">
      <c r="A1001" s="192">
        <v>2250.0</v>
      </c>
      <c r="B1001" s="193" t="s">
        <v>3411</v>
      </c>
      <c r="C1001" s="193" t="s">
        <v>537</v>
      </c>
      <c r="D1001" s="193" t="s">
        <v>538</v>
      </c>
      <c r="E1001" s="193" t="s">
        <v>3412</v>
      </c>
      <c r="F1001" s="195">
        <v>2.215250486E9</v>
      </c>
      <c r="G1001" s="196"/>
      <c r="H1001" s="193" t="s">
        <v>3413</v>
      </c>
      <c r="I1001" s="233"/>
      <c r="J1001" s="198" t="s">
        <v>523</v>
      </c>
      <c r="K1001" s="199">
        <v>45352.0</v>
      </c>
      <c r="L1001" s="200"/>
      <c r="M1001" s="201"/>
      <c r="N1001" s="202"/>
      <c r="O1001" s="202"/>
    </row>
    <row r="1002">
      <c r="A1002" s="192">
        <v>2095.0</v>
      </c>
      <c r="B1002" s="193" t="s">
        <v>3414</v>
      </c>
      <c r="C1002" s="193" t="s">
        <v>537</v>
      </c>
      <c r="D1002" s="193" t="s">
        <v>3415</v>
      </c>
      <c r="E1002" s="193" t="s">
        <v>3416</v>
      </c>
      <c r="F1002" s="195">
        <v>2.21508065E9</v>
      </c>
      <c r="G1002" s="196"/>
      <c r="H1002" s="202" t="s">
        <v>3417</v>
      </c>
      <c r="J1002" s="198" t="s">
        <v>529</v>
      </c>
      <c r="K1002" s="199">
        <v>44896.0</v>
      </c>
      <c r="L1002" s="200">
        <v>45413.0</v>
      </c>
      <c r="M1002" s="201" t="s">
        <v>915</v>
      </c>
      <c r="N1002" s="202"/>
      <c r="O1002" s="202"/>
    </row>
    <row r="1003" ht="15.75" customHeight="1">
      <c r="A1003" s="192">
        <v>1393.0</v>
      </c>
      <c r="B1003" s="193" t="s">
        <v>3418</v>
      </c>
      <c r="C1003" s="194" t="s">
        <v>526</v>
      </c>
      <c r="D1003" s="193" t="s">
        <v>520</v>
      </c>
      <c r="E1003" s="193" t="s">
        <v>3419</v>
      </c>
      <c r="F1003" s="195">
        <v>1.55855356E8</v>
      </c>
      <c r="G1003" s="196">
        <v>0.0</v>
      </c>
      <c r="H1003" s="193"/>
      <c r="I1003" s="197" t="str">
        <f>IF(iserror(vlookup($A1003,Pagos!$B$5:L1241,4,false)),"Sin actividad",If(vlookup($A1003,Pagos!$B$5:$L1241,5,false),vlookup($A1003,Pagos!$B$5:$L1241,5,false),vlookup($A1003,Pagos!$B$5:$L1241,4,false)))</f>
        <v>Sin actividad</v>
      </c>
      <c r="J1003" s="198" t="s">
        <v>529</v>
      </c>
      <c r="K1003" s="199">
        <v>40886.0</v>
      </c>
      <c r="L1003" s="200">
        <v>43374.0</v>
      </c>
      <c r="M1003" s="201" t="s">
        <v>560</v>
      </c>
      <c r="N1003" s="202">
        <f>If(L1003&gt;K1003,   datedif(K1003,L1003,"Y") , If(K1003&lt;Vitalicios!$C$4, datedif(K1003,Vitalicios!$C$4,"Y"),0)  )</f>
        <v>6</v>
      </c>
      <c r="O1003" s="202"/>
    </row>
    <row r="1004">
      <c r="A1004" s="192">
        <v>2059.0</v>
      </c>
      <c r="B1004" s="193" t="s">
        <v>3420</v>
      </c>
      <c r="C1004" s="193" t="s">
        <v>537</v>
      </c>
      <c r="D1004" s="193" t="s">
        <v>628</v>
      </c>
      <c r="E1004" s="193" t="s">
        <v>3421</v>
      </c>
      <c r="F1004" s="195">
        <v>2.214083915E9</v>
      </c>
      <c r="G1004" s="196"/>
      <c r="H1004" s="193" t="s">
        <v>3422</v>
      </c>
      <c r="I1004" s="197"/>
      <c r="J1004" s="198" t="s">
        <v>529</v>
      </c>
      <c r="K1004" s="199">
        <v>44805.0</v>
      </c>
      <c r="L1004" s="200">
        <v>45047.0</v>
      </c>
      <c r="M1004" s="201" t="s">
        <v>614</v>
      </c>
      <c r="N1004" s="202"/>
      <c r="O1004" s="202"/>
    </row>
    <row r="1005">
      <c r="A1005" s="192">
        <v>2248.0</v>
      </c>
      <c r="B1005" s="193" t="s">
        <v>3423</v>
      </c>
      <c r="C1005" s="193" t="s">
        <v>537</v>
      </c>
      <c r="D1005" s="193" t="s">
        <v>3424</v>
      </c>
      <c r="E1005" s="193" t="s">
        <v>3425</v>
      </c>
      <c r="F1005" s="195">
        <v>2.213172945E9</v>
      </c>
      <c r="G1005" s="196"/>
      <c r="H1005" s="193" t="s">
        <v>3426</v>
      </c>
      <c r="I1005" s="197"/>
      <c r="J1005" s="198" t="s">
        <v>523</v>
      </c>
      <c r="K1005" s="199">
        <v>45352.0</v>
      </c>
      <c r="L1005" s="200"/>
      <c r="M1005" s="201"/>
      <c r="N1005" s="202"/>
      <c r="O1005" s="202"/>
    </row>
    <row r="1006">
      <c r="A1006" s="192">
        <v>1877.0</v>
      </c>
      <c r="B1006" s="193" t="s">
        <v>3427</v>
      </c>
      <c r="C1006" s="193" t="s">
        <v>537</v>
      </c>
      <c r="D1006" s="193" t="s">
        <v>628</v>
      </c>
      <c r="E1006" s="193" t="s">
        <v>3428</v>
      </c>
      <c r="F1006" s="195">
        <v>2.262506254E9</v>
      </c>
      <c r="G1006" s="196"/>
      <c r="H1006" s="193" t="s">
        <v>3429</v>
      </c>
      <c r="I1006" s="197" t="str">
        <f>IF(iserror(vlookup($A1006,Pagos!$B$5:L1241,4,false)),"Sin actividad",If(vlookup($A1006,Pagos!$B$5:$L1241,5,false),vlookup($A1006,Pagos!$B$5:$L1241,5,false),vlookup($A1006,Pagos!$B$5:$L1241,4,false)))</f>
        <v>Sin actividad</v>
      </c>
      <c r="J1006" s="198" t="s">
        <v>529</v>
      </c>
      <c r="K1006" s="199">
        <v>44166.0</v>
      </c>
      <c r="L1006" s="203">
        <v>44501.0</v>
      </c>
      <c r="M1006" s="201" t="s">
        <v>897</v>
      </c>
      <c r="N1006" s="202"/>
      <c r="O1006" s="202"/>
    </row>
    <row r="1007">
      <c r="A1007" s="192">
        <v>1838.0</v>
      </c>
      <c r="B1007" s="193" t="s">
        <v>3430</v>
      </c>
      <c r="C1007" s="193" t="s">
        <v>537</v>
      </c>
      <c r="D1007" s="193" t="s">
        <v>532</v>
      </c>
      <c r="E1007" s="193" t="s">
        <v>3431</v>
      </c>
      <c r="F1007" s="195">
        <v>2.213612783E9</v>
      </c>
      <c r="G1007" s="196"/>
      <c r="H1007" s="193" t="s">
        <v>3432</v>
      </c>
      <c r="I1007" s="197" t="str">
        <f>IF(iserror(vlookup($A1007,Pagos!$B$5:L1241,4,false)),"Sin actividad",If(vlookup($A1007,Pagos!$B$5:$L1241,5,false),vlookup($A1007,Pagos!$B$5:$L1241,5,false),vlookup($A1007,Pagos!$B$5:$L1241,4,false)))</f>
        <v>Sin actividad</v>
      </c>
      <c r="J1007" s="198" t="s">
        <v>529</v>
      </c>
      <c r="K1007" s="199">
        <v>44105.0</v>
      </c>
      <c r="L1007" s="200">
        <v>44713.0</v>
      </c>
      <c r="M1007" s="201" t="s">
        <v>614</v>
      </c>
      <c r="N1007" s="202"/>
      <c r="O1007" s="202"/>
    </row>
    <row r="1008">
      <c r="A1008" s="192">
        <v>1967.0</v>
      </c>
      <c r="B1008" s="193" t="s">
        <v>3433</v>
      </c>
      <c r="C1008" s="193" t="s">
        <v>537</v>
      </c>
      <c r="D1008" s="193" t="s">
        <v>628</v>
      </c>
      <c r="E1008" s="193" t="s">
        <v>3434</v>
      </c>
      <c r="F1008" s="195">
        <v>2.21569016E9</v>
      </c>
      <c r="G1008" s="196"/>
      <c r="H1008" s="193" t="s">
        <v>3435</v>
      </c>
      <c r="I1008" s="197" t="str">
        <f>IF(iserror(vlookup($A1008,Pagos!$B$5:L1241,4,false)),"Sin actividad",If(vlookup($A1008,Pagos!$B$5:$L1241,5,false),vlookup($A1008,Pagos!$B$5:$L1241,5,false),vlookup($A1008,Pagos!$B$5:$L1241,4,false)))</f>
        <v>Sin actividad</v>
      </c>
      <c r="J1008" s="198" t="s">
        <v>529</v>
      </c>
      <c r="K1008" s="199">
        <v>44531.0</v>
      </c>
      <c r="L1008" s="203">
        <v>44927.0</v>
      </c>
      <c r="M1008" s="201" t="s">
        <v>3436</v>
      </c>
      <c r="N1008" s="202"/>
      <c r="O1008" s="202"/>
    </row>
    <row r="1009">
      <c r="A1009" s="192">
        <v>2019.0</v>
      </c>
      <c r="B1009" s="193" t="s">
        <v>3437</v>
      </c>
      <c r="C1009" s="193" t="s">
        <v>537</v>
      </c>
      <c r="D1009" s="193" t="s">
        <v>628</v>
      </c>
      <c r="E1009" s="193" t="s">
        <v>3363</v>
      </c>
      <c r="F1009" s="195">
        <v>2.214402717E9</v>
      </c>
      <c r="G1009" s="196"/>
      <c r="H1009" s="193" t="s">
        <v>3438</v>
      </c>
      <c r="I1009" s="197" t="str">
        <f>IF(iserror(vlookup($A1009,Pagos!$B$5:L1241,4,false)),"Sin actividad",If(vlookup($A1009,Pagos!$B$5:$L1241,5,false),vlookup($A1009,Pagos!$B$5:$L1241,5,false),vlookup($A1009,Pagos!$B$5:$L1241,4,false)))</f>
        <v>Sin actividad</v>
      </c>
      <c r="J1009" s="198" t="s">
        <v>529</v>
      </c>
      <c r="K1009" s="199">
        <v>44682.0</v>
      </c>
      <c r="L1009" s="203"/>
      <c r="M1009" s="201" t="s">
        <v>620</v>
      </c>
      <c r="N1009" s="202"/>
      <c r="O1009" s="202"/>
    </row>
    <row r="1010">
      <c r="A1010" s="192">
        <v>1505.0</v>
      </c>
      <c r="B1010" s="193" t="s">
        <v>3439</v>
      </c>
      <c r="C1010" s="194" t="s">
        <v>526</v>
      </c>
      <c r="D1010" s="193" t="s">
        <v>520</v>
      </c>
      <c r="E1010" s="193" t="s">
        <v>3440</v>
      </c>
      <c r="F1010" s="195">
        <v>3.51152308216E11</v>
      </c>
      <c r="G1010" s="196"/>
      <c r="H1010" s="193" t="s">
        <v>3441</v>
      </c>
      <c r="I1010" s="197" t="str">
        <f>IF(iserror(vlookup($A1010,Pagos!$B$5:L1241,4,false)),"Sin actividad",If(vlookup($A1010,Pagos!$B$5:$L1241,5,false),vlookup($A1010,Pagos!$B$5:$L1241,5,false),vlookup($A1010,Pagos!$B$5:$L1241,4,false)))</f>
        <v>Sin actividad</v>
      </c>
      <c r="J1010" s="198" t="s">
        <v>529</v>
      </c>
      <c r="K1010" s="199">
        <v>41777.0</v>
      </c>
      <c r="L1010" s="200">
        <v>43344.0</v>
      </c>
      <c r="M1010" s="201"/>
      <c r="N1010" s="202">
        <f>If(L1010&gt;K1010,   datedif(K1010,L1010,"Y") , If(K1010&lt;Vitalicios!$C$4, datedif(K1010,Vitalicios!$C$4,"Y"),0)  )</f>
        <v>4</v>
      </c>
      <c r="O1010" s="202"/>
    </row>
    <row r="1011">
      <c r="A1011" s="192">
        <v>2012.0</v>
      </c>
      <c r="B1011" s="193" t="s">
        <v>3442</v>
      </c>
      <c r="C1011" s="193" t="s">
        <v>537</v>
      </c>
      <c r="D1011" s="193" t="s">
        <v>628</v>
      </c>
      <c r="E1011" s="193" t="s">
        <v>3443</v>
      </c>
      <c r="F1011" s="195">
        <v>2.215389942E9</v>
      </c>
      <c r="G1011" s="196"/>
      <c r="H1011" s="193" t="s">
        <v>3444</v>
      </c>
      <c r="I1011" s="197" t="str">
        <f>IF(iserror(vlookup($A1011,Pagos!$B$5:L1241,4,false)),"Sin actividad",If(vlookup($A1011,Pagos!$B$5:$L1241,5,false),vlookup($A1011,Pagos!$B$5:$L1241,5,false),vlookup($A1011,Pagos!$B$5:$L1241,4,false)))</f>
        <v>Sin actividad</v>
      </c>
      <c r="J1011" s="198" t="s">
        <v>529</v>
      </c>
      <c r="K1011" s="199">
        <v>44713.0</v>
      </c>
      <c r="L1011" s="200">
        <v>44866.0</v>
      </c>
      <c r="M1011" s="201"/>
      <c r="N1011" s="202"/>
      <c r="O1011" s="202"/>
    </row>
    <row r="1012">
      <c r="A1012" s="192">
        <v>1897.0</v>
      </c>
      <c r="B1012" s="193" t="s">
        <v>3445</v>
      </c>
      <c r="C1012" s="193" t="s">
        <v>537</v>
      </c>
      <c r="D1012" s="193" t="s">
        <v>628</v>
      </c>
      <c r="E1012" s="193" t="s">
        <v>3446</v>
      </c>
      <c r="F1012" s="195">
        <v>2.21154080172E11</v>
      </c>
      <c r="G1012" s="196"/>
      <c r="H1012" s="209" t="s">
        <v>3447</v>
      </c>
      <c r="I1012" s="197" t="str">
        <f>IF(iserror(vlookup($A1012,Pagos!$B$5:L1241,4,false)),"Sin actividad",If(vlookup($A1012,Pagos!$B$5:$L1241,5,false),vlookup($A1012,Pagos!$B$5:$L1241,5,false),vlookup($A1012,Pagos!$B$5:$L1241,4,false)))</f>
        <v>Sin actividad</v>
      </c>
      <c r="J1012" s="198" t="s">
        <v>529</v>
      </c>
      <c r="K1012" s="199">
        <v>44256.0</v>
      </c>
      <c r="L1012" s="200">
        <v>45413.0</v>
      </c>
      <c r="M1012" s="201" t="s">
        <v>2043</v>
      </c>
      <c r="N1012" s="202"/>
      <c r="O1012" s="202"/>
    </row>
    <row r="1013" ht="17.25" customHeight="1">
      <c r="A1013" s="192">
        <v>1532.0</v>
      </c>
      <c r="B1013" s="193" t="s">
        <v>3448</v>
      </c>
      <c r="C1013" s="194" t="s">
        <v>526</v>
      </c>
      <c r="D1013" s="193" t="s">
        <v>48</v>
      </c>
      <c r="E1013" s="193" t="s">
        <v>3449</v>
      </c>
      <c r="F1013" s="195">
        <v>1.130270706E9</v>
      </c>
      <c r="G1013" s="196"/>
      <c r="H1013" s="193"/>
      <c r="I1013" s="197" t="str">
        <f>IF(iserror(vlookup($A1013,Pagos!$B$5:L1241,4,false)),"Sin actividad",If(vlookup($A1013,Pagos!$B$5:$L1241,5,false),vlookup($A1013,Pagos!$B$5:$L1241,5,false),vlookup($A1013,Pagos!$B$5:$L1241,4,false)))</f>
        <v>Sin actividad</v>
      </c>
      <c r="J1013" s="198" t="s">
        <v>529</v>
      </c>
      <c r="K1013" s="199">
        <v>41952.0</v>
      </c>
      <c r="L1013" s="200">
        <v>43374.0</v>
      </c>
      <c r="M1013" s="201" t="s">
        <v>560</v>
      </c>
      <c r="N1013" s="202">
        <f>If(L1013&gt;K1013,   datedif(K1013,L1013,"Y") , If(K1013&lt;Vitalicios!$C$4, datedif(K1013,Vitalicios!$C$4,"Y"),0)  )</f>
        <v>3</v>
      </c>
      <c r="O1013" s="202"/>
    </row>
    <row r="1014">
      <c r="A1014" s="192">
        <v>1682.0</v>
      </c>
      <c r="B1014" s="193" t="s">
        <v>3450</v>
      </c>
      <c r="C1014" s="194" t="s">
        <v>519</v>
      </c>
      <c r="D1014" s="193" t="s">
        <v>527</v>
      </c>
      <c r="E1014" s="193" t="s">
        <v>3451</v>
      </c>
      <c r="F1014" s="195" t="s">
        <v>3452</v>
      </c>
      <c r="G1014" s="196"/>
      <c r="H1014" s="193" t="s">
        <v>3453</v>
      </c>
      <c r="I1014" s="197" t="str">
        <f>IF(iserror(vlookup($A1014,Pagos!$B$5:L1241,4,false)),"Sin actividad",If(vlookup($A1014,Pagos!$B$5:$L1241,5,false),vlookup($A1014,Pagos!$B$5:$L1241,5,false),vlookup($A1014,Pagos!$B$5:$L1241,4,false)))</f>
        <v>Sin actividad</v>
      </c>
      <c r="J1014" s="198" t="s">
        <v>529</v>
      </c>
      <c r="K1014" s="199">
        <v>43101.0</v>
      </c>
      <c r="L1014" s="200">
        <v>43525.0</v>
      </c>
      <c r="M1014" s="201"/>
      <c r="N1014" s="202">
        <f>If(L1014&gt;K1014,   datedif(K1014,L1014,"Y") , If(K1014&lt;Vitalicios!$C$4, datedif(K1014,Vitalicios!$C$4,"Y"),0)  )</f>
        <v>1</v>
      </c>
      <c r="O1014" s="202"/>
    </row>
    <row r="1015">
      <c r="A1015" s="192">
        <v>2221.0</v>
      </c>
      <c r="B1015" s="193" t="s">
        <v>3454</v>
      </c>
      <c r="C1015" s="193" t="s">
        <v>537</v>
      </c>
      <c r="D1015" s="193" t="s">
        <v>538</v>
      </c>
      <c r="E1015" s="193" t="s">
        <v>3455</v>
      </c>
      <c r="F1015" s="195">
        <v>2.216791721E9</v>
      </c>
      <c r="G1015" s="196"/>
      <c r="H1015" s="193" t="s">
        <v>3456</v>
      </c>
      <c r="I1015" s="197"/>
      <c r="J1015" s="198" t="s">
        <v>523</v>
      </c>
      <c r="K1015" s="199">
        <v>45261.0</v>
      </c>
      <c r="L1015" s="200"/>
      <c r="M1015" s="201"/>
      <c r="N1015" s="202"/>
      <c r="O1015" s="202"/>
    </row>
    <row r="1016">
      <c r="A1016" s="192">
        <v>977.0</v>
      </c>
      <c r="B1016" s="193" t="s">
        <v>3457</v>
      </c>
      <c r="C1016" s="194" t="s">
        <v>526</v>
      </c>
      <c r="D1016" s="193" t="s">
        <v>770</v>
      </c>
      <c r="E1016" s="193" t="s">
        <v>3458</v>
      </c>
      <c r="F1016" s="195">
        <v>1.142104254E9</v>
      </c>
      <c r="G1016" s="196">
        <v>0.0</v>
      </c>
      <c r="H1016" s="193"/>
      <c r="I1016" s="197">
        <f>IF(iserror(vlookup($A1016,Pagos!$B$5:L1241,4,false)),"Sin actividad",If(vlookup($A1016,Pagos!$B$5:$L1241,5,false),vlookup($A1016,Pagos!$B$5:$L1241,5,false),vlookup($A1016,Pagos!$B$5:$L1241,4,false)))</f>
        <v>45992</v>
      </c>
      <c r="J1016" s="198" t="s">
        <v>523</v>
      </c>
      <c r="K1016" s="199">
        <v>37906.0</v>
      </c>
      <c r="L1016" s="200"/>
      <c r="M1016" s="201"/>
      <c r="N1016" s="202">
        <f>If(L1016&gt;K1016,   datedif(K1016,L1016,"Y") , If(K1016&lt;Vitalicios!$C$4, datedif(K1016,Vitalicios!$C$4,"Y"),0)  )</f>
        <v>21</v>
      </c>
      <c r="O1016" s="202"/>
    </row>
    <row r="1017">
      <c r="A1017" s="192">
        <v>2247.0</v>
      </c>
      <c r="B1017" s="193" t="s">
        <v>3459</v>
      </c>
      <c r="C1017" s="193" t="s">
        <v>537</v>
      </c>
      <c r="D1017" s="193" t="s">
        <v>3460</v>
      </c>
      <c r="E1017" s="193" t="s">
        <v>3461</v>
      </c>
      <c r="F1017" s="195">
        <v>2.214597673E9</v>
      </c>
      <c r="G1017" s="196"/>
      <c r="H1017" s="193" t="s">
        <v>3462</v>
      </c>
      <c r="I1017" s="197">
        <v>45323.0</v>
      </c>
      <c r="J1017" s="198" t="s">
        <v>523</v>
      </c>
      <c r="K1017" s="199">
        <v>45323.0</v>
      </c>
      <c r="L1017" s="200"/>
      <c r="M1017" s="201"/>
      <c r="N1017" s="202"/>
      <c r="O1017" s="202"/>
    </row>
    <row r="1018">
      <c r="A1018" s="192">
        <v>699.0</v>
      </c>
      <c r="B1018" s="193" t="s">
        <v>3463</v>
      </c>
      <c r="C1018" s="194" t="s">
        <v>526</v>
      </c>
      <c r="D1018" s="193" t="s">
        <v>1464</v>
      </c>
      <c r="E1018" s="193" t="s">
        <v>3464</v>
      </c>
      <c r="F1018" s="195">
        <v>1.56138068E8</v>
      </c>
      <c r="G1018" s="196">
        <v>0.0</v>
      </c>
      <c r="H1018" s="193" t="s">
        <v>3465</v>
      </c>
      <c r="I1018" s="197" t="str">
        <f>IF(iserror(vlookup($A1018,Pagos!$B$5:L1241,4,false)),"Sin actividad",If(vlookup($A1018,Pagos!$B$5:$L1241,5,false),vlookup($A1018,Pagos!$B$5:$L1241,5,false),vlookup($A1018,Pagos!$B$5:$L1241,4,false)))</f>
        <v>Sin actividad</v>
      </c>
      <c r="J1018" s="198" t="s">
        <v>529</v>
      </c>
      <c r="K1018" s="199">
        <v>35441.0</v>
      </c>
      <c r="L1018" s="200">
        <v>43252.0</v>
      </c>
      <c r="M1018" s="201"/>
      <c r="N1018" s="202">
        <f>If(L1018&gt;K1018,   datedif(K1018,L1018,"Y") , If(K1018&lt;Vitalicios!$C$4, datedif(K1018,Vitalicios!$C$4,"Y"),0)  )</f>
        <v>21</v>
      </c>
      <c r="O1018" s="202"/>
    </row>
    <row r="1019">
      <c r="A1019" s="192">
        <v>1606.0</v>
      </c>
      <c r="B1019" s="193" t="s">
        <v>3466</v>
      </c>
      <c r="C1019" s="194" t="s">
        <v>526</v>
      </c>
      <c r="D1019" s="193" t="s">
        <v>520</v>
      </c>
      <c r="E1019" s="193" t="s">
        <v>3467</v>
      </c>
      <c r="F1019" s="195"/>
      <c r="G1019" s="196"/>
      <c r="H1019" s="193" t="s">
        <v>3468</v>
      </c>
      <c r="I1019" s="197" t="str">
        <f>IF(iserror(vlookup($A1019,Pagos!$B$5:L1241,4,false)),"Sin actividad",If(vlookup($A1019,Pagos!$B$5:$L1241,5,false),vlookup($A1019,Pagos!$B$5:$L1241,5,false),vlookup($A1019,Pagos!$B$5:$L1241,4,false)))</f>
        <v>Sin actividad</v>
      </c>
      <c r="J1019" s="198" t="s">
        <v>529</v>
      </c>
      <c r="K1019" s="199">
        <v>42583.0</v>
      </c>
      <c r="L1019" s="200">
        <v>43252.0</v>
      </c>
      <c r="M1019" s="201"/>
      <c r="N1019" s="202">
        <f>If(L1019&gt;K1019,   datedif(K1019,L1019,"Y") , If(K1019&lt;Vitalicios!$C$4, datedif(K1019,Vitalicios!$C$4,"Y"),0)  )</f>
        <v>1</v>
      </c>
      <c r="O1019" s="202"/>
    </row>
    <row r="1020">
      <c r="A1020" s="192">
        <v>1718.0</v>
      </c>
      <c r="B1020" s="193" t="s">
        <v>3469</v>
      </c>
      <c r="C1020" s="194" t="s">
        <v>519</v>
      </c>
      <c r="D1020" s="193" t="s">
        <v>527</v>
      </c>
      <c r="E1020" s="193" t="s">
        <v>3470</v>
      </c>
      <c r="F1020" s="195">
        <v>1.56378045E8</v>
      </c>
      <c r="G1020" s="196"/>
      <c r="H1020" s="193" t="s">
        <v>3471</v>
      </c>
      <c r="I1020" s="197" t="str">
        <f>IF(iserror(vlookup($A1020,Pagos!$B$5:L1241,4,false)),"Sin actividad",If(vlookup($A1020,Pagos!$B$5:$L1241,5,false),vlookup($A1020,Pagos!$B$5:$L1241,5,false),vlookup($A1020,Pagos!$B$5:$L1241,4,false)))</f>
        <v>Sin actividad</v>
      </c>
      <c r="J1020" s="198" t="s">
        <v>529</v>
      </c>
      <c r="K1020" s="199">
        <v>43435.0</v>
      </c>
      <c r="L1020" s="200">
        <v>45627.0</v>
      </c>
      <c r="M1020" s="201" t="s">
        <v>3472</v>
      </c>
      <c r="N1020" s="202">
        <f>If(L1020&gt;K1020,   datedif(K1020,L1020,"Y") , If(K1020&lt;Vitalicios!$C$4, datedif(K1020,Vitalicios!$C$4,"Y"),0)  )</f>
        <v>6</v>
      </c>
      <c r="O1020" s="202"/>
    </row>
    <row r="1021">
      <c r="A1021" s="192">
        <v>918.0</v>
      </c>
      <c r="B1021" s="193" t="s">
        <v>3473</v>
      </c>
      <c r="C1021" s="194" t="s">
        <v>577</v>
      </c>
      <c r="D1021" s="193" t="s">
        <v>556</v>
      </c>
      <c r="E1021" s="193" t="s">
        <v>3474</v>
      </c>
      <c r="F1021" s="195">
        <v>0.0</v>
      </c>
      <c r="G1021" s="196">
        <v>0.0</v>
      </c>
      <c r="H1021" s="193"/>
      <c r="I1021" s="197" t="str">
        <f>IF(iserror(vlookup($A1021,Pagos!$B$5:L1241,4,false)),"Sin actividad",If(vlookup($A1021,Pagos!$B$5:$L1241,5,false),vlookup($A1021,Pagos!$B$5:$L1241,5,false),vlookup($A1021,Pagos!$B$5:$L1241,4,false)))</f>
        <v>Sin actividad</v>
      </c>
      <c r="J1021" s="198" t="s">
        <v>529</v>
      </c>
      <c r="K1021" s="199">
        <v>37591.0</v>
      </c>
      <c r="L1021" s="200">
        <v>42155.0</v>
      </c>
      <c r="M1021" s="201" t="s">
        <v>1201</v>
      </c>
      <c r="N1021" s="202">
        <f>If(L1021&gt;K1021,   datedif(K1021,L1021,"Y") , If(K1021&lt;Vitalicios!$C$4, datedif(K1021,Vitalicios!$C$4,"Y"),0)  )</f>
        <v>12</v>
      </c>
      <c r="O1021" s="202"/>
    </row>
    <row r="1022">
      <c r="A1022" s="192">
        <v>1814.0</v>
      </c>
      <c r="B1022" s="193" t="s">
        <v>3475</v>
      </c>
      <c r="C1022" s="193" t="s">
        <v>537</v>
      </c>
      <c r="D1022" s="193" t="s">
        <v>596</v>
      </c>
      <c r="E1022" s="193" t="s">
        <v>3476</v>
      </c>
      <c r="F1022" s="195">
        <v>2.2145984E9</v>
      </c>
      <c r="G1022" s="196"/>
      <c r="H1022" s="193" t="s">
        <v>3477</v>
      </c>
      <c r="I1022" s="197" t="str">
        <f>IF(iserror(vlookup($A1022,Pagos!$B$5:L1241,4,false)),"Sin actividad",If(vlookup($A1022,Pagos!$B$5:$L1241,5,false),vlookup($A1022,Pagos!$B$5:$L1241,5,false),vlookup($A1022,Pagos!$B$5:$L1241,4,false)))</f>
        <v>Sin actividad</v>
      </c>
      <c r="J1022" s="198" t="s">
        <v>529</v>
      </c>
      <c r="K1022" s="199">
        <v>44075.0</v>
      </c>
      <c r="L1022" s="203">
        <v>44197.0</v>
      </c>
      <c r="M1022" s="201"/>
      <c r="N1022" s="202"/>
      <c r="O1022" s="202"/>
    </row>
    <row r="1023">
      <c r="A1023" s="192">
        <v>1781.0</v>
      </c>
      <c r="B1023" s="193" t="s">
        <v>3478</v>
      </c>
      <c r="C1023" s="194" t="s">
        <v>519</v>
      </c>
      <c r="D1023" s="193" t="s">
        <v>538</v>
      </c>
      <c r="E1023" s="193" t="s">
        <v>3479</v>
      </c>
      <c r="F1023" s="195">
        <v>5457890.0</v>
      </c>
      <c r="G1023" s="196"/>
      <c r="H1023" s="193" t="s">
        <v>3480</v>
      </c>
      <c r="I1023" s="197" t="str">
        <f>IF(iserror(vlookup($A1023,Pagos!$B$5:L1241,4,false)),"Sin actividad",If(vlookup($A1023,Pagos!$B$5:$L1241,5,false),vlookup($A1023,Pagos!$B$5:$L1241,5,false),vlookup($A1023,Pagos!$B$5:$L1241,4,false)))</f>
        <v>Sin actividad</v>
      </c>
      <c r="J1023" s="198" t="s">
        <v>523</v>
      </c>
      <c r="K1023" s="199">
        <v>43862.0</v>
      </c>
      <c r="L1023" s="200">
        <v>45413.0</v>
      </c>
      <c r="M1023" s="201" t="s">
        <v>3481</v>
      </c>
      <c r="N1023" s="202">
        <f>If(L1023&gt;K1023,   datedif(K1023,L1023,"Y") , If(K1023&lt;Vitalicios!$C$4, datedif(K1023,Vitalicios!$C$4,"Y"),0)  )</f>
        <v>4</v>
      </c>
      <c r="O1023" s="202"/>
    </row>
    <row r="1024">
      <c r="A1024" s="192">
        <v>1667.0</v>
      </c>
      <c r="B1024" s="193" t="s">
        <v>3482</v>
      </c>
      <c r="C1024" s="194" t="s">
        <v>519</v>
      </c>
      <c r="D1024" s="193" t="s">
        <v>709</v>
      </c>
      <c r="E1024" s="193" t="s">
        <v>3483</v>
      </c>
      <c r="F1024" s="195">
        <v>1.53534741E8</v>
      </c>
      <c r="G1024" s="196"/>
      <c r="H1024" s="193" t="s">
        <v>3484</v>
      </c>
      <c r="I1024" s="197" t="str">
        <f>IF(iserror(vlookup($A1024,Pagos!$B$5:L1241,4,false)),"Sin actividad",If(vlookup($A1024,Pagos!$B$5:$L1241,5,false),vlookup($A1024,Pagos!$B$5:$L1241,5,false),vlookup($A1024,Pagos!$B$5:$L1241,4,false)))</f>
        <v>Sin actividad</v>
      </c>
      <c r="J1024" s="198" t="s">
        <v>529</v>
      </c>
      <c r="K1024" s="199">
        <v>43044.0</v>
      </c>
      <c r="L1024" s="200"/>
      <c r="M1024" s="201" t="s">
        <v>3481</v>
      </c>
      <c r="N1024" s="202">
        <f>If(L1024&gt;K1024,   datedif(K1024,L1024,"Y") , If(K1024&lt;Vitalicios!$C$4, datedif(K1024,Vitalicios!$C$4,"Y"),0)  )</f>
        <v>7</v>
      </c>
      <c r="O1024" s="202"/>
    </row>
    <row r="1025">
      <c r="A1025" s="192">
        <v>1961.0</v>
      </c>
      <c r="B1025" s="193" t="s">
        <v>3485</v>
      </c>
      <c r="C1025" s="193" t="s">
        <v>537</v>
      </c>
      <c r="D1025" s="193" t="s">
        <v>628</v>
      </c>
      <c r="E1025" s="193" t="s">
        <v>3486</v>
      </c>
      <c r="F1025" s="195">
        <v>2.213601575E9</v>
      </c>
      <c r="G1025" s="196"/>
      <c r="H1025" s="193" t="s">
        <v>3487</v>
      </c>
      <c r="I1025" s="197">
        <f>IF(iserror(vlookup($A1025,Pagos!$B$5:L1241,4,false)),"Sin actividad",If(vlookup($A1025,Pagos!$B$5:$L1241,5,false),vlookup($A1025,Pagos!$B$5:$L1241,5,false),vlookup($A1025,Pagos!$B$5:$L1241,4,false)))</f>
        <v>45870</v>
      </c>
      <c r="J1025" s="198" t="s">
        <v>523</v>
      </c>
      <c r="K1025" s="199">
        <v>44531.0</v>
      </c>
      <c r="L1025" s="200"/>
      <c r="M1025" s="201" t="s">
        <v>1732</v>
      </c>
      <c r="N1025" s="202"/>
      <c r="O1025" s="202"/>
    </row>
    <row r="1026">
      <c r="A1026" s="192">
        <v>1758.0</v>
      </c>
      <c r="B1026" s="193" t="s">
        <v>3488</v>
      </c>
      <c r="C1026" s="194" t="s">
        <v>519</v>
      </c>
      <c r="D1026" s="193" t="s">
        <v>538</v>
      </c>
      <c r="E1026" s="193" t="s">
        <v>3489</v>
      </c>
      <c r="F1026" s="195">
        <v>1.54885327E8</v>
      </c>
      <c r="G1026" s="196"/>
      <c r="H1026" s="193" t="s">
        <v>3490</v>
      </c>
      <c r="I1026" s="197">
        <f>IF(iserror(vlookup($A1026,Pagos!$B$5:L1241,4,false)),"Sin actividad",If(vlookup($A1026,Pagos!$B$5:$L1241,5,false),vlookup($A1026,Pagos!$B$5:$L1241,5,false),vlookup($A1026,Pagos!$B$5:$L1241,4,false)))</f>
        <v>45870</v>
      </c>
      <c r="J1026" s="198" t="s">
        <v>523</v>
      </c>
      <c r="K1026" s="199">
        <v>43770.0</v>
      </c>
      <c r="L1026" s="200"/>
      <c r="M1026" s="201"/>
      <c r="N1026" s="202">
        <f>If(L1026&gt;K1026,   datedif(K1026,L1026,"Y") , If(K1026&lt;Vitalicios!$C$4, datedif(K1026,Vitalicios!$C$4,"Y"),0)  )</f>
        <v>5</v>
      </c>
      <c r="O1026" s="202"/>
    </row>
    <row r="1027">
      <c r="A1027" s="192">
        <v>1976.0</v>
      </c>
      <c r="B1027" s="193" t="s">
        <v>3491</v>
      </c>
      <c r="C1027" s="193" t="s">
        <v>537</v>
      </c>
      <c r="D1027" s="193" t="s">
        <v>538</v>
      </c>
      <c r="E1027" s="193" t="s">
        <v>3492</v>
      </c>
      <c r="F1027" s="195">
        <v>1.15372419E8</v>
      </c>
      <c r="G1027" s="196"/>
      <c r="H1027" s="193" t="s">
        <v>3493</v>
      </c>
      <c r="I1027" s="197" t="str">
        <f>IF(iserror(vlookup($A1027,Pagos!$B$5:L1241,4,false)),"Sin actividad",If(vlookup($A1027,Pagos!$B$5:$L1241,5,false),vlookup($A1027,Pagos!$B$5:$L1241,5,false),vlookup($A1027,Pagos!$B$5:$L1241,4,false)))</f>
        <v>Sin actividad</v>
      </c>
      <c r="J1027" s="198" t="s">
        <v>529</v>
      </c>
      <c r="K1027" s="199">
        <v>44562.0</v>
      </c>
      <c r="L1027" s="200">
        <v>45261.0</v>
      </c>
      <c r="M1027" s="201" t="s">
        <v>535</v>
      </c>
      <c r="N1027" s="202"/>
      <c r="O1027" s="202"/>
    </row>
    <row r="1028">
      <c r="A1028" s="192">
        <v>1714.0</v>
      </c>
      <c r="B1028" s="193" t="s">
        <v>3494</v>
      </c>
      <c r="C1028" s="194" t="s">
        <v>519</v>
      </c>
      <c r="D1028" s="193" t="s">
        <v>709</v>
      </c>
      <c r="E1028" s="193" t="s">
        <v>3495</v>
      </c>
      <c r="F1028" s="195">
        <v>5455274.0</v>
      </c>
      <c r="G1028" s="196"/>
      <c r="H1028" s="193" t="s">
        <v>3496</v>
      </c>
      <c r="I1028" s="197">
        <f>IF(iserror(vlookup($A1028,Pagos!$B$5:L1241,4,false)),"Sin actividad",If(vlookup($A1028,Pagos!$B$5:$L1241,5,false),vlookup($A1028,Pagos!$B$5:$L1241,5,false),vlookup($A1028,Pagos!$B$5:$L1241,4,false)))</f>
        <v>45992</v>
      </c>
      <c r="J1028" s="198" t="s">
        <v>529</v>
      </c>
      <c r="K1028" s="199">
        <v>43405.0</v>
      </c>
      <c r="L1028" s="200"/>
      <c r="M1028" s="201"/>
      <c r="N1028" s="202">
        <f>If(L1028&gt;K1028,   datedif(K1028,L1028,"Y") , If(K1028&lt;Vitalicios!$C$4, datedif(K1028,Vitalicios!$C$4,"Y"),0)  )</f>
        <v>6</v>
      </c>
      <c r="O1028" s="202"/>
    </row>
    <row r="1029">
      <c r="A1029" s="192">
        <v>2045.0</v>
      </c>
      <c r="B1029" s="193" t="s">
        <v>3497</v>
      </c>
      <c r="C1029" s="194" t="s">
        <v>519</v>
      </c>
      <c r="D1029" s="193" t="s">
        <v>770</v>
      </c>
      <c r="E1029" s="193" t="s">
        <v>3498</v>
      </c>
      <c r="F1029" s="195">
        <v>5729497.0</v>
      </c>
      <c r="G1029" s="196"/>
      <c r="H1029" s="193" t="s">
        <v>3499</v>
      </c>
      <c r="I1029" s="197">
        <f>IF(iserror(vlookup($A1029,Pagos!$B$5:L1241,4,false)),"Sin actividad",If(vlookup($A1029,Pagos!$B$5:$L1241,5,false),vlookup($A1029,Pagos!$B$5:$L1241,5,false),vlookup($A1029,Pagos!$B$5:$L1241,4,false)))</f>
        <v>45931</v>
      </c>
      <c r="J1029" s="198" t="s">
        <v>529</v>
      </c>
      <c r="K1029" s="199">
        <v>43405.0</v>
      </c>
      <c r="L1029" s="200">
        <v>43497.0</v>
      </c>
      <c r="M1029" s="201"/>
      <c r="N1029" s="202">
        <f>If(L1029&gt;K1029,   datedif(K1029,L1029,"Y") , If(K1029&lt;Vitalicios!$C$4, datedif(K1029,Vitalicios!$C$4,"Y"),0)  )</f>
        <v>0</v>
      </c>
      <c r="O1029" s="202"/>
    </row>
    <row r="1030">
      <c r="A1030" s="192">
        <v>1853.0</v>
      </c>
      <c r="B1030" s="193" t="s">
        <v>3500</v>
      </c>
      <c r="C1030" s="193" t="s">
        <v>679</v>
      </c>
      <c r="D1030" s="193" t="s">
        <v>538</v>
      </c>
      <c r="E1030" s="193" t="s">
        <v>3501</v>
      </c>
      <c r="F1030" s="195">
        <v>1.140250061E9</v>
      </c>
      <c r="G1030" s="196"/>
      <c r="H1030" s="193" t="s">
        <v>3502</v>
      </c>
      <c r="I1030" s="197" t="str">
        <f>IF(iserror(vlookup($A1030,Pagos!$B$5:L1241,4,false)),"Sin actividad",If(vlookup($A1030,Pagos!$B$5:$L1241,5,false),vlookup($A1030,Pagos!$B$5:$L1241,5,false),vlookup($A1030,Pagos!$B$5:$L1241,4,false)))</f>
        <v>Sin actividad</v>
      </c>
      <c r="J1030" s="198" t="s">
        <v>529</v>
      </c>
      <c r="K1030" s="199">
        <v>44166.0</v>
      </c>
      <c r="L1030" s="200">
        <v>45717.0</v>
      </c>
      <c r="M1030" s="201" t="s">
        <v>535</v>
      </c>
      <c r="N1030" s="202"/>
      <c r="O1030" s="202"/>
    </row>
    <row r="1031">
      <c r="A1031" s="192">
        <v>1727.0</v>
      </c>
      <c r="B1031" s="193" t="s">
        <v>3503</v>
      </c>
      <c r="C1031" s="194" t="s">
        <v>519</v>
      </c>
      <c r="D1031" s="193" t="s">
        <v>538</v>
      </c>
      <c r="E1031" s="193" t="s">
        <v>3504</v>
      </c>
      <c r="F1031" s="195">
        <v>1.54884526E8</v>
      </c>
      <c r="G1031" s="196"/>
      <c r="H1031" s="193" t="s">
        <v>3505</v>
      </c>
      <c r="I1031" s="197">
        <f>IF(iserror(vlookup($A1031,Pagos!$B$5:L1241,4,false)),"Sin actividad",If(vlookup($A1031,Pagos!$B$5:$L1241,5,false),vlookup($A1031,Pagos!$B$5:$L1241,5,false),vlookup($A1031,Pagos!$B$5:$L1241,4,false)))</f>
        <v>45992</v>
      </c>
      <c r="J1031" s="198" t="s">
        <v>523</v>
      </c>
      <c r="K1031" s="199">
        <v>43497.0</v>
      </c>
      <c r="L1031" s="200"/>
      <c r="M1031" s="201"/>
      <c r="N1031" s="202">
        <f>If(L1031&gt;K1031,   datedif(K1031,L1031,"Y") , If(K1031&lt;Vitalicios!$C$4, datedif(K1031,Vitalicios!$C$4,"Y"),0)  )</f>
        <v>6</v>
      </c>
      <c r="O1031" s="202"/>
    </row>
    <row r="1032">
      <c r="A1032" s="192">
        <v>1215.0</v>
      </c>
      <c r="B1032" s="193" t="s">
        <v>3506</v>
      </c>
      <c r="C1032" s="194" t="s">
        <v>526</v>
      </c>
      <c r="D1032" s="193" t="s">
        <v>520</v>
      </c>
      <c r="E1032" s="193" t="s">
        <v>892</v>
      </c>
      <c r="F1032" s="195">
        <v>1.148221503E9</v>
      </c>
      <c r="G1032" s="196">
        <v>0.0</v>
      </c>
      <c r="H1032" s="193" t="s">
        <v>3507</v>
      </c>
      <c r="I1032" s="197" t="str">
        <f>IF(iserror(vlookup($A1032,Pagos!$B$5:L1241,4,false)),"Sin actividad",If(vlookup($A1032,Pagos!$B$5:$L1241,5,false),vlookup($A1032,Pagos!$B$5:$L1241,5,false),vlookup($A1032,Pagos!$B$5:$L1241,4,false)))</f>
        <v>Sin actividad</v>
      </c>
      <c r="J1032" s="198" t="s">
        <v>529</v>
      </c>
      <c r="K1032" s="199">
        <v>39820.0</v>
      </c>
      <c r="L1032" s="200">
        <v>43344.0</v>
      </c>
      <c r="M1032" s="201"/>
      <c r="N1032" s="202">
        <f>If(L1032&gt;K1032,   datedif(K1032,L1032,"Y") , If(K1032&lt;Vitalicios!$C$4, datedif(K1032,Vitalicios!$C$4,"Y"),0)  )</f>
        <v>9</v>
      </c>
      <c r="O1032" s="202"/>
    </row>
    <row r="1033">
      <c r="A1033" s="192">
        <v>2311.0</v>
      </c>
      <c r="B1033" s="193" t="s">
        <v>3508</v>
      </c>
      <c r="C1033" s="193" t="s">
        <v>537</v>
      </c>
      <c r="D1033" s="193" t="s">
        <v>538</v>
      </c>
      <c r="E1033" s="193" t="s">
        <v>3509</v>
      </c>
      <c r="F1033" s="195">
        <v>2.214777357E9</v>
      </c>
      <c r="G1033" s="196"/>
      <c r="H1033" s="193" t="s">
        <v>3510</v>
      </c>
      <c r="I1033" s="197"/>
      <c r="J1033" s="198" t="s">
        <v>523</v>
      </c>
      <c r="K1033" s="199">
        <v>45658.0</v>
      </c>
      <c r="L1033" s="200"/>
      <c r="M1033" s="201"/>
      <c r="N1033" s="202"/>
      <c r="O1033" s="202"/>
    </row>
    <row r="1034" ht="16.5" customHeight="1">
      <c r="A1034" s="192">
        <v>1358.0</v>
      </c>
      <c r="B1034" s="193" t="s">
        <v>3511</v>
      </c>
      <c r="C1034" s="194" t="s">
        <v>577</v>
      </c>
      <c r="D1034" s="193" t="s">
        <v>527</v>
      </c>
      <c r="E1034" s="193" t="s">
        <v>1357</v>
      </c>
      <c r="F1034" s="195">
        <v>4530750.0</v>
      </c>
      <c r="G1034" s="196">
        <v>1.54970962E8</v>
      </c>
      <c r="H1034" s="193"/>
      <c r="I1034" s="197" t="str">
        <f>IF(iserror(vlookup($A1034,Pagos!$B$5:L1241,4,false)),"Sin actividad",If(vlookup($A1034,Pagos!$B$5:$L1241,5,false),vlookup($A1034,Pagos!$B$5:$L1241,5,false),vlookup($A1034,Pagos!$B$5:$L1241,4,false)))</f>
        <v>Sin actividad</v>
      </c>
      <c r="J1034" s="198" t="s">
        <v>529</v>
      </c>
      <c r="K1034" s="199">
        <v>41365.0</v>
      </c>
      <c r="L1034" s="200">
        <v>41579.0</v>
      </c>
      <c r="M1034" s="201" t="s">
        <v>3512</v>
      </c>
      <c r="N1034" s="202">
        <f>If(L1034&gt;K1034,   datedif(K1034,L1034,"Y") , If(K1034&lt;Vitalicios!$C$4, datedif(K1034,Vitalicios!$C$4,"Y"),0)  )</f>
        <v>0</v>
      </c>
      <c r="O1034" s="202"/>
    </row>
    <row r="1035">
      <c r="A1035" s="192">
        <v>1516.0</v>
      </c>
      <c r="B1035" s="193" t="s">
        <v>3511</v>
      </c>
      <c r="C1035" s="194" t="s">
        <v>577</v>
      </c>
      <c r="D1035" s="193" t="s">
        <v>527</v>
      </c>
      <c r="E1035" s="193" t="s">
        <v>1357</v>
      </c>
      <c r="F1035" s="195">
        <v>4530750.0</v>
      </c>
      <c r="G1035" s="196">
        <v>1.54970962E8</v>
      </c>
      <c r="H1035" s="193"/>
      <c r="I1035" s="197" t="str">
        <f>IF(iserror(vlookup($A1035,Pagos!$B$5:L1241,4,false)),"Sin actividad",If(vlookup($A1035,Pagos!$B$5:$L1241,5,false),vlookup($A1035,Pagos!$B$5:$L1241,5,false),vlookup($A1035,Pagos!$B$5:$L1241,4,false)))</f>
        <v>Sin actividad</v>
      </c>
      <c r="J1035" s="198" t="s">
        <v>529</v>
      </c>
      <c r="K1035" s="199">
        <v>41889.0</v>
      </c>
      <c r="L1035" s="200">
        <v>42202.0</v>
      </c>
      <c r="M1035" s="201" t="s">
        <v>1201</v>
      </c>
      <c r="N1035" s="202">
        <f>If(L1035&gt;K1035,   datedif(K1035,L1035,"Y") , If(K1035&lt;Vitalicios!$C$4, datedif(K1035,Vitalicios!$C$4,"Y"),0)  )</f>
        <v>0</v>
      </c>
      <c r="O1035" s="202"/>
    </row>
    <row r="1036">
      <c r="A1036" s="192">
        <v>1548.0</v>
      </c>
      <c r="B1036" s="193" t="s">
        <v>3513</v>
      </c>
      <c r="C1036" s="194" t="s">
        <v>564</v>
      </c>
      <c r="D1036" s="193" t="s">
        <v>520</v>
      </c>
      <c r="E1036" s="193" t="s">
        <v>3514</v>
      </c>
      <c r="F1036" s="195">
        <v>1.54185554E8</v>
      </c>
      <c r="G1036" s="196"/>
      <c r="H1036" s="193" t="s">
        <v>3515</v>
      </c>
      <c r="I1036" s="197" t="str">
        <f>IF(iserror(vlookup($A1036,Pagos!$B$5:L1241,4,false)),"Sin actividad",If(vlookup($A1036,Pagos!$B$5:$L1241,5,false),vlookup($A1036,Pagos!$B$5:$L1241,5,false),vlookup($A1036,Pagos!$B$5:$L1241,4,false)))</f>
        <v>Sin actividad</v>
      </c>
      <c r="J1036" s="198" t="s">
        <v>529</v>
      </c>
      <c r="K1036" s="199">
        <v>42042.0</v>
      </c>
      <c r="L1036" s="200"/>
      <c r="M1036" s="201"/>
      <c r="N1036" s="202">
        <f>If(L1036&gt;K1036,   datedif(K1036,L1036,"Y") , If(K1036&lt;Vitalicios!$C$4, datedif(K1036,Vitalicios!$C$4,"Y"),0)  )</f>
        <v>10</v>
      </c>
      <c r="O1036" s="202"/>
    </row>
    <row r="1037">
      <c r="A1037" s="192">
        <v>2222.0</v>
      </c>
      <c r="B1037" s="193" t="s">
        <v>3516</v>
      </c>
      <c r="C1037" s="193" t="s">
        <v>537</v>
      </c>
      <c r="D1037" s="193" t="s">
        <v>538</v>
      </c>
      <c r="E1037" s="193" t="s">
        <v>3517</v>
      </c>
      <c r="F1037" s="195">
        <v>2.214656007E9</v>
      </c>
      <c r="G1037" s="221"/>
      <c r="H1037" s="193"/>
      <c r="I1037" s="197"/>
      <c r="J1037" s="198" t="s">
        <v>523</v>
      </c>
      <c r="K1037" s="199">
        <v>45261.0</v>
      </c>
      <c r="L1037" s="200"/>
      <c r="M1037" s="201"/>
      <c r="N1037" s="202"/>
      <c r="O1037" s="202"/>
    </row>
    <row r="1038">
      <c r="A1038" s="192">
        <v>2300.0</v>
      </c>
      <c r="B1038" s="193" t="s">
        <v>3518</v>
      </c>
      <c r="C1038" s="193" t="s">
        <v>537</v>
      </c>
      <c r="D1038" s="193" t="s">
        <v>3519</v>
      </c>
      <c r="E1038" s="193" t="s">
        <v>3520</v>
      </c>
      <c r="F1038" s="195">
        <v>2.213197244E9</v>
      </c>
      <c r="G1038" s="221"/>
      <c r="H1038" s="193" t="s">
        <v>3521</v>
      </c>
      <c r="I1038" s="197"/>
      <c r="J1038" s="198" t="s">
        <v>523</v>
      </c>
      <c r="K1038" s="199">
        <v>45627.0</v>
      </c>
      <c r="L1038" s="200"/>
      <c r="M1038" s="201"/>
      <c r="N1038" s="202"/>
      <c r="O1038" s="202"/>
    </row>
    <row r="1039">
      <c r="A1039" s="192">
        <v>1060.0</v>
      </c>
      <c r="B1039" s="193" t="s">
        <v>3522</v>
      </c>
      <c r="C1039" s="194" t="s">
        <v>577</v>
      </c>
      <c r="D1039" s="193" t="s">
        <v>520</v>
      </c>
      <c r="E1039" s="193" t="s">
        <v>3523</v>
      </c>
      <c r="F1039" s="195">
        <v>4252102.0</v>
      </c>
      <c r="G1039" s="196">
        <v>0.0</v>
      </c>
      <c r="H1039" s="193"/>
      <c r="I1039" s="197" t="str">
        <f>IF(iserror(vlookup($A1039,Pagos!$B$5:L1241,4,false)),"Sin actividad",If(vlookup($A1039,Pagos!$B$5:$L1241,5,false),vlookup($A1039,Pagos!$B$5:$L1241,5,false),vlookup($A1039,Pagos!$B$5:$L1241,4,false)))</f>
        <v>Sin actividad</v>
      </c>
      <c r="J1039" s="198" t="s">
        <v>529</v>
      </c>
      <c r="K1039" s="199">
        <v>38384.0</v>
      </c>
      <c r="L1039" s="234">
        <v>44501.0</v>
      </c>
      <c r="M1039" s="201" t="s">
        <v>3524</v>
      </c>
      <c r="N1039" s="202">
        <f>If(L1039&gt;K1039,   datedif(K1039,L1039,"Y") , If(K1039&lt;Vitalicios!$C$4, datedif(K1039,Vitalicios!$C$4,"Y"),0)  )</f>
        <v>16</v>
      </c>
      <c r="O1039" s="202"/>
    </row>
    <row r="1040">
      <c r="A1040" s="192">
        <v>2148.0</v>
      </c>
      <c r="B1040" s="193" t="s">
        <v>3525</v>
      </c>
      <c r="C1040" s="193" t="s">
        <v>537</v>
      </c>
      <c r="D1040" s="193" t="s">
        <v>485</v>
      </c>
      <c r="E1040" s="193" t="s">
        <v>3526</v>
      </c>
      <c r="F1040" s="195">
        <v>2.214185104E9</v>
      </c>
      <c r="G1040" s="196"/>
      <c r="H1040" s="193" t="s">
        <v>3527</v>
      </c>
      <c r="I1040" s="197"/>
      <c r="J1040" s="198" t="s">
        <v>529</v>
      </c>
      <c r="K1040" s="199">
        <v>44986.0</v>
      </c>
      <c r="L1040" s="218">
        <v>45200.0</v>
      </c>
      <c r="M1040" s="201" t="s">
        <v>535</v>
      </c>
      <c r="N1040" s="202"/>
      <c r="O1040" s="202"/>
    </row>
    <row r="1041">
      <c r="A1041" s="192">
        <v>1890.0</v>
      </c>
      <c r="B1041" s="193" t="s">
        <v>3528</v>
      </c>
      <c r="C1041" s="193" t="s">
        <v>526</v>
      </c>
      <c r="D1041" s="193" t="s">
        <v>538</v>
      </c>
      <c r="E1041" s="193" t="s">
        <v>3529</v>
      </c>
      <c r="F1041" s="195">
        <v>2.216769478E9</v>
      </c>
      <c r="G1041" s="196"/>
      <c r="H1041" s="193" t="s">
        <v>3530</v>
      </c>
      <c r="I1041" s="197">
        <f>IF(iserror(vlookup($A1041,Pagos!$B$5:L1241,4,false)),"Sin actividad",If(vlookup($A1041,Pagos!$B$5:$L1241,5,false),vlookup($A1041,Pagos!$B$5:$L1241,5,false),vlookup($A1041,Pagos!$B$5:$L1241,4,false)))</f>
        <v>45870</v>
      </c>
      <c r="J1041" s="198" t="s">
        <v>523</v>
      </c>
      <c r="K1041" s="199">
        <v>44256.0</v>
      </c>
      <c r="L1041" s="200"/>
      <c r="M1041" s="201"/>
      <c r="N1041" s="202"/>
      <c r="O1041" s="202"/>
    </row>
    <row r="1042">
      <c r="A1042" s="192">
        <v>1891.0</v>
      </c>
      <c r="B1042" s="193" t="s">
        <v>3531</v>
      </c>
      <c r="C1042" s="193" t="s">
        <v>526</v>
      </c>
      <c r="D1042" s="193" t="s">
        <v>538</v>
      </c>
      <c r="E1042" s="193" t="s">
        <v>3532</v>
      </c>
      <c r="F1042" s="195">
        <v>2.2159198E7</v>
      </c>
      <c r="G1042" s="196"/>
      <c r="H1042" s="193" t="s">
        <v>3533</v>
      </c>
      <c r="I1042" s="197">
        <f>IF(iserror(vlookup($A1042,Pagos!$B$5:L1241,4,false)),"Sin actividad",If(vlookup($A1042,Pagos!$B$5:$L1241,5,false),vlookup($A1042,Pagos!$B$5:$L1241,5,false),vlookup($A1042,Pagos!$B$5:$L1241,4,false)))</f>
        <v>45839</v>
      </c>
      <c r="J1042" s="198" t="s">
        <v>523</v>
      </c>
      <c r="K1042" s="199">
        <v>44256.0</v>
      </c>
      <c r="L1042" s="200"/>
      <c r="M1042" s="201"/>
      <c r="N1042" s="202"/>
      <c r="O1042" s="202"/>
    </row>
    <row r="1043">
      <c r="A1043" s="192">
        <v>1822.0</v>
      </c>
      <c r="B1043" s="193" t="s">
        <v>3534</v>
      </c>
      <c r="C1043" s="193" t="s">
        <v>537</v>
      </c>
      <c r="D1043" s="193" t="s">
        <v>538</v>
      </c>
      <c r="E1043" s="193" t="s">
        <v>3535</v>
      </c>
      <c r="F1043" s="195">
        <v>2.215467814E9</v>
      </c>
      <c r="G1043" s="196"/>
      <c r="H1043" s="193" t="s">
        <v>3536</v>
      </c>
      <c r="I1043" s="197" t="str">
        <f>IF(iserror(vlookup($A1043,Pagos!$B$5:L1241,4,false)),"Sin actividad",If(vlookup($A1043,Pagos!$B$5:$L1241,5,false),vlookup($A1043,Pagos!$B$5:$L1241,5,false),vlookup($A1043,Pagos!$B$5:$L1241,4,false)))</f>
        <v>Sin actividad</v>
      </c>
      <c r="J1043" s="198" t="s">
        <v>529</v>
      </c>
      <c r="K1043" s="199">
        <v>44075.0</v>
      </c>
      <c r="L1043" s="200">
        <v>44258.0</v>
      </c>
      <c r="M1043" s="201" t="s">
        <v>1201</v>
      </c>
      <c r="N1043" s="202"/>
      <c r="O1043" s="202"/>
    </row>
    <row r="1044">
      <c r="A1044" s="192">
        <v>1970.0</v>
      </c>
      <c r="B1044" s="193" t="s">
        <v>3537</v>
      </c>
      <c r="C1044" s="193" t="s">
        <v>537</v>
      </c>
      <c r="D1044" s="193" t="s">
        <v>628</v>
      </c>
      <c r="E1044" s="193" t="s">
        <v>3538</v>
      </c>
      <c r="F1044" s="195">
        <v>1.159045451E9</v>
      </c>
      <c r="G1044" s="196"/>
      <c r="H1044" s="193" t="s">
        <v>3539</v>
      </c>
      <c r="I1044" s="197" t="str">
        <f>IF(iserror(vlookup($A1044,Pagos!$B$5:L1241,4,false)),"Sin actividad",If(vlookup($A1044,Pagos!$B$5:$L1241,5,false),vlookup($A1044,Pagos!$B$5:$L1241,5,false),vlookup($A1044,Pagos!$B$5:$L1241,4,false)))</f>
        <v>Sin actividad</v>
      </c>
      <c r="J1044" s="198" t="s">
        <v>529</v>
      </c>
      <c r="K1044" s="199">
        <v>44562.0</v>
      </c>
      <c r="L1044" s="200"/>
      <c r="M1044" s="201" t="s">
        <v>312</v>
      </c>
      <c r="N1044" s="202"/>
      <c r="O1044" s="202"/>
    </row>
    <row r="1045">
      <c r="A1045" s="192">
        <v>1454.0</v>
      </c>
      <c r="B1045" s="193" t="s">
        <v>3540</v>
      </c>
      <c r="C1045" s="194" t="s">
        <v>526</v>
      </c>
      <c r="D1045" s="193" t="s">
        <v>556</v>
      </c>
      <c r="E1045" s="193"/>
      <c r="F1045" s="195"/>
      <c r="G1045" s="196"/>
      <c r="H1045" s="193"/>
      <c r="I1045" s="197" t="str">
        <f>IF(iserror(vlookup($A1045,Pagos!$B$5:L1241,4,false)),"Sin actividad",If(vlookup($A1045,Pagos!$B$5:$L1241,5,false),vlookup($A1045,Pagos!$B$5:$L1241,5,false),vlookup($A1045,Pagos!$B$5:$L1241,4,false)))</f>
        <v>Sin actividad</v>
      </c>
      <c r="J1045" s="198" t="s">
        <v>529</v>
      </c>
      <c r="K1045" s="199">
        <v>41363.0</v>
      </c>
      <c r="L1045" s="200">
        <v>42461.0</v>
      </c>
      <c r="M1045" s="201"/>
      <c r="N1045" s="202">
        <f>If(L1045&gt;K1045,   datedif(K1045,L1045,"Y") , If(K1045&lt;Vitalicios!$C$4, datedif(K1045,Vitalicios!$C$4,"Y"),0)  )</f>
        <v>3</v>
      </c>
      <c r="O1045" s="202"/>
    </row>
    <row r="1046">
      <c r="A1046" s="192">
        <v>1169.0</v>
      </c>
      <c r="B1046" s="193" t="s">
        <v>3541</v>
      </c>
      <c r="C1046" s="194" t="s">
        <v>526</v>
      </c>
      <c r="D1046" s="193" t="s">
        <v>520</v>
      </c>
      <c r="E1046" s="193" t="s">
        <v>3542</v>
      </c>
      <c r="F1046" s="195">
        <v>4582093.0</v>
      </c>
      <c r="G1046" s="196">
        <v>0.0</v>
      </c>
      <c r="H1046" s="193"/>
      <c r="I1046" s="197" t="str">
        <f>IF(iserror(vlookup($A1046,Pagos!$B$5:L1241,4,false)),"Sin actividad",If(vlookup($A1046,Pagos!$B$5:$L1241,5,false),vlookup($A1046,Pagos!$B$5:$L1241,5,false),vlookup($A1046,Pagos!$B$5:$L1241,4,false)))</f>
        <v>Sin actividad</v>
      </c>
      <c r="J1046" s="198" t="s">
        <v>529</v>
      </c>
      <c r="K1046" s="199">
        <v>39473.0</v>
      </c>
      <c r="L1046" s="200">
        <v>41487.0</v>
      </c>
      <c r="M1046" s="201" t="s">
        <v>1201</v>
      </c>
      <c r="N1046" s="202">
        <f>If(L1046&gt;K1046,   datedif(K1046,L1046,"Y") , If(K1046&lt;Vitalicios!$C$4, datedif(K1046,Vitalicios!$C$4,"Y"),0)  )</f>
        <v>5</v>
      </c>
      <c r="O1046" s="202"/>
    </row>
    <row r="1047">
      <c r="A1047" s="192">
        <v>2317.0</v>
      </c>
      <c r="B1047" s="193" t="s">
        <v>3543</v>
      </c>
      <c r="C1047" s="193" t="s">
        <v>537</v>
      </c>
      <c r="D1047" s="193" t="s">
        <v>538</v>
      </c>
      <c r="E1047" s="193" t="s">
        <v>3544</v>
      </c>
      <c r="F1047" s="195">
        <v>1.16266057E9</v>
      </c>
      <c r="G1047" s="196"/>
      <c r="H1047" s="193" t="s">
        <v>3545</v>
      </c>
      <c r="I1047" s="197"/>
      <c r="J1047" s="198" t="s">
        <v>523</v>
      </c>
      <c r="K1047" s="199">
        <v>45658.0</v>
      </c>
      <c r="L1047" s="200"/>
      <c r="M1047" s="201"/>
      <c r="N1047" s="202"/>
      <c r="O1047" s="202"/>
    </row>
    <row r="1048">
      <c r="A1048" s="192">
        <v>1047.0</v>
      </c>
      <c r="B1048" s="193" t="s">
        <v>3546</v>
      </c>
      <c r="C1048" s="194" t="s">
        <v>577</v>
      </c>
      <c r="D1048" s="193" t="s">
        <v>556</v>
      </c>
      <c r="E1048" s="193" t="s">
        <v>3547</v>
      </c>
      <c r="F1048" s="195">
        <v>0.0</v>
      </c>
      <c r="G1048" s="196">
        <v>0.0</v>
      </c>
      <c r="H1048" s="193"/>
      <c r="I1048" s="197" t="str">
        <f>IF(iserror(vlookup($A1048,Pagos!$B$5:L1241,4,false)),"Sin actividad",If(vlookup($A1048,Pagos!$B$5:$L1241,5,false),vlookup($A1048,Pagos!$B$5:$L1241,5,false),vlookup($A1048,Pagos!$B$5:$L1241,4,false)))</f>
        <v>Sin actividad</v>
      </c>
      <c r="J1048" s="198" t="s">
        <v>529</v>
      </c>
      <c r="K1048" s="199">
        <v>38326.0</v>
      </c>
      <c r="L1048" s="200">
        <v>41944.0</v>
      </c>
      <c r="M1048" s="201" t="s">
        <v>1201</v>
      </c>
      <c r="N1048" s="202">
        <f>If(L1048&gt;K1048,   datedif(K1048,L1048,"Y") , If(K1048&lt;Vitalicios!$C$4, datedif(K1048,Vitalicios!$C$4,"Y"),0)  )</f>
        <v>9</v>
      </c>
      <c r="O1048" s="202"/>
    </row>
    <row r="1049">
      <c r="A1049" s="192">
        <v>2164.0</v>
      </c>
      <c r="B1049" s="193" t="s">
        <v>3548</v>
      </c>
      <c r="C1049" s="193" t="s">
        <v>537</v>
      </c>
      <c r="D1049" s="193" t="s">
        <v>538</v>
      </c>
      <c r="E1049" s="193" t="s">
        <v>3206</v>
      </c>
      <c r="F1049" s="195">
        <v>2.21572916E9</v>
      </c>
      <c r="G1049" s="196"/>
      <c r="H1049" s="210" t="s">
        <v>3549</v>
      </c>
      <c r="I1049" s="197"/>
      <c r="J1049" s="198" t="s">
        <v>523</v>
      </c>
      <c r="K1049" s="199">
        <v>45017.0</v>
      </c>
      <c r="L1049" s="200"/>
      <c r="M1049" s="201"/>
      <c r="N1049" s="202"/>
      <c r="O1049" s="202"/>
    </row>
    <row r="1050">
      <c r="A1050" s="192">
        <v>2166.0</v>
      </c>
      <c r="B1050" s="193" t="s">
        <v>3550</v>
      </c>
      <c r="C1050" s="193" t="s">
        <v>537</v>
      </c>
      <c r="D1050" s="193" t="s">
        <v>538</v>
      </c>
      <c r="E1050" s="193" t="s">
        <v>3551</v>
      </c>
      <c r="F1050" s="195">
        <v>2.216009909E9</v>
      </c>
      <c r="G1050" s="196"/>
      <c r="H1050" s="210" t="s">
        <v>3552</v>
      </c>
      <c r="I1050" s="197"/>
      <c r="J1050" s="198" t="s">
        <v>523</v>
      </c>
      <c r="K1050" s="199"/>
      <c r="L1050" s="200">
        <v>45017.0</v>
      </c>
      <c r="M1050" s="201"/>
      <c r="N1050" s="202"/>
      <c r="O1050" s="202"/>
    </row>
    <row r="1051">
      <c r="A1051" s="192">
        <v>1066.0</v>
      </c>
      <c r="B1051" s="193" t="s">
        <v>3553</v>
      </c>
      <c r="C1051" s="194" t="s">
        <v>526</v>
      </c>
      <c r="D1051" s="193" t="s">
        <v>693</v>
      </c>
      <c r="E1051" s="193" t="s">
        <v>3554</v>
      </c>
      <c r="F1051" s="195">
        <v>4.3011094E7</v>
      </c>
      <c r="G1051" s="196">
        <v>0.0</v>
      </c>
      <c r="H1051" s="193" t="s">
        <v>3555</v>
      </c>
      <c r="I1051" s="197">
        <f>IF(iserror(vlookup($A1051,Pagos!$B$5:L1241,4,false)),"Sin actividad",If(vlookup($A1051,Pagos!$B$5:$L1241,5,false),vlookup($A1051,Pagos!$B$5:$L1241,5,false),vlookup($A1051,Pagos!$B$5:$L1241,4,false)))</f>
        <v>45870</v>
      </c>
      <c r="J1051" s="198" t="s">
        <v>523</v>
      </c>
      <c r="K1051" s="199">
        <v>38384.0</v>
      </c>
      <c r="L1051" s="200"/>
      <c r="M1051" s="201"/>
      <c r="N1051" s="202">
        <f>If(L1051&gt;K1051,   datedif(K1051,L1051,"Y") , If(K1051&lt;Vitalicios!$C$4, datedif(K1051,Vitalicios!$C$4,"Y"),0)  )</f>
        <v>20</v>
      </c>
      <c r="O1051" s="202"/>
    </row>
    <row r="1052">
      <c r="A1052" s="192">
        <v>2295.0</v>
      </c>
      <c r="B1052" s="193" t="s">
        <v>3556</v>
      </c>
      <c r="C1052" s="193" t="s">
        <v>537</v>
      </c>
      <c r="D1052" s="193" t="s">
        <v>3557</v>
      </c>
      <c r="E1052" s="193" t="s">
        <v>3558</v>
      </c>
      <c r="F1052" s="195">
        <v>1.13929499E9</v>
      </c>
      <c r="G1052" s="196"/>
      <c r="H1052" s="193" t="s">
        <v>3559</v>
      </c>
      <c r="I1052" s="197"/>
      <c r="J1052" s="198" t="s">
        <v>523</v>
      </c>
      <c r="K1052" s="199">
        <v>45597.0</v>
      </c>
      <c r="L1052" s="200"/>
      <c r="M1052" s="201"/>
      <c r="N1052" s="202"/>
      <c r="O1052" s="202"/>
    </row>
    <row r="1053">
      <c r="A1053" s="192">
        <v>2310.0</v>
      </c>
      <c r="B1053" s="193" t="s">
        <v>3560</v>
      </c>
      <c r="C1053" s="193" t="s">
        <v>537</v>
      </c>
      <c r="D1053" s="193" t="s">
        <v>1629</v>
      </c>
      <c r="E1053" s="193" t="s">
        <v>3561</v>
      </c>
      <c r="F1053" s="195">
        <v>1.13122491E9</v>
      </c>
      <c r="G1053" s="196"/>
      <c r="H1053" s="193" t="s">
        <v>3562</v>
      </c>
      <c r="I1053" s="197"/>
      <c r="J1053" s="198" t="s">
        <v>523</v>
      </c>
      <c r="K1053" s="199">
        <v>45658.0</v>
      </c>
      <c r="L1053" s="200"/>
      <c r="M1053" s="201"/>
      <c r="N1053" s="202"/>
      <c r="O1053" s="202"/>
    </row>
    <row r="1054">
      <c r="A1054" s="192">
        <v>2344.0</v>
      </c>
      <c r="B1054" s="193" t="s">
        <v>3563</v>
      </c>
      <c r="C1054" s="193" t="s">
        <v>537</v>
      </c>
      <c r="D1054" s="193" t="s">
        <v>532</v>
      </c>
      <c r="E1054" s="193" t="s">
        <v>1038</v>
      </c>
      <c r="F1054" s="195">
        <v>2.215548444E9</v>
      </c>
      <c r="G1054" s="221"/>
      <c r="H1054" s="193" t="s">
        <v>3564</v>
      </c>
      <c r="I1054" s="197"/>
      <c r="J1054" s="198" t="s">
        <v>523</v>
      </c>
      <c r="K1054" s="199">
        <v>45717.0</v>
      </c>
      <c r="L1054" s="200"/>
      <c r="M1054" s="201"/>
      <c r="N1054" s="202"/>
      <c r="O1054" s="202"/>
    </row>
    <row r="1055">
      <c r="A1055" s="192">
        <v>1339.0</v>
      </c>
      <c r="B1055" s="193" t="s">
        <v>3565</v>
      </c>
      <c r="C1055" s="194" t="s">
        <v>526</v>
      </c>
      <c r="D1055" s="193" t="s">
        <v>527</v>
      </c>
      <c r="E1055" s="193" t="s">
        <v>3566</v>
      </c>
      <c r="F1055" s="195">
        <v>4842358.0</v>
      </c>
      <c r="G1055" s="196">
        <v>0.0</v>
      </c>
      <c r="H1055" s="193"/>
      <c r="I1055" s="197" t="str">
        <f>IF(iserror(vlookup($A1055,Pagos!$B$5:L1241,4,false)),"Sin actividad",If(vlookup($A1055,Pagos!$B$5:$L1241,5,false),vlookup($A1055,Pagos!$B$5:$L1241,5,false),vlookup($A1055,Pagos!$B$5:$L1241,4,false)))</f>
        <v>Sin actividad</v>
      </c>
      <c r="J1055" s="198" t="s">
        <v>529</v>
      </c>
      <c r="K1055" s="199">
        <v>40531.0</v>
      </c>
      <c r="L1055" s="200">
        <v>42330.0</v>
      </c>
      <c r="M1055" s="201" t="s">
        <v>1201</v>
      </c>
      <c r="N1055" s="202">
        <f>If(L1055&gt;K1055,   datedif(K1055,L1055,"Y") , If(K1055&lt;Vitalicios!$C$4, datedif(K1055,Vitalicios!$C$4,"Y"),0)  )</f>
        <v>4</v>
      </c>
      <c r="O1055" s="202"/>
    </row>
    <row r="1056">
      <c r="A1056" s="192">
        <v>1824.0</v>
      </c>
      <c r="B1056" s="193" t="s">
        <v>3567</v>
      </c>
      <c r="C1056" s="193" t="s">
        <v>537</v>
      </c>
      <c r="D1056" s="193" t="s">
        <v>549</v>
      </c>
      <c r="E1056" s="193" t="s">
        <v>3568</v>
      </c>
      <c r="F1056" s="195">
        <v>2.215582411E9</v>
      </c>
      <c r="G1056" s="196"/>
      <c r="H1056" s="193" t="s">
        <v>3569</v>
      </c>
      <c r="I1056" s="197" t="str">
        <f>IF(iserror(vlookup($A1056,Pagos!$B$5:L1241,4,false)),"Sin actividad",If(vlookup($A1056,Pagos!$B$5:$L1241,5,false),vlookup($A1056,Pagos!$B$5:$L1241,5,false),vlookup($A1056,Pagos!$B$5:$L1241,4,false)))</f>
        <v>Sin actividad</v>
      </c>
      <c r="J1056" s="198" t="s">
        <v>529</v>
      </c>
      <c r="K1056" s="199">
        <v>44075.0</v>
      </c>
      <c r="L1056" s="200">
        <v>44197.0</v>
      </c>
      <c r="M1056" s="201" t="s">
        <v>716</v>
      </c>
      <c r="N1056" s="202"/>
      <c r="O1056" s="202"/>
    </row>
    <row r="1057">
      <c r="A1057" s="192">
        <v>1344.0</v>
      </c>
      <c r="B1057" s="193" t="s">
        <v>3570</v>
      </c>
      <c r="C1057" s="194" t="s">
        <v>526</v>
      </c>
      <c r="D1057" s="193" t="s">
        <v>556</v>
      </c>
      <c r="E1057" s="193" t="s">
        <v>3571</v>
      </c>
      <c r="F1057" s="195">
        <v>0.0</v>
      </c>
      <c r="G1057" s="196">
        <v>0.0</v>
      </c>
      <c r="H1057" s="193" t="s">
        <v>3572</v>
      </c>
      <c r="I1057" s="197" t="str">
        <f>IF(iserror(vlookup($A1057,Pagos!$B$5:L1241,4,false)),"Sin actividad",If(vlookup($A1057,Pagos!$B$5:$L1241,5,false),vlookup($A1057,Pagos!$B$5:$L1241,5,false),vlookup($A1057,Pagos!$B$5:$L1241,4,false)))</f>
        <v>Sin actividad</v>
      </c>
      <c r="J1057" s="198" t="s">
        <v>529</v>
      </c>
      <c r="K1057" s="199">
        <v>43344.0</v>
      </c>
      <c r="L1057" s="200"/>
      <c r="M1057" s="201"/>
      <c r="N1057" s="202">
        <f>If(L1057&gt;K1057,   datedif(K1057,L1057,"Y") , If(K1057&lt;Vitalicios!$C$4, datedif(K1057,Vitalicios!$C$4,"Y"),0)  )</f>
        <v>7</v>
      </c>
      <c r="O1057" s="202"/>
    </row>
    <row r="1058">
      <c r="A1058" s="192">
        <v>6.0</v>
      </c>
      <c r="B1058" s="193" t="s">
        <v>3573</v>
      </c>
      <c r="C1058" s="194" t="s">
        <v>577</v>
      </c>
      <c r="D1058" s="193" t="s">
        <v>520</v>
      </c>
      <c r="E1058" s="193" t="s">
        <v>3574</v>
      </c>
      <c r="F1058" s="195">
        <v>4513176.0</v>
      </c>
      <c r="G1058" s="196">
        <v>0.0</v>
      </c>
      <c r="H1058" s="193" t="s">
        <v>3575</v>
      </c>
      <c r="I1058" s="197" t="str">
        <f>IF(iserror(vlookup($A1058,Pagos!$B$5:L1241,4,false)),"Sin actividad",If(vlookup($A1058,Pagos!$B$5:$L1241,5,false),vlookup($A1058,Pagos!$B$5:$L1241,5,false),vlookup($A1058,Pagos!$B$5:$L1241,4,false)))</f>
        <v>Sin actividad</v>
      </c>
      <c r="J1058" s="198" t="s">
        <v>846</v>
      </c>
      <c r="K1058" s="199">
        <v>31508.0</v>
      </c>
      <c r="L1058" s="200"/>
      <c r="M1058" s="201"/>
      <c r="N1058" s="202">
        <f>If(L1058&gt;K1058,   datedif(K1058,L1058,"Y") , If(K1058&lt;Vitalicios!$C$4, datedif(K1058,Vitalicios!$C$4,"Y"),0)  )</f>
        <v>39</v>
      </c>
      <c r="O1058" s="202"/>
    </row>
    <row r="1059">
      <c r="A1059" s="192">
        <v>1420.0</v>
      </c>
      <c r="B1059" s="193" t="s">
        <v>3576</v>
      </c>
      <c r="C1059" s="194" t="s">
        <v>526</v>
      </c>
      <c r="D1059" s="193" t="s">
        <v>527</v>
      </c>
      <c r="E1059" s="193" t="s">
        <v>3577</v>
      </c>
      <c r="F1059" s="195">
        <v>4802260.0</v>
      </c>
      <c r="G1059" s="196">
        <v>0.0</v>
      </c>
      <c r="H1059" s="193" t="s">
        <v>3578</v>
      </c>
      <c r="I1059" s="197" t="str">
        <f>IF(iserror(vlookup($A1059,Pagos!$B$5:L1241,4,false)),"Sin actividad",If(vlookup($A1059,Pagos!$B$5:$L1241,5,false),vlookup($A1059,Pagos!$B$5:$L1241,5,false),vlookup($A1059,Pagos!$B$5:$L1241,4,false)))</f>
        <v>Sin actividad</v>
      </c>
      <c r="J1059" s="198" t="s">
        <v>529</v>
      </c>
      <c r="K1059" s="199">
        <v>41083.0</v>
      </c>
      <c r="L1059" s="200">
        <v>44378.0</v>
      </c>
      <c r="M1059" s="201" t="s">
        <v>614</v>
      </c>
      <c r="N1059" s="202">
        <f>If(L1059&gt;K1059,   datedif(K1059,L1059,"Y") , If(K1059&lt;Vitalicios!$C$4, datedif(K1059,Vitalicios!$C$4,"Y"),0)  )</f>
        <v>9</v>
      </c>
      <c r="O1059" s="202"/>
    </row>
    <row r="1060">
      <c r="A1060" s="192">
        <v>2067.0</v>
      </c>
      <c r="B1060" s="193" t="s">
        <v>3579</v>
      </c>
      <c r="C1060" s="193" t="s">
        <v>537</v>
      </c>
      <c r="D1060" s="193" t="s">
        <v>3580</v>
      </c>
      <c r="E1060" s="193"/>
      <c r="F1060" s="195"/>
      <c r="G1060" s="196"/>
      <c r="H1060" s="193"/>
      <c r="I1060" s="197"/>
      <c r="J1060" s="198" t="s">
        <v>529</v>
      </c>
      <c r="K1060" s="199">
        <v>44805.0</v>
      </c>
      <c r="L1060" s="200">
        <v>44774.0</v>
      </c>
      <c r="M1060" s="201"/>
      <c r="N1060" s="202"/>
      <c r="O1060" s="202"/>
    </row>
    <row r="1061">
      <c r="A1061" s="192">
        <v>2297.0</v>
      </c>
      <c r="B1061" s="193" t="s">
        <v>3581</v>
      </c>
      <c r="C1061" s="193" t="s">
        <v>537</v>
      </c>
      <c r="D1061" s="193" t="s">
        <v>596</v>
      </c>
      <c r="E1061" s="193" t="s">
        <v>3582</v>
      </c>
      <c r="F1061" s="195">
        <v>3.5940612E7</v>
      </c>
      <c r="G1061" s="196"/>
      <c r="H1061" s="193" t="s">
        <v>3583</v>
      </c>
      <c r="I1061" s="197"/>
      <c r="J1061" s="198" t="s">
        <v>523</v>
      </c>
      <c r="K1061" s="199">
        <v>45597.0</v>
      </c>
      <c r="L1061" s="200"/>
      <c r="M1061" s="201"/>
      <c r="N1061" s="202"/>
      <c r="O1061" s="202"/>
    </row>
    <row r="1062">
      <c r="A1062" s="192">
        <v>1715.0</v>
      </c>
      <c r="B1062" s="193" t="s">
        <v>3584</v>
      </c>
      <c r="C1062" s="194" t="s">
        <v>519</v>
      </c>
      <c r="D1062" s="193" t="s">
        <v>520</v>
      </c>
      <c r="E1062" s="193" t="s">
        <v>3585</v>
      </c>
      <c r="F1062" s="195">
        <v>1.54814188E8</v>
      </c>
      <c r="G1062" s="196"/>
      <c r="H1062" s="193" t="s">
        <v>3586</v>
      </c>
      <c r="I1062" s="197" t="str">
        <f>IF(iserror(vlookup($A1062,Pagos!$B$5:L1241,4,false)),"Sin actividad",If(vlookup($A1062,Pagos!$B$5:$L1241,5,false),vlookup($A1062,Pagos!$B$5:$L1241,5,false),vlookup($A1062,Pagos!$B$5:$L1241,4,false)))</f>
        <v>Sin actividad</v>
      </c>
      <c r="J1062" s="198" t="s">
        <v>529</v>
      </c>
      <c r="K1062" s="199">
        <v>43405.0</v>
      </c>
      <c r="L1062" s="200">
        <v>44044.0</v>
      </c>
      <c r="M1062" s="201"/>
      <c r="N1062" s="202">
        <f>If(L1062&gt;K1062,   datedif(K1062,L1062,"Y") , If(K1062&lt;Vitalicios!$C$4, datedif(K1062,Vitalicios!$C$4,"Y"),0)  )</f>
        <v>1</v>
      </c>
      <c r="O1062" s="202"/>
    </row>
    <row r="1063">
      <c r="A1063" s="192">
        <v>1078.0</v>
      </c>
      <c r="B1063" s="193" t="s">
        <v>3587</v>
      </c>
      <c r="C1063" s="194" t="s">
        <v>526</v>
      </c>
      <c r="D1063" s="193" t="s">
        <v>527</v>
      </c>
      <c r="E1063" s="193" t="s">
        <v>3588</v>
      </c>
      <c r="F1063" s="195">
        <v>0.0</v>
      </c>
      <c r="G1063" s="196">
        <v>0.0</v>
      </c>
      <c r="H1063" s="193"/>
      <c r="I1063" s="197" t="str">
        <f>IF(iserror(vlookup($A1063,Pagos!$B$5:L1241,4,false)),"Sin actividad",If(vlookup($A1063,Pagos!$B$5:$L1241,5,false),vlookup($A1063,Pagos!$B$5:$L1241,5,false),vlookup($A1063,Pagos!$B$5:$L1241,4,false)))</f>
        <v>Sin actividad</v>
      </c>
      <c r="J1063" s="198" t="s">
        <v>529</v>
      </c>
      <c r="K1063" s="199">
        <v>38627.0</v>
      </c>
      <c r="L1063" s="200">
        <v>42675.0</v>
      </c>
      <c r="M1063" s="201"/>
      <c r="N1063" s="202">
        <f>If(L1063&gt;K1063,   datedif(K1063,L1063,"Y") , If(K1063&lt;Vitalicios!$C$4, datedif(K1063,Vitalicios!$C$4,"Y"),0)  )</f>
        <v>11</v>
      </c>
      <c r="O1063" s="202"/>
    </row>
    <row r="1064">
      <c r="A1064" s="192">
        <v>2046.0</v>
      </c>
      <c r="B1064" s="193" t="s">
        <v>3589</v>
      </c>
      <c r="C1064" s="193" t="s">
        <v>537</v>
      </c>
      <c r="D1064" s="193" t="s">
        <v>538</v>
      </c>
      <c r="E1064" s="193" t="s">
        <v>3590</v>
      </c>
      <c r="F1064" s="195">
        <v>2.215739599E9</v>
      </c>
      <c r="G1064" s="196"/>
      <c r="H1064" s="193" t="s">
        <v>3591</v>
      </c>
      <c r="I1064" s="197"/>
      <c r="J1064" s="198" t="s">
        <v>523</v>
      </c>
      <c r="K1064" s="199">
        <v>44805.0</v>
      </c>
      <c r="L1064" s="200"/>
      <c r="M1064" s="201"/>
      <c r="N1064" s="202"/>
      <c r="O1064" s="202"/>
    </row>
    <row r="1065" ht="18.0" customHeight="1">
      <c r="A1065" s="192">
        <v>1531.0</v>
      </c>
      <c r="B1065" s="193" t="s">
        <v>3592</v>
      </c>
      <c r="C1065" s="194" t="s">
        <v>526</v>
      </c>
      <c r="D1065" s="193" t="s">
        <v>48</v>
      </c>
      <c r="E1065" s="193" t="s">
        <v>3593</v>
      </c>
      <c r="F1065" s="195">
        <v>2.2115791688E10</v>
      </c>
      <c r="G1065" s="196">
        <v>0.0</v>
      </c>
      <c r="H1065" s="193"/>
      <c r="I1065" s="197" t="str">
        <f>IF(iserror(vlookup($A1065,Pagos!$B$5:L1241,4,false)),"Sin actividad",If(vlookup($A1065,Pagos!$B$5:$L1241,5,false),vlookup($A1065,Pagos!$B$5:$L1241,5,false),vlookup($A1065,Pagos!$B$5:$L1241,4,false)))</f>
        <v>Sin actividad</v>
      </c>
      <c r="J1065" s="198" t="s">
        <v>529</v>
      </c>
      <c r="K1065" s="199">
        <v>41952.0</v>
      </c>
      <c r="L1065" s="200">
        <v>43374.0</v>
      </c>
      <c r="M1065" s="201" t="s">
        <v>560</v>
      </c>
      <c r="N1065" s="202">
        <f>If(L1065&gt;K1065,   datedif(K1065,L1065,"Y") , If(K1065&lt;Vitalicios!$C$4, datedif(K1065,Vitalicios!$C$4,"Y"),0)  )</f>
        <v>3</v>
      </c>
      <c r="O1065" s="202"/>
    </row>
    <row r="1066" ht="18.0" customHeight="1">
      <c r="A1066" s="192">
        <v>2158.0</v>
      </c>
      <c r="B1066" s="193" t="s">
        <v>3594</v>
      </c>
      <c r="C1066" s="194"/>
      <c r="D1066" s="193"/>
      <c r="E1066" s="193" t="s">
        <v>3595</v>
      </c>
      <c r="F1066" s="195">
        <v>2.216340469E9</v>
      </c>
      <c r="G1066" s="196"/>
      <c r="H1066" s="193" t="s">
        <v>3596</v>
      </c>
      <c r="I1066" s="197"/>
      <c r="J1066" s="198" t="s">
        <v>529</v>
      </c>
      <c r="K1066" s="199"/>
      <c r="L1066" s="200">
        <v>45261.0</v>
      </c>
      <c r="M1066" s="201"/>
      <c r="N1066" s="202"/>
      <c r="O1066" s="202"/>
    </row>
    <row r="1067">
      <c r="A1067" s="192">
        <v>1430.0</v>
      </c>
      <c r="B1067" s="193" t="s">
        <v>3597</v>
      </c>
      <c r="C1067" s="194" t="s">
        <v>526</v>
      </c>
      <c r="D1067" s="193" t="s">
        <v>556</v>
      </c>
      <c r="E1067" s="193" t="s">
        <v>3598</v>
      </c>
      <c r="F1067" s="195">
        <v>4722861.0</v>
      </c>
      <c r="G1067" s="196">
        <v>0.0</v>
      </c>
      <c r="H1067" s="193" t="s">
        <v>3599</v>
      </c>
      <c r="I1067" s="197" t="str">
        <f>IF(iserror(vlookup($A1067,Pagos!$B$5:L1241,4,false)),"Sin actividad",If(vlookup($A1067,Pagos!$B$5:$L1241,5,false),vlookup($A1067,Pagos!$B$5:$L1241,5,false),vlookup($A1067,Pagos!$B$5:$L1241,4,false)))</f>
        <v>Sin actividad</v>
      </c>
      <c r="J1067" s="198" t="s">
        <v>529</v>
      </c>
      <c r="K1067" s="199">
        <v>41176.0</v>
      </c>
      <c r="L1067" s="200">
        <v>43525.0</v>
      </c>
      <c r="M1067" s="201"/>
      <c r="N1067" s="202">
        <f>If(L1067&gt;K1067,   datedif(K1067,L1067,"Y") , If(K1067&lt;Vitalicios!$C$4, datedif(K1067,Vitalicios!$C$4,"Y"),0)  )</f>
        <v>6</v>
      </c>
      <c r="O1067" s="202"/>
    </row>
    <row r="1068">
      <c r="A1068" s="192">
        <v>1465.0</v>
      </c>
      <c r="B1068" s="193" t="s">
        <v>3600</v>
      </c>
      <c r="C1068" s="194" t="s">
        <v>526</v>
      </c>
      <c r="D1068" s="193" t="s">
        <v>527</v>
      </c>
      <c r="E1068" s="193" t="s">
        <v>3601</v>
      </c>
      <c r="F1068" s="195">
        <v>1.55990226E8</v>
      </c>
      <c r="G1068" s="196">
        <v>0.0</v>
      </c>
      <c r="H1068" s="193"/>
      <c r="I1068" s="197" t="str">
        <f>IF(iserror(vlookup($A1068,Pagos!$B$5:L1241,4,false)),"Sin actividad",If(vlookup($A1068,Pagos!$B$5:$L1241,5,false),vlookup($A1068,Pagos!$B$5:$L1241,5,false),vlookup($A1068,Pagos!$B$5:$L1241,4,false)))</f>
        <v>Sin actividad</v>
      </c>
      <c r="J1068" s="198" t="s">
        <v>529</v>
      </c>
      <c r="K1068" s="199">
        <v>41461.0</v>
      </c>
      <c r="L1068" s="200">
        <v>42826.0</v>
      </c>
      <c r="M1068" s="201"/>
      <c r="N1068" s="202">
        <f>If(L1068&gt;K1068,   datedif(K1068,L1068,"Y") , If(K1068&lt;Vitalicios!$C$4, datedif(K1068,Vitalicios!$C$4,"Y"),0)  )</f>
        <v>3</v>
      </c>
      <c r="O1068" s="202"/>
    </row>
    <row r="1069">
      <c r="A1069" s="192">
        <v>1888.0</v>
      </c>
      <c r="B1069" s="193" t="s">
        <v>3602</v>
      </c>
      <c r="C1069" s="193" t="s">
        <v>537</v>
      </c>
      <c r="D1069" s="193" t="s">
        <v>538</v>
      </c>
      <c r="E1069" s="193" t="s">
        <v>3603</v>
      </c>
      <c r="F1069" s="195">
        <v>1.11540624811E11</v>
      </c>
      <c r="G1069" s="196"/>
      <c r="H1069" s="193" t="s">
        <v>3604</v>
      </c>
      <c r="I1069" s="197">
        <f>IF(iserror(vlookup($A1069,Pagos!$B$5:L1241,4,false)),"Sin actividad",If(vlookup($A1069,Pagos!$B$5:$L1241,5,false),vlookup($A1069,Pagos!$B$5:$L1241,5,false),vlookup($A1069,Pagos!$B$5:$L1241,4,false)))</f>
        <v>45870</v>
      </c>
      <c r="J1069" s="198" t="s">
        <v>523</v>
      </c>
      <c r="K1069" s="199">
        <v>44228.0</v>
      </c>
      <c r="L1069" s="200"/>
      <c r="M1069" s="201"/>
      <c r="N1069" s="202"/>
      <c r="O1069" s="202"/>
    </row>
    <row r="1070">
      <c r="A1070" s="192">
        <v>1456.0</v>
      </c>
      <c r="B1070" s="193" t="s">
        <v>3605</v>
      </c>
      <c r="C1070" s="194" t="s">
        <v>526</v>
      </c>
      <c r="D1070" s="193" t="s">
        <v>556</v>
      </c>
      <c r="E1070" s="193"/>
      <c r="F1070" s="195"/>
      <c r="G1070" s="196"/>
      <c r="H1070" s="193" t="s">
        <v>3606</v>
      </c>
      <c r="I1070" s="197">
        <f>IF(iserror(vlookup($A1070,Pagos!$B$5:L1241,4,false)),"Sin actividad",If(vlookup($A1070,Pagos!$B$5:$L1241,5,false),vlookup($A1070,Pagos!$B$5:$L1241,5,false),vlookup($A1070,Pagos!$B$5:$L1241,4,false)))</f>
        <v>45870</v>
      </c>
      <c r="J1070" s="198" t="s">
        <v>523</v>
      </c>
      <c r="K1070" s="199">
        <v>41363.0</v>
      </c>
      <c r="L1070" s="200"/>
      <c r="M1070" s="201"/>
      <c r="N1070" s="202">
        <f>If(L1070&gt;K1070,   datedif(K1070,L1070,"Y") , If(K1070&lt;Vitalicios!$C$4, datedif(K1070,Vitalicios!$C$4,"Y"),0)  )</f>
        <v>12</v>
      </c>
      <c r="O1070" s="202"/>
    </row>
    <row r="1071">
      <c r="A1071" s="192">
        <v>1453.0</v>
      </c>
      <c r="B1071" s="193" t="s">
        <v>3607</v>
      </c>
      <c r="C1071" s="194" t="s">
        <v>577</v>
      </c>
      <c r="D1071" s="193" t="s">
        <v>556</v>
      </c>
      <c r="E1071" s="193"/>
      <c r="F1071" s="195"/>
      <c r="G1071" s="196"/>
      <c r="H1071" s="193"/>
      <c r="I1071" s="197" t="str">
        <f>IF(iserror(vlookup($A1071,Pagos!$B$5:L1241,4,false)),"Sin actividad",If(vlookup($A1071,Pagos!$B$5:$L1241,5,false),vlookup($A1071,Pagos!$B$5:$L1241,5,false),vlookup($A1071,Pagos!$B$5:$L1241,4,false)))</f>
        <v>Sin actividad</v>
      </c>
      <c r="J1071" s="198" t="s">
        <v>529</v>
      </c>
      <c r="K1071" s="199">
        <v>41362.0</v>
      </c>
      <c r="L1071" s="200">
        <v>45444.0</v>
      </c>
      <c r="M1071" s="201" t="s">
        <v>614</v>
      </c>
      <c r="N1071" s="202">
        <f>If(L1071&gt;K1071,   datedif(K1071,L1071,"Y") , If(K1071&lt;Vitalicios!$C$4, datedif(K1071,Vitalicios!$C$4,"Y"),0)  )</f>
        <v>11</v>
      </c>
      <c r="O1071" s="202"/>
    </row>
    <row r="1072">
      <c r="A1072" s="192">
        <v>1292.0</v>
      </c>
      <c r="B1072" s="193" t="s">
        <v>3608</v>
      </c>
      <c r="C1072" s="194" t="s">
        <v>526</v>
      </c>
      <c r="D1072" s="193" t="s">
        <v>556</v>
      </c>
      <c r="E1072" s="193" t="s">
        <v>3609</v>
      </c>
      <c r="F1072" s="195">
        <v>1.1153149662E11</v>
      </c>
      <c r="G1072" s="196">
        <v>0.0</v>
      </c>
      <c r="H1072" s="193"/>
      <c r="I1072" s="197" t="str">
        <f>IF(iserror(vlookup($A1072,Pagos!$B$5:L1241,4,false)),"Sin actividad",If(vlookup($A1072,Pagos!$B$5:$L1241,5,false),vlookup($A1072,Pagos!$B$5:$L1241,5,false),vlookup($A1072,Pagos!$B$5:$L1241,4,false)))</f>
        <v>Sin actividad</v>
      </c>
      <c r="J1072" s="198" t="s">
        <v>529</v>
      </c>
      <c r="K1072" s="199">
        <v>40224.0</v>
      </c>
      <c r="L1072" s="200">
        <v>41944.0</v>
      </c>
      <c r="M1072" s="201" t="s">
        <v>2102</v>
      </c>
      <c r="N1072" s="202">
        <f>If(L1072&gt;K1072,   datedif(K1072,L1072,"Y") , If(K1072&lt;Vitalicios!$C$4, datedif(K1072,Vitalicios!$C$4,"Y"),0)  )</f>
        <v>4</v>
      </c>
      <c r="O1072" s="202"/>
    </row>
    <row r="1073">
      <c r="A1073" s="192">
        <v>1760.0</v>
      </c>
      <c r="B1073" s="193" t="s">
        <v>3610</v>
      </c>
      <c r="C1073" s="194" t="s">
        <v>519</v>
      </c>
      <c r="D1073" s="193" t="s">
        <v>538</v>
      </c>
      <c r="E1073" s="193" t="s">
        <v>3611</v>
      </c>
      <c r="F1073" s="195">
        <v>1.56418541E8</v>
      </c>
      <c r="G1073" s="196"/>
      <c r="H1073" s="193" t="s">
        <v>3612</v>
      </c>
      <c r="I1073" s="197" t="str">
        <f>IF(iserror(vlookup($A1073,Pagos!$B$5:L1241,4,false)),"Sin actividad",If(vlookup($A1073,Pagos!$B$5:$L1241,5,false),vlookup($A1073,Pagos!$B$5:$L1241,5,false),vlookup($A1073,Pagos!$B$5:$L1241,4,false)))</f>
        <v>Sin actividad</v>
      </c>
      <c r="J1073" s="198" t="s">
        <v>529</v>
      </c>
      <c r="K1073" s="199">
        <v>43770.0</v>
      </c>
      <c r="L1073" s="200">
        <v>44682.0</v>
      </c>
      <c r="M1073" s="201" t="s">
        <v>1201</v>
      </c>
      <c r="N1073" s="202">
        <f>If(L1073&gt;K1073,   datedif(K1073,L1073,"Y") , If(K1073&lt;Vitalicios!$C$4, datedif(K1073,Vitalicios!$C$4,"Y"),0)  )</f>
        <v>2</v>
      </c>
      <c r="O1073" s="202"/>
    </row>
    <row r="1074">
      <c r="A1074" s="192">
        <v>1221.0</v>
      </c>
      <c r="B1074" s="193" t="s">
        <v>3613</v>
      </c>
      <c r="C1074" s="194" t="s">
        <v>526</v>
      </c>
      <c r="D1074" s="193" t="s">
        <v>520</v>
      </c>
      <c r="E1074" s="193"/>
      <c r="F1074" s="195"/>
      <c r="G1074" s="196"/>
      <c r="H1074" s="193"/>
      <c r="I1074" s="197" t="str">
        <f>IF(iserror(vlookup($A1074,Pagos!$B$5:L1241,4,false)),"Sin actividad",If(vlookup($A1074,Pagos!$B$5:$L1241,5,false),vlookup($A1074,Pagos!$B$5:$L1241,5,false),vlookup($A1074,Pagos!$B$5:$L1241,4,false)))</f>
        <v>Sin actividad</v>
      </c>
      <c r="J1074" s="198" t="s">
        <v>529</v>
      </c>
      <c r="K1074" s="199">
        <v>39872.0</v>
      </c>
      <c r="L1074" s="200">
        <v>41639.0</v>
      </c>
      <c r="M1074" s="201" t="s">
        <v>1201</v>
      </c>
      <c r="N1074" s="202">
        <f>If(L1074&gt;K1074,   datedif(K1074,L1074,"Y") , If(K1074&lt;Vitalicios!$C$4, datedif(K1074,Vitalicios!$C$4,"Y"),0)  )</f>
        <v>4</v>
      </c>
      <c r="O1074" s="202"/>
    </row>
    <row r="1075">
      <c r="A1075" s="192">
        <v>2145.0</v>
      </c>
      <c r="B1075" s="193" t="s">
        <v>3614</v>
      </c>
      <c r="C1075" s="193" t="s">
        <v>537</v>
      </c>
      <c r="D1075" s="193" t="s">
        <v>1345</v>
      </c>
      <c r="E1075" s="193" t="s">
        <v>3615</v>
      </c>
      <c r="F1075" s="195">
        <v>1.150070665E9</v>
      </c>
      <c r="G1075" s="196"/>
      <c r="H1075" s="193" t="s">
        <v>3616</v>
      </c>
      <c r="I1075" s="197"/>
      <c r="J1075" s="198" t="s">
        <v>529</v>
      </c>
      <c r="K1075" s="199">
        <v>44986.0</v>
      </c>
      <c r="L1075" s="200">
        <v>45444.0</v>
      </c>
      <c r="M1075" s="201" t="s">
        <v>1201</v>
      </c>
      <c r="N1075" s="202"/>
      <c r="O1075" s="202"/>
    </row>
    <row r="1076">
      <c r="A1076" s="192">
        <v>2149.0</v>
      </c>
      <c r="B1076" s="193" t="s">
        <v>3617</v>
      </c>
      <c r="C1076" s="193" t="s">
        <v>537</v>
      </c>
      <c r="D1076" s="193" t="s">
        <v>485</v>
      </c>
      <c r="E1076" s="193" t="s">
        <v>3618</v>
      </c>
      <c r="F1076" s="195"/>
      <c r="G1076" s="196"/>
      <c r="H1076" s="193" t="s">
        <v>3619</v>
      </c>
      <c r="I1076" s="197"/>
      <c r="J1076" s="198" t="s">
        <v>529</v>
      </c>
      <c r="K1076" s="199">
        <v>44986.0</v>
      </c>
      <c r="L1076" s="200">
        <v>45261.0</v>
      </c>
      <c r="M1076" s="201" t="s">
        <v>535</v>
      </c>
      <c r="N1076" s="202"/>
      <c r="O1076" s="202"/>
    </row>
    <row r="1077">
      <c r="A1077" s="192">
        <v>2155.0</v>
      </c>
      <c r="B1077" s="193" t="s">
        <v>3620</v>
      </c>
      <c r="C1077" s="193" t="s">
        <v>537</v>
      </c>
      <c r="D1077" s="193" t="s">
        <v>485</v>
      </c>
      <c r="E1077" s="193" t="s">
        <v>3621</v>
      </c>
      <c r="F1077" s="195">
        <v>5454749.0</v>
      </c>
      <c r="G1077" s="196"/>
      <c r="H1077" s="193" t="s">
        <v>3622</v>
      </c>
      <c r="I1077" s="197"/>
      <c r="J1077" s="198" t="s">
        <v>529</v>
      </c>
      <c r="K1077" s="199">
        <v>44986.0</v>
      </c>
      <c r="L1077" s="200">
        <v>45261.0</v>
      </c>
      <c r="M1077" s="201" t="s">
        <v>535</v>
      </c>
      <c r="N1077" s="202"/>
      <c r="O1077" s="202"/>
    </row>
    <row r="1078">
      <c r="A1078" s="192">
        <v>1790.0</v>
      </c>
      <c r="B1078" s="193" t="s">
        <v>3623</v>
      </c>
      <c r="C1078" s="193" t="s">
        <v>537</v>
      </c>
      <c r="D1078" s="193" t="s">
        <v>596</v>
      </c>
      <c r="E1078" s="193" t="s">
        <v>3624</v>
      </c>
      <c r="F1078" s="195">
        <v>2.215048304E9</v>
      </c>
      <c r="G1078" s="196"/>
      <c r="H1078" s="193" t="s">
        <v>3625</v>
      </c>
      <c r="I1078" s="197" t="str">
        <f>IF(iserror(vlookup($A1078,Pagos!$B$5:L1241,4,false)),"Sin actividad",If(vlookup($A1078,Pagos!$B$5:$L1241,5,false),vlookup($A1078,Pagos!$B$5:$L1241,5,false),vlookup($A1078,Pagos!$B$5:$L1241,4,false)))</f>
        <v>Sin actividad</v>
      </c>
      <c r="J1078" s="198" t="s">
        <v>529</v>
      </c>
      <c r="K1078" s="199">
        <v>44044.0</v>
      </c>
      <c r="L1078" s="200">
        <v>44166.0</v>
      </c>
      <c r="M1078" s="201" t="s">
        <v>535</v>
      </c>
      <c r="N1078" s="202"/>
      <c r="O1078" s="202"/>
    </row>
    <row r="1079">
      <c r="A1079" s="192">
        <v>2079.0</v>
      </c>
      <c r="B1079" s="193" t="s">
        <v>3626</v>
      </c>
      <c r="C1079" s="193" t="s">
        <v>537</v>
      </c>
      <c r="D1079" s="193" t="s">
        <v>538</v>
      </c>
      <c r="E1079" s="193" t="s">
        <v>3627</v>
      </c>
      <c r="F1079" s="195">
        <v>2.215410541E9</v>
      </c>
      <c r="G1079" s="196"/>
      <c r="H1079" s="193" t="s">
        <v>3628</v>
      </c>
      <c r="I1079" s="197"/>
      <c r="J1079" s="198" t="s">
        <v>529</v>
      </c>
      <c r="K1079" s="199">
        <v>44835.0</v>
      </c>
      <c r="L1079" s="200">
        <v>45108.0</v>
      </c>
      <c r="M1079" s="201" t="s">
        <v>535</v>
      </c>
      <c r="N1079" s="202"/>
      <c r="O1079" s="202"/>
    </row>
    <row r="1080">
      <c r="A1080" s="192">
        <v>1925.0</v>
      </c>
      <c r="B1080" s="193" t="s">
        <v>3629</v>
      </c>
      <c r="C1080" s="193" t="s">
        <v>982</v>
      </c>
      <c r="D1080" s="193" t="s">
        <v>538</v>
      </c>
      <c r="E1080" s="193" t="s">
        <v>3630</v>
      </c>
      <c r="F1080" s="195">
        <v>2.215457058E9</v>
      </c>
      <c r="G1080" s="196"/>
      <c r="H1080" s="193" t="s">
        <v>3631</v>
      </c>
      <c r="I1080" s="197" t="str">
        <f>IF(iserror(vlookup($A1080,Pagos!$B$5:L1241,4,false)),"Sin actividad",If(vlookup($A1080,Pagos!$B$5:$L1241,5,false),vlookup($A1080,Pagos!$B$5:$L1241,5,false),vlookup($A1080,Pagos!$B$5:$L1241,4,false)))</f>
        <v>Sin actividad</v>
      </c>
      <c r="J1080" s="198" t="s">
        <v>529</v>
      </c>
      <c r="K1080" s="199">
        <v>44440.0</v>
      </c>
      <c r="L1080" s="200">
        <v>45413.0</v>
      </c>
      <c r="M1080" s="201" t="s">
        <v>915</v>
      </c>
      <c r="N1080" s="202"/>
      <c r="O1080" s="202"/>
    </row>
    <row r="1081">
      <c r="A1081" s="192">
        <v>1777.0</v>
      </c>
      <c r="B1081" s="193" t="s">
        <v>3632</v>
      </c>
      <c r="C1081" s="194" t="s">
        <v>519</v>
      </c>
      <c r="D1081" s="193" t="s">
        <v>538</v>
      </c>
      <c r="E1081" s="193" t="s">
        <v>3633</v>
      </c>
      <c r="F1081" s="195">
        <v>1.55852206E8</v>
      </c>
      <c r="G1081" s="196"/>
      <c r="H1081" s="193" t="s">
        <v>3634</v>
      </c>
      <c r="I1081" s="197">
        <f>IF(iserror(vlookup($A1081,Pagos!$B$5:L1241,4,false)),"Sin actividad",If(vlookup($A1081,Pagos!$B$5:$L1241,5,false),vlookup($A1081,Pagos!$B$5:$L1241,5,false),vlookup($A1081,Pagos!$B$5:$L1241,4,false)))</f>
        <v>45870</v>
      </c>
      <c r="J1081" s="198" t="s">
        <v>523</v>
      </c>
      <c r="K1081" s="199">
        <v>43862.0</v>
      </c>
      <c r="L1081" s="200"/>
      <c r="M1081" s="201"/>
      <c r="N1081" s="202">
        <f>If(L1081&gt;K1081,   datedif(K1081,L1081,"Y") , If(K1081&lt;Vitalicios!$C$4, datedif(K1081,Vitalicios!$C$4,"Y"),0)  )</f>
        <v>5</v>
      </c>
      <c r="O1081" s="202"/>
    </row>
    <row r="1082">
      <c r="A1082" s="192">
        <v>1842.0</v>
      </c>
      <c r="B1082" s="193" t="s">
        <v>3635</v>
      </c>
      <c r="C1082" s="193" t="s">
        <v>679</v>
      </c>
      <c r="D1082" s="193" t="s">
        <v>538</v>
      </c>
      <c r="E1082" s="193" t="s">
        <v>2200</v>
      </c>
      <c r="F1082" s="195">
        <v>2.215540983E9</v>
      </c>
      <c r="G1082" s="196"/>
      <c r="H1082" s="193" t="s">
        <v>3636</v>
      </c>
      <c r="I1082" s="197" t="str">
        <f>IF(iserror(vlookup($A1082,Pagos!$B$5:L1241,4,false)),"Sin actividad",If(vlookup($A1082,Pagos!$B$5:$L1241,5,false),vlookup($A1082,Pagos!$B$5:$L1241,5,false),vlookup($A1082,Pagos!$B$5:$L1241,4,false)))</f>
        <v>Sin actividad</v>
      </c>
      <c r="J1082" s="198" t="s">
        <v>529</v>
      </c>
      <c r="K1082" s="199">
        <v>44136.0</v>
      </c>
      <c r="L1082" s="200">
        <v>45078.0</v>
      </c>
      <c r="M1082" s="201" t="s">
        <v>614</v>
      </c>
      <c r="N1082" s="202"/>
      <c r="O1082" s="202"/>
    </row>
    <row r="1083">
      <c r="A1083" s="192">
        <v>1813.0</v>
      </c>
      <c r="B1083" s="193" t="s">
        <v>3637</v>
      </c>
      <c r="C1083" s="193" t="s">
        <v>537</v>
      </c>
      <c r="D1083" s="193" t="s">
        <v>549</v>
      </c>
      <c r="E1083" s="193" t="s">
        <v>3638</v>
      </c>
      <c r="F1083" s="195">
        <v>2.216124885E9</v>
      </c>
      <c r="G1083" s="196"/>
      <c r="H1083" s="193" t="s">
        <v>3639</v>
      </c>
      <c r="I1083" s="197" t="str">
        <f>IF(iserror(vlookup($A1083,Pagos!$B$5:L1241,4,false)),"Sin actividad",If(vlookup($A1083,Pagos!$B$5:$L1241,5,false),vlookup($A1083,Pagos!$B$5:$L1241,5,false),vlookup($A1083,Pagos!$B$5:$L1241,4,false)))</f>
        <v>Sin actividad</v>
      </c>
      <c r="J1083" s="198" t="s">
        <v>529</v>
      </c>
      <c r="K1083" s="199">
        <v>44075.0</v>
      </c>
      <c r="L1083" s="200">
        <v>44228.0</v>
      </c>
      <c r="M1083" s="201" t="s">
        <v>1201</v>
      </c>
      <c r="N1083" s="202"/>
      <c r="O1083" s="202"/>
    </row>
    <row r="1084">
      <c r="A1084" s="192">
        <v>1324.0</v>
      </c>
      <c r="B1084" s="193" t="s">
        <v>3640</v>
      </c>
      <c r="C1084" s="194" t="s">
        <v>526</v>
      </c>
      <c r="D1084" s="193" t="s">
        <v>556</v>
      </c>
      <c r="E1084" s="193">
        <v>0.0</v>
      </c>
      <c r="F1084" s="195">
        <v>0.0</v>
      </c>
      <c r="G1084" s="196">
        <v>0.0</v>
      </c>
      <c r="H1084" s="193"/>
      <c r="I1084" s="197" t="str">
        <f>IF(iserror(vlookup($A1084,Pagos!$B$5:L1241,4,false)),"Sin actividad",If(vlookup($A1084,Pagos!$B$5:$L1241,5,false),vlookup($A1084,Pagos!$B$5:$L1241,5,false),vlookup($A1084,Pagos!$B$5:$L1241,4,false)))</f>
        <v>Sin actividad</v>
      </c>
      <c r="J1084" s="198" t="s">
        <v>529</v>
      </c>
      <c r="K1084" s="199">
        <v>40496.0</v>
      </c>
      <c r="L1084" s="200"/>
      <c r="M1084" s="201"/>
      <c r="N1084" s="202">
        <f>If(L1084&gt;K1084,   datedif(K1084,L1084,"Y") , If(K1084&lt;Vitalicios!$C$4, datedif(K1084,Vitalicios!$C$4,"Y"),0)  )</f>
        <v>14</v>
      </c>
      <c r="O1084" s="202"/>
    </row>
    <row r="1085">
      <c r="A1085" s="192">
        <v>2354.0</v>
      </c>
      <c r="B1085" s="193" t="s">
        <v>3641</v>
      </c>
      <c r="C1085" s="193" t="s">
        <v>537</v>
      </c>
      <c r="D1085" s="193" t="s">
        <v>485</v>
      </c>
      <c r="E1085" s="193" t="s">
        <v>3642</v>
      </c>
      <c r="F1085" s="195">
        <v>2.215984673E9</v>
      </c>
      <c r="G1085" s="196"/>
      <c r="H1085" s="193" t="s">
        <v>3643</v>
      </c>
      <c r="I1085" s="197"/>
      <c r="J1085" s="198" t="s">
        <v>529</v>
      </c>
      <c r="K1085" s="199">
        <v>45748.0</v>
      </c>
      <c r="L1085" s="200">
        <v>45778.0</v>
      </c>
      <c r="M1085" s="201" t="s">
        <v>716</v>
      </c>
      <c r="N1085" s="202"/>
      <c r="O1085" s="202"/>
    </row>
    <row r="1086">
      <c r="A1086" s="192">
        <v>1028.0</v>
      </c>
      <c r="B1086" s="193" t="s">
        <v>3644</v>
      </c>
      <c r="C1086" s="194" t="s">
        <v>577</v>
      </c>
      <c r="D1086" s="193" t="s">
        <v>556</v>
      </c>
      <c r="E1086" s="193" t="s">
        <v>3547</v>
      </c>
      <c r="F1086" s="195">
        <v>4897770.0</v>
      </c>
      <c r="G1086" s="196">
        <v>0.0</v>
      </c>
      <c r="H1086" s="193"/>
      <c r="I1086" s="197" t="str">
        <f>IF(iserror(vlookup($A1086,Pagos!$B$5:L1241,4,false)),"Sin actividad",If(vlookup($A1086,Pagos!$B$5:$L1241,5,false),vlookup($A1086,Pagos!$B$5:$L1241,5,false),vlookup($A1086,Pagos!$B$5:$L1241,4,false)))</f>
        <v>Sin actividad</v>
      </c>
      <c r="J1086" s="198" t="s">
        <v>529</v>
      </c>
      <c r="K1086" s="199">
        <v>38081.0</v>
      </c>
      <c r="L1086" s="200">
        <v>42614.0</v>
      </c>
      <c r="M1086" s="201" t="s">
        <v>589</v>
      </c>
      <c r="N1086" s="202">
        <f>If(L1086&gt;K1086,   datedif(K1086,L1086,"Y") , If(K1086&lt;Vitalicios!$C$4, datedif(K1086,Vitalicios!$C$4,"Y"),0)  )</f>
        <v>12</v>
      </c>
      <c r="O1086" s="202"/>
    </row>
    <row r="1087">
      <c r="A1087" s="192">
        <v>2346.0</v>
      </c>
      <c r="B1087" s="193" t="s">
        <v>3645</v>
      </c>
      <c r="C1087" s="193" t="s">
        <v>537</v>
      </c>
      <c r="D1087" s="193"/>
      <c r="E1087" s="193" t="s">
        <v>3646</v>
      </c>
      <c r="F1087" s="195">
        <v>2.214769078E9</v>
      </c>
      <c r="G1087" s="196"/>
      <c r="H1087" s="193" t="s">
        <v>3647</v>
      </c>
      <c r="I1087" s="197"/>
      <c r="J1087" s="198" t="s">
        <v>523</v>
      </c>
      <c r="K1087" s="199">
        <v>45717.0</v>
      </c>
      <c r="L1087" s="200"/>
      <c r="M1087" s="201"/>
      <c r="N1087" s="202"/>
      <c r="O1087" s="202"/>
    </row>
    <row r="1088">
      <c r="A1088" s="192">
        <v>1895.0</v>
      </c>
      <c r="B1088" s="193" t="s">
        <v>3648</v>
      </c>
      <c r="C1088" s="193" t="s">
        <v>537</v>
      </c>
      <c r="D1088" s="193" t="s">
        <v>628</v>
      </c>
      <c r="E1088" s="193" t="s">
        <v>3649</v>
      </c>
      <c r="F1088" s="195">
        <v>2.214769046E9</v>
      </c>
      <c r="G1088" s="196"/>
      <c r="H1088" s="193" t="s">
        <v>3650</v>
      </c>
      <c r="I1088" s="197" t="str">
        <f>IF(iserror(vlookup($A1088,Pagos!$B$5:L1241,4,false)),"Sin actividad",If(vlookup($A1088,Pagos!$B$5:$L1241,5,false),vlookup($A1088,Pagos!$B$5:$L1241,5,false),vlookup($A1088,Pagos!$B$5:$L1241,4,false)))</f>
        <v>Sin actividad</v>
      </c>
      <c r="J1088" s="198" t="s">
        <v>529</v>
      </c>
      <c r="K1088" s="199">
        <v>44256.0</v>
      </c>
      <c r="L1088" s="200">
        <v>44409.0</v>
      </c>
      <c r="M1088" s="201"/>
      <c r="N1088" s="202"/>
      <c r="O1088" s="202"/>
    </row>
    <row r="1089">
      <c r="A1089" s="192">
        <v>1896.0</v>
      </c>
      <c r="B1089" s="193" t="s">
        <v>3651</v>
      </c>
      <c r="C1089" s="193" t="s">
        <v>537</v>
      </c>
      <c r="D1089" s="193" t="s">
        <v>628</v>
      </c>
      <c r="E1089" s="193" t="s">
        <v>3652</v>
      </c>
      <c r="F1089" s="195">
        <v>2.215656526E9</v>
      </c>
      <c r="G1089" s="196"/>
      <c r="H1089" s="193" t="s">
        <v>3653</v>
      </c>
      <c r="I1089" s="197" t="str">
        <f>IF(iserror(vlookup($A1089,Pagos!$B$5:L1241,4,false)),"Sin actividad",If(vlookup($A1089,Pagos!$B$5:$L1241,5,false),vlookup($A1089,Pagos!$B$5:$L1241,5,false),vlookup($A1089,Pagos!$B$5:$L1241,4,false)))</f>
        <v>Sin actividad</v>
      </c>
      <c r="J1089" s="198" t="s">
        <v>529</v>
      </c>
      <c r="K1089" s="199">
        <v>44256.0</v>
      </c>
      <c r="L1089" s="200">
        <v>44409.0</v>
      </c>
      <c r="M1089" s="201"/>
      <c r="N1089" s="202"/>
      <c r="O1089" s="202"/>
    </row>
    <row r="1090">
      <c r="A1090" s="192">
        <v>2056.0</v>
      </c>
      <c r="B1090" s="193" t="s">
        <v>3654</v>
      </c>
      <c r="C1090" s="193" t="s">
        <v>537</v>
      </c>
      <c r="D1090" s="193" t="s">
        <v>628</v>
      </c>
      <c r="E1090" s="193" t="s">
        <v>3655</v>
      </c>
      <c r="F1090" s="195">
        <v>2.213141286E9</v>
      </c>
      <c r="G1090" s="196"/>
      <c r="H1090" s="193" t="s">
        <v>3656</v>
      </c>
      <c r="I1090" s="197"/>
      <c r="J1090" s="198" t="s">
        <v>523</v>
      </c>
      <c r="K1090" s="199">
        <v>44805.0</v>
      </c>
      <c r="L1090" s="200"/>
      <c r="M1090" s="201"/>
      <c r="N1090" s="202"/>
      <c r="O1090" s="202"/>
    </row>
    <row r="1091">
      <c r="A1091" s="192">
        <v>1113.0</v>
      </c>
      <c r="B1091" s="193" t="s">
        <v>3657</v>
      </c>
      <c r="C1091" s="194" t="s">
        <v>577</v>
      </c>
      <c r="D1091" s="193" t="s">
        <v>556</v>
      </c>
      <c r="E1091" s="193" t="s">
        <v>3658</v>
      </c>
      <c r="F1091" s="195">
        <v>0.0</v>
      </c>
      <c r="G1091" s="196">
        <v>0.0</v>
      </c>
      <c r="H1091" s="193"/>
      <c r="I1091" s="197" t="str">
        <f>IF(iserror(vlookup($A1091,Pagos!$B$5:L1241,4,false)),"Sin actividad",If(vlookup($A1091,Pagos!$B$5:$L1241,5,false),vlookup($A1091,Pagos!$B$5:$L1241,5,false),vlookup($A1091,Pagos!$B$5:$L1241,4,false)))</f>
        <v>Sin actividad</v>
      </c>
      <c r="J1091" s="198" t="s">
        <v>529</v>
      </c>
      <c r="K1091" s="199">
        <v>38998.0</v>
      </c>
      <c r="L1091" s="200">
        <v>43070.0</v>
      </c>
      <c r="M1091" s="201" t="s">
        <v>589</v>
      </c>
      <c r="N1091" s="202">
        <f>If(L1091&gt;K1091,   datedif(K1091,L1091,"Y") , If(K1091&lt;Vitalicios!$C$4, datedif(K1091,Vitalicios!$C$4,"Y"),0)  )</f>
        <v>11</v>
      </c>
      <c r="O1091" s="202"/>
    </row>
    <row r="1092">
      <c r="A1092" s="192">
        <v>1253.0</v>
      </c>
      <c r="B1092" s="193" t="s">
        <v>3659</v>
      </c>
      <c r="C1092" s="194" t="s">
        <v>564</v>
      </c>
      <c r="D1092" s="193" t="s">
        <v>556</v>
      </c>
      <c r="E1092" s="193" t="s">
        <v>3660</v>
      </c>
      <c r="F1092" s="195">
        <v>1.55650886E8</v>
      </c>
      <c r="G1092" s="196">
        <v>0.0</v>
      </c>
      <c r="H1092" s="193"/>
      <c r="I1092" s="197" t="str">
        <f>IF(iserror(vlookup($A1092,Pagos!$B$5:L1241,4,false)),"Sin actividad",If(vlookup($A1092,Pagos!$B$5:$L1241,5,false),vlookup($A1092,Pagos!$B$5:$L1241,5,false),vlookup($A1092,Pagos!$B$5:$L1241,4,false)))</f>
        <v>Sin actividad</v>
      </c>
      <c r="J1092" s="198" t="s">
        <v>529</v>
      </c>
      <c r="K1092" s="199">
        <v>40145.0</v>
      </c>
      <c r="L1092" s="200">
        <v>41419.0</v>
      </c>
      <c r="M1092" s="201" t="s">
        <v>1201</v>
      </c>
      <c r="N1092" s="202">
        <f>If(L1092&gt;K1092,   datedif(K1092,L1092,"Y") , If(K1092&lt;Vitalicios!$C$4, datedif(K1092,Vitalicios!$C$4,"Y"),0)  )</f>
        <v>3</v>
      </c>
      <c r="O1092" s="202"/>
    </row>
    <row r="1093">
      <c r="A1093" s="192">
        <v>869.0</v>
      </c>
      <c r="B1093" s="193" t="s">
        <v>3661</v>
      </c>
      <c r="C1093" s="194" t="s">
        <v>526</v>
      </c>
      <c r="D1093" s="193" t="s">
        <v>520</v>
      </c>
      <c r="E1093" s="193" t="s">
        <v>3130</v>
      </c>
      <c r="F1093" s="195">
        <v>4245307.0</v>
      </c>
      <c r="G1093" s="196">
        <v>1.5511904E8</v>
      </c>
      <c r="H1093" s="193" t="s">
        <v>3662</v>
      </c>
      <c r="I1093" s="197">
        <f>IF(iserror(vlookup($A1093,Pagos!$B$5:L1241,4,false)),"Sin actividad",If(vlookup($A1093,Pagos!$B$5:$L1241,5,false),vlookup($A1093,Pagos!$B$5:$L1241,5,false),vlookup($A1093,Pagos!$B$5:$L1241,4,false)))</f>
        <v>45870</v>
      </c>
      <c r="J1093" s="198" t="s">
        <v>523</v>
      </c>
      <c r="K1093" s="199">
        <v>37219.0</v>
      </c>
      <c r="L1093" s="200"/>
      <c r="M1093" s="201"/>
      <c r="N1093" s="202">
        <f>If(L1093&gt;K1093,   datedif(K1093,L1093,"Y") , If(K1093&lt;Vitalicios!$C$4, datedif(K1093,Vitalicios!$C$4,"Y"),0)  )</f>
        <v>23</v>
      </c>
      <c r="O1093" s="202"/>
    </row>
    <row r="1094" ht="19.5" customHeight="1">
      <c r="A1094" s="192">
        <v>1495.0</v>
      </c>
      <c r="B1094" s="193" t="s">
        <v>3663</v>
      </c>
      <c r="C1094" s="194" t="s">
        <v>526</v>
      </c>
      <c r="D1094" s="193" t="s">
        <v>527</v>
      </c>
      <c r="E1094" s="193" t="s">
        <v>3664</v>
      </c>
      <c r="F1094" s="195" t="s">
        <v>3665</v>
      </c>
      <c r="G1094" s="196">
        <v>1.55370684E8</v>
      </c>
      <c r="H1094" s="193"/>
      <c r="I1094" s="197" t="str">
        <f>IF(iserror(vlookup($A1094,Pagos!$B$5:L1241,4,false)),"Sin actividad",If(vlookup($A1094,Pagos!$B$5:$L1241,5,false),vlookup($A1094,Pagos!$B$5:$L1241,5,false),vlookup($A1094,Pagos!$B$5:$L1241,4,false)))</f>
        <v>Sin actividad</v>
      </c>
      <c r="J1094" s="198" t="s">
        <v>529</v>
      </c>
      <c r="K1094" s="199">
        <v>41681.0</v>
      </c>
      <c r="L1094" s="200">
        <v>43374.0</v>
      </c>
      <c r="M1094" s="201" t="s">
        <v>560</v>
      </c>
      <c r="N1094" s="202">
        <f>If(L1094&gt;K1094,   datedif(K1094,L1094,"Y") , If(K1094&lt;Vitalicios!$C$4, datedif(K1094,Vitalicios!$C$4,"Y"),0)  )</f>
        <v>4</v>
      </c>
      <c r="O1094" s="202"/>
    </row>
    <row r="1095">
      <c r="A1095" s="192">
        <v>1537.0</v>
      </c>
      <c r="B1095" s="193" t="s">
        <v>3666</v>
      </c>
      <c r="C1095" s="194" t="s">
        <v>526</v>
      </c>
      <c r="D1095" s="193" t="s">
        <v>527</v>
      </c>
      <c r="E1095" s="193" t="s">
        <v>3667</v>
      </c>
      <c r="F1095" s="195" t="s">
        <v>3668</v>
      </c>
      <c r="G1095" s="196"/>
      <c r="H1095" s="193"/>
      <c r="I1095" s="197" t="str">
        <f>IF(iserror(vlookup($A1095,Pagos!$B$5:L1241,4,false)),"Sin actividad",If(vlookup($A1095,Pagos!$B$5:$L1241,5,false),vlookup($A1095,Pagos!$B$5:$L1241,5,false),vlookup($A1095,Pagos!$B$5:$L1241,4,false)))</f>
        <v>Sin actividad</v>
      </c>
      <c r="J1095" s="198" t="s">
        <v>529</v>
      </c>
      <c r="K1095" s="199">
        <v>41981.0</v>
      </c>
      <c r="L1095" s="200">
        <v>43374.0</v>
      </c>
      <c r="M1095" s="201" t="s">
        <v>560</v>
      </c>
      <c r="N1095" s="202">
        <f>If(L1095&gt;K1095,   datedif(K1095,L1095,"Y") , If(K1095&lt;Vitalicios!$C$4, datedif(K1095,Vitalicios!$C$4,"Y"),0)  )</f>
        <v>3</v>
      </c>
      <c r="O1095" s="202"/>
    </row>
    <row r="1096">
      <c r="A1096" s="192">
        <v>1936.0</v>
      </c>
      <c r="B1096" s="193" t="s">
        <v>3669</v>
      </c>
      <c r="C1096" s="193" t="s">
        <v>537</v>
      </c>
      <c r="D1096" s="193" t="s">
        <v>549</v>
      </c>
      <c r="E1096" s="193" t="s">
        <v>3670</v>
      </c>
      <c r="F1096" s="195">
        <v>2.21156064226E11</v>
      </c>
      <c r="G1096" s="196"/>
      <c r="H1096" s="193" t="s">
        <v>3671</v>
      </c>
      <c r="I1096" s="197">
        <f>IF(iserror(vlookup($A1096,Pagos!$B$5:L1241,4,false)),"Sin actividad",If(vlookup($A1096,Pagos!$B$5:$L1241,5,false),vlookup($A1096,Pagos!$B$5:$L1241,5,false),vlookup($A1096,Pagos!$B$5:$L1241,4,false)))</f>
        <v>45870</v>
      </c>
      <c r="J1096" s="198" t="s">
        <v>523</v>
      </c>
      <c r="K1096" s="199">
        <v>44470.0</v>
      </c>
      <c r="L1096" s="200"/>
      <c r="M1096" s="201"/>
      <c r="N1096" s="202"/>
      <c r="O1096" s="202"/>
    </row>
    <row r="1097">
      <c r="A1097" s="192">
        <v>1593.0</v>
      </c>
      <c r="B1097" s="193" t="s">
        <v>3672</v>
      </c>
      <c r="C1097" s="194" t="s">
        <v>577</v>
      </c>
      <c r="D1097" s="193" t="s">
        <v>556</v>
      </c>
      <c r="E1097" s="193" t="s">
        <v>3673</v>
      </c>
      <c r="F1097" s="195">
        <v>1.54007357E8</v>
      </c>
      <c r="G1097" s="196">
        <v>0.0</v>
      </c>
      <c r="H1097" s="193" t="s">
        <v>3674</v>
      </c>
      <c r="I1097" s="197" t="str">
        <f>IF(iserror(vlookup($A1097,Pagos!$B$5:L1241,4,false)),"Sin actividad",If(vlookup($A1097,Pagos!$B$5:$L1241,5,false),vlookup($A1097,Pagos!$B$5:$L1241,5,false),vlookup($A1097,Pagos!$B$5:$L1241,4,false)))</f>
        <v>Sin actividad</v>
      </c>
      <c r="J1097" s="198" t="s">
        <v>529</v>
      </c>
      <c r="K1097" s="199">
        <v>42401.0</v>
      </c>
      <c r="L1097" s="200">
        <v>43374.0</v>
      </c>
      <c r="M1097" s="201" t="s">
        <v>560</v>
      </c>
      <c r="N1097" s="202">
        <f>If(L1097&gt;K1097,   datedif(K1097,L1097,"Y") , If(K1097&lt;Vitalicios!$C$4, datedif(K1097,Vitalicios!$C$4,"Y"),0)  )</f>
        <v>2</v>
      </c>
      <c r="O1097" s="202"/>
    </row>
    <row r="1098">
      <c r="A1098" s="192">
        <v>2080.0</v>
      </c>
      <c r="B1098" s="193" t="s">
        <v>3675</v>
      </c>
      <c r="C1098" s="193" t="s">
        <v>526</v>
      </c>
      <c r="D1098" s="193" t="s">
        <v>3676</v>
      </c>
      <c r="E1098" s="193" t="s">
        <v>2442</v>
      </c>
      <c r="F1098" s="195">
        <v>2.215482205E9</v>
      </c>
      <c r="G1098" s="196"/>
      <c r="H1098" s="193"/>
      <c r="I1098" s="197"/>
      <c r="J1098" s="198" t="s">
        <v>523</v>
      </c>
      <c r="K1098" s="199">
        <v>44835.0</v>
      </c>
      <c r="L1098" s="200"/>
      <c r="M1098" s="201"/>
      <c r="N1098" s="202"/>
      <c r="O1098" s="202"/>
    </row>
    <row r="1099">
      <c r="A1099" s="192">
        <v>2326.0</v>
      </c>
      <c r="B1099" s="193" t="s">
        <v>3677</v>
      </c>
      <c r="C1099" s="193" t="s">
        <v>526</v>
      </c>
      <c r="D1099" s="193" t="s">
        <v>596</v>
      </c>
      <c r="E1099" s="193" t="s">
        <v>3678</v>
      </c>
      <c r="F1099" s="195">
        <v>2.214001627E9</v>
      </c>
      <c r="G1099" s="196"/>
      <c r="H1099" s="193" t="s">
        <v>3679</v>
      </c>
      <c r="I1099" s="197"/>
      <c r="J1099" s="198" t="s">
        <v>523</v>
      </c>
      <c r="K1099" s="199">
        <v>45689.0</v>
      </c>
      <c r="L1099" s="200"/>
      <c r="M1099" s="201"/>
      <c r="N1099" s="202"/>
      <c r="O1099" s="202"/>
    </row>
    <row r="1100">
      <c r="A1100" s="192">
        <v>2007.0</v>
      </c>
      <c r="B1100" s="193" t="s">
        <v>3680</v>
      </c>
      <c r="C1100" s="193" t="s">
        <v>537</v>
      </c>
      <c r="D1100" s="193" t="s">
        <v>1090</v>
      </c>
      <c r="E1100" s="193" t="s">
        <v>3681</v>
      </c>
      <c r="F1100" s="195">
        <v>2.213038444E9</v>
      </c>
      <c r="G1100" s="196"/>
      <c r="H1100" s="193" t="s">
        <v>3682</v>
      </c>
      <c r="I1100" s="197" t="str">
        <f>IF(iserror(vlookup($A1100,Pagos!$B$5:L1241,4,false)),"Sin actividad",If(vlookup($A1100,Pagos!$B$5:$L1241,5,false),vlookup($A1100,Pagos!$B$5:$L1241,5,false),vlookup($A1100,Pagos!$B$5:$L1241,4,false)))</f>
        <v>Sin actividad</v>
      </c>
      <c r="J1100" s="198" t="s">
        <v>529</v>
      </c>
      <c r="K1100" s="199">
        <v>44621.0</v>
      </c>
      <c r="L1100" s="200">
        <v>45108.0</v>
      </c>
      <c r="M1100" s="201" t="s">
        <v>535</v>
      </c>
      <c r="N1100" s="202"/>
      <c r="O1100" s="202"/>
    </row>
    <row r="1101">
      <c r="A1101" s="192">
        <v>2005.0</v>
      </c>
      <c r="B1101" s="193" t="s">
        <v>3683</v>
      </c>
      <c r="C1101" s="194" t="s">
        <v>577</v>
      </c>
      <c r="D1101" s="193" t="s">
        <v>556</v>
      </c>
      <c r="E1101" s="193" t="s">
        <v>2844</v>
      </c>
      <c r="F1101" s="195">
        <v>1.55906959E8</v>
      </c>
      <c r="G1101" s="196">
        <v>0.0</v>
      </c>
      <c r="H1101" s="193"/>
      <c r="I1101" s="197">
        <f>IF(iserror(vlookup($A1101,Pagos!$B$5:L1241,4,false)),"Sin actividad",If(vlookup($A1101,Pagos!$B$5:$L1241,5,false),vlookup($A1101,Pagos!$B$5:$L1241,5,false),vlookup($A1101,Pagos!$B$5:$L1241,4,false)))</f>
        <v>45870</v>
      </c>
      <c r="J1101" s="198" t="s">
        <v>523</v>
      </c>
      <c r="K1101" s="199">
        <v>44621.0</v>
      </c>
      <c r="L1101" s="200">
        <v>42155.0</v>
      </c>
      <c r="M1101" s="201" t="s">
        <v>2845</v>
      </c>
      <c r="N1101" s="202">
        <f>If(L1101&gt;K1101,   datedif(K1101,L1101,"Y") , If(K1101&lt;Vitalicios!$C$4, datedif(K1101,Vitalicios!$C$4,"Y"),0)  )</f>
        <v>3</v>
      </c>
      <c r="O1101" s="202"/>
    </row>
    <row r="1102">
      <c r="A1102" s="192">
        <v>1678.0</v>
      </c>
      <c r="B1102" s="193" t="s">
        <v>3684</v>
      </c>
      <c r="C1102" s="194" t="s">
        <v>519</v>
      </c>
      <c r="D1102" s="193" t="s">
        <v>709</v>
      </c>
      <c r="E1102" s="193" t="s">
        <v>3685</v>
      </c>
      <c r="F1102" s="195">
        <v>2.215894795E9</v>
      </c>
      <c r="G1102" s="196"/>
      <c r="H1102" s="193" t="s">
        <v>3686</v>
      </c>
      <c r="I1102" s="197">
        <f>IF(iserror(vlookup($A1102,Pagos!$B$5:L1241,4,false)),"Sin actividad",If(vlookup($A1102,Pagos!$B$5:$L1241,5,false),vlookup($A1102,Pagos!$B$5:$L1241,5,false),vlookup($A1102,Pagos!$B$5:$L1241,4,false)))</f>
        <v>45870</v>
      </c>
      <c r="J1102" s="198" t="s">
        <v>523</v>
      </c>
      <c r="K1102" s="199">
        <v>43101.0</v>
      </c>
      <c r="L1102" s="200"/>
      <c r="M1102" s="201"/>
      <c r="N1102" s="202">
        <f>If(L1102&gt;K1102,   datedif(K1102,L1102,"Y") , If(K1102&lt;Vitalicios!$C$4, datedif(K1102,Vitalicios!$C$4,"Y"),0)  )</f>
        <v>7</v>
      </c>
      <c r="O1102" s="202"/>
    </row>
    <row r="1103">
      <c r="A1103" s="192">
        <v>1762.0</v>
      </c>
      <c r="B1103" s="193" t="s">
        <v>3687</v>
      </c>
      <c r="C1103" s="194" t="s">
        <v>519</v>
      </c>
      <c r="D1103" s="193" t="s">
        <v>538</v>
      </c>
      <c r="E1103" s="193" t="s">
        <v>3688</v>
      </c>
      <c r="F1103" s="195">
        <v>1.558209197E9</v>
      </c>
      <c r="G1103" s="196"/>
      <c r="H1103" s="193" t="s">
        <v>3689</v>
      </c>
      <c r="I1103" s="197">
        <f>IF(iserror(vlookup($A1103,Pagos!$B$5:L1241,4,false)),"Sin actividad",If(vlookup($A1103,Pagos!$B$5:$L1241,5,false),vlookup($A1103,Pagos!$B$5:$L1241,5,false),vlookup($A1103,Pagos!$B$5:$L1241,4,false)))</f>
        <v>45870</v>
      </c>
      <c r="J1103" s="198" t="s">
        <v>523</v>
      </c>
      <c r="K1103" s="199">
        <v>43800.0</v>
      </c>
      <c r="L1103" s="200"/>
      <c r="M1103" s="201"/>
      <c r="N1103" s="202">
        <f>IF(L1103&gt;K1103,   DATEDIF(K1103,L1103,"Y") , IF(K1103&lt;Vitalicios!$C$4, DATEDIF(K1103,Vitalicios!$C$4,"Y"),0)  )</f>
        <v>5</v>
      </c>
      <c r="O1103" s="202"/>
    </row>
    <row r="1104">
      <c r="A1104" s="192">
        <v>2193.0</v>
      </c>
      <c r="B1104" s="193" t="s">
        <v>3690</v>
      </c>
      <c r="C1104" s="193" t="s">
        <v>537</v>
      </c>
      <c r="D1104" s="193" t="s">
        <v>628</v>
      </c>
      <c r="E1104" s="193" t="s">
        <v>3691</v>
      </c>
      <c r="F1104" s="195">
        <v>2.392531758E9</v>
      </c>
      <c r="G1104" s="196"/>
      <c r="H1104" s="193" t="s">
        <v>3692</v>
      </c>
      <c r="I1104" s="197"/>
      <c r="J1104" s="198" t="s">
        <v>529</v>
      </c>
      <c r="K1104" s="199">
        <v>45139.0</v>
      </c>
      <c r="L1104" s="200">
        <v>45413.0</v>
      </c>
      <c r="M1104" s="201" t="s">
        <v>915</v>
      </c>
      <c r="N1104" s="202"/>
      <c r="O1104" s="202"/>
    </row>
    <row r="1105">
      <c r="A1105" s="192">
        <v>2196.0</v>
      </c>
      <c r="B1105" s="193" t="s">
        <v>3693</v>
      </c>
      <c r="C1105" s="193" t="s">
        <v>537</v>
      </c>
      <c r="D1105" s="193" t="s">
        <v>628</v>
      </c>
      <c r="E1105" s="193" t="s">
        <v>3694</v>
      </c>
      <c r="F1105" s="195">
        <v>2.216085154E9</v>
      </c>
      <c r="G1105" s="196"/>
      <c r="H1105" s="193" t="s">
        <v>3695</v>
      </c>
      <c r="I1105" s="197"/>
      <c r="J1105" s="198" t="s">
        <v>529</v>
      </c>
      <c r="K1105" s="199">
        <v>45139.0</v>
      </c>
      <c r="L1105" s="200">
        <v>45505.0</v>
      </c>
      <c r="M1105" s="201" t="s">
        <v>3696</v>
      </c>
      <c r="N1105" s="202"/>
      <c r="O1105" s="202"/>
    </row>
    <row r="1106">
      <c r="A1106" s="192">
        <v>1846.0</v>
      </c>
      <c r="B1106" s="193" t="s">
        <v>3697</v>
      </c>
      <c r="C1106" s="194" t="s">
        <v>526</v>
      </c>
      <c r="D1106" s="193" t="s">
        <v>770</v>
      </c>
      <c r="E1106" s="193" t="s">
        <v>3698</v>
      </c>
      <c r="F1106" s="195">
        <v>1.556665398E9</v>
      </c>
      <c r="G1106" s="196">
        <v>0.0</v>
      </c>
      <c r="H1106" s="193" t="s">
        <v>3699</v>
      </c>
      <c r="I1106" s="197">
        <f>IF(iserror(vlookup($A1106,Pagos!$B$5:L1241,4,false)),"Sin actividad",If(vlookup($A1106,Pagos!$B$5:$L1241,5,false),vlookup($A1106,Pagos!$B$5:$L1241,5,false),vlookup($A1106,Pagos!$B$5:$L1241,4,false)))</f>
        <v>45870</v>
      </c>
      <c r="J1106" s="198" t="s">
        <v>523</v>
      </c>
      <c r="K1106" s="199">
        <v>44136.0</v>
      </c>
      <c r="L1106" s="200"/>
      <c r="M1106" s="201" t="s">
        <v>3700</v>
      </c>
      <c r="N1106" s="202">
        <f>If(L1106&gt;K1106,   datedif(K1106,L1106,"Y") , If(K1106&lt;Vitalicios!$C$4, datedif(K1106,Vitalicios!$C$4,"Y"),0)  )</f>
        <v>4</v>
      </c>
      <c r="O1106" s="202"/>
    </row>
    <row r="1107" ht="27.75" customHeight="1">
      <c r="A1107" s="192">
        <v>1638.0</v>
      </c>
      <c r="B1107" s="193" t="s">
        <v>3701</v>
      </c>
      <c r="C1107" s="194" t="s">
        <v>519</v>
      </c>
      <c r="D1107" s="193" t="s">
        <v>520</v>
      </c>
      <c r="E1107" s="193" t="s">
        <v>3702</v>
      </c>
      <c r="F1107" s="195">
        <v>1.55687849E8</v>
      </c>
      <c r="G1107" s="196"/>
      <c r="H1107" s="193" t="s">
        <v>3703</v>
      </c>
      <c r="I1107" s="197" t="str">
        <f>IF(iserror(vlookup($A1107,Pagos!$B$5:L1241,4,false)),"Sin actividad",If(vlookup($A1107,Pagos!$B$5:$L1241,5,false),vlookup($A1107,Pagos!$B$5:$L1241,5,false),vlookup($A1107,Pagos!$B$5:$L1241,4,false)))</f>
        <v>Sin actividad</v>
      </c>
      <c r="J1107" s="198" t="s">
        <v>529</v>
      </c>
      <c r="K1107" s="199">
        <v>42826.0</v>
      </c>
      <c r="L1107" s="200">
        <v>43374.0</v>
      </c>
      <c r="M1107" s="201" t="s">
        <v>560</v>
      </c>
      <c r="N1107" s="202">
        <f>If(L1107&gt;K1107,   datedif(K1107,L1107,"Y") , If(K1107&lt;Vitalicios!$C$4, datedif(K1107,Vitalicios!$C$4,"Y"),0)  )</f>
        <v>1</v>
      </c>
      <c r="O1107" s="202"/>
    </row>
    <row r="1108" ht="27.75" customHeight="1">
      <c r="A1108" s="192">
        <v>2081.0</v>
      </c>
      <c r="B1108" s="193" t="s">
        <v>3704</v>
      </c>
      <c r="C1108" s="193" t="s">
        <v>537</v>
      </c>
      <c r="D1108" s="193" t="s">
        <v>538</v>
      </c>
      <c r="E1108" s="193" t="s">
        <v>3705</v>
      </c>
      <c r="F1108" s="195">
        <v>2.215569988E9</v>
      </c>
      <c r="G1108" s="196"/>
      <c r="H1108" s="193" t="s">
        <v>3706</v>
      </c>
      <c r="I1108" s="197"/>
      <c r="J1108" s="198" t="s">
        <v>523</v>
      </c>
      <c r="K1108" s="199">
        <v>44835.0</v>
      </c>
      <c r="L1108" s="200"/>
      <c r="M1108" s="201"/>
      <c r="N1108" s="202"/>
      <c r="O1108" s="202"/>
    </row>
    <row r="1109">
      <c r="A1109" s="192">
        <v>1559.0</v>
      </c>
      <c r="B1109" s="193" t="s">
        <v>3707</v>
      </c>
      <c r="C1109" s="194" t="s">
        <v>526</v>
      </c>
      <c r="D1109" s="193" t="s">
        <v>822</v>
      </c>
      <c r="E1109" s="193" t="s">
        <v>3708</v>
      </c>
      <c r="F1109" s="195" t="s">
        <v>3709</v>
      </c>
      <c r="G1109" s="196"/>
      <c r="H1109" s="193" t="s">
        <v>3710</v>
      </c>
      <c r="I1109" s="197">
        <f>IF(iserror(vlookup($A1109,Pagos!$B$5:L1241,4,false)),"Sin actividad",If(vlookup($A1109,Pagos!$B$5:$L1241,5,false),vlookup($A1109,Pagos!$B$5:$L1241,5,false),vlookup($A1109,Pagos!$B$5:$L1241,4,false)))</f>
        <v>45870</v>
      </c>
      <c r="J1109" s="198" t="s">
        <v>523</v>
      </c>
      <c r="K1109" s="199">
        <v>42105.0</v>
      </c>
      <c r="L1109" s="200"/>
      <c r="M1109" s="201"/>
      <c r="N1109" s="202">
        <f>If(L1109&gt;K1109,   datedif(K1109,L1109,"Y") , If(K1109&lt;Vitalicios!$C$4, datedif(K1109,Vitalicios!$C$4,"Y"),0)  )</f>
        <v>10</v>
      </c>
      <c r="O1109" s="202"/>
    </row>
    <row r="1110">
      <c r="A1110" s="192">
        <v>745.0</v>
      </c>
      <c r="B1110" s="193" t="s">
        <v>3711</v>
      </c>
      <c r="C1110" s="194" t="s">
        <v>577</v>
      </c>
      <c r="D1110" s="193" t="s">
        <v>693</v>
      </c>
      <c r="E1110" s="193" t="s">
        <v>3712</v>
      </c>
      <c r="F1110" s="195">
        <v>4797861.0</v>
      </c>
      <c r="G1110" s="196">
        <v>1.55600553E8</v>
      </c>
      <c r="H1110" s="193" t="s">
        <v>3713</v>
      </c>
      <c r="I1110" s="197">
        <f>IF(iserror(vlookup($A1110,Pagos!$B$5:L1241,4,false)),"Sin actividad",If(vlookup($A1110,Pagos!$B$5:$L1241,5,false),vlookup($A1110,Pagos!$B$5:$L1241,5,false),vlookup($A1110,Pagos!$B$5:$L1241,4,false)))</f>
        <v>45809</v>
      </c>
      <c r="J1110" s="198" t="s">
        <v>523</v>
      </c>
      <c r="K1110" s="199">
        <v>36036.0</v>
      </c>
      <c r="L1110" s="200"/>
      <c r="M1110" s="201"/>
      <c r="N1110" s="202">
        <f>If(L1110&gt;K1110,   datedif(K1110,L1110,"Y") , If(K1110&lt;Vitalicios!$C$4, datedif(K1110,Vitalicios!$C$4,"Y"),0)  )</f>
        <v>27</v>
      </c>
      <c r="O1110" s="202"/>
    </row>
    <row r="1111">
      <c r="A1111" s="192">
        <v>1477.0</v>
      </c>
      <c r="B1111" s="193" t="s">
        <v>3714</v>
      </c>
      <c r="C1111" s="194" t="s">
        <v>577</v>
      </c>
      <c r="D1111" s="193" t="s">
        <v>693</v>
      </c>
      <c r="E1111" s="193" t="s">
        <v>3712</v>
      </c>
      <c r="F1111" s="195">
        <v>4596150.0</v>
      </c>
      <c r="G1111" s="196"/>
      <c r="H1111" s="193"/>
      <c r="I1111" s="197" t="str">
        <f>IF(iserror(vlookup($A1111,Pagos!$B$5:L1241,4,false)),"Sin actividad",If(vlookup($A1111,Pagos!$B$5:$L1241,5,false),vlookup($A1111,Pagos!$B$5:$L1241,5,false),vlookup($A1111,Pagos!$B$5:$L1241,4,false)))</f>
        <v>Sin actividad</v>
      </c>
      <c r="J1111" s="198" t="s">
        <v>529</v>
      </c>
      <c r="K1111" s="199">
        <v>41566.0</v>
      </c>
      <c r="L1111" s="200">
        <v>42522.0</v>
      </c>
      <c r="M1111" s="201" t="s">
        <v>1201</v>
      </c>
      <c r="N1111" s="202">
        <f>If(L1111&gt;K1111,   datedif(K1111,L1111,"Y") , If(K1111&lt;Vitalicios!$C$4, datedif(K1111,Vitalicios!$C$4,"Y"),0)  )</f>
        <v>2</v>
      </c>
      <c r="O1111" s="202"/>
    </row>
    <row r="1112">
      <c r="A1112" s="192">
        <v>1569.0</v>
      </c>
      <c r="B1112" s="193" t="s">
        <v>3715</v>
      </c>
      <c r="C1112" s="194" t="s">
        <v>526</v>
      </c>
      <c r="D1112" s="193" t="s">
        <v>3716</v>
      </c>
      <c r="E1112" s="193" t="s">
        <v>3717</v>
      </c>
      <c r="F1112" s="195">
        <v>1.54201053E8</v>
      </c>
      <c r="G1112" s="196"/>
      <c r="H1112" s="193" t="s">
        <v>3718</v>
      </c>
      <c r="I1112" s="197" t="str">
        <f>IF(iserror(vlookup($A1112,Pagos!$B$5:L1241,4,false)),"Sin actividad",If(vlookup($A1112,Pagos!$B$5:$L1241,5,false),vlookup($A1112,Pagos!$B$5:$L1241,5,false),vlookup($A1112,Pagos!$B$5:$L1241,4,false)))</f>
        <v>Sin actividad</v>
      </c>
      <c r="J1112" s="198" t="s">
        <v>529</v>
      </c>
      <c r="K1112" s="199">
        <v>42267.0</v>
      </c>
      <c r="L1112" s="200">
        <v>44136.0</v>
      </c>
      <c r="M1112" s="201" t="s">
        <v>1201</v>
      </c>
      <c r="N1112" s="202">
        <f>If(L1112&gt;K1112,   datedif(K1112,L1112,"Y") , If(K1112&lt;Vitalicios!$C$4, datedif(K1112,Vitalicios!$C$4,"Y"),0)  )</f>
        <v>5</v>
      </c>
      <c r="O1112" s="202"/>
    </row>
    <row r="1113">
      <c r="A1113" s="192">
        <v>1913.0</v>
      </c>
      <c r="B1113" s="193" t="s">
        <v>3719</v>
      </c>
      <c r="C1113" s="193" t="s">
        <v>537</v>
      </c>
      <c r="D1113" s="193" t="s">
        <v>532</v>
      </c>
      <c r="E1113" s="193" t="s">
        <v>3720</v>
      </c>
      <c r="F1113" s="195">
        <v>2.214859942E9</v>
      </c>
      <c r="G1113" s="196"/>
      <c r="H1113" s="193" t="s">
        <v>3721</v>
      </c>
      <c r="I1113" s="197">
        <f>IF(iserror(vlookup($A1113,Pagos!$B$5:L1241,4,false)),"Sin actividad",If(vlookup($A1113,Pagos!$B$5:$L1241,5,false),vlookup($A1113,Pagos!$B$5:$L1241,5,false),vlookup($A1113,Pagos!$B$5:$L1241,4,false)))</f>
        <v>45870</v>
      </c>
      <c r="J1113" s="198" t="s">
        <v>523</v>
      </c>
      <c r="K1113" s="199">
        <v>44317.0</v>
      </c>
      <c r="L1113" s="200"/>
      <c r="M1113" s="201"/>
      <c r="N1113" s="202"/>
      <c r="O1113" s="202"/>
    </row>
    <row r="1114">
      <c r="A1114" s="192">
        <v>1908.0</v>
      </c>
      <c r="B1114" s="193" t="s">
        <v>3722</v>
      </c>
      <c r="C1114" s="193" t="s">
        <v>537</v>
      </c>
      <c r="D1114" s="193" t="s">
        <v>538</v>
      </c>
      <c r="E1114" s="193" t="s">
        <v>3723</v>
      </c>
      <c r="F1114" s="195"/>
      <c r="G1114" s="196"/>
      <c r="H1114" s="193" t="s">
        <v>3724</v>
      </c>
      <c r="I1114" s="197">
        <f>IF(iserror(vlookup($A1114,Pagos!$B$5:L1241,4,false)),"Sin actividad",If(vlookup($A1114,Pagos!$B$5:$L1241,5,false),vlookup($A1114,Pagos!$B$5:$L1241,5,false),vlookup($A1114,Pagos!$B$5:$L1241,4,false)))</f>
        <v>45870</v>
      </c>
      <c r="J1114" s="198" t="s">
        <v>523</v>
      </c>
      <c r="K1114" s="199">
        <v>44317.0</v>
      </c>
      <c r="L1114" s="200"/>
      <c r="M1114" s="201"/>
      <c r="N1114" s="202"/>
      <c r="O1114" s="202"/>
    </row>
    <row r="1115">
      <c r="A1115" s="192">
        <v>1444.0</v>
      </c>
      <c r="B1115" s="193" t="s">
        <v>3725</v>
      </c>
      <c r="C1115" s="194" t="s">
        <v>526</v>
      </c>
      <c r="D1115" s="193" t="s">
        <v>556</v>
      </c>
      <c r="E1115" s="193" t="s">
        <v>3726</v>
      </c>
      <c r="F1115" s="195">
        <v>1.54557151E8</v>
      </c>
      <c r="G1115" s="196">
        <v>0.0</v>
      </c>
      <c r="H1115" s="193"/>
      <c r="I1115" s="197" t="str">
        <f>IF(iserror(vlookup($A1115,Pagos!$B$5:L1241,4,false)),"Sin actividad",If(vlookup($A1115,Pagos!$B$5:$L1241,5,false),vlookup($A1115,Pagos!$B$5:$L1241,5,false),vlookup($A1115,Pagos!$B$5:$L1241,4,false)))</f>
        <v>Sin actividad</v>
      </c>
      <c r="J1115" s="198" t="s">
        <v>529</v>
      </c>
      <c r="K1115" s="199">
        <v>41293.0</v>
      </c>
      <c r="L1115" s="200"/>
      <c r="M1115" s="201"/>
      <c r="N1115" s="202">
        <f>If(L1115&gt;K1115,   datedif(K1115,L1115,"Y") , If(K1115&lt;Vitalicios!$C$4, datedif(K1115,Vitalicios!$C$4,"Y"),0)  )</f>
        <v>12</v>
      </c>
      <c r="O1115" s="202"/>
    </row>
    <row r="1116">
      <c r="A1116" s="192">
        <v>2017.0</v>
      </c>
      <c r="B1116" s="193" t="s">
        <v>3727</v>
      </c>
      <c r="C1116" s="193" t="s">
        <v>537</v>
      </c>
      <c r="D1116" s="193" t="s">
        <v>628</v>
      </c>
      <c r="E1116" s="193" t="s">
        <v>3728</v>
      </c>
      <c r="F1116" s="195">
        <v>2.215760098E9</v>
      </c>
      <c r="G1116" s="196"/>
      <c r="H1116" s="209" t="s">
        <v>3729</v>
      </c>
      <c r="I1116" s="197" t="str">
        <f>IF(iserror(vlookup($A1116,Pagos!$B$5:L1241,4,false)),"Sin actividad",If(vlookup($A1116,Pagos!$B$5:$L1241,5,false),vlookup($A1116,Pagos!$B$5:$L1241,5,false),vlookup($A1116,Pagos!$B$5:$L1241,4,false)))</f>
        <v>Sin actividad</v>
      </c>
      <c r="J1116" s="198" t="s">
        <v>529</v>
      </c>
      <c r="K1116" s="199">
        <v>44682.0</v>
      </c>
      <c r="L1116" s="200">
        <v>44743.0</v>
      </c>
      <c r="M1116" s="201" t="s">
        <v>3730</v>
      </c>
      <c r="N1116" s="202"/>
      <c r="O1116" s="202"/>
    </row>
    <row r="1117">
      <c r="A1117" s="192">
        <v>1722.0</v>
      </c>
      <c r="B1117" s="193" t="s">
        <v>3731</v>
      </c>
      <c r="C1117" s="194" t="s">
        <v>526</v>
      </c>
      <c r="D1117" s="193" t="s">
        <v>520</v>
      </c>
      <c r="E1117" s="193" t="s">
        <v>3732</v>
      </c>
      <c r="F1117" s="195">
        <v>1.11559543869E11</v>
      </c>
      <c r="G1117" s="196"/>
      <c r="H1117" s="193" t="s">
        <v>3733</v>
      </c>
      <c r="I1117" s="197">
        <f>IF(iserror(vlookup($A1117,Pagos!$B$5:L1241,4,false)),"Sin actividad",If(vlookup($A1117,Pagos!$B$5:$L1241,5,false),vlookup($A1117,Pagos!$B$5:$L1241,5,false),vlookup($A1117,Pagos!$B$5:$L1241,4,false)))</f>
        <v>45870</v>
      </c>
      <c r="J1117" s="198" t="s">
        <v>523</v>
      </c>
      <c r="K1117" s="199">
        <v>41293.0</v>
      </c>
      <c r="L1117" s="200"/>
      <c r="M1117" s="201"/>
      <c r="N1117" s="202">
        <f>If(L1117&gt;K1117,   datedif(K1117,L1117,"Y") , If(K1117&lt;Vitalicios!$C$4, datedif(K1117,Vitalicios!$C$4,"Y"),0)  )</f>
        <v>12</v>
      </c>
      <c r="O1117" s="202"/>
    </row>
    <row r="1118">
      <c r="A1118" s="192">
        <v>2369.0</v>
      </c>
      <c r="B1118" s="193" t="s">
        <v>3734</v>
      </c>
      <c r="C1118" s="193" t="s">
        <v>537</v>
      </c>
      <c r="D1118" s="193" t="s">
        <v>485</v>
      </c>
      <c r="E1118" s="193"/>
      <c r="F1118" s="195">
        <v>2.213149037E9</v>
      </c>
      <c r="G1118" s="196"/>
      <c r="H1118" s="193" t="s">
        <v>3735</v>
      </c>
      <c r="I1118" s="197"/>
      <c r="J1118" s="198" t="s">
        <v>523</v>
      </c>
      <c r="K1118" s="199">
        <v>45748.0</v>
      </c>
      <c r="L1118" s="200"/>
      <c r="M1118" s="201"/>
      <c r="N1118" s="202"/>
      <c r="O1118" s="202"/>
    </row>
    <row r="1119">
      <c r="A1119" s="192">
        <v>2048.0</v>
      </c>
      <c r="B1119" s="193" t="s">
        <v>3736</v>
      </c>
      <c r="C1119" s="193" t="s">
        <v>537</v>
      </c>
      <c r="D1119" s="193" t="s">
        <v>538</v>
      </c>
      <c r="E1119" s="193" t="s">
        <v>3737</v>
      </c>
      <c r="F1119" s="195">
        <v>2.214194081E9</v>
      </c>
      <c r="G1119" s="196"/>
      <c r="H1119" s="193" t="s">
        <v>3738</v>
      </c>
      <c r="I1119" s="197">
        <v>44927.0</v>
      </c>
      <c r="J1119" s="198" t="s">
        <v>529</v>
      </c>
      <c r="K1119" s="199">
        <v>44805.0</v>
      </c>
      <c r="L1119" s="200">
        <v>45992.0</v>
      </c>
      <c r="M1119" s="201" t="s">
        <v>535</v>
      </c>
      <c r="N1119" s="202"/>
      <c r="O1119" s="202"/>
    </row>
    <row r="1120">
      <c r="A1120" s="192">
        <v>894.0</v>
      </c>
      <c r="B1120" s="193" t="s">
        <v>3739</v>
      </c>
      <c r="C1120" s="194" t="s">
        <v>577</v>
      </c>
      <c r="D1120" s="193" t="s">
        <v>520</v>
      </c>
      <c r="E1120" s="193" t="s">
        <v>3740</v>
      </c>
      <c r="F1120" s="195">
        <v>1.54189441E8</v>
      </c>
      <c r="G1120" s="196">
        <v>0.0</v>
      </c>
      <c r="H1120" s="193" t="s">
        <v>3741</v>
      </c>
      <c r="I1120" s="197">
        <f>IF(iserror(vlookup($A1120,Pagos!$B$5:L1241,4,false)),"Sin actividad",If(vlookup($A1120,Pagos!$B$5:$L1241,5,false),vlookup($A1120,Pagos!$B$5:$L1241,5,false),vlookup($A1120,Pagos!$B$5:$L1241,4,false)))</f>
        <v>45870</v>
      </c>
      <c r="J1120" s="198" t="s">
        <v>523</v>
      </c>
      <c r="K1120" s="199">
        <v>37338.0</v>
      </c>
      <c r="L1120" s="200"/>
      <c r="M1120" s="201"/>
      <c r="N1120" s="202">
        <f>If(L1120&gt;K1120,   datedif(K1120,L1120,"Y") , If(K1120&lt;Vitalicios!$C$4, datedif(K1120,Vitalicios!$C$4,"Y"),0)  )</f>
        <v>23</v>
      </c>
      <c r="O1120" s="202"/>
    </row>
    <row r="1121">
      <c r="A1121" s="192">
        <v>2355.0</v>
      </c>
      <c r="B1121" s="193" t="s">
        <v>3742</v>
      </c>
      <c r="C1121" s="193" t="s">
        <v>537</v>
      </c>
      <c r="D1121" s="193" t="s">
        <v>485</v>
      </c>
      <c r="E1121" s="193" t="s">
        <v>3743</v>
      </c>
      <c r="F1121" s="195">
        <v>2.215084097E9</v>
      </c>
      <c r="G1121" s="196"/>
      <c r="H1121" s="193" t="s">
        <v>3744</v>
      </c>
      <c r="I1121" s="197"/>
      <c r="J1121" s="198" t="s">
        <v>523</v>
      </c>
      <c r="K1121" s="199">
        <v>45748.0</v>
      </c>
      <c r="L1121" s="200"/>
      <c r="M1121" s="201"/>
      <c r="N1121" s="202"/>
      <c r="O1121" s="202"/>
    </row>
    <row r="1122">
      <c r="A1122" s="192">
        <v>2218.0</v>
      </c>
      <c r="B1122" s="193" t="s">
        <v>3745</v>
      </c>
      <c r="C1122" s="193" t="s">
        <v>537</v>
      </c>
      <c r="D1122" s="193"/>
      <c r="E1122" s="193"/>
      <c r="F1122" s="195">
        <v>2.215455128E9</v>
      </c>
      <c r="G1122" s="196"/>
      <c r="H1122" s="193" t="s">
        <v>3746</v>
      </c>
      <c r="I1122" s="197"/>
      <c r="J1122" s="198" t="s">
        <v>523</v>
      </c>
      <c r="K1122" s="199">
        <v>45231.0</v>
      </c>
      <c r="L1122" s="200"/>
      <c r="M1122" s="201"/>
      <c r="N1122" s="202"/>
      <c r="O1122" s="202"/>
    </row>
    <row r="1123">
      <c r="A1123" s="192">
        <v>2282.0</v>
      </c>
      <c r="B1123" s="193" t="s">
        <v>3747</v>
      </c>
      <c r="C1123" s="193" t="s">
        <v>537</v>
      </c>
      <c r="D1123" s="193" t="s">
        <v>549</v>
      </c>
      <c r="E1123" s="193" t="s">
        <v>3748</v>
      </c>
      <c r="F1123" s="195">
        <v>2.215794004E9</v>
      </c>
      <c r="G1123" s="196"/>
      <c r="H1123" s="193" t="s">
        <v>3749</v>
      </c>
      <c r="I1123" s="197"/>
      <c r="J1123" s="198" t="s">
        <v>523</v>
      </c>
      <c r="K1123" s="199">
        <v>45566.0</v>
      </c>
      <c r="L1123" s="200"/>
      <c r="M1123" s="201"/>
      <c r="N1123" s="202"/>
      <c r="O1123" s="202"/>
    </row>
    <row r="1124">
      <c r="A1124" s="192">
        <v>1827.0</v>
      </c>
      <c r="B1124" s="193" t="s">
        <v>3750</v>
      </c>
      <c r="C1124" s="193" t="s">
        <v>537</v>
      </c>
      <c r="D1124" s="193" t="s">
        <v>646</v>
      </c>
      <c r="E1124" s="193" t="s">
        <v>3751</v>
      </c>
      <c r="F1124" s="195">
        <v>2.215362434E9</v>
      </c>
      <c r="G1124" s="196"/>
      <c r="H1124" s="193" t="s">
        <v>3752</v>
      </c>
      <c r="I1124" s="197" t="str">
        <f>IF(iserror(vlookup($A1124,Pagos!$B$5:L1241,4,false)),"Sin actividad",If(vlookup($A1124,Pagos!$B$5:$L1241,5,false),vlookup($A1124,Pagos!$B$5:$L1241,5,false),vlookup($A1124,Pagos!$B$5:$L1241,4,false)))</f>
        <v>Sin actividad</v>
      </c>
      <c r="J1124" s="198" t="s">
        <v>529</v>
      </c>
      <c r="K1124" s="199">
        <v>44075.0</v>
      </c>
      <c r="L1124" s="200">
        <v>45383.0</v>
      </c>
      <c r="M1124" s="201" t="s">
        <v>535</v>
      </c>
      <c r="N1124" s="202"/>
      <c r="O1124" s="202"/>
    </row>
    <row r="1125">
      <c r="A1125" s="192">
        <v>1474.0</v>
      </c>
      <c r="B1125" s="193" t="s">
        <v>3753</v>
      </c>
      <c r="C1125" s="194" t="s">
        <v>526</v>
      </c>
      <c r="D1125" s="193" t="s">
        <v>556</v>
      </c>
      <c r="E1125" s="193" t="s">
        <v>3754</v>
      </c>
      <c r="F1125" s="195">
        <v>1.55083465E8</v>
      </c>
      <c r="G1125" s="196"/>
      <c r="H1125" s="193"/>
      <c r="I1125" s="197" t="str">
        <f>IF(iserror(vlookup($A1125,Pagos!$B$5:L1241,4,false)),"Sin actividad",If(vlookup($A1125,Pagos!$B$5:$L1241,5,false),vlookup($A1125,Pagos!$B$5:$L1241,5,false),vlookup($A1125,Pagos!$B$5:$L1241,4,false)))</f>
        <v>Sin actividad</v>
      </c>
      <c r="J1125" s="198" t="s">
        <v>529</v>
      </c>
      <c r="K1125" s="199">
        <v>41552.0</v>
      </c>
      <c r="L1125" s="200">
        <v>43160.0</v>
      </c>
      <c r="M1125" s="201"/>
      <c r="N1125" s="202">
        <f>If(L1125&gt;K1125,   datedif(K1125,L1125,"Y") , If(K1125&lt;Vitalicios!$C$4, datedif(K1125,Vitalicios!$C$4,"Y"),0)  )</f>
        <v>4</v>
      </c>
      <c r="O1125" s="202"/>
    </row>
    <row r="1126">
      <c r="A1126" s="192">
        <v>2372.0</v>
      </c>
      <c r="B1126" s="193" t="s">
        <v>3755</v>
      </c>
      <c r="C1126" s="193" t="s">
        <v>537</v>
      </c>
      <c r="D1126" s="193" t="s">
        <v>485</v>
      </c>
      <c r="E1126" s="193" t="s">
        <v>3756</v>
      </c>
      <c r="F1126" s="195">
        <v>2.214185662E9</v>
      </c>
      <c r="G1126" s="196"/>
      <c r="H1126" s="193" t="s">
        <v>3757</v>
      </c>
      <c r="I1126" s="197"/>
      <c r="J1126" s="198" t="s">
        <v>523</v>
      </c>
      <c r="K1126" s="199">
        <v>45748.0</v>
      </c>
      <c r="L1126" s="200"/>
      <c r="M1126" s="201"/>
      <c r="N1126" s="202"/>
      <c r="O1126" s="202"/>
    </row>
    <row r="1127">
      <c r="A1127" s="192">
        <v>2373.0</v>
      </c>
      <c r="B1127" s="193" t="s">
        <v>3758</v>
      </c>
      <c r="C1127" s="193" t="s">
        <v>537</v>
      </c>
      <c r="D1127" s="193" t="s">
        <v>485</v>
      </c>
      <c r="E1127" s="193" t="s">
        <v>3756</v>
      </c>
      <c r="F1127" s="195"/>
      <c r="G1127" s="196"/>
      <c r="H1127" s="193"/>
      <c r="I1127" s="197"/>
      <c r="J1127" s="198" t="s">
        <v>523</v>
      </c>
      <c r="K1127" s="199">
        <v>45748.0</v>
      </c>
      <c r="L1127" s="200"/>
      <c r="M1127" s="201"/>
      <c r="N1127" s="202"/>
      <c r="O1127" s="202"/>
    </row>
    <row r="1128">
      <c r="A1128" s="192">
        <v>2374.0</v>
      </c>
      <c r="B1128" s="193" t="s">
        <v>3759</v>
      </c>
      <c r="C1128" s="193" t="s">
        <v>537</v>
      </c>
      <c r="D1128" s="193" t="s">
        <v>485</v>
      </c>
      <c r="E1128" s="193" t="s">
        <v>3756</v>
      </c>
      <c r="F1128" s="195"/>
      <c r="G1128" s="196"/>
      <c r="H1128" s="193"/>
      <c r="I1128" s="197"/>
      <c r="J1128" s="198" t="s">
        <v>523</v>
      </c>
      <c r="K1128" s="199">
        <v>45748.0</v>
      </c>
      <c r="L1128" s="200"/>
      <c r="M1128" s="201"/>
      <c r="N1128" s="202"/>
      <c r="O1128" s="202"/>
    </row>
    <row r="1129">
      <c r="A1129" s="192">
        <v>1308.0</v>
      </c>
      <c r="B1129" s="193" t="s">
        <v>3760</v>
      </c>
      <c r="C1129" s="194" t="s">
        <v>526</v>
      </c>
      <c r="D1129" s="193" t="s">
        <v>556</v>
      </c>
      <c r="E1129" s="193" t="s">
        <v>3761</v>
      </c>
      <c r="F1129" s="195">
        <v>4790519.0</v>
      </c>
      <c r="G1129" s="196">
        <v>0.0</v>
      </c>
      <c r="H1129" s="193"/>
      <c r="I1129" s="197" t="str">
        <f>IF(iserror(vlookup($A1129,Pagos!$B$5:L1241,4,false)),"Sin actividad",If(vlookup($A1129,Pagos!$B$5:$L1241,5,false),vlookup($A1129,Pagos!$B$5:$L1241,5,false),vlookup($A1129,Pagos!$B$5:$L1241,4,false)))</f>
        <v>Sin actividad</v>
      </c>
      <c r="J1129" s="198" t="s">
        <v>529</v>
      </c>
      <c r="K1129" s="199">
        <v>40419.0</v>
      </c>
      <c r="L1129" s="200"/>
      <c r="M1129" s="201"/>
      <c r="N1129" s="202">
        <f>If(L1129&gt;K1129,   datedif(K1129,L1129,"Y") , If(K1129&lt;Vitalicios!$C$4, datedif(K1129,Vitalicios!$C$4,"Y"),0)  )</f>
        <v>15</v>
      </c>
      <c r="O1129" s="202"/>
    </row>
    <row r="1130">
      <c r="A1130" s="192">
        <v>1536.0</v>
      </c>
      <c r="B1130" s="193" t="s">
        <v>3762</v>
      </c>
      <c r="C1130" s="194" t="s">
        <v>577</v>
      </c>
      <c r="D1130" s="193" t="s">
        <v>556</v>
      </c>
      <c r="E1130" s="193" t="s">
        <v>3763</v>
      </c>
      <c r="F1130" s="195">
        <v>1.115404381E11</v>
      </c>
      <c r="G1130" s="196">
        <v>0.0</v>
      </c>
      <c r="H1130" s="193" t="s">
        <v>3764</v>
      </c>
      <c r="I1130" s="197">
        <f>IF(iserror(vlookup($A1130,Pagos!$B$5:L1241,4,false)),"Sin actividad",If(vlookup($A1130,Pagos!$B$5:$L1241,5,false),vlookup($A1130,Pagos!$B$5:$L1241,5,false),vlookup($A1130,Pagos!$B$5:$L1241,4,false)))</f>
        <v>45870</v>
      </c>
      <c r="J1130" s="198" t="s">
        <v>523</v>
      </c>
      <c r="K1130" s="199">
        <v>41972.0</v>
      </c>
      <c r="L1130" s="200"/>
      <c r="M1130" s="201"/>
      <c r="N1130" s="202">
        <f>If(L1130&gt;K1130,   datedif(K1130,L1130,"Y") , If(K1130&lt;Vitalicios!$C$4, datedif(K1130,Vitalicios!$C$4,"Y"),0)  )</f>
        <v>10</v>
      </c>
      <c r="O1130" s="202"/>
    </row>
    <row r="1131">
      <c r="A1131" s="192">
        <v>1637.0</v>
      </c>
      <c r="B1131" s="193" t="s">
        <v>3765</v>
      </c>
      <c r="C1131" s="194" t="s">
        <v>526</v>
      </c>
      <c r="D1131" s="193" t="s">
        <v>520</v>
      </c>
      <c r="E1131" s="193" t="s">
        <v>3766</v>
      </c>
      <c r="F1131" s="195">
        <v>1.5606143E8</v>
      </c>
      <c r="G1131" s="196">
        <v>4258334.0</v>
      </c>
      <c r="H1131" s="193" t="s">
        <v>3767</v>
      </c>
      <c r="I1131" s="197">
        <f>IF(iserror(vlookup($A1131,Pagos!$B$5:L1241,4,false)),"Sin actividad",If(vlookup($A1131,Pagos!$B$5:$L1241,5,false),vlookup($A1131,Pagos!$B$5:$L1241,5,false),vlookup($A1131,Pagos!$B$5:$L1241,4,false)))</f>
        <v>45870</v>
      </c>
      <c r="J1131" s="198" t="s">
        <v>523</v>
      </c>
      <c r="K1131" s="199">
        <v>42795.0</v>
      </c>
      <c r="L1131" s="200"/>
      <c r="M1131" s="201"/>
      <c r="N1131" s="202">
        <f>If(L1131&gt;K1131,   datedif(K1131,L1131,"Y") , If(K1131&lt;Vitalicios!$C$4, datedif(K1131,Vitalicios!$C$4,"Y"),0)  )</f>
        <v>8</v>
      </c>
      <c r="O1131" s="202"/>
    </row>
    <row r="1132">
      <c r="A1132" s="192">
        <v>1637.0</v>
      </c>
      <c r="B1132" s="193" t="s">
        <v>3765</v>
      </c>
      <c r="C1132" s="194" t="s">
        <v>519</v>
      </c>
      <c r="D1132" s="193" t="s">
        <v>520</v>
      </c>
      <c r="E1132" s="193" t="s">
        <v>3766</v>
      </c>
      <c r="F1132" s="195">
        <v>1.5606143E8</v>
      </c>
      <c r="G1132" s="196">
        <v>4258334.0</v>
      </c>
      <c r="H1132" s="193" t="s">
        <v>3767</v>
      </c>
      <c r="I1132" s="197">
        <f>IF(iserror(vlookup($A1132,Pagos!$B$5:L1241,4,false)),"Sin actividad",If(vlookup($A1132,Pagos!$B$5:$L1241,5,false),vlookup($A1132,Pagos!$B$5:$L1241,5,false),vlookup($A1132,Pagos!$B$5:$L1241,4,false)))</f>
        <v>45870</v>
      </c>
      <c r="J1132" s="198" t="s">
        <v>523</v>
      </c>
      <c r="K1132" s="199">
        <v>42826.0</v>
      </c>
      <c r="L1132" s="200"/>
      <c r="M1132" s="201"/>
      <c r="N1132" s="202">
        <f>If(L1132&gt;K1132,   datedif(K1132,L1132,"Y") , If(K1132&lt;Vitalicios!$C$4, datedif(K1132,Vitalicios!$C$4,"Y"),0)  )</f>
        <v>8</v>
      </c>
      <c r="O1132" s="202"/>
    </row>
    <row r="1133">
      <c r="A1133" s="192">
        <v>2286.0</v>
      </c>
      <c r="B1133" s="193" t="s">
        <v>3768</v>
      </c>
      <c r="C1133" s="193" t="s">
        <v>537</v>
      </c>
      <c r="D1133" s="193" t="s">
        <v>628</v>
      </c>
      <c r="E1133" s="193" t="s">
        <v>3769</v>
      </c>
      <c r="F1133" s="195"/>
      <c r="G1133" s="196"/>
      <c r="H1133" s="193" t="s">
        <v>3770</v>
      </c>
      <c r="I1133" s="197"/>
      <c r="J1133" s="198" t="s">
        <v>523</v>
      </c>
      <c r="K1133" s="199">
        <v>45566.0</v>
      </c>
      <c r="L1133" s="200"/>
      <c r="M1133" s="201"/>
      <c r="N1133" s="202"/>
      <c r="O1133" s="202"/>
    </row>
    <row r="1134">
      <c r="A1134" s="192">
        <v>1584.0</v>
      </c>
      <c r="B1134" s="193" t="s">
        <v>3771</v>
      </c>
      <c r="C1134" s="194" t="s">
        <v>526</v>
      </c>
      <c r="D1134" s="193" t="s">
        <v>48</v>
      </c>
      <c r="E1134" s="193" t="s">
        <v>3772</v>
      </c>
      <c r="F1134" s="195">
        <v>1.564839958E9</v>
      </c>
      <c r="G1134" s="196">
        <v>4.2525571E7</v>
      </c>
      <c r="H1134" s="193" t="s">
        <v>3773</v>
      </c>
      <c r="I1134" s="197" t="str">
        <f>IF(iserror(vlookup($A1134,Pagos!$B$5:L1241,4,false)),"Sin actividad",If(vlookup($A1134,Pagos!$B$5:$L1241,5,false),vlookup($A1134,Pagos!$B$5:$L1241,5,false),vlookup($A1134,Pagos!$B$5:$L1241,4,false)))</f>
        <v>Sin actividad</v>
      </c>
      <c r="J1134" s="198" t="s">
        <v>529</v>
      </c>
      <c r="K1134" s="199">
        <v>42365.0</v>
      </c>
      <c r="L1134" s="200">
        <v>43344.0</v>
      </c>
      <c r="M1134" s="201" t="s">
        <v>3774</v>
      </c>
      <c r="N1134" s="202">
        <f>If(L1134&gt;K1134,   datedif(K1134,L1134,"Y") , If(K1134&lt;Vitalicios!$C$4, datedif(K1134,Vitalicios!$C$4,"Y"),0)  )</f>
        <v>2</v>
      </c>
      <c r="O1134" s="202"/>
    </row>
    <row r="1135">
      <c r="A1135" s="192">
        <v>1873.0</v>
      </c>
      <c r="B1135" s="193" t="s">
        <v>3775</v>
      </c>
      <c r="C1135" s="193" t="s">
        <v>537</v>
      </c>
      <c r="D1135" s="193" t="s">
        <v>538</v>
      </c>
      <c r="E1135" s="193" t="s">
        <v>3776</v>
      </c>
      <c r="F1135" s="195">
        <v>2.215947523E9</v>
      </c>
      <c r="G1135" s="196"/>
      <c r="H1135" s="193" t="s">
        <v>3777</v>
      </c>
      <c r="I1135" s="197" t="str">
        <f>IF(iserror(vlookup($A1135,Pagos!$B$5:L1241,4,false)),"Sin actividad",If(vlookup($A1135,Pagos!$B$5:$L1241,5,false),vlookup($A1135,Pagos!$B$5:$L1241,5,false),vlookup($A1135,Pagos!$B$5:$L1241,4,false)))</f>
        <v>Sin actividad</v>
      </c>
      <c r="J1135" s="198" t="s">
        <v>529</v>
      </c>
      <c r="K1135" s="199">
        <v>44228.0</v>
      </c>
      <c r="L1135" s="200">
        <v>44348.0</v>
      </c>
      <c r="M1135" s="201"/>
      <c r="N1135" s="202"/>
      <c r="O1135" s="202"/>
    </row>
    <row r="1136">
      <c r="A1136" s="192">
        <v>1401.0</v>
      </c>
      <c r="B1136" s="193" t="s">
        <v>3778</v>
      </c>
      <c r="C1136" s="194" t="s">
        <v>526</v>
      </c>
      <c r="D1136" s="193" t="s">
        <v>770</v>
      </c>
      <c r="E1136" s="193" t="s">
        <v>3779</v>
      </c>
      <c r="F1136" s="195">
        <v>1.54597749E8</v>
      </c>
      <c r="G1136" s="196">
        <v>0.0</v>
      </c>
      <c r="H1136" s="193"/>
      <c r="I1136" s="197" t="str">
        <f>IF(iserror(vlookup($A1136,Pagos!$B$5:L1241,4,false)),"Sin actividad",If(vlookup($A1136,Pagos!$B$5:$L1241,5,false),vlookup($A1136,Pagos!$B$5:$L1241,5,false),vlookup($A1136,Pagos!$B$5:$L1241,4,false)))</f>
        <v>Sin actividad</v>
      </c>
      <c r="J1136" s="198" t="s">
        <v>529</v>
      </c>
      <c r="K1136" s="199">
        <v>40894.0</v>
      </c>
      <c r="L1136" s="200"/>
      <c r="M1136" s="201"/>
      <c r="N1136" s="202">
        <f>If(L1136&gt;K1136,   datedif(K1136,L1136,"Y") , If(K1136&lt;Vitalicios!$C$4, datedif(K1136,Vitalicios!$C$4,"Y"),0)  )</f>
        <v>13</v>
      </c>
      <c r="O1136" s="202"/>
    </row>
    <row r="1137">
      <c r="A1137" s="192">
        <v>1957.0</v>
      </c>
      <c r="B1137" s="193" t="s">
        <v>3780</v>
      </c>
      <c r="C1137" s="193" t="s">
        <v>537</v>
      </c>
      <c r="D1137" s="193" t="s">
        <v>538</v>
      </c>
      <c r="E1137" s="193" t="s">
        <v>3781</v>
      </c>
      <c r="F1137" s="195">
        <v>2.214552882E9</v>
      </c>
      <c r="G1137" s="196"/>
      <c r="H1137" s="193" t="s">
        <v>3782</v>
      </c>
      <c r="I1137" s="197" t="str">
        <f>IF(iserror(vlookup($A1137,Pagos!$B$5:L1241,4,false)),"Sin actividad",If(vlookup($A1137,Pagos!$B$5:$L1241,5,false),vlookup($A1137,Pagos!$B$5:$L1241,5,false),vlookup($A1137,Pagos!$B$5:$L1241,4,false)))</f>
        <v>Sin actividad</v>
      </c>
      <c r="J1137" s="198" t="s">
        <v>529</v>
      </c>
      <c r="K1137" s="199">
        <v>44531.0</v>
      </c>
      <c r="L1137" s="200">
        <v>45748.0</v>
      </c>
      <c r="M1137" s="201" t="s">
        <v>535</v>
      </c>
      <c r="N1137" s="202"/>
      <c r="O1137" s="202"/>
    </row>
    <row r="1138">
      <c r="A1138" s="192">
        <v>1780.0</v>
      </c>
      <c r="B1138" s="193" t="s">
        <v>3783</v>
      </c>
      <c r="C1138" s="194" t="s">
        <v>519</v>
      </c>
      <c r="D1138" s="193" t="s">
        <v>520</v>
      </c>
      <c r="E1138" s="193" t="s">
        <v>3784</v>
      </c>
      <c r="F1138" s="195">
        <v>4592928.0</v>
      </c>
      <c r="G1138" s="196"/>
      <c r="H1138" s="193" t="s">
        <v>3785</v>
      </c>
      <c r="I1138" s="197" t="str">
        <f>IF(iserror(vlookup($A1138,Pagos!$B$5:L1241,4,false)),"Sin actividad",If(vlookup($A1138,Pagos!$B$5:$L1241,5,false),vlookup($A1138,Pagos!$B$5:$L1241,5,false),vlookup($A1138,Pagos!$B$5:$L1241,4,false)))</f>
        <v>Sin actividad</v>
      </c>
      <c r="J1138" s="198" t="s">
        <v>529</v>
      </c>
      <c r="K1138" s="199">
        <v>43862.0</v>
      </c>
      <c r="L1138" s="200">
        <v>43891.0</v>
      </c>
      <c r="M1138" s="201" t="s">
        <v>3786</v>
      </c>
      <c r="N1138" s="202">
        <f>If(L1138&gt;K1138,   datedif(K1138,L1138,"Y") , If(K1138&lt;Vitalicios!$C$4, datedif(K1138,Vitalicios!$C$4,"Y"),0)  )</f>
        <v>0</v>
      </c>
      <c r="O1138" s="202"/>
    </row>
    <row r="1139">
      <c r="A1139" s="192">
        <v>2349.0</v>
      </c>
      <c r="B1139" s="193" t="s">
        <v>3787</v>
      </c>
      <c r="C1139" s="193" t="s">
        <v>537</v>
      </c>
      <c r="D1139" s="193" t="s">
        <v>538</v>
      </c>
      <c r="E1139" s="193" t="s">
        <v>3788</v>
      </c>
      <c r="F1139" s="195">
        <v>2.215072841E9</v>
      </c>
      <c r="G1139" s="196"/>
      <c r="H1139" s="193" t="s">
        <v>3789</v>
      </c>
      <c r="I1139" s="197"/>
      <c r="J1139" s="198" t="s">
        <v>523</v>
      </c>
      <c r="K1139" s="199">
        <v>45748.0</v>
      </c>
      <c r="L1139" s="200"/>
      <c r="M1139" s="201"/>
      <c r="N1139" s="202"/>
      <c r="O1139" s="202"/>
    </row>
    <row r="1140">
      <c r="A1140" s="192">
        <v>2077.0</v>
      </c>
      <c r="B1140" s="193" t="s">
        <v>3790</v>
      </c>
      <c r="C1140" s="193" t="s">
        <v>537</v>
      </c>
      <c r="D1140" s="193" t="s">
        <v>538</v>
      </c>
      <c r="E1140" s="193" t="s">
        <v>3791</v>
      </c>
      <c r="F1140" s="195">
        <v>1.169735841E9</v>
      </c>
      <c r="G1140" s="196"/>
      <c r="H1140" s="193" t="s">
        <v>3792</v>
      </c>
      <c r="I1140" s="197"/>
      <c r="J1140" s="198" t="s">
        <v>529</v>
      </c>
      <c r="K1140" s="199">
        <v>44835.0</v>
      </c>
      <c r="L1140" s="200">
        <v>45261.0</v>
      </c>
      <c r="M1140" s="201" t="s">
        <v>535</v>
      </c>
      <c r="N1140" s="202"/>
      <c r="O1140" s="202"/>
    </row>
    <row r="1141">
      <c r="A1141" s="192">
        <v>927.0</v>
      </c>
      <c r="B1141" s="193" t="s">
        <v>3793</v>
      </c>
      <c r="C1141" s="194" t="s">
        <v>577</v>
      </c>
      <c r="D1141" s="193" t="s">
        <v>520</v>
      </c>
      <c r="E1141" s="193" t="s">
        <v>3794</v>
      </c>
      <c r="F1141" s="195">
        <v>1.54081314E8</v>
      </c>
      <c r="G1141" s="196">
        <v>0.0</v>
      </c>
      <c r="H1141" s="193"/>
      <c r="I1141" s="197" t="str">
        <f>IF(iserror(vlookup($A1141,Pagos!$B$5:L1241,4,false)),"Sin actividad",If(vlookup($A1141,Pagos!$B$5:$L1241,5,false),vlookup($A1141,Pagos!$B$5:$L1241,5,false),vlookup($A1141,Pagos!$B$5:$L1241,4,false)))</f>
        <v>Sin actividad</v>
      </c>
      <c r="J1141" s="198" t="s">
        <v>529</v>
      </c>
      <c r="K1141" s="199">
        <v>37618.0</v>
      </c>
      <c r="L1141" s="200">
        <v>41670.0</v>
      </c>
      <c r="M1141" s="201" t="s">
        <v>1201</v>
      </c>
      <c r="N1141" s="202">
        <f>If(L1141&gt;K1141,   datedif(K1141,L1141,"Y") , If(K1141&lt;Vitalicios!$C$4, datedif(K1141,Vitalicios!$C$4,"Y"),0)  )</f>
        <v>11</v>
      </c>
      <c r="O1141" s="202"/>
    </row>
    <row r="1142">
      <c r="A1142" s="192">
        <v>1699.0</v>
      </c>
      <c r="B1142" s="193" t="s">
        <v>3795</v>
      </c>
      <c r="C1142" s="194" t="s">
        <v>519</v>
      </c>
      <c r="D1142" s="193" t="s">
        <v>527</v>
      </c>
      <c r="E1142" s="193" t="s">
        <v>3796</v>
      </c>
      <c r="F1142" s="195">
        <v>1.134277068E9</v>
      </c>
      <c r="G1142" s="196"/>
      <c r="H1142" s="193"/>
      <c r="I1142" s="197" t="str">
        <f>IF(iserror(vlookup($A1142,Pagos!$B$5:L1241,4,false)),"Sin actividad",If(vlookup($A1142,Pagos!$B$5:$L1241,5,false),vlookup($A1142,Pagos!$B$5:$L1241,5,false),vlookup($A1142,Pagos!$B$5:$L1241,4,false)))</f>
        <v>Sin actividad</v>
      </c>
      <c r="J1142" s="198" t="s">
        <v>529</v>
      </c>
      <c r="K1142" s="199">
        <v>43252.0</v>
      </c>
      <c r="L1142" s="200"/>
      <c r="M1142" s="201"/>
      <c r="N1142" s="202">
        <f>If(L1142&gt;K1142,   datedif(K1142,L1142,"Y") , If(K1142&lt;Vitalicios!$C$4, datedif(K1142,Vitalicios!$C$4,"Y"),0)  )</f>
        <v>7</v>
      </c>
      <c r="O1142" s="202"/>
    </row>
    <row r="1143">
      <c r="A1143" s="192">
        <v>1730.0</v>
      </c>
      <c r="B1143" s="193" t="s">
        <v>3797</v>
      </c>
      <c r="C1143" s="194" t="s">
        <v>519</v>
      </c>
      <c r="D1143" s="193" t="s">
        <v>538</v>
      </c>
      <c r="E1143" s="193" t="s">
        <v>3798</v>
      </c>
      <c r="F1143" s="195">
        <v>1.54989863E8</v>
      </c>
      <c r="G1143" s="196"/>
      <c r="H1143" s="193" t="s">
        <v>3799</v>
      </c>
      <c r="I1143" s="197">
        <f>IF(iserror(vlookup($A1143,Pagos!$B$5:L1241,4,false)),"Sin actividad",If(vlookup($A1143,Pagos!$B$5:$L1241,5,false),vlookup($A1143,Pagos!$B$5:$L1241,5,false),vlookup($A1143,Pagos!$B$5:$L1241,4,false)))</f>
        <v>45870</v>
      </c>
      <c r="J1143" s="198" t="s">
        <v>523</v>
      </c>
      <c r="K1143" s="199">
        <v>43497.0</v>
      </c>
      <c r="L1143" s="200"/>
      <c r="M1143" s="201"/>
      <c r="N1143" s="202">
        <f>If(L1143&gt;K1143,   datedif(K1143,L1143,"Y") , If(K1143&lt;Vitalicios!$C$4, datedif(K1143,Vitalicios!$C$4,"Y"),0)  )</f>
        <v>6</v>
      </c>
      <c r="O1143" s="202"/>
    </row>
    <row r="1144">
      <c r="A1144" s="192">
        <v>1829.0</v>
      </c>
      <c r="B1144" s="193" t="s">
        <v>3800</v>
      </c>
      <c r="C1144" s="193" t="s">
        <v>679</v>
      </c>
      <c r="D1144" s="193" t="s">
        <v>538</v>
      </c>
      <c r="E1144" s="193" t="s">
        <v>3801</v>
      </c>
      <c r="F1144" s="195">
        <v>2.214636768E9</v>
      </c>
      <c r="G1144" s="196"/>
      <c r="H1144" s="193" t="s">
        <v>3802</v>
      </c>
      <c r="I1144" s="197">
        <f>IF(iserror(vlookup($A1144,Pagos!$B$5:L1241,4,false)),"Sin actividad",If(vlookup($A1144,Pagos!$B$5:$L1241,5,false),vlookup($A1144,Pagos!$B$5:$L1241,5,false),vlookup($A1144,Pagos!$B$5:$L1241,4,false)))</f>
        <v>45870</v>
      </c>
      <c r="J1144" s="198" t="s">
        <v>523</v>
      </c>
      <c r="K1144" s="199">
        <v>44105.0</v>
      </c>
      <c r="L1144" s="200"/>
      <c r="M1144" s="201"/>
      <c r="N1144" s="202"/>
      <c r="O1144" s="202"/>
    </row>
    <row r="1145">
      <c r="A1145" s="192">
        <v>1926.0</v>
      </c>
      <c r="B1145" s="193" t="s">
        <v>3803</v>
      </c>
      <c r="C1145" s="193" t="s">
        <v>679</v>
      </c>
      <c r="D1145" s="193" t="s">
        <v>538</v>
      </c>
      <c r="E1145" s="193" t="s">
        <v>3804</v>
      </c>
      <c r="F1145" s="195">
        <v>2.215079534E9</v>
      </c>
      <c r="G1145" s="196"/>
      <c r="H1145" s="209" t="s">
        <v>3805</v>
      </c>
      <c r="I1145" s="197">
        <f>IF(iserror(vlookup($A1145,Pagos!$B$5:L1241,4,false)),"Sin actividad",If(vlookup($A1145,Pagos!$B$5:$L1241,5,false),vlookup($A1145,Pagos!$B$5:$L1241,5,false),vlookup($A1145,Pagos!$B$5:$L1241,4,false)))</f>
        <v>45870</v>
      </c>
      <c r="J1145" s="198" t="s">
        <v>523</v>
      </c>
      <c r="K1145" s="199">
        <v>44440.0</v>
      </c>
      <c r="L1145" s="200"/>
      <c r="M1145" s="201"/>
      <c r="N1145" s="202"/>
      <c r="O1145" s="202"/>
    </row>
    <row r="1146">
      <c r="A1146" s="192">
        <v>1701.0</v>
      </c>
      <c r="B1146" s="193" t="s">
        <v>3806</v>
      </c>
      <c r="C1146" s="194" t="s">
        <v>519</v>
      </c>
      <c r="D1146" s="193" t="s">
        <v>538</v>
      </c>
      <c r="E1146" s="193" t="s">
        <v>3807</v>
      </c>
      <c r="F1146" s="195"/>
      <c r="G1146" s="196"/>
      <c r="H1146" s="193" t="s">
        <v>3808</v>
      </c>
      <c r="I1146" s="197" t="str">
        <f>IF(iserror(vlookup($A1146,Pagos!$B$5:L1241,4,false)),"Sin actividad",If(vlookup($A1146,Pagos!$B$5:$L1241,5,false),vlookup($A1146,Pagos!$B$5:$L1241,5,false),vlookup($A1146,Pagos!$B$5:$L1241,4,false)))</f>
        <v>Sin actividad</v>
      </c>
      <c r="J1146" s="198" t="s">
        <v>529</v>
      </c>
      <c r="K1146" s="199">
        <v>43252.0</v>
      </c>
      <c r="L1146" s="200">
        <v>43525.0</v>
      </c>
      <c r="M1146" s="201" t="s">
        <v>614</v>
      </c>
      <c r="N1146" s="202">
        <f>If(L1146&gt;K1146,   datedif(K1146,L1146,"Y") , If(K1146&lt;Vitalicios!$C$4, datedif(K1146,Vitalicios!$C$4,"Y"),0)  )</f>
        <v>0</v>
      </c>
      <c r="O1146" s="202"/>
    </row>
    <row r="1147">
      <c r="A1147" s="192">
        <v>1648.0</v>
      </c>
      <c r="B1147" s="193" t="s">
        <v>3809</v>
      </c>
      <c r="C1147" s="194" t="s">
        <v>519</v>
      </c>
      <c r="D1147" s="193" t="s">
        <v>527</v>
      </c>
      <c r="E1147" s="193" t="s">
        <v>3810</v>
      </c>
      <c r="F1147" s="195">
        <v>1.55622071E8</v>
      </c>
      <c r="G1147" s="196"/>
      <c r="H1147" s="193" t="s">
        <v>3811</v>
      </c>
      <c r="I1147" s="197" t="str">
        <f>IF(iserror(vlookup($A1147,Pagos!$B$5:L1241,4,false)),"Sin actividad",If(vlookup($A1147,Pagos!$B$5:$L1241,5,false),vlookup($A1147,Pagos!$B$5:$L1241,5,false),vlookup($A1147,Pagos!$B$5:$L1241,4,false)))</f>
        <v>Sin actividad</v>
      </c>
      <c r="J1147" s="198" t="s">
        <v>529</v>
      </c>
      <c r="K1147" s="199">
        <v>42948.0</v>
      </c>
      <c r="L1147" s="200">
        <v>43525.0</v>
      </c>
      <c r="M1147" s="201"/>
      <c r="N1147" s="202">
        <f>If(L1147&gt;K1147,   datedif(K1147,L1147,"Y") , If(K1147&lt;Vitalicios!$C$4, datedif(K1147,Vitalicios!$C$4,"Y"),0)  )</f>
        <v>1</v>
      </c>
      <c r="O1147" s="202"/>
    </row>
    <row r="1148">
      <c r="A1148" s="192">
        <v>1635.0</v>
      </c>
      <c r="B1148" s="193" t="s">
        <v>3812</v>
      </c>
      <c r="C1148" s="194" t="s">
        <v>526</v>
      </c>
      <c r="D1148" s="193" t="s">
        <v>527</v>
      </c>
      <c r="E1148" s="193" t="s">
        <v>3813</v>
      </c>
      <c r="F1148" s="195">
        <v>1.5569263E8</v>
      </c>
      <c r="G1148" s="196">
        <v>4709049.0</v>
      </c>
      <c r="H1148" s="193" t="s">
        <v>3814</v>
      </c>
      <c r="I1148" s="197">
        <f>IF(iserror(vlookup($A1148,Pagos!$B$5:L1241,4,false)),"Sin actividad",If(vlookup($A1148,Pagos!$B$5:$L1241,5,false),vlookup($A1148,Pagos!$B$5:$L1241,5,false),vlookup($A1148,Pagos!$B$5:$L1241,4,false)))</f>
        <v>45839</v>
      </c>
      <c r="J1148" s="198" t="s">
        <v>523</v>
      </c>
      <c r="K1148" s="199">
        <v>42795.0</v>
      </c>
      <c r="L1148" s="200"/>
      <c r="M1148" s="201"/>
      <c r="N1148" s="202">
        <f>If(L1148&gt;K1148,   datedif(K1148,L1148,"Y") , If(K1148&lt;Vitalicios!$C$4, datedif(K1148,Vitalicios!$C$4,"Y"),0)  )</f>
        <v>8</v>
      </c>
      <c r="O1148" s="202"/>
    </row>
    <row r="1149">
      <c r="A1149" s="192">
        <v>508.0</v>
      </c>
      <c r="B1149" s="193" t="s">
        <v>3815</v>
      </c>
      <c r="C1149" s="194" t="s">
        <v>577</v>
      </c>
      <c r="D1149" s="193" t="s">
        <v>556</v>
      </c>
      <c r="E1149" s="193" t="s">
        <v>3816</v>
      </c>
      <c r="F1149" s="195">
        <v>4222632.0</v>
      </c>
      <c r="G1149" s="196">
        <v>0.0</v>
      </c>
      <c r="H1149" s="193"/>
      <c r="I1149" s="197" t="str">
        <f>IF(iserror(vlookup($A1149,Pagos!$B$5:L1241,4,false)),"Sin actividad",If(vlookup($A1149,Pagos!$B$5:$L1241,5,false),vlookup($A1149,Pagos!$B$5:$L1241,5,false),vlookup($A1149,Pagos!$B$5:$L1241,4,false)))</f>
        <v>Sin actividad</v>
      </c>
      <c r="J1149" s="198" t="s">
        <v>529</v>
      </c>
      <c r="K1149" s="199">
        <v>33181.0</v>
      </c>
      <c r="L1149" s="200">
        <v>43709.0</v>
      </c>
      <c r="M1149" s="201" t="s">
        <v>3817</v>
      </c>
      <c r="N1149" s="202">
        <f>If(L1149&gt;K1149,   datedif(K1149,L1149,"Y") , If(K1149&lt;Vitalicios!$C$4, datedif(K1149,Vitalicios!$C$4,"Y"),0)  )</f>
        <v>28</v>
      </c>
      <c r="O1149" s="202"/>
    </row>
    <row r="1150">
      <c r="A1150" s="192">
        <v>1570.0</v>
      </c>
      <c r="B1150" s="193" t="s">
        <v>3818</v>
      </c>
      <c r="C1150" s="194" t="s">
        <v>526</v>
      </c>
      <c r="D1150" s="193" t="s">
        <v>48</v>
      </c>
      <c r="E1150" s="193" t="s">
        <v>3819</v>
      </c>
      <c r="F1150" s="195">
        <v>1.54368243E8</v>
      </c>
      <c r="G1150" s="196">
        <v>4839163.0</v>
      </c>
      <c r="H1150" s="193" t="s">
        <v>3820</v>
      </c>
      <c r="I1150" s="197" t="str">
        <f>IF(iserror(vlookup($A1150,Pagos!$B$5:L1241,4,false)),"Sin actividad",If(vlookup($A1150,Pagos!$B$5:$L1241,5,false),vlookup($A1150,Pagos!$B$5:$L1241,5,false),vlookup($A1150,Pagos!$B$5:$L1241,4,false)))</f>
        <v>Sin actividad</v>
      </c>
      <c r="J1150" s="198" t="s">
        <v>529</v>
      </c>
      <c r="K1150" s="199">
        <v>42267.0</v>
      </c>
      <c r="L1150" s="200">
        <v>43374.0</v>
      </c>
      <c r="M1150" s="201" t="s">
        <v>560</v>
      </c>
      <c r="N1150" s="202">
        <f>If(L1150&gt;K1150,   datedif(K1150,L1150,"Y") , If(K1150&lt;Vitalicios!$C$4, datedif(K1150,Vitalicios!$C$4,"Y"),0)  )</f>
        <v>3</v>
      </c>
      <c r="O1150" s="202"/>
    </row>
    <row r="1151">
      <c r="A1151" s="192">
        <v>2025.0</v>
      </c>
      <c r="B1151" s="193" t="s">
        <v>3821</v>
      </c>
      <c r="C1151" s="193" t="s">
        <v>526</v>
      </c>
      <c r="D1151" s="193" t="s">
        <v>628</v>
      </c>
      <c r="E1151" s="193" t="s">
        <v>3822</v>
      </c>
      <c r="F1151" s="195">
        <v>1.140508407E9</v>
      </c>
      <c r="G1151" s="196"/>
      <c r="H1151" s="193" t="s">
        <v>3823</v>
      </c>
      <c r="I1151" s="197">
        <f>IF(iserror(vlookup($A1151,Pagos!$B$5:L1241,4,false)),"Sin actividad",If(vlookup($A1151,Pagos!$B$5:$L1241,5,false),vlookup($A1151,Pagos!$B$5:$L1241,5,false),vlookup($A1151,Pagos!$B$5:$L1241,4,false)))</f>
        <v>45870</v>
      </c>
      <c r="J1151" s="198" t="s">
        <v>523</v>
      </c>
      <c r="K1151" s="199">
        <v>44682.0</v>
      </c>
      <c r="L1151" s="200"/>
      <c r="M1151" s="201"/>
      <c r="N1151" s="202"/>
      <c r="O1151" s="202"/>
    </row>
    <row r="1152">
      <c r="A1152" s="192">
        <v>2275.0</v>
      </c>
      <c r="B1152" s="193" t="s">
        <v>3824</v>
      </c>
      <c r="C1152" s="193" t="s">
        <v>537</v>
      </c>
      <c r="D1152" s="193" t="s">
        <v>538</v>
      </c>
      <c r="E1152" s="193" t="s">
        <v>3825</v>
      </c>
      <c r="F1152" s="195">
        <v>2.214361145E9</v>
      </c>
      <c r="G1152" s="196"/>
      <c r="H1152" s="193" t="s">
        <v>3826</v>
      </c>
      <c r="I1152" s="197"/>
      <c r="J1152" s="198"/>
      <c r="K1152" s="199">
        <v>45536.0</v>
      </c>
      <c r="L1152" s="200"/>
      <c r="M1152" s="201"/>
      <c r="N1152" s="202"/>
      <c r="O1152" s="202"/>
    </row>
    <row r="1153">
      <c r="A1153" s="192">
        <v>1734.0</v>
      </c>
      <c r="B1153" s="193" t="s">
        <v>3827</v>
      </c>
      <c r="C1153" s="194" t="s">
        <v>519</v>
      </c>
      <c r="D1153" s="193" t="s">
        <v>520</v>
      </c>
      <c r="E1153" s="193" t="s">
        <v>3828</v>
      </c>
      <c r="F1153" s="219" t="s">
        <v>3829</v>
      </c>
      <c r="G1153" s="196"/>
      <c r="H1153" s="193" t="s">
        <v>3830</v>
      </c>
      <c r="I1153" s="197" t="str">
        <f>IF(iserror(vlookup($A1153,Pagos!$B$5:L1241,4,false)),"Sin actividad",If(vlookup($A1153,Pagos!$B$5:$L1241,5,false),vlookup($A1153,Pagos!$B$5:$L1241,5,false),vlookup($A1153,Pagos!$B$5:$L1241,4,false)))</f>
        <v>Sin actividad</v>
      </c>
      <c r="J1153" s="198" t="s">
        <v>529</v>
      </c>
      <c r="K1153" s="199">
        <v>43525.0</v>
      </c>
      <c r="L1153" s="200">
        <v>45292.0</v>
      </c>
      <c r="M1153" s="201" t="s">
        <v>614</v>
      </c>
      <c r="N1153" s="202">
        <f>If(L1153&gt;K1153,   datedif(K1153,L1153,"Y") , If(K1153&lt;Vitalicios!$C$4, datedif(K1153,Vitalicios!$C$4,"Y"),0)  )</f>
        <v>4</v>
      </c>
      <c r="O1153" s="202"/>
    </row>
    <row r="1154">
      <c r="A1154" s="192">
        <v>1407.0</v>
      </c>
      <c r="B1154" s="193" t="s">
        <v>3831</v>
      </c>
      <c r="C1154" s="194" t="s">
        <v>526</v>
      </c>
      <c r="D1154" s="193" t="s">
        <v>556</v>
      </c>
      <c r="E1154" s="193" t="s">
        <v>3832</v>
      </c>
      <c r="F1154" s="195">
        <v>0.0</v>
      </c>
      <c r="G1154" s="196">
        <v>0.0</v>
      </c>
      <c r="H1154" s="193"/>
      <c r="I1154" s="197" t="str">
        <f>IF(iserror(vlookup($A1154,Pagos!$B$5:L1241,4,false)),"Sin actividad",If(vlookup($A1154,Pagos!$B$5:$L1241,5,false),vlookup($A1154,Pagos!$B$5:$L1241,5,false),vlookup($A1154,Pagos!$B$5:$L1241,4,false)))</f>
        <v>Sin actividad</v>
      </c>
      <c r="J1154" s="198" t="s">
        <v>529</v>
      </c>
      <c r="K1154" s="199">
        <v>40924.0</v>
      </c>
      <c r="L1154" s="200"/>
      <c r="M1154" s="201"/>
      <c r="N1154" s="202">
        <f>If(L1154&gt;K1154,   datedif(K1154,L1154,"Y") , If(K1154&lt;Vitalicios!$C$4, datedif(K1154,Vitalicios!$C$4,"Y"),0)  )</f>
        <v>13</v>
      </c>
      <c r="O1154" s="202"/>
    </row>
    <row r="1155">
      <c r="A1155" s="192">
        <v>2128.0</v>
      </c>
      <c r="B1155" s="193" t="s">
        <v>3833</v>
      </c>
      <c r="C1155" s="194" t="s">
        <v>577</v>
      </c>
      <c r="D1155" s="193" t="s">
        <v>770</v>
      </c>
      <c r="E1155" s="193" t="s">
        <v>3834</v>
      </c>
      <c r="F1155" s="195">
        <v>2.214779463E9</v>
      </c>
      <c r="G1155" s="196">
        <v>0.0</v>
      </c>
      <c r="H1155" s="193" t="s">
        <v>3835</v>
      </c>
      <c r="I1155" s="197" t="str">
        <f>IF(iserror(vlookup($A1155,Pagos!$B$5:L1241,4,false)),"Sin actividad",If(vlookup($A1155,Pagos!$B$5:$L1241,5,false),vlookup($A1155,Pagos!$B$5:$L1241,5,false),vlookup($A1155,Pagos!$B$5:$L1241,4,false)))</f>
        <v>Sin actividad</v>
      </c>
      <c r="J1155" s="198" t="s">
        <v>523</v>
      </c>
      <c r="K1155" s="199">
        <v>35070.0</v>
      </c>
      <c r="L1155" s="200">
        <v>41091.0</v>
      </c>
      <c r="M1155" s="201" t="s">
        <v>3836</v>
      </c>
      <c r="N1155" s="202">
        <f>If(L1155&gt;K1155,   datedif(K1155,L1155,"Y") , If(K1155&lt;Vitalicios!$C$4, datedif(K1155,Vitalicios!$C$4,"Y"),0)  )</f>
        <v>16</v>
      </c>
      <c r="O1155" s="202"/>
    </row>
    <row r="1156">
      <c r="A1156" s="192">
        <v>1705.0</v>
      </c>
      <c r="B1156" s="193" t="s">
        <v>3837</v>
      </c>
      <c r="C1156" s="194" t="s">
        <v>519</v>
      </c>
      <c r="D1156" s="193" t="s">
        <v>538</v>
      </c>
      <c r="E1156" s="193" t="s">
        <v>3838</v>
      </c>
      <c r="F1156" s="195">
        <v>1.55075018E8</v>
      </c>
      <c r="G1156" s="196"/>
      <c r="H1156" s="193" t="s">
        <v>3839</v>
      </c>
      <c r="I1156" s="197" t="str">
        <f>IF(iserror(vlookup($A1156,Pagos!$B$5:L1241,4,false)),"Sin actividad",If(vlookup($A1156,Pagos!$B$5:$L1241,5,false),vlookup($A1156,Pagos!$B$5:$L1241,5,false),vlookup($A1156,Pagos!$B$5:$L1241,4,false)))</f>
        <v>Sin actividad</v>
      </c>
      <c r="J1156" s="198" t="s">
        <v>529</v>
      </c>
      <c r="K1156" s="199">
        <v>43344.0</v>
      </c>
      <c r="L1156" s="200">
        <v>43617.0</v>
      </c>
      <c r="M1156" s="201"/>
      <c r="N1156" s="202">
        <f>If(L1156&gt;K1156,   datedif(K1156,L1156,"Y") , If(K1156&lt;Vitalicios!$C$4, datedif(K1156,Vitalicios!$C$4,"Y"),0)  )</f>
        <v>0</v>
      </c>
      <c r="O1156" s="202"/>
    </row>
    <row r="1157">
      <c r="A1157" s="192">
        <v>1706.0</v>
      </c>
      <c r="B1157" s="193" t="s">
        <v>3840</v>
      </c>
      <c r="C1157" s="194" t="s">
        <v>519</v>
      </c>
      <c r="D1157" s="193" t="s">
        <v>538</v>
      </c>
      <c r="E1157" s="193" t="s">
        <v>3841</v>
      </c>
      <c r="F1157" s="195">
        <v>2.21155075018E11</v>
      </c>
      <c r="G1157" s="196"/>
      <c r="H1157" s="193" t="s">
        <v>3839</v>
      </c>
      <c r="I1157" s="197" t="str">
        <f>IF(iserror(vlookup($A1157,Pagos!$B$5:L1241,4,false)),"Sin actividad",If(vlookup($A1157,Pagos!$B$5:$L1241,5,false),vlookup($A1157,Pagos!$B$5:$L1241,5,false),vlookup($A1157,Pagos!$B$5:$L1241,4,false)))</f>
        <v>Sin actividad</v>
      </c>
      <c r="J1157" s="198" t="s">
        <v>529</v>
      </c>
      <c r="K1157" s="199">
        <v>43344.0</v>
      </c>
      <c r="L1157" s="200">
        <v>44013.0</v>
      </c>
      <c r="M1157" s="201"/>
      <c r="N1157" s="202">
        <f>If(L1157&gt;K1157,   datedif(K1157,L1157,"Y") , If(K1157&lt;Vitalicios!$C$4, datedif(K1157,Vitalicios!$C$4,"Y"),0)  )</f>
        <v>1</v>
      </c>
      <c r="O1157" s="202"/>
    </row>
    <row r="1158">
      <c r="A1158" s="211">
        <v>1748.0</v>
      </c>
      <c r="B1158" s="212" t="s">
        <v>3842</v>
      </c>
      <c r="C1158" s="212" t="s">
        <v>519</v>
      </c>
      <c r="D1158" s="212" t="s">
        <v>538</v>
      </c>
      <c r="E1158" s="193" t="s">
        <v>3843</v>
      </c>
      <c r="F1158" s="25">
        <v>2.213048284E9</v>
      </c>
      <c r="G1158" s="214"/>
      <c r="H1158" s="212" t="s">
        <v>3844</v>
      </c>
      <c r="I1158" s="197">
        <f>IF(iserror(vlookup($A1158,Pagos!$B$5:L1241,4,false)),"Sin actividad",If(vlookup($A1158,Pagos!$B$5:$L1241,5,false),vlookup($A1158,Pagos!$B$5:$L1241,5,false),vlookup($A1158,Pagos!$B$5:$L1241,4,false)))</f>
        <v>45870</v>
      </c>
      <c r="J1158" s="198" t="s">
        <v>523</v>
      </c>
      <c r="K1158" s="199">
        <v>43647.0</v>
      </c>
      <c r="L1158" s="200"/>
      <c r="M1158" s="201"/>
      <c r="N1158" s="202">
        <f>If(L1158&gt;K1158,   datedif(K1158,L1158,"Y") , If(K1158&lt;Vitalicios!$C$4, datedif(K1158,Vitalicios!$C$4,"Y"),0)  )</f>
        <v>6</v>
      </c>
      <c r="O1158" s="202"/>
    </row>
    <row r="1159">
      <c r="A1159" s="235">
        <v>2353.0</v>
      </c>
      <c r="B1159" s="216" t="s">
        <v>3845</v>
      </c>
      <c r="C1159" s="216" t="s">
        <v>537</v>
      </c>
      <c r="D1159" s="216" t="s">
        <v>485</v>
      </c>
      <c r="E1159" s="193" t="s">
        <v>3846</v>
      </c>
      <c r="F1159" s="32">
        <v>2.215402651E9</v>
      </c>
      <c r="G1159" s="214"/>
      <c r="H1159" s="216" t="s">
        <v>3847</v>
      </c>
      <c r="I1159" s="197"/>
      <c r="J1159" s="198" t="s">
        <v>523</v>
      </c>
      <c r="K1159" s="199">
        <v>45748.0</v>
      </c>
      <c r="L1159" s="200"/>
      <c r="M1159" s="201"/>
      <c r="N1159" s="202"/>
      <c r="O1159" s="202"/>
    </row>
    <row r="1160">
      <c r="A1160" s="235">
        <v>2024.0</v>
      </c>
      <c r="B1160" s="216" t="s">
        <v>3848</v>
      </c>
      <c r="C1160" s="216" t="s">
        <v>679</v>
      </c>
      <c r="D1160" s="216" t="s">
        <v>538</v>
      </c>
      <c r="E1160" s="193" t="s">
        <v>3849</v>
      </c>
      <c r="F1160" s="32">
        <v>2.214006472E9</v>
      </c>
      <c r="G1160" s="214"/>
      <c r="H1160" s="216" t="s">
        <v>3850</v>
      </c>
      <c r="I1160" s="197" t="str">
        <f>IF(iserror(vlookup($A1160,Pagos!$B$5:L1241,4,false)),"Sin actividad",If(vlookup($A1160,Pagos!$B$5:$L1241,5,false),vlookup($A1160,Pagos!$B$5:$L1241,5,false),vlookup($A1160,Pagos!$B$5:$L1241,4,false)))</f>
        <v>Sin actividad</v>
      </c>
      <c r="J1160" s="198" t="s">
        <v>529</v>
      </c>
      <c r="K1160" s="199">
        <v>44682.0</v>
      </c>
      <c r="L1160" s="200"/>
      <c r="M1160" s="201" t="s">
        <v>3851</v>
      </c>
      <c r="N1160" s="202"/>
      <c r="O1160" s="202"/>
    </row>
    <row r="1161">
      <c r="A1161" s="235">
        <v>2055.0</v>
      </c>
      <c r="B1161" s="216" t="s">
        <v>3852</v>
      </c>
      <c r="C1161" s="216" t="s">
        <v>679</v>
      </c>
      <c r="D1161" s="216" t="s">
        <v>532</v>
      </c>
      <c r="E1161" s="193" t="s">
        <v>3853</v>
      </c>
      <c r="F1161" s="32">
        <v>2.215389098E9</v>
      </c>
      <c r="G1161" s="214"/>
      <c r="H1161" s="216" t="s">
        <v>3854</v>
      </c>
      <c r="I1161" s="197"/>
      <c r="J1161" s="198" t="s">
        <v>523</v>
      </c>
      <c r="K1161" s="199">
        <v>44805.0</v>
      </c>
      <c r="L1161" s="200"/>
      <c r="M1161" s="201"/>
      <c r="N1161" s="202"/>
      <c r="O1161" s="202"/>
    </row>
    <row r="1162">
      <c r="A1162" s="235">
        <v>2339.0</v>
      </c>
      <c r="B1162" s="216" t="s">
        <v>3855</v>
      </c>
      <c r="C1162" s="216" t="s">
        <v>679</v>
      </c>
      <c r="D1162" s="216" t="s">
        <v>538</v>
      </c>
      <c r="E1162" s="193" t="s">
        <v>3856</v>
      </c>
      <c r="F1162" s="32">
        <v>2.284587412E10</v>
      </c>
      <c r="G1162" s="214"/>
      <c r="H1162" s="216" t="s">
        <v>3857</v>
      </c>
      <c r="I1162" s="197"/>
      <c r="J1162" s="198" t="s">
        <v>523</v>
      </c>
      <c r="K1162" s="199">
        <v>45689.0</v>
      </c>
      <c r="L1162" s="200"/>
      <c r="M1162" s="201"/>
      <c r="N1162" s="202"/>
      <c r="O1162" s="202"/>
    </row>
    <row r="1163">
      <c r="A1163" s="235">
        <v>2021.0</v>
      </c>
      <c r="B1163" s="216" t="s">
        <v>3858</v>
      </c>
      <c r="C1163" s="216" t="s">
        <v>679</v>
      </c>
      <c r="D1163" s="216" t="s">
        <v>628</v>
      </c>
      <c r="E1163" s="193" t="s">
        <v>3859</v>
      </c>
      <c r="F1163" s="32">
        <v>1.1568837291E10</v>
      </c>
      <c r="G1163" s="214"/>
      <c r="H1163" s="216" t="s">
        <v>3860</v>
      </c>
      <c r="I1163" s="197" t="str">
        <f>IF(iserror(vlookup($A1163,Pagos!$B$5:L1241,4,false)),"Sin actividad",If(vlookup($A1163,Pagos!$B$5:$L1241,5,false),vlookup($A1163,Pagos!$B$5:$L1241,5,false),vlookup($A1163,Pagos!$B$5:$L1241,4,false)))</f>
        <v>Sin actividad</v>
      </c>
      <c r="J1163" s="198" t="s">
        <v>529</v>
      </c>
      <c r="K1163" s="199">
        <v>44682.0</v>
      </c>
      <c r="L1163" s="200">
        <v>45597.0</v>
      </c>
      <c r="M1163" s="201" t="s">
        <v>535</v>
      </c>
      <c r="N1163" s="202"/>
      <c r="O1163" s="202"/>
    </row>
    <row r="1164">
      <c r="A1164" s="235">
        <v>2173.0</v>
      </c>
      <c r="B1164" s="216" t="s">
        <v>3861</v>
      </c>
      <c r="C1164" s="216" t="s">
        <v>679</v>
      </c>
      <c r="D1164" s="216" t="s">
        <v>538</v>
      </c>
      <c r="E1164" s="193" t="s">
        <v>3862</v>
      </c>
      <c r="F1164" s="32">
        <v>2.215696044E9</v>
      </c>
      <c r="G1164" s="214"/>
      <c r="H1164" s="216" t="s">
        <v>3863</v>
      </c>
      <c r="I1164" s="197"/>
      <c r="J1164" s="198" t="s">
        <v>529</v>
      </c>
      <c r="K1164" s="199">
        <v>45047.0</v>
      </c>
      <c r="L1164" s="200">
        <v>45261.0</v>
      </c>
      <c r="M1164" s="201" t="s">
        <v>535</v>
      </c>
      <c r="N1164" s="202"/>
      <c r="O1164" s="202"/>
    </row>
    <row r="1165">
      <c r="A1165" s="235">
        <v>1989.0</v>
      </c>
      <c r="B1165" s="216" t="s">
        <v>3864</v>
      </c>
      <c r="C1165" s="216" t="s">
        <v>679</v>
      </c>
      <c r="D1165" s="216" t="s">
        <v>538</v>
      </c>
      <c r="E1165" s="193" t="s">
        <v>3865</v>
      </c>
      <c r="F1165" s="32">
        <v>1.168444548E9</v>
      </c>
      <c r="G1165" s="214"/>
      <c r="H1165" s="216" t="s">
        <v>3866</v>
      </c>
      <c r="I1165" s="197">
        <f>IF(iserror(vlookup($A1165,Pagos!$B$5:L1241,4,false)),"Sin actividad",If(vlookup($A1165,Pagos!$B$5:$L1241,5,false),vlookup($A1165,Pagos!$B$5:$L1241,5,false),vlookup($A1165,Pagos!$B$5:$L1241,4,false)))</f>
        <v>45870</v>
      </c>
      <c r="J1165" s="198" t="s">
        <v>523</v>
      </c>
      <c r="K1165" s="199">
        <v>44562.0</v>
      </c>
      <c r="L1165" s="200"/>
      <c r="M1165" s="201"/>
      <c r="N1165" s="202"/>
      <c r="O1165" s="202"/>
    </row>
    <row r="1166">
      <c r="A1166" s="235">
        <v>2171.0</v>
      </c>
      <c r="B1166" s="216" t="s">
        <v>3867</v>
      </c>
      <c r="C1166" s="216" t="s">
        <v>679</v>
      </c>
      <c r="D1166" s="216" t="s">
        <v>628</v>
      </c>
      <c r="E1166" s="193" t="s">
        <v>1838</v>
      </c>
      <c r="F1166" s="32">
        <v>2.215911327E9</v>
      </c>
      <c r="G1166" s="214"/>
      <c r="H1166" s="216" t="s">
        <v>3868</v>
      </c>
      <c r="I1166" s="197"/>
      <c r="J1166" s="198" t="s">
        <v>523</v>
      </c>
      <c r="K1166" s="199">
        <v>45017.0</v>
      </c>
      <c r="L1166" s="200"/>
      <c r="M1166" s="201"/>
      <c r="N1166" s="202"/>
      <c r="O1166" s="202"/>
    </row>
    <row r="1167">
      <c r="A1167" s="192">
        <v>1302.0</v>
      </c>
      <c r="B1167" s="193" t="s">
        <v>3869</v>
      </c>
      <c r="C1167" s="194" t="s">
        <v>526</v>
      </c>
      <c r="D1167" s="193" t="s">
        <v>556</v>
      </c>
      <c r="E1167" s="193" t="s">
        <v>3870</v>
      </c>
      <c r="F1167" s="195">
        <v>4801285.0</v>
      </c>
      <c r="G1167" s="196">
        <v>0.0</v>
      </c>
      <c r="H1167" s="193"/>
      <c r="I1167" s="197" t="str">
        <f>IF(iserror(vlookup($A1167,Pagos!$B$5:L1241,4,false)),"Sin actividad",If(vlookup($A1167,Pagos!$B$5:$L1241,5,false),vlookup($A1167,Pagos!$B$5:$L1241,5,false),vlookup($A1167,Pagos!$B$5:$L1241,4,false)))</f>
        <v>Sin actividad</v>
      </c>
      <c r="J1167" s="198" t="s">
        <v>529</v>
      </c>
      <c r="K1167" s="199">
        <v>40306.0</v>
      </c>
      <c r="L1167" s="200"/>
      <c r="M1167" s="201"/>
      <c r="N1167" s="202">
        <f>If(L1167&gt;K1167,   datedif(K1167,L1167,"Y") , If(K1167&lt;Vitalicios!$C$4, datedif(K1167,Vitalicios!$C$4,"Y"),0)  )</f>
        <v>15</v>
      </c>
      <c r="O1167" s="202"/>
    </row>
    <row r="1168">
      <c r="A1168" s="192">
        <v>1921.0</v>
      </c>
      <c r="B1168" s="193" t="s">
        <v>3871</v>
      </c>
      <c r="C1168" s="193" t="s">
        <v>537</v>
      </c>
      <c r="D1168" s="193" t="s">
        <v>549</v>
      </c>
      <c r="E1168" s="193" t="s">
        <v>3872</v>
      </c>
      <c r="F1168" s="195">
        <v>2.215949986E9</v>
      </c>
      <c r="G1168" s="196"/>
      <c r="H1168" s="193" t="s">
        <v>3873</v>
      </c>
      <c r="I1168" s="197" t="str">
        <f>IF(iserror(vlookup($A1168,Pagos!$B$5:L1241,4,false)),"Sin actividad",If(vlookup($A1168,Pagos!$B$5:$L1241,5,false),vlookup($A1168,Pagos!$B$5:$L1241,5,false),vlookup($A1168,Pagos!$B$5:$L1241,4,false)))</f>
        <v>Sin actividad</v>
      </c>
      <c r="J1168" s="198" t="s">
        <v>529</v>
      </c>
      <c r="K1168" s="199">
        <v>44409.0</v>
      </c>
      <c r="L1168" s="200">
        <v>44927.0</v>
      </c>
      <c r="M1168" s="201" t="s">
        <v>614</v>
      </c>
      <c r="N1168" s="202"/>
      <c r="O1168" s="202"/>
    </row>
    <row r="1169">
      <c r="A1169" s="192">
        <v>2075.0</v>
      </c>
      <c r="B1169" s="193" t="s">
        <v>3874</v>
      </c>
      <c r="C1169" s="193" t="s">
        <v>537</v>
      </c>
      <c r="D1169" s="193" t="s">
        <v>538</v>
      </c>
      <c r="E1169" s="193" t="s">
        <v>3875</v>
      </c>
      <c r="F1169" s="195">
        <v>2.215577036E9</v>
      </c>
      <c r="G1169" s="196"/>
      <c r="H1169" s="193" t="s">
        <v>3876</v>
      </c>
      <c r="I1169" s="197"/>
      <c r="J1169" s="198" t="s">
        <v>523</v>
      </c>
      <c r="K1169" s="199">
        <v>44835.0</v>
      </c>
      <c r="L1169" s="200"/>
      <c r="M1169" s="201"/>
      <c r="N1169" s="202"/>
      <c r="O1169" s="202"/>
    </row>
    <row r="1170">
      <c r="A1170" s="192">
        <v>1309.0</v>
      </c>
      <c r="B1170" s="193" t="s">
        <v>3877</v>
      </c>
      <c r="C1170" s="194" t="s">
        <v>526</v>
      </c>
      <c r="D1170" s="193" t="s">
        <v>556</v>
      </c>
      <c r="E1170" s="193" t="s">
        <v>3878</v>
      </c>
      <c r="F1170" s="195">
        <v>4845402.0</v>
      </c>
      <c r="G1170" s="196">
        <v>0.0</v>
      </c>
      <c r="H1170" s="193"/>
      <c r="I1170" s="197" t="str">
        <f>IF(iserror(vlookup($A1170,Pagos!$B$5:L1241,4,false)),"Sin actividad",If(vlookup($A1170,Pagos!$B$5:$L1241,5,false),vlookup($A1170,Pagos!$B$5:$L1241,5,false),vlookup($A1170,Pagos!$B$5:$L1241,4,false)))</f>
        <v>Sin actividad</v>
      </c>
      <c r="J1170" s="198" t="s">
        <v>529</v>
      </c>
      <c r="K1170" s="199">
        <v>40433.0</v>
      </c>
      <c r="L1170" s="200">
        <v>43374.0</v>
      </c>
      <c r="M1170" s="201" t="s">
        <v>560</v>
      </c>
      <c r="N1170" s="202">
        <f>If(L1170&gt;K1170,   datedif(K1170,L1170,"Y") , If(K1170&lt;Vitalicios!$C$4, datedif(K1170,Vitalicios!$C$4,"Y"),0)  )</f>
        <v>8</v>
      </c>
      <c r="O1170" s="202"/>
    </row>
    <row r="1171">
      <c r="A1171" s="192">
        <v>1517.0</v>
      </c>
      <c r="B1171" s="193" t="s">
        <v>3879</v>
      </c>
      <c r="C1171" s="194" t="s">
        <v>577</v>
      </c>
      <c r="D1171" s="193" t="s">
        <v>527</v>
      </c>
      <c r="E1171" s="193" t="s">
        <v>3880</v>
      </c>
      <c r="F1171" s="195">
        <v>4530750.0</v>
      </c>
      <c r="G1171" s="196">
        <v>1.54970962E8</v>
      </c>
      <c r="H1171" s="193"/>
      <c r="I1171" s="197" t="str">
        <f>IF(iserror(vlookup($A1171,Pagos!$B$5:L1241,4,false)),"Sin actividad",If(vlookup($A1171,Pagos!$B$5:$L1241,5,false),vlookup($A1171,Pagos!$B$5:$L1241,5,false),vlookup($A1171,Pagos!$B$5:$L1241,4,false)))</f>
        <v>Sin actividad</v>
      </c>
      <c r="J1171" s="198" t="s">
        <v>529</v>
      </c>
      <c r="K1171" s="199">
        <v>41889.0</v>
      </c>
      <c r="L1171" s="200">
        <v>42155.0</v>
      </c>
      <c r="M1171" s="201" t="s">
        <v>1201</v>
      </c>
      <c r="N1171" s="202">
        <f>If(L1171&gt;K1171,   datedif(K1171,L1171,"Y") , If(K1171&lt;Vitalicios!$C$4, datedif(K1171,Vitalicios!$C$4,"Y"),0)  )</f>
        <v>0</v>
      </c>
      <c r="O1171" s="202"/>
    </row>
    <row r="1172">
      <c r="A1172" s="192">
        <v>1397.0</v>
      </c>
      <c r="B1172" s="193" t="s">
        <v>3881</v>
      </c>
      <c r="C1172" s="194" t="s">
        <v>577</v>
      </c>
      <c r="D1172" s="193" t="s">
        <v>556</v>
      </c>
      <c r="E1172" s="193" t="s">
        <v>1357</v>
      </c>
      <c r="F1172" s="195">
        <v>4530750.0</v>
      </c>
      <c r="G1172" s="196">
        <v>0.0</v>
      </c>
      <c r="H1172" s="193"/>
      <c r="I1172" s="197" t="str">
        <f>IF(iserror(vlookup($A1172,Pagos!$B$5:L1241,4,false)),"Sin actividad",If(vlookup($A1172,Pagos!$B$5:$L1241,5,false),vlookup($A1172,Pagos!$B$5:$L1241,5,false),vlookup($A1172,Pagos!$B$5:$L1241,4,false)))</f>
        <v>Sin actividad</v>
      </c>
      <c r="J1172" s="198" t="s">
        <v>529</v>
      </c>
      <c r="K1172" s="199">
        <v>40894.0</v>
      </c>
      <c r="L1172" s="200">
        <v>41623.0</v>
      </c>
      <c r="M1172" s="201" t="s">
        <v>1201</v>
      </c>
      <c r="N1172" s="202">
        <f>If(L1172&gt;K1172,   datedif(K1172,L1172,"Y") , If(K1172&lt;Vitalicios!$C$4, datedif(K1172,Vitalicios!$C$4,"Y"),0)  )</f>
        <v>1</v>
      </c>
      <c r="O1172" s="202"/>
    </row>
    <row r="1173">
      <c r="A1173" s="192">
        <v>1088.0</v>
      </c>
      <c r="B1173" s="193" t="s">
        <v>3882</v>
      </c>
      <c r="C1173" s="194" t="s">
        <v>577</v>
      </c>
      <c r="D1173" s="193" t="s">
        <v>556</v>
      </c>
      <c r="E1173" s="193" t="s">
        <v>1191</v>
      </c>
      <c r="F1173" s="195">
        <v>0.0</v>
      </c>
      <c r="G1173" s="196">
        <v>0.0</v>
      </c>
      <c r="H1173" s="193"/>
      <c r="I1173" s="197" t="str">
        <f>IF(iserror(vlookup($A1173,Pagos!$B$5:L1241,4,false)),"Sin actividad",If(vlookup($A1173,Pagos!$B$5:$L1241,5,false),vlookup($A1173,Pagos!$B$5:$L1241,5,false),vlookup($A1173,Pagos!$B$5:$L1241,4,false)))</f>
        <v>Sin actividad</v>
      </c>
      <c r="J1173" s="198" t="s">
        <v>529</v>
      </c>
      <c r="K1173" s="199">
        <v>38699.0</v>
      </c>
      <c r="L1173" s="200">
        <v>41974.0</v>
      </c>
      <c r="M1173" s="201" t="s">
        <v>1201</v>
      </c>
      <c r="N1173" s="202">
        <f>If(L1173&gt;K1173,   datedif(K1173,L1173,"Y") , If(K1173&lt;Vitalicios!$C$4, datedif(K1173,Vitalicios!$C$4,"Y"),0)  )</f>
        <v>8</v>
      </c>
      <c r="O1173" s="202"/>
    </row>
    <row r="1174">
      <c r="A1174" s="192">
        <v>1059.0</v>
      </c>
      <c r="B1174" s="193" t="s">
        <v>3883</v>
      </c>
      <c r="C1174" s="194" t="s">
        <v>526</v>
      </c>
      <c r="D1174" s="193" t="s">
        <v>520</v>
      </c>
      <c r="E1174" s="193" t="s">
        <v>3884</v>
      </c>
      <c r="F1174" s="195">
        <v>1.54006003E8</v>
      </c>
      <c r="G1174" s="196">
        <v>0.0</v>
      </c>
      <c r="H1174" s="193"/>
      <c r="I1174" s="197" t="str">
        <f>IF(iserror(vlookup($A1174,Pagos!$B$5:L1241,4,false)),"Sin actividad",If(vlookup($A1174,Pagos!$B$5:$L1241,5,false),vlookup($A1174,Pagos!$B$5:$L1241,5,false),vlookup($A1174,Pagos!$B$5:$L1241,4,false)))</f>
        <v>Sin actividad</v>
      </c>
      <c r="J1174" s="198" t="s">
        <v>529</v>
      </c>
      <c r="K1174" s="199">
        <v>38353.0</v>
      </c>
      <c r="L1174" s="200">
        <v>43374.0</v>
      </c>
      <c r="M1174" s="201" t="s">
        <v>560</v>
      </c>
      <c r="N1174" s="202">
        <f>If(L1174&gt;K1174,   datedif(K1174,L1174,"Y") , If(K1174&lt;Vitalicios!$C$4, datedif(K1174,Vitalicios!$C$4,"Y"),0)  )</f>
        <v>13</v>
      </c>
      <c r="O1174" s="202"/>
    </row>
    <row r="1175">
      <c r="A1175" s="192">
        <v>1181.0</v>
      </c>
      <c r="B1175" s="236" t="s">
        <v>3885</v>
      </c>
      <c r="C1175" s="237" t="s">
        <v>526</v>
      </c>
      <c r="D1175" s="236" t="s">
        <v>693</v>
      </c>
      <c r="E1175" s="193" t="s">
        <v>3886</v>
      </c>
      <c r="F1175" s="238">
        <v>1.149184997E9</v>
      </c>
      <c r="G1175" s="239">
        <v>0.0</v>
      </c>
      <c r="H1175" s="236" t="s">
        <v>3887</v>
      </c>
      <c r="I1175" s="197" t="str">
        <f>IF(iserror(vlookup($A1175,Pagos!$B$5:L1241,4,false)),"Sin actividad",If(vlookup($A1175,Pagos!$B$5:$L1241,5,false),vlookup($A1175,Pagos!$B$5:$L1241,5,false),vlookup($A1175,Pagos!$B$5:$L1241,4,false)))</f>
        <v>Sin actividad</v>
      </c>
      <c r="J1175" s="198" t="s">
        <v>529</v>
      </c>
      <c r="K1175" s="199">
        <v>39544.0</v>
      </c>
      <c r="L1175" s="200"/>
      <c r="M1175" s="201"/>
      <c r="N1175" s="202">
        <f>If(L1175&gt;K1175,   datedif(K1175,L1175,"Y") , If(K1175&lt;Vitalicios!$C$4, datedif(K1175,Vitalicios!$C$4,"Y"),0)  )</f>
        <v>17</v>
      </c>
      <c r="O1175" s="202"/>
    </row>
    <row r="1176">
      <c r="A1176" s="192">
        <v>1497.0</v>
      </c>
      <c r="B1176" s="236" t="s">
        <v>3888</v>
      </c>
      <c r="C1176" s="237" t="s">
        <v>577</v>
      </c>
      <c r="D1176" s="236" t="s">
        <v>520</v>
      </c>
      <c r="E1176" s="193" t="s">
        <v>3360</v>
      </c>
      <c r="F1176" s="238">
        <v>4570257.0</v>
      </c>
      <c r="G1176" s="239">
        <v>0.0</v>
      </c>
      <c r="H1176" s="236"/>
      <c r="I1176" s="197" t="str">
        <f>IF(iserror(vlookup($A1176,Pagos!$B$5:L1241,4,false)),"Sin actividad",If(vlookup($A1176,Pagos!$B$5:$L1241,5,false),vlookup($A1176,Pagos!$B$5:$L1241,5,false),vlookup($A1176,Pagos!$B$5:$L1241,4,false)))</f>
        <v>Sin actividad</v>
      </c>
      <c r="J1176" s="198" t="s">
        <v>529</v>
      </c>
      <c r="K1176" s="199">
        <v>41693.0</v>
      </c>
      <c r="L1176" s="200">
        <v>43525.0</v>
      </c>
      <c r="M1176" s="201"/>
      <c r="N1176" s="202">
        <f>If(L1176&gt;K1176,   datedif(K1176,L1176,"Y") , If(K1176&lt;Vitalicios!$C$4, datedif(K1176,Vitalicios!$C$4,"Y"),0)  )</f>
        <v>5</v>
      </c>
      <c r="O1176" s="202"/>
    </row>
    <row r="1177">
      <c r="A1177" s="192">
        <v>1499.0</v>
      </c>
      <c r="B1177" s="236" t="s">
        <v>3889</v>
      </c>
      <c r="C1177" s="237" t="s">
        <v>577</v>
      </c>
      <c r="D1177" s="236" t="s">
        <v>520</v>
      </c>
      <c r="E1177" s="193" t="s">
        <v>3360</v>
      </c>
      <c r="F1177" s="238">
        <v>4570257.0</v>
      </c>
      <c r="G1177" s="239">
        <v>0.0</v>
      </c>
      <c r="H1177" s="236"/>
      <c r="I1177" s="197" t="str">
        <f>IF(iserror(vlookup($A1177,Pagos!$B$5:L1241,4,false)),"Sin actividad",If(vlookup($A1177,Pagos!$B$5:$L1241,5,false),vlookup($A1177,Pagos!$B$5:$L1241,5,false),vlookup($A1177,Pagos!$B$5:$L1241,4,false)))</f>
        <v>Sin actividad</v>
      </c>
      <c r="J1177" s="198" t="s">
        <v>529</v>
      </c>
      <c r="K1177" s="199">
        <v>41693.0</v>
      </c>
      <c r="L1177" s="200">
        <v>43617.0</v>
      </c>
      <c r="M1177" s="201"/>
      <c r="N1177" s="202">
        <f>If(L1177&gt;K1177,   datedif(K1177,L1177,"Y") , If(K1177&lt;Vitalicios!$C$4, datedif(K1177,Vitalicios!$C$4,"Y"),0)  )</f>
        <v>5</v>
      </c>
      <c r="O1177" s="202"/>
    </row>
    <row r="1178">
      <c r="A1178" s="192">
        <v>1613.0</v>
      </c>
      <c r="B1178" s="236" t="s">
        <v>3890</v>
      </c>
      <c r="C1178" s="237" t="s">
        <v>519</v>
      </c>
      <c r="D1178" s="236" t="s">
        <v>520</v>
      </c>
      <c r="E1178" s="193" t="s">
        <v>3891</v>
      </c>
      <c r="F1178" s="238">
        <v>1.553116401E9</v>
      </c>
      <c r="G1178" s="239"/>
      <c r="H1178" s="236"/>
      <c r="I1178" s="197" t="str">
        <f>IF(iserror(vlookup($A1178,Pagos!$B$5:L1241,4,false)),"Sin actividad",If(vlookup($A1178,Pagos!$B$5:$L1241,5,false),vlookup($A1178,Pagos!$B$5:$L1241,5,false),vlookup($A1178,Pagos!$B$5:$L1241,4,false)))</f>
        <v>Sin actividad</v>
      </c>
      <c r="J1178" s="198" t="s">
        <v>529</v>
      </c>
      <c r="K1178" s="199">
        <v>42705.0</v>
      </c>
      <c r="L1178" s="200">
        <v>43525.0</v>
      </c>
      <c r="M1178" s="201"/>
      <c r="N1178" s="202">
        <f>If(L1178&gt;K1178,   datedif(K1178,L1178,"Y") , If(K1178&lt;Vitalicios!$C$4, datedif(K1178,Vitalicios!$C$4,"Y"),0)  )</f>
        <v>2</v>
      </c>
      <c r="O1178" s="202"/>
    </row>
    <row r="1179">
      <c r="A1179" s="192">
        <v>1969.0</v>
      </c>
      <c r="B1179" s="236" t="s">
        <v>3892</v>
      </c>
      <c r="C1179" s="236" t="s">
        <v>537</v>
      </c>
      <c r="D1179" s="236" t="s">
        <v>628</v>
      </c>
      <c r="E1179" s="193" t="s">
        <v>3893</v>
      </c>
      <c r="F1179" s="238">
        <v>3.41328686E9</v>
      </c>
      <c r="G1179" s="239"/>
      <c r="H1179" s="236" t="s">
        <v>3894</v>
      </c>
      <c r="I1179" s="197" t="str">
        <f>IF(iserror(vlookup($A1179,Pagos!$B$5:L1241,4,false)),"Sin actividad",If(vlookup($A1179,Pagos!$B$5:$L1241,5,false),vlookup($A1179,Pagos!$B$5:$L1241,5,false),vlookup($A1179,Pagos!$B$5:$L1241,4,false)))</f>
        <v>Sin actividad</v>
      </c>
      <c r="J1179" s="240" t="s">
        <v>529</v>
      </c>
      <c r="K1179" s="241">
        <v>44562.0</v>
      </c>
      <c r="L1179" s="242">
        <v>44927.0</v>
      </c>
      <c r="M1179" s="243" t="s">
        <v>3895</v>
      </c>
      <c r="N1179" s="244"/>
      <c r="O1179" s="244"/>
    </row>
    <row r="1180">
      <c r="A1180" s="192">
        <v>726.0</v>
      </c>
      <c r="B1180" s="236" t="s">
        <v>3896</v>
      </c>
      <c r="C1180" s="237" t="s">
        <v>577</v>
      </c>
      <c r="D1180" s="236" t="s">
        <v>1025</v>
      </c>
      <c r="E1180" s="193" t="s">
        <v>3897</v>
      </c>
      <c r="F1180" s="238">
        <v>4252384.0</v>
      </c>
      <c r="G1180" s="239">
        <v>1.56390887E8</v>
      </c>
      <c r="H1180" s="236" t="s">
        <v>3898</v>
      </c>
      <c r="I1180" s="197">
        <f>IF(iserror(vlookup($A1180,Pagos!$B$5:L1241,4,false)),"Sin actividad",If(vlookup($A1180,Pagos!$B$5:$L1241,5,false),vlookup($A1180,Pagos!$B$5:$L1241,5,false),vlookup($A1180,Pagos!$B$5:$L1241,4,false)))</f>
        <v>45870</v>
      </c>
      <c r="J1180" s="240" t="s">
        <v>523</v>
      </c>
      <c r="K1180" s="241">
        <v>35827.0</v>
      </c>
      <c r="L1180" s="242"/>
      <c r="M1180" s="243"/>
      <c r="N1180" s="244">
        <f>If(L1180&gt;K1180,   datedif(K1180,L1180,"Y") , If(K1180&lt;Vitalicios!$C$4, datedif(K1180,Vitalicios!$C$4,"Y"),0)  )</f>
        <v>27</v>
      </c>
      <c r="O1180" s="244"/>
    </row>
    <row r="1181">
      <c r="A1181" s="192">
        <v>275.0</v>
      </c>
      <c r="B1181" s="236" t="s">
        <v>3899</v>
      </c>
      <c r="C1181" s="237" t="s">
        <v>577</v>
      </c>
      <c r="D1181" s="236" t="s">
        <v>556</v>
      </c>
      <c r="E1181" s="193" t="s">
        <v>1144</v>
      </c>
      <c r="F1181" s="238">
        <v>4252384.0</v>
      </c>
      <c r="G1181" s="239">
        <v>1.55119586E8</v>
      </c>
      <c r="H1181" s="236"/>
      <c r="I1181" s="197">
        <f>IF(iserror(vlookup($A1181,Pagos!$B$5:L1241,4,false)),"Sin actividad",If(vlookup($A1181,Pagos!$B$5:$L1241,5,false),vlookup($A1181,Pagos!$B$5:$L1241,5,false),vlookup($A1181,Pagos!$B$5:$L1241,4,false)))</f>
        <v>45870</v>
      </c>
      <c r="J1181" s="240" t="s">
        <v>846</v>
      </c>
      <c r="K1181" s="241">
        <v>31826.0</v>
      </c>
      <c r="L1181" s="242"/>
      <c r="M1181" s="243"/>
      <c r="N1181" s="244">
        <f>If(L1181&gt;K1181,   datedif(K1181,L1181,"Y") , If(K1181&lt;Vitalicios!$C$4, datedif(K1181,Vitalicios!$C$4,"Y"),0)  )</f>
        <v>38</v>
      </c>
      <c r="O1181" s="244"/>
    </row>
    <row r="1182">
      <c r="A1182" s="192">
        <v>53.0</v>
      </c>
      <c r="B1182" s="236" t="s">
        <v>3900</v>
      </c>
      <c r="C1182" s="237" t="s">
        <v>577</v>
      </c>
      <c r="D1182" s="236" t="s">
        <v>693</v>
      </c>
      <c r="E1182" s="193" t="s">
        <v>1144</v>
      </c>
      <c r="F1182" s="238">
        <v>4252384.0</v>
      </c>
      <c r="G1182" s="239">
        <v>1.54816285E8</v>
      </c>
      <c r="H1182" s="236" t="s">
        <v>3901</v>
      </c>
      <c r="I1182" s="197">
        <f>IF(iserror(vlookup($A1182,Pagos!$B$5:L1241,4,false)),"Sin actividad",If(vlookup($A1182,Pagos!$B$5:$L1241,5,false),vlookup($A1182,Pagos!$B$5:$L1241,5,false),vlookup($A1182,Pagos!$B$5:$L1241,4,false)))</f>
        <v>45870</v>
      </c>
      <c r="J1182" s="240" t="s">
        <v>846</v>
      </c>
      <c r="K1182" s="241">
        <v>31522.0</v>
      </c>
      <c r="L1182" s="242"/>
      <c r="M1182" s="243"/>
      <c r="N1182" s="244">
        <f>If(L1182&gt;K1182,   datedif(K1182,L1182,"Y") , If(K1182&lt;Vitalicios!$C$4, datedif(K1182,Vitalicios!$C$4,"Y"),0)  )</f>
        <v>39</v>
      </c>
      <c r="O1182" s="244"/>
    </row>
    <row r="1183">
      <c r="A1183" s="192">
        <v>52.0</v>
      </c>
      <c r="B1183" s="236" t="s">
        <v>3902</v>
      </c>
      <c r="C1183" s="237" t="s">
        <v>577</v>
      </c>
      <c r="D1183" s="236" t="s">
        <v>520</v>
      </c>
      <c r="E1183" s="193" t="s">
        <v>1144</v>
      </c>
      <c r="F1183" s="238">
        <v>4252384.0</v>
      </c>
      <c r="G1183" s="239">
        <v>1.55347147E8</v>
      </c>
      <c r="H1183" s="236" t="s">
        <v>3903</v>
      </c>
      <c r="I1183" s="197">
        <f>IF(iserror(vlookup($A1183,Pagos!$B$5:L1241,4,false)),"Sin actividad",If(vlookup($A1183,Pagos!$B$5:$L1241,5,false),vlookup($A1183,Pagos!$B$5:$L1241,5,false),vlookup($A1183,Pagos!$B$5:$L1241,4,false)))</f>
        <v>45870</v>
      </c>
      <c r="J1183" s="240" t="s">
        <v>846</v>
      </c>
      <c r="K1183" s="241">
        <v>31522.0</v>
      </c>
      <c r="L1183" s="242"/>
      <c r="M1183" s="243"/>
      <c r="N1183" s="244">
        <f>If(L1183&gt;K1183,   datedif(K1183,L1183,"Y") , If(K1183&lt;Vitalicios!$C$4, datedif(K1183,Vitalicios!$C$4,"Y"),0)  )</f>
        <v>39</v>
      </c>
      <c r="O1183" s="244"/>
    </row>
    <row r="1184">
      <c r="A1184" s="192">
        <v>1973.0</v>
      </c>
      <c r="B1184" s="236" t="s">
        <v>3904</v>
      </c>
      <c r="C1184" s="236" t="s">
        <v>537</v>
      </c>
      <c r="D1184" s="236" t="s">
        <v>628</v>
      </c>
      <c r="E1184" s="193" t="s">
        <v>3905</v>
      </c>
      <c r="F1184" s="238">
        <v>2.216430332E9</v>
      </c>
      <c r="G1184" s="239"/>
      <c r="H1184" s="236" t="s">
        <v>3906</v>
      </c>
      <c r="I1184" s="197" t="str">
        <f>IF(iserror(vlookup($A1184,Pagos!$B$5:L1241,4,false)),"Sin actividad",If(vlookup($A1184,Pagos!$B$5:$L1241,5,false),vlookup($A1184,Pagos!$B$5:$L1241,5,false),vlookup($A1184,Pagos!$B$5:$L1241,4,false)))</f>
        <v>Sin actividad</v>
      </c>
      <c r="J1184" s="240" t="s">
        <v>529</v>
      </c>
      <c r="K1184" s="241">
        <v>44562.0</v>
      </c>
      <c r="L1184" s="242"/>
      <c r="M1184" s="243" t="s">
        <v>312</v>
      </c>
      <c r="N1184" s="244"/>
      <c r="O1184" s="244"/>
    </row>
    <row r="1185">
      <c r="A1185" s="192">
        <v>1984.0</v>
      </c>
      <c r="B1185" s="236" t="s">
        <v>3907</v>
      </c>
      <c r="C1185" s="236" t="s">
        <v>537</v>
      </c>
      <c r="D1185" s="236" t="s">
        <v>538</v>
      </c>
      <c r="E1185" s="193"/>
      <c r="F1185" s="238"/>
      <c r="G1185" s="239"/>
      <c r="H1185" s="236"/>
      <c r="I1185" s="197">
        <f>IF(iserror(vlookup($A1185,Pagos!$B$5:L1241,4,false)),"Sin actividad",If(vlookup($A1185,Pagos!$B$5:$L1241,5,false),vlookup($A1185,Pagos!$B$5:$L1241,5,false),vlookup($A1185,Pagos!$B$5:$L1241,4,false)))</f>
        <v>45870</v>
      </c>
      <c r="J1185" s="240" t="s">
        <v>523</v>
      </c>
      <c r="K1185" s="241">
        <v>44562.0</v>
      </c>
      <c r="L1185" s="242"/>
      <c r="M1185" s="243"/>
      <c r="N1185" s="244"/>
      <c r="O1185" s="244"/>
    </row>
    <row r="1186">
      <c r="A1186" s="192">
        <v>1184.0</v>
      </c>
      <c r="B1186" s="236" t="s">
        <v>3908</v>
      </c>
      <c r="C1186" s="237" t="s">
        <v>564</v>
      </c>
      <c r="D1186" s="236" t="s">
        <v>556</v>
      </c>
      <c r="E1186" s="193" t="s">
        <v>1635</v>
      </c>
      <c r="F1186" s="238">
        <v>4259065.0</v>
      </c>
      <c r="G1186" s="239">
        <v>0.0</v>
      </c>
      <c r="H1186" s="236"/>
      <c r="I1186" s="197" t="str">
        <f>IF(iserror(vlookup($A1186,Pagos!$B$5:L1241,4,false)),"Sin actividad",If(vlookup($A1186,Pagos!$B$5:$L1241,5,false),vlookup($A1186,Pagos!$B$5:$L1241,5,false),vlookup($A1186,Pagos!$B$5:$L1241,4,false)))</f>
        <v>Sin actividad</v>
      </c>
      <c r="J1186" s="240" t="s">
        <v>529</v>
      </c>
      <c r="K1186" s="241">
        <v>39669.0</v>
      </c>
      <c r="L1186" s="242">
        <v>41497.0</v>
      </c>
      <c r="M1186" s="243" t="s">
        <v>656</v>
      </c>
      <c r="N1186" s="244">
        <f>If(L1186&gt;K1186,   datedif(K1186,L1186,"Y") , If(K1186&lt;Vitalicios!$C$4, datedif(K1186,Vitalicios!$C$4,"Y"),0)  )</f>
        <v>5</v>
      </c>
      <c r="O1186" s="244"/>
    </row>
    <row r="1187">
      <c r="A1187" s="192">
        <v>1789.0</v>
      </c>
      <c r="B1187" s="236" t="s">
        <v>3909</v>
      </c>
      <c r="C1187" s="236" t="s">
        <v>526</v>
      </c>
      <c r="D1187" s="236" t="s">
        <v>596</v>
      </c>
      <c r="E1187" s="193" t="s">
        <v>3910</v>
      </c>
      <c r="F1187" s="238">
        <v>2.216773987E9</v>
      </c>
      <c r="G1187" s="239"/>
      <c r="H1187" s="236" t="s">
        <v>3911</v>
      </c>
      <c r="I1187" s="197" t="str">
        <f>IF(iserror(vlookup($A1187,Pagos!$B$5:L1241,4,false)),"Sin actividad",If(vlookup($A1187,Pagos!$B$5:$L1241,5,false),vlookup($A1187,Pagos!$B$5:$L1241,5,false),vlookup($A1187,Pagos!$B$5:$L1241,4,false)))</f>
        <v>Sin actividad</v>
      </c>
      <c r="J1187" s="240" t="s">
        <v>529</v>
      </c>
      <c r="K1187" s="241">
        <v>44044.0</v>
      </c>
      <c r="L1187" s="242">
        <v>44166.0</v>
      </c>
      <c r="M1187" s="243" t="s">
        <v>535</v>
      </c>
      <c r="N1187" s="244"/>
      <c r="O1187" s="244"/>
    </row>
    <row r="1188">
      <c r="A1188" s="192">
        <v>1845.0</v>
      </c>
      <c r="B1188" s="236" t="s">
        <v>3912</v>
      </c>
      <c r="C1188" s="236" t="s">
        <v>537</v>
      </c>
      <c r="D1188" s="236" t="s">
        <v>1713</v>
      </c>
      <c r="E1188" s="193" t="s">
        <v>3913</v>
      </c>
      <c r="F1188" s="238">
        <v>2.21614579E9</v>
      </c>
      <c r="G1188" s="239"/>
      <c r="H1188" s="236" t="s">
        <v>3914</v>
      </c>
      <c r="I1188" s="197" t="str">
        <f>IF(iserror(vlookup($A1188,Pagos!$B$5:L1241,4,false)),"Sin actividad",If(vlookup($A1188,Pagos!$B$5:$L1241,5,false),vlookup($A1188,Pagos!$B$5:$L1241,5,false),vlookup($A1188,Pagos!$B$5:$L1241,4,false)))</f>
        <v>Sin actividad</v>
      </c>
      <c r="J1188" s="240" t="s">
        <v>529</v>
      </c>
      <c r="K1188" s="241">
        <v>44136.0</v>
      </c>
      <c r="L1188" s="242">
        <v>44197.0</v>
      </c>
      <c r="M1188" s="243"/>
      <c r="N1188" s="244"/>
      <c r="O1188" s="244"/>
    </row>
    <row r="1189">
      <c r="A1189" s="192">
        <v>1257.0</v>
      </c>
      <c r="B1189" s="236" t="s">
        <v>3915</v>
      </c>
      <c r="C1189" s="237" t="s">
        <v>564</v>
      </c>
      <c r="D1189" s="236" t="s">
        <v>556</v>
      </c>
      <c r="E1189" s="193" t="s">
        <v>3916</v>
      </c>
      <c r="F1189" s="238">
        <v>4243517.0</v>
      </c>
      <c r="G1189" s="239">
        <v>0.0</v>
      </c>
      <c r="H1189" s="236"/>
      <c r="I1189" s="197" t="str">
        <f>IF(iserror(vlookup($A1189,Pagos!$B$5:L1241,4,false)),"Sin actividad",If(vlookup($A1189,Pagos!$B$5:$L1241,5,false),vlookup($A1189,Pagos!$B$5:$L1241,5,false),vlookup($A1189,Pagos!$B$5:$L1241,4,false)))</f>
        <v>Sin actividad</v>
      </c>
      <c r="J1189" s="240" t="s">
        <v>529</v>
      </c>
      <c r="K1189" s="241">
        <v>40150.0</v>
      </c>
      <c r="L1189" s="242"/>
      <c r="M1189" s="243"/>
      <c r="N1189" s="244">
        <f>If(L1189&gt;K1189,   datedif(K1189,L1189,"Y") , If(K1189&lt;Vitalicios!$C$4, datedif(K1189,Vitalicios!$C$4,"Y"),0)  )</f>
        <v>15</v>
      </c>
      <c r="O1189" s="244"/>
    </row>
    <row r="1190">
      <c r="A1190" s="192">
        <v>1915.0</v>
      </c>
      <c r="B1190" s="236" t="s">
        <v>3917</v>
      </c>
      <c r="C1190" s="236" t="s">
        <v>537</v>
      </c>
      <c r="D1190" s="236" t="s">
        <v>538</v>
      </c>
      <c r="E1190" s="193" t="s">
        <v>3918</v>
      </c>
      <c r="F1190" s="238">
        <v>2.215724343E9</v>
      </c>
      <c r="G1190" s="239"/>
      <c r="H1190" s="236" t="s">
        <v>3919</v>
      </c>
      <c r="I1190" s="197">
        <f>IF(iserror(vlookup($A1190,Pagos!$B$5:L1241,4,false)),"Sin actividad",If(vlookup($A1190,Pagos!$B$5:$L1241,5,false),vlookup($A1190,Pagos!$B$5:$L1241,5,false),vlookup($A1190,Pagos!$B$5:$L1241,4,false)))</f>
        <v>45870</v>
      </c>
      <c r="J1190" s="240" t="s">
        <v>523</v>
      </c>
      <c r="K1190" s="241">
        <v>44317.0</v>
      </c>
      <c r="L1190" s="242"/>
      <c r="M1190" s="243"/>
      <c r="N1190" s="244"/>
      <c r="O1190" s="244"/>
    </row>
    <row r="1191">
      <c r="A1191" s="192">
        <v>68.0</v>
      </c>
      <c r="B1191" s="236" t="s">
        <v>3920</v>
      </c>
      <c r="C1191" s="237" t="s">
        <v>577</v>
      </c>
      <c r="D1191" s="236" t="s">
        <v>520</v>
      </c>
      <c r="E1191" s="193" t="s">
        <v>3921</v>
      </c>
      <c r="F1191" s="238">
        <v>4223152.0</v>
      </c>
      <c r="G1191" s="239">
        <v>0.0</v>
      </c>
      <c r="H1191" s="236"/>
      <c r="I1191" s="197" t="str">
        <f>IF(iserror(vlookup($A1191,Pagos!$B$5:L1241,4,false)),"Sin actividad",If(vlookup($A1191,Pagos!$B$5:$L1241,5,false),vlookup($A1191,Pagos!$B$5:$L1241,5,false),vlookup($A1191,Pagos!$B$5:$L1241,4,false)))</f>
        <v>Sin actividad</v>
      </c>
      <c r="J1191" s="240" t="s">
        <v>529</v>
      </c>
      <c r="K1191" s="241">
        <v>31528.0</v>
      </c>
      <c r="L1191" s="242">
        <v>41424.0</v>
      </c>
      <c r="M1191" s="243" t="s">
        <v>656</v>
      </c>
      <c r="N1191" s="244">
        <f>If(L1191&gt;K1191,   datedif(K1191,L1191,"Y") , If(K1191&lt;Vitalicios!$C$4, datedif(K1191,Vitalicios!$C$4,"Y"),0)  )</f>
        <v>27</v>
      </c>
      <c r="O1191" s="244"/>
    </row>
    <row r="1192">
      <c r="A1192" s="192">
        <v>1809.0</v>
      </c>
      <c r="B1192" s="236" t="s">
        <v>3922</v>
      </c>
      <c r="C1192" s="236" t="s">
        <v>537</v>
      </c>
      <c r="D1192" s="236" t="s">
        <v>1713</v>
      </c>
      <c r="E1192" s="193" t="s">
        <v>3923</v>
      </c>
      <c r="F1192" s="238">
        <v>1.154630706E9</v>
      </c>
      <c r="G1192" s="239"/>
      <c r="H1192" s="236" t="s">
        <v>3924</v>
      </c>
      <c r="I1192" s="197">
        <f>IF(iserror(vlookup($A1192,Pagos!$B$5:L1241,4,false)),"Sin actividad",If(vlookup($A1192,Pagos!$B$5:$L1241,5,false),vlookup($A1192,Pagos!$B$5:$L1241,5,false),vlookup($A1192,Pagos!$B$5:$L1241,4,false)))</f>
        <v>45870</v>
      </c>
      <c r="J1192" s="240" t="s">
        <v>523</v>
      </c>
      <c r="K1192" s="241">
        <v>44044.0</v>
      </c>
      <c r="L1192" s="242"/>
      <c r="M1192" s="243"/>
      <c r="N1192" s="244"/>
      <c r="O1192" s="244"/>
    </row>
    <row r="1193">
      <c r="A1193" s="192">
        <v>1740.0</v>
      </c>
      <c r="B1193" s="236" t="s">
        <v>3925</v>
      </c>
      <c r="C1193" s="237" t="s">
        <v>519</v>
      </c>
      <c r="D1193" s="236" t="s">
        <v>538</v>
      </c>
      <c r="E1193" s="193" t="s">
        <v>3926</v>
      </c>
      <c r="F1193" s="238">
        <v>1.55382777E8</v>
      </c>
      <c r="G1193" s="239"/>
      <c r="H1193" s="236" t="s">
        <v>3927</v>
      </c>
      <c r="I1193" s="197" t="str">
        <f>IF(iserror(vlookup($A1193,Pagos!$B$5:L1241,4,false)),"Sin actividad",If(vlookup($A1193,Pagos!$B$5:$L1241,5,false),vlookup($A1193,Pagos!$B$5:$L1241,5,false),vlookup($A1193,Pagos!$B$5:$L1241,4,false)))</f>
        <v>Sin actividad</v>
      </c>
      <c r="J1193" s="240" t="s">
        <v>529</v>
      </c>
      <c r="K1193" s="241">
        <v>43556.0</v>
      </c>
      <c r="L1193" s="242">
        <v>45170.0</v>
      </c>
      <c r="M1193" s="243"/>
      <c r="N1193" s="244">
        <f>If(L1193&gt;K1193,   datedif(K1193,L1193,"Y") , If(K1193&lt;Vitalicios!$C$4, datedif(K1193,Vitalicios!$C$4,"Y"),0)  )</f>
        <v>4</v>
      </c>
      <c r="O1193" s="244"/>
    </row>
    <row r="1194">
      <c r="A1194" s="192">
        <v>1861.0</v>
      </c>
      <c r="B1194" s="236" t="s">
        <v>3928</v>
      </c>
      <c r="C1194" s="236" t="s">
        <v>679</v>
      </c>
      <c r="D1194" s="236" t="s">
        <v>1872</v>
      </c>
      <c r="E1194" s="193" t="s">
        <v>3929</v>
      </c>
      <c r="F1194" s="238">
        <v>1.55990233E8</v>
      </c>
      <c r="G1194" s="239"/>
      <c r="H1194" s="236" t="s">
        <v>3930</v>
      </c>
      <c r="I1194" s="197" t="str">
        <f>IF(iserror(vlookup($A1194,Pagos!$B$5:L1241,4,false)),"Sin actividad",If(vlookup($A1194,Pagos!$B$5:$L1241,5,false),vlookup($A1194,Pagos!$B$5:$L1241,5,false),vlookup($A1194,Pagos!$B$5:$L1241,4,false)))</f>
        <v>Sin actividad</v>
      </c>
      <c r="J1194" s="240" t="s">
        <v>529</v>
      </c>
      <c r="K1194" s="241">
        <v>44197.0</v>
      </c>
      <c r="L1194" s="242">
        <v>44958.0</v>
      </c>
      <c r="M1194" s="243" t="s">
        <v>3931</v>
      </c>
      <c r="N1194" s="244"/>
      <c r="O1194" s="244"/>
    </row>
    <row r="1195">
      <c r="A1195" s="192">
        <v>1849.0</v>
      </c>
      <c r="B1195" s="236" t="s">
        <v>3932</v>
      </c>
      <c r="C1195" s="236" t="s">
        <v>537</v>
      </c>
      <c r="D1195" s="236" t="s">
        <v>532</v>
      </c>
      <c r="E1195" s="193" t="s">
        <v>3933</v>
      </c>
      <c r="F1195" s="238">
        <v>2.215722472E9</v>
      </c>
      <c r="G1195" s="239"/>
      <c r="H1195" s="236" t="s">
        <v>3934</v>
      </c>
      <c r="I1195" s="197" t="str">
        <f>IF(iserror(vlookup($A1195,Pagos!$B$5:L1241,4,false)),"Sin actividad",If(vlookup($A1195,Pagos!$B$5:$L1241,5,false),vlookup($A1195,Pagos!$B$5:$L1241,5,false),vlookup($A1195,Pagos!$B$5:$L1241,4,false)))</f>
        <v>Sin actividad</v>
      </c>
      <c r="J1195" s="240" t="s">
        <v>529</v>
      </c>
      <c r="K1195" s="241">
        <v>44136.0</v>
      </c>
      <c r="L1195" s="242">
        <v>45047.0</v>
      </c>
      <c r="M1195" s="243" t="s">
        <v>535</v>
      </c>
      <c r="N1195" s="244"/>
      <c r="O1195" s="244"/>
    </row>
    <row r="1196">
      <c r="A1196" s="192">
        <v>1133.0</v>
      </c>
      <c r="B1196" s="236" t="s">
        <v>3935</v>
      </c>
      <c r="C1196" s="237" t="s">
        <v>526</v>
      </c>
      <c r="D1196" s="236" t="s">
        <v>556</v>
      </c>
      <c r="E1196" s="193" t="s">
        <v>3936</v>
      </c>
      <c r="F1196" s="238">
        <v>0.0</v>
      </c>
      <c r="G1196" s="239">
        <v>0.0</v>
      </c>
      <c r="H1196" s="236" t="s">
        <v>3937</v>
      </c>
      <c r="I1196" s="197" t="str">
        <f>IF(iserror(vlookup($A1196,Pagos!$B$5:L1241,4,false)),"Sin actividad",If(vlookup($A1196,Pagos!$B$5:$L1241,5,false),vlookup($A1196,Pagos!$B$5:$L1241,5,false),vlookup($A1196,Pagos!$B$5:$L1241,4,false)))</f>
        <v>Sin actividad</v>
      </c>
      <c r="J1196" s="240" t="s">
        <v>529</v>
      </c>
      <c r="K1196" s="241">
        <v>39089.0</v>
      </c>
      <c r="L1196" s="242">
        <v>43374.0</v>
      </c>
      <c r="M1196" s="243" t="s">
        <v>560</v>
      </c>
      <c r="N1196" s="244">
        <f>If(L1196&gt;K1196,   datedif(K1196,L1196,"Y") , If(K1196&lt;Vitalicios!$C$4, datedif(K1196,Vitalicios!$C$4,"Y"),0)  )</f>
        <v>11</v>
      </c>
      <c r="O1196" s="244"/>
    </row>
    <row r="1197">
      <c r="A1197" s="192">
        <v>1810.0</v>
      </c>
      <c r="B1197" s="236" t="s">
        <v>3938</v>
      </c>
      <c r="C1197" s="236" t="s">
        <v>537</v>
      </c>
      <c r="D1197" s="236" t="s">
        <v>1399</v>
      </c>
      <c r="E1197" s="193" t="s">
        <v>3939</v>
      </c>
      <c r="F1197" s="238">
        <v>2.216496606E9</v>
      </c>
      <c r="G1197" s="239"/>
      <c r="H1197" s="236" t="s">
        <v>3940</v>
      </c>
      <c r="I1197" s="197" t="str">
        <f>IF(iserror(vlookup($A1197,Pagos!$B$5:L1241,4,false)),"Sin actividad",If(vlookup($A1197,Pagos!$B$5:$L1241,5,false),vlookup($A1197,Pagos!$B$5:$L1241,5,false),vlookup($A1197,Pagos!$B$5:$L1241,4,false)))</f>
        <v>Sin actividad</v>
      </c>
      <c r="J1197" s="240" t="s">
        <v>529</v>
      </c>
      <c r="K1197" s="241">
        <v>44044.0</v>
      </c>
      <c r="L1197" s="245">
        <v>44287.0</v>
      </c>
      <c r="M1197" s="243"/>
      <c r="N1197" s="244"/>
      <c r="O1197" s="244"/>
    </row>
    <row r="1198">
      <c r="A1198" s="192">
        <v>1923.0</v>
      </c>
      <c r="B1198" s="236" t="s">
        <v>3941</v>
      </c>
      <c r="C1198" s="236" t="s">
        <v>537</v>
      </c>
      <c r="D1198" s="236" t="s">
        <v>538</v>
      </c>
      <c r="E1198" s="193" t="s">
        <v>3942</v>
      </c>
      <c r="F1198" s="238">
        <v>2.21494559E9</v>
      </c>
      <c r="G1198" s="239"/>
      <c r="H1198" s="236" t="s">
        <v>3943</v>
      </c>
      <c r="I1198" s="197" t="str">
        <f>IF(iserror(vlookup($A1198,Pagos!$B$5:L1241,4,false)),"Sin actividad",If(vlookup($A1198,Pagos!$B$5:$L1241,5,false),vlookup($A1198,Pagos!$B$5:$L1241,5,false),vlookup($A1198,Pagos!$B$5:$L1241,4,false)))</f>
        <v>Sin actividad</v>
      </c>
      <c r="J1198" s="240" t="s">
        <v>529</v>
      </c>
      <c r="K1198" s="241">
        <v>44409.0</v>
      </c>
      <c r="L1198" s="242">
        <v>44835.0</v>
      </c>
      <c r="M1198" s="243" t="s">
        <v>614</v>
      </c>
      <c r="N1198" s="244"/>
      <c r="O1198" s="244"/>
    </row>
    <row r="1199">
      <c r="A1199" s="192">
        <v>1304.0</v>
      </c>
      <c r="B1199" s="236" t="s">
        <v>3944</v>
      </c>
      <c r="C1199" s="237" t="s">
        <v>526</v>
      </c>
      <c r="D1199" s="236" t="s">
        <v>527</v>
      </c>
      <c r="E1199" s="193">
        <v>0.0</v>
      </c>
      <c r="F1199" s="238">
        <v>0.0</v>
      </c>
      <c r="G1199" s="239">
        <v>0.0</v>
      </c>
      <c r="H1199" s="236"/>
      <c r="I1199" s="197" t="str">
        <f>IF(iserror(vlookup($A1199,Pagos!$B$5:L1241,4,false)),"Sin actividad",If(vlookup($A1199,Pagos!$B$5:$L1241,5,false),vlookup($A1199,Pagos!$B$5:$L1241,5,false),vlookup($A1199,Pagos!$B$5:$L1241,4,false)))</f>
        <v>Sin actividad</v>
      </c>
      <c r="J1199" s="240" t="s">
        <v>529</v>
      </c>
      <c r="K1199" s="241">
        <v>40398.0</v>
      </c>
      <c r="L1199" s="242">
        <v>43374.0</v>
      </c>
      <c r="M1199" s="243" t="s">
        <v>560</v>
      </c>
      <c r="N1199" s="244">
        <f>If(L1199&gt;K1199,   datedif(K1199,L1199,"Y") , If(K1199&lt;Vitalicios!$C$4, datedif(K1199,Vitalicios!$C$4,"Y"),0)  )</f>
        <v>8</v>
      </c>
      <c r="O1199" s="244"/>
    </row>
    <row r="1200">
      <c r="A1200" s="192">
        <v>1795.0</v>
      </c>
      <c r="B1200" s="236" t="s">
        <v>3945</v>
      </c>
      <c r="C1200" s="236" t="s">
        <v>537</v>
      </c>
      <c r="D1200" s="236" t="s">
        <v>538</v>
      </c>
      <c r="E1200" s="193" t="s">
        <v>3946</v>
      </c>
      <c r="F1200" s="238">
        <v>2.216321103E9</v>
      </c>
      <c r="G1200" s="239"/>
      <c r="H1200" s="236"/>
      <c r="I1200" s="197" t="str">
        <f>IF(iserror(vlookup($A1200,Pagos!$B$5:L1241,4,false)),"Sin actividad",If(vlookup($A1200,Pagos!$B$5:$L1241,5,false),vlookup($A1200,Pagos!$B$5:$L1241,5,false),vlookup($A1200,Pagos!$B$5:$L1241,4,false)))</f>
        <v>Sin actividad</v>
      </c>
      <c r="J1200" s="240" t="s">
        <v>529</v>
      </c>
      <c r="K1200" s="241">
        <v>44044.0</v>
      </c>
      <c r="L1200" s="242">
        <v>45627.0</v>
      </c>
      <c r="M1200" s="243" t="s">
        <v>3947</v>
      </c>
      <c r="N1200" s="244"/>
      <c r="O1200" s="244"/>
    </row>
    <row r="1201">
      <c r="A1201" s="192">
        <v>1349.0</v>
      </c>
      <c r="B1201" s="236" t="s">
        <v>3948</v>
      </c>
      <c r="C1201" s="237" t="s">
        <v>526</v>
      </c>
      <c r="D1201" s="236" t="s">
        <v>556</v>
      </c>
      <c r="E1201" s="193" t="s">
        <v>3949</v>
      </c>
      <c r="F1201" s="238">
        <v>1.149195188E9</v>
      </c>
      <c r="G1201" s="239">
        <v>0.0</v>
      </c>
      <c r="H1201" s="236"/>
      <c r="I1201" s="197" t="str">
        <f>IF(iserror(vlookup($A1201,Pagos!$B$5:L1241,4,false)),"Sin actividad",If(vlookup($A1201,Pagos!$B$5:$L1241,5,false),vlookup($A1201,Pagos!$B$5:$L1241,5,false),vlookup($A1201,Pagos!$B$5:$L1241,4,false)))</f>
        <v>Sin actividad</v>
      </c>
      <c r="J1201" s="240" t="s">
        <v>529</v>
      </c>
      <c r="K1201" s="241">
        <v>40566.0</v>
      </c>
      <c r="L1201" s="242"/>
      <c r="M1201" s="243"/>
      <c r="N1201" s="244">
        <f>If(L1201&gt;K1201,   datedif(K1201,L1201,"Y") , If(K1201&lt;Vitalicios!$C$4, datedif(K1201,Vitalicios!$C$4,"Y"),0)  )</f>
        <v>14</v>
      </c>
      <c r="O1201" s="244"/>
    </row>
    <row r="1202">
      <c r="A1202" s="192">
        <v>2130.0</v>
      </c>
      <c r="B1202" s="236" t="s">
        <v>3950</v>
      </c>
      <c r="C1202" s="236" t="s">
        <v>537</v>
      </c>
      <c r="D1202" s="236" t="s">
        <v>596</v>
      </c>
      <c r="E1202" s="193" t="s">
        <v>3951</v>
      </c>
      <c r="F1202" s="238">
        <v>5368550.0</v>
      </c>
      <c r="G1202" s="239"/>
      <c r="H1202" s="236" t="s">
        <v>3952</v>
      </c>
      <c r="I1202" s="197"/>
      <c r="J1202" s="240" t="s">
        <v>529</v>
      </c>
      <c r="K1202" s="241">
        <v>44958.0</v>
      </c>
      <c r="L1202" s="242">
        <v>45413.0</v>
      </c>
      <c r="M1202" s="243" t="s">
        <v>915</v>
      </c>
      <c r="N1202" s="244"/>
      <c r="O1202" s="244"/>
    </row>
    <row r="1203">
      <c r="A1203" s="192">
        <v>2132.0</v>
      </c>
      <c r="B1203" s="236" t="s">
        <v>3953</v>
      </c>
      <c r="C1203" s="236"/>
      <c r="D1203" s="236"/>
      <c r="E1203" s="193" t="s">
        <v>3954</v>
      </c>
      <c r="F1203" s="238">
        <v>2.216198657E9</v>
      </c>
      <c r="G1203" s="239"/>
      <c r="H1203" s="236" t="s">
        <v>3955</v>
      </c>
      <c r="I1203" s="197"/>
      <c r="J1203" s="240" t="s">
        <v>529</v>
      </c>
      <c r="K1203" s="241">
        <v>44958.0</v>
      </c>
      <c r="L1203" s="242">
        <v>45352.0</v>
      </c>
      <c r="M1203" s="243" t="s">
        <v>614</v>
      </c>
      <c r="N1203" s="244"/>
      <c r="O1203" s="244"/>
    </row>
    <row r="1204">
      <c r="A1204" s="192">
        <v>1555.0</v>
      </c>
      <c r="B1204" s="236" t="s">
        <v>3956</v>
      </c>
      <c r="C1204" s="237" t="s">
        <v>526</v>
      </c>
      <c r="D1204" s="236" t="s">
        <v>1209</v>
      </c>
      <c r="E1204" s="193" t="s">
        <v>3957</v>
      </c>
      <c r="F1204" s="238">
        <v>4915343.0</v>
      </c>
      <c r="G1204" s="239">
        <v>0.0</v>
      </c>
      <c r="H1204" s="236" t="s">
        <v>3958</v>
      </c>
      <c r="I1204" s="197" t="str">
        <f>IF(iserror(vlookup($A1204,Pagos!$B$5:L1241,4,false)),"Sin actividad",If(vlookup($A1204,Pagos!$B$5:$L1241,5,false),vlookup($A1204,Pagos!$B$5:$L1241,5,false),vlookup($A1204,Pagos!$B$5:$L1241,4,false)))</f>
        <v>Sin actividad</v>
      </c>
      <c r="J1204" s="240" t="s">
        <v>529</v>
      </c>
      <c r="K1204" s="241">
        <v>42078.0</v>
      </c>
      <c r="L1204" s="242">
        <v>43374.0</v>
      </c>
      <c r="M1204" s="243" t="s">
        <v>560</v>
      </c>
      <c r="N1204" s="244">
        <f>If(L1204&gt;K1204,   datedif(K1204,L1204,"Y") , If(K1204&lt;Vitalicios!$C$4, datedif(K1204,Vitalicios!$C$4,"Y"),0)  )</f>
        <v>3</v>
      </c>
      <c r="O1204" s="244"/>
    </row>
    <row r="1205">
      <c r="A1205" s="192">
        <v>2121.0</v>
      </c>
      <c r="B1205" s="236" t="s">
        <v>3959</v>
      </c>
      <c r="C1205" s="236" t="s">
        <v>537</v>
      </c>
      <c r="D1205" s="236" t="s">
        <v>538</v>
      </c>
      <c r="E1205" s="193" t="s">
        <v>3960</v>
      </c>
      <c r="F1205" s="238">
        <v>1.55701862E8</v>
      </c>
      <c r="G1205" s="239"/>
      <c r="H1205" s="236" t="s">
        <v>3961</v>
      </c>
      <c r="I1205" s="197"/>
      <c r="J1205" s="240" t="s">
        <v>523</v>
      </c>
      <c r="K1205" s="241">
        <v>44927.0</v>
      </c>
      <c r="L1205" s="242"/>
      <c r="M1205" s="243"/>
      <c r="N1205" s="244"/>
      <c r="O1205" s="244"/>
    </row>
    <row r="1206">
      <c r="A1206" s="192">
        <v>1618.0</v>
      </c>
      <c r="B1206" s="236" t="s">
        <v>3962</v>
      </c>
      <c r="C1206" s="237" t="s">
        <v>519</v>
      </c>
      <c r="D1206" s="236" t="s">
        <v>520</v>
      </c>
      <c r="E1206" s="193" t="s">
        <v>3963</v>
      </c>
      <c r="F1206" s="238" t="s">
        <v>3964</v>
      </c>
      <c r="G1206" s="239"/>
      <c r="H1206" s="236" t="s">
        <v>3965</v>
      </c>
      <c r="I1206" s="197">
        <f>IF(iserror(vlookup($A1206,Pagos!$B$5:L1241,4,false)),"Sin actividad",If(vlookup($A1206,Pagos!$B$5:$L1241,5,false),vlookup($A1206,Pagos!$B$5:$L1241,5,false),vlookup($A1206,Pagos!$B$5:$L1241,4,false)))</f>
        <v>45901</v>
      </c>
      <c r="J1206" s="240" t="s">
        <v>523</v>
      </c>
      <c r="K1206" s="241">
        <v>42736.0</v>
      </c>
      <c r="L1206" s="242"/>
      <c r="M1206" s="243"/>
      <c r="N1206" s="244">
        <f>If(L1206&gt;K1206,   datedif(K1206,L1206,"Y") , If(K1206&lt;Vitalicios!$C$4, datedif(K1206,Vitalicios!$C$4,"Y"),0)  )</f>
        <v>8</v>
      </c>
      <c r="O1206" s="244"/>
    </row>
    <row r="1207">
      <c r="A1207" s="192">
        <v>1938.0</v>
      </c>
      <c r="B1207" s="236" t="s">
        <v>3966</v>
      </c>
      <c r="C1207" s="236" t="s">
        <v>537</v>
      </c>
      <c r="D1207" s="236" t="s">
        <v>549</v>
      </c>
      <c r="E1207" s="193" t="s">
        <v>3967</v>
      </c>
      <c r="F1207" s="238">
        <v>2.21154769142E11</v>
      </c>
      <c r="G1207" s="239"/>
      <c r="H1207" s="236" t="s">
        <v>3968</v>
      </c>
      <c r="I1207" s="197">
        <f>IF(iserror(vlookup($A1207,Pagos!$B$5:L1241,4,false)),"Sin actividad",If(vlookup($A1207,Pagos!$B$5:$L1241,5,false),vlookup($A1207,Pagos!$B$5:$L1241,5,false),vlookup($A1207,Pagos!$B$5:$L1241,4,false)))</f>
        <v>45870</v>
      </c>
      <c r="J1207" s="240" t="s">
        <v>523</v>
      </c>
      <c r="K1207" s="241">
        <v>44501.0</v>
      </c>
      <c r="L1207" s="242"/>
      <c r="M1207" s="243"/>
      <c r="N1207" s="244"/>
      <c r="O1207" s="244"/>
    </row>
    <row r="1208">
      <c r="A1208" s="192">
        <v>700.0</v>
      </c>
      <c r="B1208" s="236" t="s">
        <v>3969</v>
      </c>
      <c r="C1208" s="237" t="s">
        <v>577</v>
      </c>
      <c r="D1208" s="236" t="s">
        <v>520</v>
      </c>
      <c r="E1208" s="193" t="s">
        <v>3970</v>
      </c>
      <c r="F1208" s="238">
        <v>0.0</v>
      </c>
      <c r="G1208" s="239">
        <v>0.0</v>
      </c>
      <c r="H1208" s="236"/>
      <c r="I1208" s="197">
        <f>IF(iserror(vlookup($A1208,Pagos!$B$5:L1241,4,false)),"Sin actividad",If(vlookup($A1208,Pagos!$B$5:$L1241,5,false),vlookup($A1208,Pagos!$B$5:$L1241,5,false),vlookup($A1208,Pagos!$B$5:$L1241,4,false)))</f>
        <v>45901</v>
      </c>
      <c r="J1208" s="240" t="s">
        <v>523</v>
      </c>
      <c r="K1208" s="241">
        <v>35442.0</v>
      </c>
      <c r="L1208" s="242"/>
      <c r="M1208" s="243"/>
      <c r="N1208" s="244">
        <f>If(L1208&gt;K1208,   datedif(K1208,L1208,"Y") , If(K1208&lt;Vitalicios!$C$4, datedif(K1208,Vitalicios!$C$4,"Y"),0)  )</f>
        <v>28</v>
      </c>
      <c r="O1208" s="244"/>
    </row>
    <row r="1209">
      <c r="A1209" s="192">
        <v>1886.0</v>
      </c>
      <c r="B1209" s="236" t="s">
        <v>3971</v>
      </c>
      <c r="C1209" s="236" t="s">
        <v>537</v>
      </c>
      <c r="D1209" s="236" t="s">
        <v>596</v>
      </c>
      <c r="E1209" s="193" t="s">
        <v>3972</v>
      </c>
      <c r="F1209" s="238">
        <v>2.216033182E9</v>
      </c>
      <c r="G1209" s="239"/>
      <c r="H1209" s="236" t="s">
        <v>3973</v>
      </c>
      <c r="I1209" s="197">
        <f>IF(iserror(vlookup($A1209,Pagos!$B$5:L1241,4,false)),"Sin actividad",If(vlookup($A1209,Pagos!$B$5:$L1241,5,false),vlookup($A1209,Pagos!$B$5:$L1241,5,false),vlookup($A1209,Pagos!$B$5:$L1241,4,false)))</f>
        <v>45870</v>
      </c>
      <c r="J1209" s="240" t="s">
        <v>523</v>
      </c>
      <c r="K1209" s="241">
        <v>44228.0</v>
      </c>
      <c r="L1209" s="242"/>
      <c r="M1209" s="243"/>
      <c r="N1209" s="244"/>
      <c r="O1209" s="244"/>
    </row>
    <row r="1210">
      <c r="A1210" s="192">
        <v>1596.0</v>
      </c>
      <c r="B1210" s="236" t="s">
        <v>3974</v>
      </c>
      <c r="C1210" s="237" t="s">
        <v>526</v>
      </c>
      <c r="D1210" s="236" t="s">
        <v>520</v>
      </c>
      <c r="E1210" s="193" t="s">
        <v>3975</v>
      </c>
      <c r="F1210" s="238" t="s">
        <v>3976</v>
      </c>
      <c r="G1210" s="239">
        <v>1.55118182E8</v>
      </c>
      <c r="H1210" s="236" t="s">
        <v>3977</v>
      </c>
      <c r="I1210" s="197">
        <f>IF(iserror(vlookup($A1210,Pagos!$B$5:L1241,4,false)),"Sin actividad",If(vlookup($A1210,Pagos!$B$5:$L1241,5,false),vlookup($A1210,Pagos!$B$5:$L1241,5,false),vlookup($A1210,Pagos!$B$5:$L1241,4,false)))</f>
        <v>45870</v>
      </c>
      <c r="J1210" s="240" t="s">
        <v>523</v>
      </c>
      <c r="K1210" s="241">
        <v>43040.0</v>
      </c>
      <c r="L1210" s="242"/>
      <c r="M1210" s="243" t="s">
        <v>3978</v>
      </c>
      <c r="N1210" s="244">
        <f>If(L1210&gt;K1210,   datedif(K1210,L1210,"Y") , If(K1210&lt;Vitalicios!$C$4, datedif(K1210,Vitalicios!$C$4,"Y"),0)  )</f>
        <v>7</v>
      </c>
      <c r="O1210" s="244"/>
    </row>
    <row r="1211" ht="12.75" customHeight="1">
      <c r="A1211" s="192">
        <v>1595.0</v>
      </c>
      <c r="B1211" s="236" t="s">
        <v>3979</v>
      </c>
      <c r="C1211" s="237" t="s">
        <v>526</v>
      </c>
      <c r="D1211" s="236" t="s">
        <v>520</v>
      </c>
      <c r="E1211" s="193" t="s">
        <v>3975</v>
      </c>
      <c r="F1211" s="238">
        <v>5035899.0</v>
      </c>
      <c r="G1211" s="239"/>
      <c r="H1211" s="236" t="s">
        <v>3980</v>
      </c>
      <c r="I1211" s="197">
        <f>IF(iserror(vlookup($A1211,Pagos!$B$5:L1241,4,false)),"Sin actividad",If(vlookup($A1211,Pagos!$B$5:$L1241,5,false),vlookup($A1211,Pagos!$B$5:$L1241,5,false),vlookup($A1211,Pagos!$B$5:$L1241,4,false)))</f>
        <v>45870</v>
      </c>
      <c r="J1211" s="240" t="s">
        <v>523</v>
      </c>
      <c r="K1211" s="241">
        <v>42430.0</v>
      </c>
      <c r="L1211" s="242"/>
      <c r="M1211" s="243"/>
      <c r="N1211" s="244">
        <f>If(L1211&gt;K1211,   datedif(K1211,L1211,"Y") , If(K1211&lt;Vitalicios!$C$4, datedif(K1211,Vitalicios!$C$4,"Y"),0)  )</f>
        <v>9</v>
      </c>
      <c r="O1211" s="244"/>
    </row>
    <row r="1212">
      <c r="A1212" s="192">
        <v>993.0</v>
      </c>
      <c r="B1212" s="236" t="s">
        <v>3981</v>
      </c>
      <c r="C1212" s="237" t="s">
        <v>577</v>
      </c>
      <c r="D1212" s="236" t="s">
        <v>520</v>
      </c>
      <c r="E1212" s="193" t="s">
        <v>3982</v>
      </c>
      <c r="F1212" s="238">
        <v>0.0</v>
      </c>
      <c r="G1212" s="239">
        <v>0.0</v>
      </c>
      <c r="H1212" s="236"/>
      <c r="I1212" s="197" t="str">
        <f>IF(iserror(vlookup($A1212,Pagos!$B$5:L1241,4,false)),"Sin actividad",If(vlookup($A1212,Pagos!$B$5:$L1241,5,false),vlookup($A1212,Pagos!$B$5:$L1241,5,false),vlookup($A1212,Pagos!$B$5:$L1241,4,false)))</f>
        <v>Sin actividad</v>
      </c>
      <c r="J1212" s="240" t="s">
        <v>529</v>
      </c>
      <c r="K1212" s="241">
        <v>37956.0</v>
      </c>
      <c r="L1212" s="242">
        <v>44531.0</v>
      </c>
      <c r="M1212" s="243" t="s">
        <v>3983</v>
      </c>
      <c r="N1212" s="244">
        <f>If(L1212&gt;K1212,   datedif(K1212,L1212,"Y") , If(K1212&lt;Vitalicios!$C$4, datedif(K1212,Vitalicios!$C$4,"Y"),0)  )</f>
        <v>18</v>
      </c>
      <c r="O1212" s="244"/>
    </row>
    <row r="1213">
      <c r="A1213" s="192">
        <v>1906.0</v>
      </c>
      <c r="B1213" s="236" t="s">
        <v>3984</v>
      </c>
      <c r="C1213" s="236" t="s">
        <v>537</v>
      </c>
      <c r="D1213" s="236" t="s">
        <v>538</v>
      </c>
      <c r="E1213" s="193" t="s">
        <v>3985</v>
      </c>
      <c r="F1213" s="238">
        <v>2.216398025E9</v>
      </c>
      <c r="G1213" s="239"/>
      <c r="H1213" s="236" t="s">
        <v>3986</v>
      </c>
      <c r="I1213" s="197">
        <f>IF(iserror(vlookup($A1213,Pagos!$B$5:L1241,4,false)),"Sin actividad",If(vlookup($A1213,Pagos!$B$5:$L1241,5,false),vlookup($A1213,Pagos!$B$5:$L1241,5,false),vlookup($A1213,Pagos!$B$5:$L1241,4,false)))</f>
        <v>45839</v>
      </c>
      <c r="J1213" s="240" t="s">
        <v>523</v>
      </c>
      <c r="K1213" s="241">
        <v>44317.0</v>
      </c>
      <c r="L1213" s="242"/>
      <c r="M1213" s="243"/>
      <c r="N1213" s="244"/>
      <c r="O1213" s="244"/>
    </row>
    <row r="1214">
      <c r="A1214" s="192">
        <v>1600.0</v>
      </c>
      <c r="B1214" s="236" t="s">
        <v>3987</v>
      </c>
      <c r="C1214" s="237" t="s">
        <v>577</v>
      </c>
      <c r="D1214" s="236" t="s">
        <v>709</v>
      </c>
      <c r="E1214" s="193" t="s">
        <v>3988</v>
      </c>
      <c r="F1214" s="238">
        <v>1.5656726E8</v>
      </c>
      <c r="G1214" s="239"/>
      <c r="H1214" s="236" t="s">
        <v>3989</v>
      </c>
      <c r="I1214" s="197">
        <f>IF(iserror(vlookup($A1214,Pagos!$B$5:L1241,4,false)),"Sin actividad",If(vlookup($A1214,Pagos!$B$5:$L1241,5,false),vlookup($A1214,Pagos!$B$5:$L1241,5,false),vlookup($A1214,Pagos!$B$5:$L1241,4,false)))</f>
        <v>45870</v>
      </c>
      <c r="J1214" s="240" t="s">
        <v>523</v>
      </c>
      <c r="K1214" s="241">
        <v>42464.0</v>
      </c>
      <c r="L1214" s="242"/>
      <c r="M1214" s="243"/>
      <c r="N1214" s="244">
        <f>If(L1214&gt;K1214,   datedif(K1214,L1214,"Y") , If(K1214&lt;Vitalicios!$C$4, datedif(K1214,Vitalicios!$C$4,"Y"),0)  )</f>
        <v>9</v>
      </c>
      <c r="O1214" s="244"/>
    </row>
    <row r="1215">
      <c r="A1215" s="192">
        <v>1190.0</v>
      </c>
      <c r="B1215" s="236" t="s">
        <v>3990</v>
      </c>
      <c r="C1215" s="237" t="s">
        <v>526</v>
      </c>
      <c r="D1215" s="236" t="s">
        <v>556</v>
      </c>
      <c r="E1215" s="193" t="s">
        <v>3991</v>
      </c>
      <c r="F1215" s="238">
        <v>1.55993151E8</v>
      </c>
      <c r="G1215" s="239">
        <v>0.0</v>
      </c>
      <c r="H1215" s="236"/>
      <c r="I1215" s="197" t="str">
        <f>IF(iserror(vlookup($A1215,Pagos!$B$5:L1241,4,false)),"Sin actividad",If(vlookup($A1215,Pagos!$B$5:$L1241,5,false),vlookup($A1215,Pagos!$B$5:$L1241,5,false),vlookup($A1215,Pagos!$B$5:$L1241,4,false)))</f>
        <v>Sin actividad</v>
      </c>
      <c r="J1215" s="240" t="s">
        <v>529</v>
      </c>
      <c r="K1215" s="241">
        <v>39761.0</v>
      </c>
      <c r="L1215" s="242"/>
      <c r="M1215" s="243"/>
      <c r="N1215" s="244">
        <f>If(L1215&gt;K1215,   datedif(K1215,L1215,"Y") , If(K1215&lt;Vitalicios!$C$4, datedif(K1215,Vitalicios!$C$4,"Y"),0)  )</f>
        <v>16</v>
      </c>
      <c r="O1215" s="244"/>
    </row>
    <row r="1216">
      <c r="A1216" s="192">
        <v>2001.0</v>
      </c>
      <c r="B1216" s="236" t="s">
        <v>3992</v>
      </c>
      <c r="C1216" s="236" t="s">
        <v>537</v>
      </c>
      <c r="D1216" s="236" t="s">
        <v>538</v>
      </c>
      <c r="E1216" s="193" t="s">
        <v>3993</v>
      </c>
      <c r="F1216" s="238">
        <v>2.215373236E9</v>
      </c>
      <c r="G1216" s="239"/>
      <c r="H1216" s="236" t="s">
        <v>3994</v>
      </c>
      <c r="I1216" s="197" t="str">
        <f>IF(iserror(vlookup($A1216,Pagos!$B$5:L1241,4,false)),"Sin actividad",If(vlookup($A1216,Pagos!$B$5:$L1241,5,false),vlookup($A1216,Pagos!$B$5:$L1241,5,false),vlookup($A1216,Pagos!$B$5:$L1241,4,false)))</f>
        <v>Sin actividad</v>
      </c>
      <c r="J1216" s="240" t="s">
        <v>529</v>
      </c>
      <c r="K1216" s="241">
        <v>44593.0</v>
      </c>
      <c r="L1216" s="242">
        <v>45231.0</v>
      </c>
      <c r="M1216" s="243" t="s">
        <v>716</v>
      </c>
      <c r="N1216" s="244"/>
      <c r="O1216" s="244"/>
    </row>
    <row r="1217">
      <c r="A1217" s="192">
        <v>1673.0</v>
      </c>
      <c r="B1217" s="236" t="s">
        <v>3995</v>
      </c>
      <c r="C1217" s="237" t="s">
        <v>519</v>
      </c>
      <c r="D1217" s="236" t="s">
        <v>2423</v>
      </c>
      <c r="E1217" s="193" t="s">
        <v>3996</v>
      </c>
      <c r="F1217" s="238">
        <v>1.55562539E8</v>
      </c>
      <c r="G1217" s="239"/>
      <c r="H1217" s="236" t="s">
        <v>3997</v>
      </c>
      <c r="I1217" s="197" t="str">
        <f>IF(iserror(vlookup($A1217,Pagos!$B$5:L1241,4,false)),"Sin actividad",If(vlookup($A1217,Pagos!$B$5:$L1241,5,false),vlookup($A1217,Pagos!$B$5:$L1241,5,false),vlookup($A1217,Pagos!$B$5:$L1241,4,false)))</f>
        <v>Sin actividad</v>
      </c>
      <c r="J1217" s="240" t="s">
        <v>529</v>
      </c>
      <c r="K1217" s="241">
        <v>43070.0</v>
      </c>
      <c r="L1217" s="242">
        <v>43525.0</v>
      </c>
      <c r="M1217" s="243"/>
      <c r="N1217" s="244">
        <f>If(L1217&gt;K1217,   datedif(K1217,L1217,"Y") , If(K1217&lt;Vitalicios!$C$4, datedif(K1217,Vitalicios!$C$4,"Y"),0)  )</f>
        <v>1</v>
      </c>
      <c r="O1217" s="244"/>
    </row>
    <row r="1218">
      <c r="A1218" s="192">
        <v>1438.0</v>
      </c>
      <c r="B1218" s="236" t="s">
        <v>3998</v>
      </c>
      <c r="C1218" s="237" t="s">
        <v>564</v>
      </c>
      <c r="D1218" s="236" t="s">
        <v>556</v>
      </c>
      <c r="E1218" s="193"/>
      <c r="F1218" s="238"/>
      <c r="G1218" s="239">
        <v>0.0</v>
      </c>
      <c r="H1218" s="236"/>
      <c r="I1218" s="197" t="str">
        <f>IF(iserror(vlookup($A1218,Pagos!$B$5:L1241,4,false)),"Sin actividad",If(vlookup($A1218,Pagos!$B$5:$L1241,5,false),vlookup($A1218,Pagos!$B$5:$L1241,5,false),vlookup($A1218,Pagos!$B$5:$L1241,4,false)))</f>
        <v>Sin actividad</v>
      </c>
      <c r="J1218" s="240" t="s">
        <v>529</v>
      </c>
      <c r="K1218" s="241">
        <v>41276.0</v>
      </c>
      <c r="L1218" s="242">
        <v>43525.0</v>
      </c>
      <c r="M1218" s="243"/>
      <c r="N1218" s="244">
        <f>If(L1218&gt;K1218,   datedif(K1218,L1218,"Y") , If(K1218&lt;Vitalicios!$C$4, datedif(K1218,Vitalicios!$C$4,"Y"),0)  )</f>
        <v>6</v>
      </c>
      <c r="O1218" s="244"/>
    </row>
    <row r="1219">
      <c r="A1219" s="192">
        <v>1468.0</v>
      </c>
      <c r="B1219" s="236" t="s">
        <v>3999</v>
      </c>
      <c r="C1219" s="237" t="s">
        <v>526</v>
      </c>
      <c r="D1219" s="236" t="s">
        <v>556</v>
      </c>
      <c r="E1219" s="193" t="s">
        <v>4000</v>
      </c>
      <c r="F1219" s="238">
        <v>4525543.0</v>
      </c>
      <c r="G1219" s="239">
        <v>1.55965015E8</v>
      </c>
      <c r="H1219" s="236"/>
      <c r="I1219" s="197" t="str">
        <f>IF(iserror(vlookup($A1219,Pagos!$B$5:L1241,4,false)),"Sin actividad",If(vlookup($A1219,Pagos!$B$5:$L1241,5,false),vlookup($A1219,Pagos!$B$5:$L1241,5,false),vlookup($A1219,Pagos!$B$5:$L1241,4,false)))</f>
        <v>Sin actividad</v>
      </c>
      <c r="J1219" s="240" t="s">
        <v>529</v>
      </c>
      <c r="K1219" s="241">
        <v>41469.0</v>
      </c>
      <c r="L1219" s="242">
        <v>41883.0</v>
      </c>
      <c r="M1219" s="243" t="s">
        <v>656</v>
      </c>
      <c r="N1219" s="244">
        <f>If(L1219&gt;K1219,   datedif(K1219,L1219,"Y") , If(K1219&lt;Vitalicios!$C$4, datedif(K1219,Vitalicios!$C$4,"Y"),0)  )</f>
        <v>1</v>
      </c>
      <c r="O1219" s="244"/>
    </row>
    <row r="1220">
      <c r="A1220" s="192">
        <v>1591.0</v>
      </c>
      <c r="B1220" s="236" t="s">
        <v>4001</v>
      </c>
      <c r="C1220" s="237" t="s">
        <v>526</v>
      </c>
      <c r="D1220" s="236" t="s">
        <v>520</v>
      </c>
      <c r="E1220" s="193" t="s">
        <v>4002</v>
      </c>
      <c r="F1220" s="238">
        <v>1.138554918E9</v>
      </c>
      <c r="G1220" s="239"/>
      <c r="H1220" s="236" t="s">
        <v>4003</v>
      </c>
      <c r="I1220" s="197" t="str">
        <f>IF(iserror(vlookup($A1220,Pagos!$B$5:L1241,4,false)),"Sin actividad",If(vlookup($A1220,Pagos!$B$5:$L1241,5,false),vlookup($A1220,Pagos!$B$5:$L1241,5,false),vlookup($A1220,Pagos!$B$5:$L1241,4,false)))</f>
        <v>Sin actividad</v>
      </c>
      <c r="J1220" s="240" t="s">
        <v>529</v>
      </c>
      <c r="K1220" s="241">
        <v>42401.0</v>
      </c>
      <c r="L1220" s="242">
        <v>43191.0</v>
      </c>
      <c r="M1220" s="243"/>
      <c r="N1220" s="244">
        <f>If(L1220&gt;K1220,   datedif(K1220,L1220,"Y") , If(K1220&lt;Vitalicios!$C$4, datedif(K1220,Vitalicios!$C$4,"Y"),0)  )</f>
        <v>2</v>
      </c>
      <c r="O1220" s="244"/>
    </row>
    <row r="1221">
      <c r="A1221" s="192">
        <v>1590.0</v>
      </c>
      <c r="B1221" s="236" t="s">
        <v>4004</v>
      </c>
      <c r="C1221" s="237" t="s">
        <v>526</v>
      </c>
      <c r="D1221" s="236" t="s">
        <v>520</v>
      </c>
      <c r="E1221" s="193" t="s">
        <v>4002</v>
      </c>
      <c r="F1221" s="238">
        <v>1.551610608E9</v>
      </c>
      <c r="G1221" s="239"/>
      <c r="H1221" s="236" t="s">
        <v>4005</v>
      </c>
      <c r="I1221" s="197">
        <f>IF(iserror(vlookup($A1221,Pagos!$B$5:L1241,4,false)),"Sin actividad",If(vlookup($A1221,Pagos!$B$5:$L1241,5,false),vlookup($A1221,Pagos!$B$5:$L1241,5,false),vlookup($A1221,Pagos!$B$5:$L1241,4,false)))</f>
        <v>45870</v>
      </c>
      <c r="J1221" s="240" t="s">
        <v>523</v>
      </c>
      <c r="K1221" s="241">
        <v>42401.0</v>
      </c>
      <c r="L1221" s="242"/>
      <c r="M1221" s="243"/>
      <c r="N1221" s="244">
        <f>If(L1221&gt;K1221,   datedif(K1221,L1221,"Y") , If(K1221&lt;Vitalicios!$C$4, datedif(K1221,Vitalicios!$C$4,"Y"),0)  )</f>
        <v>9</v>
      </c>
      <c r="O1221" s="244"/>
    </row>
    <row r="1222">
      <c r="A1222" s="192">
        <v>2042.0</v>
      </c>
      <c r="B1222" s="236" t="s">
        <v>4006</v>
      </c>
      <c r="C1222" s="236" t="s">
        <v>537</v>
      </c>
      <c r="D1222" s="236" t="s">
        <v>538</v>
      </c>
      <c r="E1222" s="193" t="s">
        <v>4007</v>
      </c>
      <c r="F1222" s="238">
        <v>1.140257535E9</v>
      </c>
      <c r="G1222" s="239"/>
      <c r="H1222" s="236" t="s">
        <v>4008</v>
      </c>
      <c r="I1222" s="197"/>
      <c r="J1222" s="240" t="s">
        <v>523</v>
      </c>
      <c r="K1222" s="241">
        <v>44774.0</v>
      </c>
      <c r="L1222" s="242"/>
      <c r="M1222" s="243"/>
      <c r="N1222" s="244"/>
      <c r="O1222" s="244"/>
    </row>
    <row r="1223">
      <c r="A1223" s="192">
        <v>1883.0</v>
      </c>
      <c r="B1223" s="236" t="s">
        <v>4009</v>
      </c>
      <c r="C1223" s="236" t="s">
        <v>526</v>
      </c>
      <c r="D1223" s="236" t="s">
        <v>628</v>
      </c>
      <c r="E1223" s="193" t="s">
        <v>4010</v>
      </c>
      <c r="F1223" s="238">
        <v>2.214007654E9</v>
      </c>
      <c r="G1223" s="239"/>
      <c r="H1223" s="236" t="s">
        <v>4011</v>
      </c>
      <c r="I1223" s="197" t="str">
        <f>IF(iserror(vlookup($A1223,Pagos!$B$5:L1241,4,false)),"Sin actividad",If(vlookup($A1223,Pagos!$B$5:$L1241,5,false),vlookup($A1223,Pagos!$B$5:$L1241,5,false),vlookup($A1223,Pagos!$B$5:$L1241,4,false)))</f>
        <v>Sin actividad</v>
      </c>
      <c r="J1223" s="240" t="s">
        <v>529</v>
      </c>
      <c r="K1223" s="241">
        <v>44166.0</v>
      </c>
      <c r="L1223" s="242">
        <v>44501.0</v>
      </c>
      <c r="M1223" s="243" t="s">
        <v>4012</v>
      </c>
      <c r="N1223" s="244"/>
      <c r="O1223" s="244"/>
    </row>
    <row r="1224">
      <c r="A1224" s="192">
        <v>1885.0</v>
      </c>
      <c r="B1224" s="236" t="s">
        <v>4013</v>
      </c>
      <c r="C1224" s="236" t="s">
        <v>537</v>
      </c>
      <c r="D1224" s="236" t="s">
        <v>549</v>
      </c>
      <c r="E1224" s="193" t="s">
        <v>4014</v>
      </c>
      <c r="F1224" s="238">
        <v>1.54375498E8</v>
      </c>
      <c r="G1224" s="246">
        <v>1.54375498E8</v>
      </c>
      <c r="H1224" s="236" t="s">
        <v>4015</v>
      </c>
      <c r="I1224" s="197" t="str">
        <f>IF(iserror(vlookup($A1224,Pagos!$B$5:L1241,4,false)),"Sin actividad",If(vlookup($A1224,Pagos!$B$5:$L1241,5,false),vlookup($A1224,Pagos!$B$5:$L1241,5,false),vlookup($A1224,Pagos!$B$5:$L1241,4,false)))</f>
        <v>Sin actividad</v>
      </c>
      <c r="J1224" s="240" t="s">
        <v>529</v>
      </c>
      <c r="K1224" s="241">
        <v>44228.0</v>
      </c>
      <c r="L1224" s="242">
        <v>45261.0</v>
      </c>
      <c r="M1224" s="243" t="s">
        <v>535</v>
      </c>
      <c r="N1224" s="244"/>
      <c r="O1224" s="244"/>
    </row>
    <row r="1225">
      <c r="A1225" s="192">
        <v>2167.0</v>
      </c>
      <c r="B1225" s="236" t="s">
        <v>4016</v>
      </c>
      <c r="C1225" s="236" t="s">
        <v>537</v>
      </c>
      <c r="D1225" s="236" t="s">
        <v>538</v>
      </c>
      <c r="E1225" s="193" t="s">
        <v>4017</v>
      </c>
      <c r="F1225" s="238">
        <v>2.215792841E9</v>
      </c>
      <c r="G1225" s="246"/>
      <c r="H1225" s="236" t="s">
        <v>4018</v>
      </c>
      <c r="I1225" s="197"/>
      <c r="J1225" s="240" t="s">
        <v>523</v>
      </c>
      <c r="K1225" s="241">
        <v>45017.0</v>
      </c>
      <c r="L1225" s="242"/>
      <c r="M1225" s="243"/>
      <c r="N1225" s="244"/>
      <c r="O1225" s="244"/>
    </row>
    <row r="1226">
      <c r="A1226" s="192">
        <v>1656.0</v>
      </c>
      <c r="B1226" s="236" t="s">
        <v>4019</v>
      </c>
      <c r="C1226" s="237" t="s">
        <v>519</v>
      </c>
      <c r="D1226" s="236" t="s">
        <v>527</v>
      </c>
      <c r="E1226" s="193" t="s">
        <v>4020</v>
      </c>
      <c r="F1226" s="238">
        <v>1.5435505E7</v>
      </c>
      <c r="G1226" s="239"/>
      <c r="H1226" s="236"/>
      <c r="I1226" s="197" t="str">
        <f>IF(iserror(vlookup($A1226,Pagos!$B$5:L1241,4,false)),"Sin actividad",If(vlookup($A1226,Pagos!$B$5:$L1241,5,false),vlookup($A1226,Pagos!$B$5:$L1241,5,false),vlookup($A1226,Pagos!$B$5:$L1241,4,false)))</f>
        <v>Sin actividad</v>
      </c>
      <c r="J1226" s="240" t="s">
        <v>529</v>
      </c>
      <c r="K1226" s="241">
        <v>43009.0</v>
      </c>
      <c r="L1226" s="242">
        <v>43374.0</v>
      </c>
      <c r="M1226" s="243" t="s">
        <v>560</v>
      </c>
      <c r="N1226" s="244">
        <f>If(L1226&gt;K1226,   datedif(K1226,L1226,"Y") , If(K1226&lt;Vitalicios!$C$4, datedif(K1226,Vitalicios!$C$4,"Y"),0)  )</f>
        <v>1</v>
      </c>
      <c r="O1226" s="244"/>
    </row>
    <row r="1227">
      <c r="A1227" s="192">
        <v>538.0</v>
      </c>
      <c r="B1227" s="236" t="s">
        <v>4021</v>
      </c>
      <c r="C1227" s="237" t="s">
        <v>526</v>
      </c>
      <c r="D1227" s="236" t="s">
        <v>520</v>
      </c>
      <c r="E1227" s="193" t="s">
        <v>4022</v>
      </c>
      <c r="F1227" s="238">
        <v>0.0</v>
      </c>
      <c r="G1227" s="239">
        <v>0.0</v>
      </c>
      <c r="H1227" s="236"/>
      <c r="I1227" s="197" t="str">
        <f>IF(iserror(vlookup($A1227,Pagos!$B$5:L1241,4,false)),"Sin actividad",If(vlookup($A1227,Pagos!$B$5:$L1241,5,false),vlookup($A1227,Pagos!$B$5:$L1241,5,false),vlookup($A1227,Pagos!$B$5:$L1241,4,false)))</f>
        <v>Sin actividad</v>
      </c>
      <c r="J1227" s="240" t="s">
        <v>529</v>
      </c>
      <c r="K1227" s="241">
        <v>33544.0</v>
      </c>
      <c r="L1227" s="242"/>
      <c r="M1227" s="243"/>
      <c r="N1227" s="244">
        <f>If(L1227&gt;K1227,   datedif(K1227,L1227,"Y") , If(K1227&lt;Vitalicios!$C$4, datedif(K1227,Vitalicios!$C$4,"Y"),0)  )</f>
        <v>33</v>
      </c>
      <c r="O1227" s="244"/>
    </row>
    <row r="1228">
      <c r="A1228" s="192">
        <v>1521.0</v>
      </c>
      <c r="B1228" s="236" t="s">
        <v>4023</v>
      </c>
      <c r="C1228" s="237" t="s">
        <v>526</v>
      </c>
      <c r="D1228" s="236" t="s">
        <v>527</v>
      </c>
      <c r="E1228" s="193" t="s">
        <v>4024</v>
      </c>
      <c r="F1228" s="238">
        <v>1.54111153E8</v>
      </c>
      <c r="G1228" s="239">
        <v>0.0</v>
      </c>
      <c r="H1228" s="236"/>
      <c r="I1228" s="197" t="str">
        <f>IF(iserror(vlookup($A1228,Pagos!$B$5:L1241,4,false)),"Sin actividad",If(vlookup($A1228,Pagos!$B$5:$L1241,5,false),vlookup($A1228,Pagos!$B$5:$L1241,5,false),vlookup($A1228,Pagos!$B$5:$L1241,4,false)))</f>
        <v>Sin actividad</v>
      </c>
      <c r="J1228" s="240" t="s">
        <v>529</v>
      </c>
      <c r="K1228" s="241">
        <v>41742.0</v>
      </c>
      <c r="L1228" s="242">
        <v>43374.0</v>
      </c>
      <c r="M1228" s="243" t="s">
        <v>560</v>
      </c>
      <c r="N1228" s="244">
        <f>If(L1228&gt;K1228,   datedif(K1228,L1228,"Y") , If(K1228&lt;Vitalicios!$C$4, datedif(K1228,Vitalicios!$C$4,"Y"),0)  )</f>
        <v>4</v>
      </c>
      <c r="O1228" s="244"/>
    </row>
    <row r="1229">
      <c r="A1229" s="192">
        <v>1634.0</v>
      </c>
      <c r="B1229" s="236" t="s">
        <v>4025</v>
      </c>
      <c r="C1229" s="237" t="s">
        <v>526</v>
      </c>
      <c r="D1229" s="236" t="s">
        <v>520</v>
      </c>
      <c r="E1229" s="193" t="s">
        <v>4026</v>
      </c>
      <c r="F1229" s="238">
        <v>1.54349831E8</v>
      </c>
      <c r="G1229" s="239"/>
      <c r="H1229" s="236" t="s">
        <v>4027</v>
      </c>
      <c r="I1229" s="197" t="str">
        <f>IF(iserror(vlookup($A1229,Pagos!$B$5:L1241,4,false)),"Sin actividad",If(vlookup($A1229,Pagos!$B$5:$L1241,5,false),vlookup($A1229,Pagos!$B$5:$L1241,5,false),vlookup($A1229,Pagos!$B$5:$L1241,4,false)))</f>
        <v>Sin actividad</v>
      </c>
      <c r="J1229" s="240" t="s">
        <v>529</v>
      </c>
      <c r="K1229" s="241">
        <v>42795.0</v>
      </c>
      <c r="L1229" s="242">
        <v>43525.0</v>
      </c>
      <c r="M1229" s="243"/>
      <c r="N1229" s="244">
        <f>If(L1229&gt;K1229,   datedif(K1229,L1229,"Y") , If(K1229&lt;Vitalicios!$C$4, datedif(K1229,Vitalicios!$C$4,"Y"),0)  )</f>
        <v>2</v>
      </c>
      <c r="O1229" s="244"/>
    </row>
    <row r="1230">
      <c r="A1230" s="192">
        <v>1864.0</v>
      </c>
      <c r="B1230" s="236" t="s">
        <v>4028</v>
      </c>
      <c r="C1230" s="236" t="s">
        <v>537</v>
      </c>
      <c r="D1230" s="236" t="s">
        <v>538</v>
      </c>
      <c r="E1230" s="193" t="s">
        <v>4029</v>
      </c>
      <c r="F1230" s="238">
        <v>2.21655866E9</v>
      </c>
      <c r="G1230" s="239"/>
      <c r="H1230" s="236" t="s">
        <v>4030</v>
      </c>
      <c r="I1230" s="197" t="str">
        <f>IF(iserror(vlookup($A1230,Pagos!$B$5:L1241,4,false)),"Sin actividad",If(vlookup($A1230,Pagos!$B$5:$L1241,5,false),vlookup($A1230,Pagos!$B$5:$L1241,5,false),vlookup($A1230,Pagos!$B$5:$L1241,4,false)))</f>
        <v>Sin actividad</v>
      </c>
      <c r="J1230" s="240" t="s">
        <v>529</v>
      </c>
      <c r="K1230" s="241">
        <v>44197.0</v>
      </c>
      <c r="L1230" s="242">
        <v>44621.0</v>
      </c>
      <c r="M1230" s="243" t="s">
        <v>535</v>
      </c>
      <c r="N1230" s="244"/>
      <c r="O1230" s="244"/>
    </row>
    <row r="1231">
      <c r="A1231" s="192">
        <v>1007.0</v>
      </c>
      <c r="B1231" s="236" t="s">
        <v>4031</v>
      </c>
      <c r="C1231" s="237" t="s">
        <v>577</v>
      </c>
      <c r="D1231" s="236" t="s">
        <v>520</v>
      </c>
      <c r="E1231" s="193" t="s">
        <v>4032</v>
      </c>
      <c r="F1231" s="238">
        <v>4843936.0</v>
      </c>
      <c r="G1231" s="239">
        <v>0.0</v>
      </c>
      <c r="H1231" s="236"/>
      <c r="I1231" s="197" t="str">
        <f>IF(iserror(vlookup($A1231,Pagos!$B$5:L1241,4,false)),"Sin actividad",If(vlookup($A1231,Pagos!$B$5:$L1241,5,false),vlookup($A1231,Pagos!$B$5:$L1241,5,false),vlookup($A1231,Pagos!$B$5:$L1241,4,false)))</f>
        <v>Sin actividad</v>
      </c>
      <c r="J1231" s="240" t="s">
        <v>529</v>
      </c>
      <c r="K1231" s="241">
        <v>37992.0</v>
      </c>
      <c r="L1231" s="242">
        <v>43617.0</v>
      </c>
      <c r="M1231" s="243"/>
      <c r="N1231" s="244">
        <f>If(L1231&gt;K1231,   datedif(K1231,L1231,"Y") , If(K1231&lt;Vitalicios!$C$4, datedif(K1231,Vitalicios!$C$4,"Y"),0)  )</f>
        <v>15</v>
      </c>
      <c r="O1231" s="244"/>
    </row>
    <row r="1232">
      <c r="A1232" s="192">
        <v>866.0</v>
      </c>
      <c r="B1232" s="236" t="s">
        <v>4033</v>
      </c>
      <c r="C1232" s="237" t="s">
        <v>526</v>
      </c>
      <c r="D1232" s="236" t="s">
        <v>520</v>
      </c>
      <c r="E1232" s="193" t="s">
        <v>4034</v>
      </c>
      <c r="F1232" s="238">
        <v>4.2373292E7</v>
      </c>
      <c r="G1232" s="239">
        <v>0.0</v>
      </c>
      <c r="H1232" s="236"/>
      <c r="I1232" s="197" t="str">
        <f>IF(iserror(vlookup($A1232,Pagos!$B$5:L1241,4,false)),"Sin actividad",If(vlookup($A1232,Pagos!$B$5:$L1241,5,false),vlookup($A1232,Pagos!$B$5:$L1241,5,false),vlookup($A1232,Pagos!$B$5:$L1241,4,false)))</f>
        <v>Sin actividad</v>
      </c>
      <c r="J1232" s="240" t="s">
        <v>529</v>
      </c>
      <c r="K1232" s="241">
        <v>37198.0</v>
      </c>
      <c r="L1232" s="242"/>
      <c r="M1232" s="243"/>
      <c r="N1232" s="244">
        <f>If(L1232&gt;K1232,   datedif(K1232,L1232,"Y") , If(K1232&lt;Vitalicios!$C$4, datedif(K1232,Vitalicios!$C$4,"Y"),0)  )</f>
        <v>23</v>
      </c>
      <c r="O1232" s="244"/>
    </row>
    <row r="1233">
      <c r="A1233" s="192">
        <v>1527.0</v>
      </c>
      <c r="B1233" s="236" t="s">
        <v>4035</v>
      </c>
      <c r="C1233" s="237" t="s">
        <v>526</v>
      </c>
      <c r="D1233" s="236" t="s">
        <v>527</v>
      </c>
      <c r="E1233" s="193" t="s">
        <v>4036</v>
      </c>
      <c r="F1233" s="238">
        <v>1.5538425E8</v>
      </c>
      <c r="G1233" s="239">
        <v>0.0</v>
      </c>
      <c r="H1233" s="236"/>
      <c r="I1233" s="197">
        <f>IF(iserror(vlookup($A1233,Pagos!$B$5:L1241,4,false)),"Sin actividad",If(vlookup($A1233,Pagos!$B$5:$L1241,5,false),vlookup($A1233,Pagos!$B$5:$L1241,5,false),vlookup($A1233,Pagos!$B$5:$L1241,4,false)))</f>
        <v>45870</v>
      </c>
      <c r="J1233" s="240" t="s">
        <v>523</v>
      </c>
      <c r="K1233" s="241">
        <v>41937.0</v>
      </c>
      <c r="L1233" s="242"/>
      <c r="M1233" s="243"/>
      <c r="N1233" s="244">
        <f>If(L1233&gt;K1233,   datedif(K1233,L1233,"Y") , If(K1233&lt;Vitalicios!$C$4, datedif(K1233,Vitalicios!$C$4,"Y"),0)  )</f>
        <v>10</v>
      </c>
      <c r="O1233" s="244"/>
    </row>
    <row r="1234">
      <c r="A1234" s="192">
        <v>1735.0</v>
      </c>
      <c r="B1234" s="236" t="s">
        <v>4037</v>
      </c>
      <c r="C1234" s="237" t="s">
        <v>519</v>
      </c>
      <c r="D1234" s="236" t="s">
        <v>538</v>
      </c>
      <c r="E1234" s="193" t="s">
        <v>4038</v>
      </c>
      <c r="F1234" s="238">
        <v>1.56773512E8</v>
      </c>
      <c r="G1234" s="239"/>
      <c r="H1234" s="236" t="s">
        <v>4039</v>
      </c>
      <c r="I1234" s="197">
        <f>IF(iserror(vlookup($A1234,Pagos!$B$5:L1241,4,false)),"Sin actividad",If(vlookup($A1234,Pagos!$B$5:$L1241,5,false),vlookup($A1234,Pagos!$B$5:$L1241,5,false),vlookup($A1234,Pagos!$B$5:$L1241,4,false)))</f>
        <v>45870</v>
      </c>
      <c r="J1234" s="240" t="s">
        <v>523</v>
      </c>
      <c r="K1234" s="241">
        <v>43525.0</v>
      </c>
      <c r="L1234" s="242"/>
      <c r="M1234" s="243"/>
      <c r="N1234" s="244">
        <f>If(L1234&gt;K1234,   datedif(K1234,L1234,"Y") , If(K1234&lt;Vitalicios!$C$4, datedif(K1234,Vitalicios!$C$4,"Y"),0)  )</f>
        <v>6</v>
      </c>
      <c r="O1234" s="244"/>
    </row>
    <row r="1235">
      <c r="A1235" s="192">
        <v>1713.0</v>
      </c>
      <c r="B1235" s="236" t="s">
        <v>4040</v>
      </c>
      <c r="C1235" s="237" t="s">
        <v>519</v>
      </c>
      <c r="D1235" s="236" t="s">
        <v>527</v>
      </c>
      <c r="E1235" s="193" t="s">
        <v>4041</v>
      </c>
      <c r="F1235" s="238">
        <v>5384333.0</v>
      </c>
      <c r="G1235" s="239"/>
      <c r="H1235" s="236" t="s">
        <v>4042</v>
      </c>
      <c r="I1235" s="197" t="str">
        <f>IF(iserror(vlookup($A1235,Pagos!$B$5:L1241,4,false)),"Sin actividad",If(vlookup($A1235,Pagos!$B$5:$L1241,5,false),vlookup($A1235,Pagos!$B$5:$L1241,5,false),vlookup($A1235,Pagos!$B$5:$L1241,4,false)))</f>
        <v>Sin actividad</v>
      </c>
      <c r="J1235" s="240" t="s">
        <v>529</v>
      </c>
      <c r="K1235" s="241">
        <v>43405.0</v>
      </c>
      <c r="L1235" s="242"/>
      <c r="M1235" s="243"/>
      <c r="N1235" s="244">
        <f>If(L1235&gt;K1235,   datedif(K1235,L1235,"Y") , If(K1235&lt;Vitalicios!$C$4, datedif(K1235,Vitalicios!$C$4,"Y"),0)  )</f>
        <v>6</v>
      </c>
      <c r="O1235" s="244"/>
    </row>
    <row r="1236">
      <c r="A1236" s="192">
        <v>1051.0</v>
      </c>
      <c r="B1236" s="236" t="s">
        <v>4043</v>
      </c>
      <c r="C1236" s="237" t="s">
        <v>526</v>
      </c>
      <c r="D1236" s="236" t="s">
        <v>556</v>
      </c>
      <c r="E1236" s="193" t="s">
        <v>2371</v>
      </c>
      <c r="F1236" s="238">
        <v>4711809.0</v>
      </c>
      <c r="G1236" s="239">
        <v>0.0</v>
      </c>
      <c r="H1236" s="236" t="s">
        <v>4044</v>
      </c>
      <c r="I1236" s="197" t="str">
        <f>IF(iserror(vlookup($A1236,Pagos!$B$5:L1241,4,false)),"Sin actividad",If(vlookup($A1236,Pagos!$B$5:$L1241,5,false),vlookup($A1236,Pagos!$B$5:$L1241,5,false),vlookup($A1236,Pagos!$B$5:$L1241,4,false)))</f>
        <v>Sin actividad</v>
      </c>
      <c r="J1236" s="240" t="s">
        <v>529</v>
      </c>
      <c r="K1236" s="241">
        <v>38344.0</v>
      </c>
      <c r="L1236" s="242">
        <v>43617.0</v>
      </c>
      <c r="M1236" s="243"/>
      <c r="N1236" s="244">
        <f>If(L1236&gt;K1236,   datedif(K1236,L1236,"Y") , If(K1236&lt;Vitalicios!$C$4, datedif(K1236,Vitalicios!$C$4,"Y"),0)  )</f>
        <v>14</v>
      </c>
      <c r="O1236" s="244"/>
    </row>
    <row r="1237">
      <c r="A1237" s="192">
        <v>2073.0</v>
      </c>
      <c r="B1237" s="236" t="s">
        <v>4045</v>
      </c>
      <c r="C1237" s="236" t="s">
        <v>537</v>
      </c>
      <c r="D1237" s="236" t="s">
        <v>1890</v>
      </c>
      <c r="E1237" s="193" t="s">
        <v>4046</v>
      </c>
      <c r="F1237" s="238">
        <v>2.215570211E9</v>
      </c>
      <c r="G1237" s="239"/>
      <c r="H1237" s="236" t="s">
        <v>4047</v>
      </c>
      <c r="I1237" s="197">
        <v>44835.0</v>
      </c>
      <c r="J1237" s="240" t="s">
        <v>523</v>
      </c>
      <c r="K1237" s="241">
        <v>44835.0</v>
      </c>
      <c r="L1237" s="242"/>
      <c r="M1237" s="243"/>
      <c r="N1237" s="244"/>
      <c r="O1237" s="244"/>
    </row>
    <row r="1238">
      <c r="A1238" s="192">
        <v>2336.0</v>
      </c>
      <c r="B1238" s="236" t="s">
        <v>4048</v>
      </c>
      <c r="C1238" s="236" t="s">
        <v>537</v>
      </c>
      <c r="D1238" s="236" t="s">
        <v>628</v>
      </c>
      <c r="E1238" s="193" t="s">
        <v>4049</v>
      </c>
      <c r="F1238" s="238">
        <v>2.215365455E9</v>
      </c>
      <c r="G1238" s="239"/>
      <c r="H1238" s="236" t="s">
        <v>4050</v>
      </c>
      <c r="I1238" s="197"/>
      <c r="J1238" s="240" t="s">
        <v>529</v>
      </c>
      <c r="K1238" s="241">
        <v>45689.0</v>
      </c>
      <c r="L1238" s="242">
        <v>45809.0</v>
      </c>
      <c r="M1238" s="243" t="s">
        <v>716</v>
      </c>
      <c r="N1238" s="244"/>
      <c r="O1238" s="244"/>
    </row>
    <row r="1239">
      <c r="A1239" s="192">
        <v>1943.0</v>
      </c>
      <c r="B1239" s="236" t="s">
        <v>4051</v>
      </c>
      <c r="C1239" s="236" t="s">
        <v>537</v>
      </c>
      <c r="D1239" s="236" t="s">
        <v>538</v>
      </c>
      <c r="E1239" s="193" t="s">
        <v>4052</v>
      </c>
      <c r="F1239" s="238">
        <v>2.215867015E9</v>
      </c>
      <c r="G1239" s="239"/>
      <c r="H1239" s="236" t="s">
        <v>4053</v>
      </c>
      <c r="I1239" s="197" t="str">
        <f>IF(iserror(vlookup($A1239,Pagos!$B$5:L1241,4,false)),"Sin actividad",If(vlookup($A1239,Pagos!$B$5:$L1241,5,false),vlookup($A1239,Pagos!$B$5:$L1241,5,false),vlookup($A1239,Pagos!$B$5:$L1241,4,false)))</f>
        <v>Sin actividad</v>
      </c>
      <c r="J1239" s="240" t="s">
        <v>529</v>
      </c>
      <c r="K1239" s="241">
        <v>44501.0</v>
      </c>
      <c r="L1239" s="247">
        <v>44927.0</v>
      </c>
      <c r="M1239" s="243" t="s">
        <v>535</v>
      </c>
      <c r="N1239" s="244"/>
      <c r="O1239" s="244"/>
    </row>
    <row r="1240">
      <c r="A1240" s="192">
        <v>1582.0</v>
      </c>
      <c r="B1240" s="236" t="s">
        <v>4054</v>
      </c>
      <c r="C1240" s="237" t="s">
        <v>526</v>
      </c>
      <c r="D1240" s="236" t="s">
        <v>4055</v>
      </c>
      <c r="E1240" s="193" t="s">
        <v>4056</v>
      </c>
      <c r="F1240" s="238">
        <v>1.1566107428E10</v>
      </c>
      <c r="G1240" s="239">
        <v>0.0</v>
      </c>
      <c r="H1240" s="236" t="s">
        <v>4057</v>
      </c>
      <c r="I1240" s="197" t="str">
        <f>IF(iserror(vlookup($A1240,Pagos!$B$5:L1241,4,false)),"Sin actividad",If(vlookup($A1240,Pagos!$B$5:$L1241,5,false),vlookup($A1240,Pagos!$B$5:$L1241,5,false),vlookup($A1240,Pagos!$B$5:$L1241,4,false)))</f>
        <v>Sin actividad</v>
      </c>
      <c r="J1240" s="240" t="s">
        <v>529</v>
      </c>
      <c r="K1240" s="241">
        <v>42365.0</v>
      </c>
      <c r="L1240" s="242">
        <v>43374.0</v>
      </c>
      <c r="M1240" s="243" t="s">
        <v>560</v>
      </c>
      <c r="N1240" s="244">
        <f>If(L1240&gt;K1240,   datedif(K1240,L1240,"Y") , If(K1240&lt;Vitalicios!$C$4, datedif(K1240,Vitalicios!$C$4,"Y"),0)  )</f>
        <v>2</v>
      </c>
      <c r="O1240" s="244"/>
    </row>
    <row r="1241">
      <c r="A1241" s="192">
        <v>1576.0</v>
      </c>
      <c r="B1241" s="236" t="s">
        <v>4058</v>
      </c>
      <c r="C1241" s="237" t="s">
        <v>526</v>
      </c>
      <c r="D1241" s="236" t="s">
        <v>2269</v>
      </c>
      <c r="E1241" s="193" t="s">
        <v>4059</v>
      </c>
      <c r="F1241" s="238">
        <v>1.168736031E9</v>
      </c>
      <c r="G1241" s="239">
        <v>0.0</v>
      </c>
      <c r="H1241" s="236" t="s">
        <v>4060</v>
      </c>
      <c r="I1241" s="197" t="str">
        <f>IF(iserror(vlookup($A1241,Pagos!$B$5:L1241,4,false)),"Sin actividad",If(vlookup($A1241,Pagos!$B$5:$L1241,5,false),vlookup($A1241,Pagos!$B$5:$L1241,5,false),vlookup($A1241,Pagos!$B$5:$L1241,4,false)))</f>
        <v>Sin actividad</v>
      </c>
      <c r="J1241" s="240" t="s">
        <v>529</v>
      </c>
      <c r="K1241" s="241">
        <v>42323.0</v>
      </c>
      <c r="L1241" s="242">
        <v>43374.0</v>
      </c>
      <c r="M1241" s="243"/>
      <c r="N1241" s="244">
        <f>If(L1241&gt;K1241,   datedif(K1241,L1241,"Y") , If(K1241&lt;Vitalicios!$C$4, datedif(K1241,Vitalicios!$C$4,"Y"),0)  )</f>
        <v>2</v>
      </c>
      <c r="O1241" s="244"/>
    </row>
  </sheetData>
  <autoFilter ref="$D$1:$D$1241"/>
  <customSheetViews>
    <customSheetView guid="{EB997252-46BC-438B-B2B1-709C24EBDE82}" filter="1" showAutoFilter="1">
      <autoFilter ref="$A$1:$M$904">
        <filterColumn colId="10">
          <filters>
            <filter val="June-2023"/>
            <filter val="June-2021"/>
            <filter val="June-2022"/>
            <filter val="June-2025"/>
            <filter val="April-1986"/>
            <filter val="January-2024"/>
            <filter val="January-2023"/>
            <filter val="January-2022"/>
            <filter val="January-2021"/>
            <filter val="January-2025"/>
            <filter val="April-2024"/>
            <filter val="April-2023"/>
            <filter val="April-2022"/>
            <filter val="April-2021"/>
            <filter val="January-2020"/>
            <filter val="February-1997"/>
            <filter val="February-1999"/>
            <filter val="April-2025"/>
            <filter val="January-2019"/>
            <filter val="January-2018"/>
            <filter val="February-1993"/>
            <filter val="January-2013"/>
            <filter val="January-2012"/>
            <filter val="January-2011"/>
            <filter val="February-1995"/>
            <filter val="January-2010"/>
            <filter val="January-2017"/>
            <filter val="January-2016"/>
            <filter val="January-2015"/>
            <filter val="January-2014"/>
            <filter val="1-8-2020"/>
            <filter val="July-1987"/>
            <filter val="February-2019"/>
            <filter val="February-2018"/>
            <filter val="September-2011"/>
            <filter val="September-2012"/>
            <filter val="September-2010"/>
            <filter val="September-2016"/>
            <filter val="September-2013"/>
            <filter val="September-2014"/>
            <filter val="September-2008"/>
            <filter val="February-2015"/>
            <filter val="February-2014"/>
            <filter val="February-2017"/>
            <filter val="February-2016"/>
            <filter val="February-2011"/>
            <filter val="February-2010"/>
            <filter val="February-2013"/>
            <filter val="January-1993"/>
            <filter val="January-1987"/>
            <filter val="February-2020"/>
            <filter val="February-2025"/>
            <filter val="February-2022"/>
            <filter val="February-2021"/>
            <filter val="February-2024"/>
            <filter val="February-2023"/>
            <filter val="October-2017"/>
            <filter val="October-2019"/>
            <filter val="July-2012"/>
            <filter val="July-2013"/>
            <filter val="October-2018"/>
            <filter val="October-2011"/>
            <filter val="October-2010"/>
            <filter val="October-2013"/>
            <filter val="August 2020"/>
            <filter val="October-2012"/>
            <filter val="October-2014"/>
            <filter val="1-2-2021"/>
            <filter val="September-2022"/>
            <filter val="July-2025"/>
            <filter val="September-2023"/>
            <filter val="September-2020"/>
            <filter val="July-2023"/>
            <filter val="September-2021"/>
            <filter val="July-2024"/>
            <filter val="July-2021"/>
            <filter val="July-2022"/>
            <filter val="September-2024"/>
            <filter val="September-2025"/>
            <filter val="October-2020"/>
            <filter val="September-2019"/>
            <filter val="September-2017"/>
            <filter val="October-2022"/>
            <filter val="September-2018"/>
            <filter val="October-2021"/>
            <filter val="October-2024"/>
            <filter val="October-2023"/>
            <filter val="July 2022"/>
            <filter val="June-2005"/>
            <filter val="September-1998"/>
            <filter val="January-2009"/>
            <filter val="September-1995"/>
            <filter val="January-2008"/>
            <filter val="January-2007"/>
            <filter val="September-1999"/>
            <filter val="January-2001"/>
            <filter val="January-2000"/>
            <filter val="January-2006"/>
            <filter val="January-2005"/>
            <filter val="January-2003"/>
            <filter val="June-2012"/>
            <filter val="June-2013"/>
            <filter val="July-2009"/>
            <filter val="June-2011"/>
            <filter val="June-2016"/>
            <filter val="June-2017"/>
            <filter val="June-2014"/>
            <filter val="June-2015"/>
            <filter val="October-2006"/>
            <filter val="October-2005"/>
            <filter val="September-1993"/>
            <filter val="October-2009"/>
            <filter val="October-2002"/>
            <filter val="1-1-2023"/>
            <filter val="October-2004"/>
            <filter val="October-2003"/>
            <filter val="June-2018"/>
            <filter val="June-2019"/>
            <filter val="1-11-2020"/>
            <filter val="November-2021"/>
            <filter val="November-2022"/>
            <filter val="November-2023"/>
            <filter val="November-2024"/>
            <filter val="November-2020"/>
            <filter val="March-2019"/>
            <filter val="December-2020"/>
            <filter val="March-2016"/>
            <filter val="December-2021"/>
            <filter val="March-2015"/>
            <filter val="March-2018"/>
            <filter val="December-2022"/>
            <filter val="March-2017"/>
            <filter val="December-2023"/>
            <filter val="March-2012"/>
            <filter val="March-2011"/>
            <filter val="March-2014"/>
            <filter val="March-2013"/>
            <filter val="March-2010"/>
            <filter val="December-2024"/>
            <filter val="November-2018"/>
            <filter val="November-2019"/>
            <filter val="1-11-2024"/>
            <filter val="1-5-2022"/>
            <filter val="August-2007"/>
            <filter val="March-2023"/>
            <filter val="August-2008"/>
            <filter val="August-2009"/>
            <filter val="March-2022"/>
            <filter val="March-2025"/>
            <filter val="March-2024"/>
            <filter val="March-2021"/>
            <filter val="March-2020"/>
            <filter val="August-2010"/>
            <filter val="December-1999"/>
            <filter val="November-1990"/>
            <filter val="August-2015"/>
            <filter val="August-2016"/>
            <filter val="August-2017"/>
            <filter val="August-2018"/>
            <filter val="October-1986"/>
            <filter val="August-2011"/>
            <filter val="August-2012"/>
            <filter val="August-2013"/>
            <filter val="August-2014"/>
            <filter val="December-1990"/>
            <filter val="August-2019"/>
            <filter val="December-1996"/>
            <filter val="December-1992"/>
            <filter val="December-1993"/>
            <filter val="November-1988"/>
            <filter val="August-2020"/>
            <filter val="May-2012"/>
            <filter val="May-2010"/>
            <filter val="May-2016"/>
            <filter val="May-2013"/>
            <filter val="May-2014"/>
            <filter val="August-2022"/>
            <filter val="August-2023"/>
            <filter val="October-1999"/>
            <filter val="March-2008"/>
            <filter val="August-2024"/>
            <filter val="August-2025"/>
            <filter val="May-2018"/>
            <filter val="March-2005"/>
            <filter val="March-2004"/>
            <filter val="March-2007"/>
            <filter val="October-1990"/>
            <filter val="October-1993"/>
            <filter val="May-2022"/>
            <filter val="May-2023"/>
            <filter val="May-2021"/>
            <filter val="May-2024"/>
            <filter val="May-2025"/>
            <filter val="1-2"/>
            <filter val="1-3"/>
            <filter val="February-2008"/>
            <filter val="February-2009"/>
            <filter val="August-1998"/>
            <filter val="November-2003"/>
            <filter val="April-2013"/>
            <filter val="April-2012"/>
            <filter val="November-2004"/>
            <filter val="April-2011"/>
            <filter val="April-2010"/>
            <filter val="November-2006"/>
            <filter val="November-2000"/>
            <filter val="November-2002"/>
            <filter val="April-2019"/>
            <filter val="April-2018"/>
            <filter val="April-2017"/>
            <filter val="April-2015"/>
            <filter val="April-2014"/>
            <filter val="December-2006"/>
            <filter val="December-2007"/>
            <filter val="December-2008"/>
            <filter val="December-2009"/>
            <filter val="December-2004"/>
            <filter val="December-2005"/>
            <filter val="November-2014"/>
            <filter val="November-2015"/>
            <filter val="April-2000"/>
            <filter val="November-2017"/>
            <filter val="November-2010"/>
            <filter val="November-2011"/>
            <filter val="November-2012"/>
            <filter val="November-2013"/>
            <filter val="November 2023"/>
            <filter val="April-2003"/>
            <filter val="December-2010"/>
            <filter val="December-2011"/>
            <filter val="March-1995"/>
            <filter val="December-2017"/>
            <filter val="December-2018"/>
            <filter val="December-2019"/>
            <filter val="December-2013"/>
            <filter val="November-2007"/>
            <filter val="November-2008"/>
            <filter val="November-2009"/>
            <filter val="December-2015"/>
            <filter val="December-2016"/>
          </filters>
        </filterColumn>
        <filterColumn colId="9">
          <filters blank="1">
            <filter val="Excento"/>
            <filter val="Vitalicio"/>
            <filter val="Baja o renuncia"/>
          </filters>
        </filterColumn>
      </autoFilter>
    </customSheetView>
    <customSheetView guid="{AA888CBF-472B-4699-8404-5E3D2F41DC57}" filter="1" showAutoFilter="1">
      <autoFilter ref="$A$1:$M$904">
        <filterColumn colId="9">
          <filters blank="1">
            <filter val="Excento"/>
            <filter val="Honorario"/>
          </filters>
        </filterColumn>
      </autoFilter>
    </customSheetView>
    <customSheetView guid="{D6C6D3C3-9AD2-4EE5-9398-183844902329}" filter="1" showAutoFilter="1">
      <autoFilter ref="$A$1:$M$904">
        <filterColumn colId="9">
          <filters blank="1">
            <filter val="Excento"/>
            <filter val="Activo"/>
          </filters>
        </filterColumn>
      </autoFilter>
    </customSheetView>
  </customSheetViews>
  <conditionalFormatting sqref="I2:I1001 H1002 I1003:I1241">
    <cfRule type="containsText" dxfId="8" priority="1" operator="containsText" text="Sin actividad">
      <formula>NOT(ISERROR(SEARCH(("Sin actividad"),(I2))))</formula>
    </cfRule>
  </conditionalFormatting>
  <conditionalFormatting sqref="A1:O1">
    <cfRule type="containsText" dxfId="9" priority="2" operator="containsText" text="Disponible">
      <formula>NOT(ISERROR(SEARCH(("Disponible"),(A1))))</formula>
    </cfRule>
  </conditionalFormatting>
  <dataValidations>
    <dataValidation type="list" allowBlank="1" sqref="J2:J1241">
      <formula1>"Activo,Baja o renuncia,Honorario,Vitalicio,Excento"</formula1>
    </dataValidation>
    <dataValidation type="list" allowBlank="1" sqref="C3:C15 C17:C19 C21:C34 C37:C46 C51:C54 C57:C58 C60:C82 C84:C108 C110:C113 C115:C117 C120:C122 C125:C133 C135:C139 C142:C146 C148:C149 C153:C177 C181:C198 C202 C204:C237 C239 C244:C245 C247 C251:C252 C255:C260 C263:C270 C275:C278 C281:C286 C288:C298 C302:C304 C309:C310 C314:C321 C323 C325:C336 C339:C355 C361 C364:C375 C377:C385 C388:C389 C393 C395:C401 C403:C408 C411:C417 C424:C435 C439 C441:C447 C450 C455:C459 C461:C462 C464:C470 C472:C476 C478:C480 C482:C497 C500:C506 C509 C512 C516:C517 C520:C524 C526:C539 C541:C542 C546:C560 C562:C566 C570:C583 C585:C587 C589:C591 C597:C609 C611:C616 C621:C623 C625 C631:C633 C636:C646 C648:C649 C651:C669 C671:C673 C677:C678 C681:C686 C688:C705 C709:C714 C718:C734 C737:C740 C742:C744 C747:C757 C759:C761 C769:C783 C789 C794:C797 C800:C801 C803:C810 C817:C818 C823:C825 C827 C830:C835 C839:C853 C857:C859 C862:C867 C869:C877 C882:C885 C888:C896 C901:C906 C912:C913 C916:C922 C924:C926 C938:C943 C947:C954 C960:C961 C964:C968 C971:C997 C1000:C1013 C1016:C1019 C1021 C1025 C1027 C1032:C1061 C1063:C1072 C1074:C1079 C1083:C1101 C1106 C1109:C1131 C1134:C1137 C1141 C1148:C1152 C1154:C1155 C1167:C1177 C1179:C1191 C1195:C1205 C1207:C1215 C1218:C1225 C1227:C1233 C1236:C1241">
      <formula1>"cobrador,club,banco,no definido"</formula1>
    </dataValidation>
    <dataValidation type="custom" allowBlank="1" showDropDown="1" sqref="K2:L13 K14:K15 K16:L744 K745:K746 K747:L1241">
      <formula1>OR(NOT(ISERROR(DATEVALUE(K2))), AND(ISNUMBER(K2), LEFT(CELL("format", K2))="D"))</formula1>
    </dataValidation>
  </dataValidations>
  <hyperlinks>
    <hyperlink r:id="rId2" ref="H153"/>
    <hyperlink r:id="rId3" ref="H587"/>
    <hyperlink r:id="rId4" ref="H1012"/>
    <hyperlink r:id="rId5" ref="H1145"/>
  </hyperlinks>
  <printOptions gridLines="1" horizontalCentered="1"/>
  <pageMargins bottom="0.75" footer="0.0" header="0.0" left="0.7" right="0.7" top="0.75"/>
  <pageSetup fitToHeight="0" paperSize="9" cellComments="atEnd" orientation="landscape" pageOrder="overThenDown"/>
  <drawing r:id="rId6"/>
  <legacy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25"/>
    <col customWidth="1" min="2" max="2" width="9.0"/>
    <col customWidth="1" min="3" max="3" width="17.63"/>
    <col customWidth="1" min="4" max="4" width="13.5"/>
    <col customWidth="1" min="5" max="5" width="12.75"/>
    <col customWidth="1" min="6" max="6" width="51.75"/>
    <col customWidth="1" min="7" max="7" width="19.0"/>
    <col customWidth="1" min="8" max="8" width="75.38"/>
  </cols>
  <sheetData>
    <row r="1" ht="27.75" customHeight="1">
      <c r="A1" s="248" t="s">
        <v>154</v>
      </c>
      <c r="B1" s="175"/>
      <c r="C1" s="175"/>
      <c r="D1" s="175"/>
      <c r="E1" s="175"/>
      <c r="F1" s="176"/>
      <c r="G1" s="249" t="s">
        <v>4061</v>
      </c>
      <c r="H1" s="176"/>
    </row>
    <row r="2">
      <c r="A2" s="250" t="s">
        <v>8</v>
      </c>
      <c r="B2" s="250" t="s">
        <v>4062</v>
      </c>
      <c r="C2" s="250" t="s">
        <v>4063</v>
      </c>
      <c r="D2" s="250" t="s">
        <v>4064</v>
      </c>
      <c r="E2" s="250" t="s">
        <v>4065</v>
      </c>
      <c r="F2" s="251" t="s">
        <v>4066</v>
      </c>
      <c r="G2" s="252" t="s">
        <v>4067</v>
      </c>
      <c r="H2" s="251" t="s">
        <v>33</v>
      </c>
    </row>
    <row r="3">
      <c r="A3" s="253">
        <v>2018.0</v>
      </c>
      <c r="B3">
        <v>1.0</v>
      </c>
      <c r="C3" s="3" t="s">
        <v>4068</v>
      </c>
      <c r="D3" s="254">
        <v>20000.0</v>
      </c>
      <c r="E3" s="255"/>
      <c r="F3" s="256"/>
      <c r="G3" s="257" t="b">
        <v>1</v>
      </c>
      <c r="H3" s="256"/>
    </row>
    <row r="4">
      <c r="A4" s="253">
        <v>2018.0</v>
      </c>
      <c r="B4">
        <v>1.0</v>
      </c>
      <c r="C4" s="3" t="s">
        <v>4068</v>
      </c>
      <c r="D4" s="254">
        <v>70000.0</v>
      </c>
      <c r="E4" s="255">
        <v>43473.0</v>
      </c>
      <c r="F4" s="256"/>
      <c r="G4" s="257" t="b">
        <v>1</v>
      </c>
      <c r="H4" s="256"/>
    </row>
    <row r="5">
      <c r="A5" s="253">
        <v>2018.0</v>
      </c>
      <c r="B5">
        <v>1.0</v>
      </c>
      <c r="C5" s="3" t="s">
        <v>4068</v>
      </c>
      <c r="D5" s="254">
        <v>30000.0</v>
      </c>
      <c r="E5" s="255"/>
      <c r="F5" s="256"/>
      <c r="G5" s="257" t="b">
        <v>1</v>
      </c>
      <c r="H5" s="256"/>
    </row>
    <row r="6">
      <c r="A6" s="253">
        <v>2018.0</v>
      </c>
      <c r="B6">
        <v>1.0</v>
      </c>
      <c r="C6" s="3" t="s">
        <v>4068</v>
      </c>
      <c r="D6" s="254">
        <v>7543.0</v>
      </c>
      <c r="E6" s="255">
        <v>43485.0</v>
      </c>
      <c r="F6" s="256"/>
      <c r="G6" s="257" t="b">
        <v>1</v>
      </c>
      <c r="H6" s="256"/>
    </row>
    <row r="7">
      <c r="A7" s="258">
        <v>2018.0</v>
      </c>
      <c r="B7" s="259">
        <v>2.0</v>
      </c>
      <c r="C7" s="258" t="s">
        <v>4068</v>
      </c>
      <c r="D7" s="260">
        <v>30000.0</v>
      </c>
      <c r="E7" s="261">
        <v>43135.0</v>
      </c>
      <c r="F7" s="262"/>
      <c r="G7" s="263" t="b">
        <v>1</v>
      </c>
      <c r="H7" s="262"/>
    </row>
    <row r="8">
      <c r="A8" s="3">
        <v>2018.0</v>
      </c>
      <c r="B8">
        <v>2.0</v>
      </c>
      <c r="C8" s="3" t="s">
        <v>4068</v>
      </c>
      <c r="D8" s="254">
        <v>70000.0</v>
      </c>
      <c r="E8" s="255">
        <v>43147.0</v>
      </c>
      <c r="F8" s="256"/>
      <c r="G8" s="257" t="b">
        <v>1</v>
      </c>
      <c r="H8" s="256"/>
    </row>
    <row r="9">
      <c r="A9" s="3">
        <v>2018.0</v>
      </c>
      <c r="B9">
        <v>2.0</v>
      </c>
      <c r="C9" s="3" t="s">
        <v>4068</v>
      </c>
      <c r="D9" s="254">
        <v>25000.0</v>
      </c>
      <c r="E9" s="255">
        <v>43155.0</v>
      </c>
      <c r="F9" s="256"/>
      <c r="G9" s="257" t="b">
        <v>1</v>
      </c>
      <c r="H9" s="256"/>
    </row>
    <row r="10">
      <c r="A10" s="3">
        <v>2018.0</v>
      </c>
      <c r="B10">
        <v>2.0</v>
      </c>
      <c r="C10" s="3" t="s">
        <v>4068</v>
      </c>
      <c r="D10" s="254">
        <v>6111.0</v>
      </c>
      <c r="E10" s="255">
        <v>43183.0</v>
      </c>
      <c r="F10" s="256"/>
      <c r="G10" s="257" t="b">
        <v>1</v>
      </c>
      <c r="H10" s="256"/>
    </row>
    <row r="11">
      <c r="A11" s="264">
        <v>2018.0</v>
      </c>
      <c r="B11" s="259">
        <v>3.0</v>
      </c>
      <c r="C11" s="258" t="s">
        <v>4068</v>
      </c>
      <c r="D11" s="265">
        <v>20000.0</v>
      </c>
      <c r="E11" s="266">
        <v>43163.0</v>
      </c>
      <c r="F11" s="262"/>
      <c r="G11" s="263" t="b">
        <v>1</v>
      </c>
      <c r="H11" s="262"/>
    </row>
    <row r="12">
      <c r="A12" s="267">
        <v>2018.0</v>
      </c>
      <c r="B12">
        <v>3.0</v>
      </c>
      <c r="C12" s="3" t="s">
        <v>4068</v>
      </c>
      <c r="D12" s="268">
        <v>35000.0</v>
      </c>
      <c r="E12" s="269">
        <v>43170.0</v>
      </c>
      <c r="F12" s="256"/>
      <c r="G12" s="257" t="b">
        <v>1</v>
      </c>
      <c r="H12" s="256"/>
    </row>
    <row r="13">
      <c r="A13" s="267">
        <v>2018.0</v>
      </c>
      <c r="B13">
        <v>3.0</v>
      </c>
      <c r="C13" s="3" t="s">
        <v>4068</v>
      </c>
      <c r="D13" s="268">
        <v>35000.0</v>
      </c>
      <c r="E13" s="269">
        <v>43184.0</v>
      </c>
      <c r="F13" s="256"/>
      <c r="G13" s="257" t="b">
        <v>1</v>
      </c>
      <c r="H13" s="256"/>
    </row>
    <row r="14">
      <c r="A14" s="267">
        <v>2018.0</v>
      </c>
      <c r="B14">
        <v>3.0</v>
      </c>
      <c r="C14" s="3" t="s">
        <v>4068</v>
      </c>
      <c r="D14" s="268">
        <v>30000.0</v>
      </c>
      <c r="E14" s="269">
        <v>43192.0</v>
      </c>
      <c r="F14" s="256"/>
      <c r="G14" s="257" t="b">
        <v>1</v>
      </c>
      <c r="H14" s="256"/>
    </row>
    <row r="15">
      <c r="A15" s="267">
        <v>2018.0</v>
      </c>
      <c r="B15">
        <v>3.0</v>
      </c>
      <c r="C15" s="3" t="s">
        <v>4068</v>
      </c>
      <c r="D15" s="268">
        <v>18028.0</v>
      </c>
      <c r="E15" s="269">
        <v>43198.0</v>
      </c>
      <c r="F15" s="256"/>
      <c r="G15" s="257" t="b">
        <v>1</v>
      </c>
      <c r="H15" s="256"/>
    </row>
    <row r="16">
      <c r="A16" s="270">
        <v>2018.0</v>
      </c>
      <c r="B16" s="259">
        <v>4.0</v>
      </c>
      <c r="C16" s="258" t="s">
        <v>4068</v>
      </c>
      <c r="D16" s="265">
        <v>20000.0</v>
      </c>
      <c r="E16" s="266">
        <v>43192.0</v>
      </c>
      <c r="F16" s="262"/>
      <c r="G16" s="263" t="b">
        <v>1</v>
      </c>
      <c r="H16" s="262"/>
    </row>
    <row r="17">
      <c r="A17" s="267">
        <v>2018.0</v>
      </c>
      <c r="B17">
        <v>4.0</v>
      </c>
      <c r="C17" s="3" t="s">
        <v>4068</v>
      </c>
      <c r="D17" s="268">
        <v>40000.0</v>
      </c>
      <c r="E17" s="269">
        <v>43205.0</v>
      </c>
      <c r="F17" s="256"/>
      <c r="G17" s="257" t="b">
        <v>1</v>
      </c>
      <c r="H17" s="256"/>
    </row>
    <row r="18">
      <c r="A18" s="267">
        <v>2018.0</v>
      </c>
      <c r="B18">
        <v>4.0</v>
      </c>
      <c r="C18" s="3" t="s">
        <v>4068</v>
      </c>
      <c r="D18" s="268">
        <v>30000.0</v>
      </c>
      <c r="E18" s="269">
        <v>43212.0</v>
      </c>
      <c r="F18" s="256"/>
      <c r="G18" s="257" t="b">
        <v>1</v>
      </c>
      <c r="H18" s="256"/>
    </row>
    <row r="19">
      <c r="A19" s="267">
        <v>2018.0</v>
      </c>
      <c r="B19">
        <v>4.0</v>
      </c>
      <c r="C19" s="3" t="s">
        <v>4068</v>
      </c>
      <c r="D19" s="271">
        <v>9040.0</v>
      </c>
      <c r="E19" s="272"/>
      <c r="F19" s="256"/>
      <c r="G19" s="257" t="b">
        <v>1</v>
      </c>
      <c r="H19" s="256"/>
    </row>
    <row r="20">
      <c r="A20" s="270">
        <v>2018.0</v>
      </c>
      <c r="B20" s="259">
        <v>5.0</v>
      </c>
      <c r="C20" s="258" t="s">
        <v>4068</v>
      </c>
      <c r="D20" s="265">
        <v>20000.0</v>
      </c>
      <c r="E20" s="266">
        <v>43226.0</v>
      </c>
      <c r="F20" s="262"/>
      <c r="G20" s="263" t="b">
        <v>1</v>
      </c>
      <c r="H20" s="262"/>
    </row>
    <row r="21">
      <c r="A21" s="267">
        <v>2018.0</v>
      </c>
      <c r="B21">
        <v>5.0</v>
      </c>
      <c r="C21" s="3" t="s">
        <v>4068</v>
      </c>
      <c r="D21" s="268">
        <v>65000.0</v>
      </c>
      <c r="E21" s="269">
        <v>43243.0</v>
      </c>
      <c r="F21" s="256"/>
      <c r="G21" s="257" t="b">
        <v>1</v>
      </c>
      <c r="H21" s="256"/>
    </row>
    <row r="22">
      <c r="A22" s="267">
        <v>2018.0</v>
      </c>
      <c r="B22">
        <v>5.0</v>
      </c>
      <c r="C22" s="3" t="s">
        <v>4068</v>
      </c>
      <c r="D22" s="268">
        <v>20000.0</v>
      </c>
      <c r="E22" s="272"/>
      <c r="F22" s="256"/>
      <c r="G22" s="257" t="b">
        <v>1</v>
      </c>
      <c r="H22" s="256"/>
    </row>
    <row r="23">
      <c r="A23" s="267">
        <v>2018.0</v>
      </c>
      <c r="B23">
        <v>5.0</v>
      </c>
      <c r="C23" s="3" t="s">
        <v>4068</v>
      </c>
      <c r="D23" s="268">
        <v>6642.0</v>
      </c>
      <c r="E23" s="272"/>
      <c r="F23" s="256"/>
      <c r="G23" s="257" t="b">
        <v>1</v>
      </c>
      <c r="H23" s="256"/>
    </row>
    <row r="24">
      <c r="A24" s="267">
        <v>2018.0</v>
      </c>
      <c r="B24">
        <v>5.0</v>
      </c>
      <c r="C24" s="3" t="s">
        <v>4068</v>
      </c>
      <c r="D24" s="268">
        <v>2000.0</v>
      </c>
      <c r="E24" s="272"/>
      <c r="F24" s="256"/>
      <c r="G24" s="257" t="b">
        <v>1</v>
      </c>
      <c r="H24" s="256"/>
    </row>
    <row r="25">
      <c r="A25" s="270">
        <v>2018.0</v>
      </c>
      <c r="B25" s="259">
        <v>6.0</v>
      </c>
      <c r="C25" s="258" t="s">
        <v>4068</v>
      </c>
      <c r="D25" s="265">
        <v>50000.0</v>
      </c>
      <c r="E25" s="266">
        <v>43268.0</v>
      </c>
      <c r="F25" s="262"/>
      <c r="G25" s="263" t="b">
        <v>1</v>
      </c>
      <c r="H25" s="262"/>
    </row>
    <row r="26">
      <c r="A26" s="267">
        <v>2018.0</v>
      </c>
      <c r="B26">
        <v>6.0</v>
      </c>
      <c r="C26" s="3" t="s">
        <v>4068</v>
      </c>
      <c r="D26" s="268">
        <v>25000.0</v>
      </c>
      <c r="E26" s="269">
        <v>43281.0</v>
      </c>
      <c r="F26" s="256"/>
      <c r="G26" s="257" t="b">
        <v>1</v>
      </c>
      <c r="H26" s="256"/>
    </row>
    <row r="27">
      <c r="A27" s="267">
        <v>2018.0</v>
      </c>
      <c r="B27">
        <v>6.0</v>
      </c>
      <c r="C27" s="3" t="s">
        <v>4068</v>
      </c>
      <c r="D27" s="268">
        <v>20097.0</v>
      </c>
      <c r="E27" s="269">
        <v>43288.0</v>
      </c>
      <c r="F27" s="256"/>
      <c r="G27" s="257" t="b">
        <v>1</v>
      </c>
      <c r="H27" s="256"/>
    </row>
    <row r="28">
      <c r="A28" s="270">
        <v>2018.0</v>
      </c>
      <c r="B28" s="259">
        <v>7.0</v>
      </c>
      <c r="C28" s="258" t="s">
        <v>4068</v>
      </c>
      <c r="D28" s="265">
        <v>30000.0</v>
      </c>
      <c r="E28" s="266">
        <v>43295.0</v>
      </c>
      <c r="F28" s="262"/>
      <c r="G28" s="263" t="b">
        <v>1</v>
      </c>
      <c r="H28" s="262"/>
    </row>
    <row r="29">
      <c r="A29" s="267">
        <v>2018.0</v>
      </c>
      <c r="B29">
        <v>7.0</v>
      </c>
      <c r="C29" s="3" t="s">
        <v>4068</v>
      </c>
      <c r="D29" s="268">
        <v>42155.0</v>
      </c>
      <c r="E29" s="269">
        <v>43316.0</v>
      </c>
      <c r="F29" s="256"/>
      <c r="G29" s="257" t="b">
        <v>1</v>
      </c>
      <c r="H29" s="256"/>
    </row>
    <row r="30">
      <c r="A30" s="270">
        <v>2018.0</v>
      </c>
      <c r="B30" s="259">
        <v>8.0</v>
      </c>
      <c r="C30" s="258" t="s">
        <v>4068</v>
      </c>
      <c r="D30" s="265">
        <v>70000.0</v>
      </c>
      <c r="E30" s="266">
        <v>43330.0</v>
      </c>
      <c r="F30" s="262"/>
      <c r="G30" s="263" t="b">
        <v>1</v>
      </c>
      <c r="H30" s="262"/>
    </row>
    <row r="31">
      <c r="A31" s="267">
        <v>2018.0</v>
      </c>
      <c r="B31">
        <v>8.0</v>
      </c>
      <c r="C31" s="3" t="s">
        <v>4068</v>
      </c>
      <c r="D31" s="268">
        <v>45000.0</v>
      </c>
      <c r="E31" s="269">
        <v>43276.0</v>
      </c>
      <c r="F31" s="256"/>
      <c r="G31" s="257" t="b">
        <v>1</v>
      </c>
      <c r="H31" s="256"/>
    </row>
    <row r="32">
      <c r="A32" s="267">
        <v>2018.0</v>
      </c>
      <c r="B32">
        <v>8.0</v>
      </c>
      <c r="C32" s="3" t="s">
        <v>4068</v>
      </c>
      <c r="D32" s="268">
        <v>30825.0</v>
      </c>
      <c r="E32" s="272"/>
      <c r="F32" s="256"/>
      <c r="G32" s="257" t="b">
        <v>1</v>
      </c>
      <c r="H32" s="256"/>
    </row>
    <row r="33">
      <c r="A33" s="270">
        <v>2018.0</v>
      </c>
      <c r="B33" s="259">
        <v>9.0</v>
      </c>
      <c r="C33" s="258" t="s">
        <v>4068</v>
      </c>
      <c r="D33" s="265">
        <v>25000.0</v>
      </c>
      <c r="E33" s="273"/>
      <c r="F33" s="262"/>
      <c r="G33" s="263" t="b">
        <v>1</v>
      </c>
      <c r="H33" s="262"/>
    </row>
    <row r="34">
      <c r="A34" s="267">
        <v>2018.0</v>
      </c>
      <c r="B34">
        <v>9.0</v>
      </c>
      <c r="C34" s="3" t="s">
        <v>4068</v>
      </c>
      <c r="D34" s="268">
        <v>40000.0</v>
      </c>
      <c r="E34" s="269">
        <v>43359.0</v>
      </c>
      <c r="F34" s="256"/>
      <c r="G34" s="257" t="b">
        <v>1</v>
      </c>
      <c r="H34" s="256"/>
    </row>
    <row r="35">
      <c r="A35" s="267">
        <v>2018.0</v>
      </c>
      <c r="B35">
        <v>9.0</v>
      </c>
      <c r="C35" s="3" t="s">
        <v>4068</v>
      </c>
      <c r="D35" s="268">
        <v>10000.0</v>
      </c>
      <c r="E35" s="269">
        <v>43366.0</v>
      </c>
      <c r="F35" s="256"/>
      <c r="G35" s="257" t="b">
        <v>1</v>
      </c>
      <c r="H35" s="256"/>
    </row>
    <row r="36">
      <c r="A36" s="267">
        <v>2018.0</v>
      </c>
      <c r="B36">
        <v>9.0</v>
      </c>
      <c r="C36" s="3" t="s">
        <v>4068</v>
      </c>
      <c r="D36" s="268">
        <v>15000.0</v>
      </c>
      <c r="E36" s="272"/>
      <c r="F36" s="256"/>
      <c r="G36" s="257" t="b">
        <v>1</v>
      </c>
      <c r="H36" s="256"/>
    </row>
    <row r="37">
      <c r="A37" s="267">
        <v>2018.0</v>
      </c>
      <c r="B37">
        <v>9.0</v>
      </c>
      <c r="C37" s="3" t="s">
        <v>4068</v>
      </c>
      <c r="D37" s="268">
        <v>2287.0</v>
      </c>
      <c r="E37" s="269">
        <v>43386.0</v>
      </c>
      <c r="F37" s="256"/>
      <c r="G37" s="257" t="b">
        <v>1</v>
      </c>
      <c r="H37" s="256"/>
    </row>
    <row r="38">
      <c r="A38" s="270">
        <v>2018.0</v>
      </c>
      <c r="B38" s="259">
        <v>10.0</v>
      </c>
      <c r="C38" s="258" t="s">
        <v>4068</v>
      </c>
      <c r="D38" s="265">
        <v>35000.0</v>
      </c>
      <c r="E38" s="266">
        <v>43380.0</v>
      </c>
      <c r="F38" s="262"/>
      <c r="G38" s="263" t="b">
        <v>1</v>
      </c>
      <c r="H38" s="262"/>
    </row>
    <row r="39">
      <c r="A39" s="267">
        <v>2018.0</v>
      </c>
      <c r="B39">
        <v>10.0</v>
      </c>
      <c r="C39" s="3" t="s">
        <v>4068</v>
      </c>
      <c r="D39" s="268">
        <v>45000.0</v>
      </c>
      <c r="E39" s="269">
        <v>43388.0</v>
      </c>
      <c r="F39" s="256"/>
      <c r="G39" s="257" t="b">
        <v>1</v>
      </c>
      <c r="H39" s="256"/>
    </row>
    <row r="40">
      <c r="A40" s="267">
        <v>2018.0</v>
      </c>
      <c r="B40">
        <v>10.0</v>
      </c>
      <c r="C40" s="3" t="s">
        <v>4068</v>
      </c>
      <c r="D40" s="268">
        <v>60000.0</v>
      </c>
      <c r="E40" s="274">
        <v>44862.0</v>
      </c>
      <c r="F40" s="256"/>
      <c r="G40" s="257" t="b">
        <v>1</v>
      </c>
      <c r="H40" s="256"/>
    </row>
    <row r="41">
      <c r="A41" s="267">
        <v>2018.0</v>
      </c>
      <c r="B41">
        <v>10.0</v>
      </c>
      <c r="C41" s="3" t="s">
        <v>4068</v>
      </c>
      <c r="D41" s="268">
        <v>8230.0</v>
      </c>
      <c r="E41" s="269">
        <v>43422.0</v>
      </c>
      <c r="F41" s="256"/>
      <c r="G41" s="257" t="b">
        <v>1</v>
      </c>
      <c r="H41" s="256"/>
    </row>
    <row r="42">
      <c r="A42" s="270">
        <v>2018.0</v>
      </c>
      <c r="B42" s="259">
        <v>11.0</v>
      </c>
      <c r="C42" s="258" t="s">
        <v>4068</v>
      </c>
      <c r="D42" s="265">
        <v>40000.0</v>
      </c>
      <c r="E42" s="273"/>
      <c r="F42" s="262"/>
      <c r="G42" s="263" t="b">
        <v>1</v>
      </c>
      <c r="H42" s="262"/>
    </row>
    <row r="43">
      <c r="A43" s="267">
        <v>2018.0</v>
      </c>
      <c r="B43">
        <v>11.0</v>
      </c>
      <c r="C43" s="3" t="s">
        <v>4068</v>
      </c>
      <c r="D43" s="268">
        <v>15000.0</v>
      </c>
      <c r="E43" s="272"/>
      <c r="F43" s="256"/>
      <c r="G43" s="257" t="b">
        <v>1</v>
      </c>
      <c r="H43" s="256"/>
    </row>
    <row r="44">
      <c r="A44" s="267">
        <v>2018.0</v>
      </c>
      <c r="B44">
        <v>11.0</v>
      </c>
      <c r="C44" s="3" t="s">
        <v>4068</v>
      </c>
      <c r="D44" s="268">
        <v>25000.0</v>
      </c>
      <c r="E44" s="272"/>
      <c r="F44" s="256"/>
      <c r="G44" s="257" t="b">
        <v>1</v>
      </c>
      <c r="H44" s="256"/>
    </row>
    <row r="45">
      <c r="A45" s="267">
        <v>2018.0</v>
      </c>
      <c r="B45">
        <v>11.0</v>
      </c>
      <c r="C45" s="3" t="s">
        <v>4068</v>
      </c>
      <c r="D45" s="268">
        <v>37284.0</v>
      </c>
      <c r="E45" s="272"/>
      <c r="F45" s="256"/>
      <c r="G45" s="257" t="b">
        <v>1</v>
      </c>
      <c r="H45" s="256"/>
    </row>
    <row r="46">
      <c r="A46" s="270">
        <v>2018.0</v>
      </c>
      <c r="B46" s="259">
        <v>12.0</v>
      </c>
      <c r="C46" s="258" t="s">
        <v>4068</v>
      </c>
      <c r="D46" s="265">
        <v>20000.0</v>
      </c>
      <c r="E46" s="266">
        <v>43442.0</v>
      </c>
      <c r="F46" s="262"/>
      <c r="G46" s="263" t="b">
        <v>1</v>
      </c>
      <c r="H46" s="262"/>
    </row>
    <row r="47">
      <c r="A47" s="267">
        <v>2018.0</v>
      </c>
      <c r="B47">
        <v>12.0</v>
      </c>
      <c r="C47" s="3" t="s">
        <v>4068</v>
      </c>
      <c r="D47" s="268">
        <v>45000.0</v>
      </c>
      <c r="E47" s="269">
        <v>43449.0</v>
      </c>
      <c r="F47" s="256"/>
      <c r="G47" s="257" t="b">
        <v>1</v>
      </c>
      <c r="H47" s="256"/>
    </row>
    <row r="48">
      <c r="A48" s="267">
        <v>2018.0</v>
      </c>
      <c r="B48">
        <v>12.0</v>
      </c>
      <c r="C48" s="3" t="s">
        <v>4068</v>
      </c>
      <c r="D48" s="268">
        <v>45000.0</v>
      </c>
      <c r="E48" s="269">
        <v>43457.0</v>
      </c>
      <c r="F48" s="256"/>
      <c r="G48" s="257" t="b">
        <v>1</v>
      </c>
      <c r="H48" s="256"/>
    </row>
    <row r="49">
      <c r="A49" s="267">
        <v>2018.0</v>
      </c>
      <c r="B49">
        <v>12.0</v>
      </c>
      <c r="C49" s="3" t="s">
        <v>4068</v>
      </c>
      <c r="D49" s="268">
        <v>20000.0</v>
      </c>
      <c r="E49" s="269">
        <v>43471.0</v>
      </c>
      <c r="F49" s="256"/>
      <c r="G49" s="257" t="b">
        <v>1</v>
      </c>
      <c r="H49" s="256"/>
    </row>
    <row r="50">
      <c r="A50" s="267">
        <v>2018.0</v>
      </c>
      <c r="B50">
        <v>12.0</v>
      </c>
      <c r="C50" s="3" t="s">
        <v>4068</v>
      </c>
      <c r="D50" s="268">
        <v>20579.0</v>
      </c>
      <c r="E50" s="269">
        <v>43473.0</v>
      </c>
      <c r="F50" s="256"/>
      <c r="G50" s="257" t="b">
        <v>1</v>
      </c>
      <c r="H50" s="256"/>
    </row>
    <row r="51">
      <c r="A51" s="275">
        <v>2019.0</v>
      </c>
      <c r="B51" s="258">
        <v>1.0</v>
      </c>
      <c r="C51" s="258" t="s">
        <v>4069</v>
      </c>
      <c r="D51" s="276">
        <v>1040.0</v>
      </c>
      <c r="E51" s="266"/>
      <c r="F51" s="277" t="s">
        <v>4070</v>
      </c>
      <c r="G51" s="263" t="b">
        <v>1</v>
      </c>
      <c r="H51" s="262"/>
    </row>
    <row r="52">
      <c r="A52" s="278">
        <v>2019.0</v>
      </c>
      <c r="B52" s="3">
        <v>1.0</v>
      </c>
      <c r="C52" s="3" t="s">
        <v>4069</v>
      </c>
      <c r="D52" s="279">
        <v>560.0</v>
      </c>
      <c r="E52" s="269"/>
      <c r="F52" s="280" t="s">
        <v>4071</v>
      </c>
      <c r="G52" s="257" t="b">
        <v>1</v>
      </c>
      <c r="H52" s="256"/>
    </row>
    <row r="53">
      <c r="A53" s="278">
        <v>2019.0</v>
      </c>
      <c r="B53" s="3">
        <v>1.0</v>
      </c>
      <c r="C53" s="3" t="s">
        <v>4069</v>
      </c>
      <c r="D53" s="279">
        <v>2608.0</v>
      </c>
      <c r="E53" s="269"/>
      <c r="F53" s="280" t="s">
        <v>4072</v>
      </c>
      <c r="G53" s="257" t="b">
        <v>1</v>
      </c>
      <c r="H53" s="256"/>
    </row>
    <row r="54">
      <c r="A54" s="278">
        <v>2019.0</v>
      </c>
      <c r="B54" s="3">
        <v>1.0</v>
      </c>
      <c r="C54" s="3" t="s">
        <v>4069</v>
      </c>
      <c r="D54" s="279">
        <v>275.0</v>
      </c>
      <c r="E54" s="269"/>
      <c r="F54" s="280" t="s">
        <v>4073</v>
      </c>
      <c r="G54" s="257" t="b">
        <v>1</v>
      </c>
      <c r="H54" s="256"/>
    </row>
    <row r="55">
      <c r="A55" s="278">
        <v>2019.0</v>
      </c>
      <c r="B55" s="3">
        <v>1.0</v>
      </c>
      <c r="C55" s="3" t="s">
        <v>4069</v>
      </c>
      <c r="D55" s="279">
        <v>500.0</v>
      </c>
      <c r="E55" s="269"/>
      <c r="F55" s="280" t="s">
        <v>4074</v>
      </c>
      <c r="G55" s="257" t="b">
        <v>1</v>
      </c>
      <c r="H55" s="256"/>
    </row>
    <row r="56">
      <c r="A56" s="267">
        <v>2019.0</v>
      </c>
      <c r="B56">
        <v>1.0</v>
      </c>
      <c r="C56" s="3" t="s">
        <v>4068</v>
      </c>
      <c r="D56" s="268">
        <v>40000.0</v>
      </c>
      <c r="E56" s="269">
        <v>43473.0</v>
      </c>
      <c r="F56" s="256"/>
      <c r="G56" s="257" t="b">
        <v>1</v>
      </c>
      <c r="H56" s="256"/>
    </row>
    <row r="57">
      <c r="A57" s="267">
        <v>2019.0</v>
      </c>
      <c r="B57">
        <v>1.0</v>
      </c>
      <c r="C57" s="3" t="s">
        <v>4068</v>
      </c>
      <c r="D57" s="268">
        <v>6600.0</v>
      </c>
      <c r="E57" s="272"/>
      <c r="F57" s="256"/>
      <c r="G57" s="257" t="b">
        <v>1</v>
      </c>
      <c r="H57" s="256"/>
    </row>
    <row r="58">
      <c r="A58" s="267">
        <v>2019.0</v>
      </c>
      <c r="B58">
        <v>1.0</v>
      </c>
      <c r="C58" s="3" t="s">
        <v>4068</v>
      </c>
      <c r="D58" s="268">
        <v>50000.0</v>
      </c>
      <c r="E58" s="269">
        <v>43485.0</v>
      </c>
      <c r="F58" s="256"/>
      <c r="G58" s="257" t="b">
        <v>1</v>
      </c>
      <c r="H58" s="256"/>
    </row>
    <row r="59">
      <c r="A59" s="267">
        <v>2019.0</v>
      </c>
      <c r="B59">
        <v>1.0</v>
      </c>
      <c r="C59" s="3" t="s">
        <v>4068</v>
      </c>
      <c r="D59" s="268">
        <v>30000.0</v>
      </c>
      <c r="E59" s="272"/>
      <c r="F59" s="256"/>
      <c r="G59" s="257" t="b">
        <v>1</v>
      </c>
      <c r="H59" s="256"/>
    </row>
    <row r="60">
      <c r="A60" s="267">
        <v>2019.0</v>
      </c>
      <c r="B60">
        <v>1.0</v>
      </c>
      <c r="C60" s="3" t="s">
        <v>4068</v>
      </c>
      <c r="D60" s="268">
        <v>35000.0</v>
      </c>
      <c r="E60" s="272"/>
      <c r="F60" s="256"/>
      <c r="G60" s="257" t="b">
        <v>1</v>
      </c>
      <c r="H60" s="256"/>
    </row>
    <row r="61">
      <c r="A61" s="267">
        <v>2019.0</v>
      </c>
      <c r="B61">
        <v>1.0</v>
      </c>
      <c r="C61" s="3" t="s">
        <v>4068</v>
      </c>
      <c r="D61" s="279">
        <f>5195-4983</f>
        <v>212</v>
      </c>
      <c r="E61" s="269">
        <v>43506.0</v>
      </c>
      <c r="F61" s="256"/>
      <c r="G61" s="257" t="b">
        <v>1</v>
      </c>
      <c r="H61" s="256"/>
    </row>
    <row r="62">
      <c r="A62" s="275">
        <v>2019.0</v>
      </c>
      <c r="B62" s="258">
        <v>2.0</v>
      </c>
      <c r="C62" s="258" t="s">
        <v>4069</v>
      </c>
      <c r="D62" s="276">
        <v>1040.0</v>
      </c>
      <c r="E62" s="266"/>
      <c r="F62" s="277" t="s">
        <v>4070</v>
      </c>
      <c r="G62" s="263" t="b">
        <v>1</v>
      </c>
      <c r="H62" s="262"/>
    </row>
    <row r="63">
      <c r="A63" s="278">
        <v>2019.0</v>
      </c>
      <c r="B63" s="3">
        <v>2.0</v>
      </c>
      <c r="C63" s="3" t="s">
        <v>4069</v>
      </c>
      <c r="D63" s="279">
        <v>246.0</v>
      </c>
      <c r="E63" s="269"/>
      <c r="F63" s="280" t="s">
        <v>4075</v>
      </c>
      <c r="G63" s="257" t="b">
        <v>1</v>
      </c>
      <c r="H63" s="256"/>
    </row>
    <row r="64">
      <c r="A64" s="267">
        <v>2019.0</v>
      </c>
      <c r="B64">
        <v>2.0</v>
      </c>
      <c r="C64" s="3" t="s">
        <v>4068</v>
      </c>
      <c r="D64" s="268">
        <v>45000.0</v>
      </c>
      <c r="E64" s="269">
        <v>43499.0</v>
      </c>
      <c r="F64" s="256"/>
      <c r="G64" s="257" t="b">
        <v>1</v>
      </c>
      <c r="H64" s="256"/>
    </row>
    <row r="65">
      <c r="A65" s="267">
        <v>2019.0</v>
      </c>
      <c r="B65">
        <v>2.0</v>
      </c>
      <c r="C65" s="3" t="s">
        <v>4068</v>
      </c>
      <c r="D65" s="268">
        <v>35000.0</v>
      </c>
      <c r="E65" s="269">
        <v>43512.0</v>
      </c>
      <c r="F65" s="256"/>
      <c r="G65" s="257" t="b">
        <v>1</v>
      </c>
      <c r="H65" s="256"/>
    </row>
    <row r="66">
      <c r="A66" s="267">
        <v>2019.0</v>
      </c>
      <c r="B66">
        <v>2.0</v>
      </c>
      <c r="C66" s="3" t="s">
        <v>4068</v>
      </c>
      <c r="D66" s="268">
        <v>15000.0</v>
      </c>
      <c r="E66" s="269">
        <v>43519.0</v>
      </c>
      <c r="F66" s="256"/>
      <c r="G66" s="257" t="b">
        <v>1</v>
      </c>
      <c r="H66" s="256"/>
    </row>
    <row r="67">
      <c r="A67" s="267">
        <v>2019.0</v>
      </c>
      <c r="B67">
        <v>2.0</v>
      </c>
      <c r="C67" s="3" t="s">
        <v>4068</v>
      </c>
      <c r="D67" s="268">
        <v>25000.0</v>
      </c>
      <c r="E67" s="272"/>
      <c r="F67" s="256"/>
      <c r="G67" s="257" t="b">
        <v>1</v>
      </c>
      <c r="H67" s="256"/>
    </row>
    <row r="68">
      <c r="A68" s="267">
        <v>2019.0</v>
      </c>
      <c r="B68">
        <v>2.0</v>
      </c>
      <c r="C68" s="3" t="s">
        <v>4068</v>
      </c>
      <c r="D68" s="268">
        <v>24000.0</v>
      </c>
      <c r="E68" s="269">
        <v>43498.0</v>
      </c>
      <c r="F68" s="256"/>
      <c r="G68" s="257" t="b">
        <v>1</v>
      </c>
      <c r="H68" s="256"/>
    </row>
    <row r="69">
      <c r="A69" s="267">
        <v>2019.0</v>
      </c>
      <c r="B69">
        <v>2.0</v>
      </c>
      <c r="C69" s="3" t="s">
        <v>4068</v>
      </c>
      <c r="D69" s="268">
        <f>4657.2-1286</f>
        <v>3371.2</v>
      </c>
      <c r="E69" s="272"/>
      <c r="F69" s="256"/>
      <c r="G69" s="257" t="b">
        <v>1</v>
      </c>
      <c r="H69" s="256"/>
    </row>
    <row r="70">
      <c r="A70" s="275">
        <v>2019.0</v>
      </c>
      <c r="B70" s="258">
        <v>3.0</v>
      </c>
      <c r="C70" s="258" t="s">
        <v>4069</v>
      </c>
      <c r="D70" s="276">
        <v>1328.0</v>
      </c>
      <c r="E70" s="266"/>
      <c r="F70" s="277" t="s">
        <v>4076</v>
      </c>
      <c r="G70" s="263" t="b">
        <v>0</v>
      </c>
      <c r="H70" s="277"/>
    </row>
    <row r="71">
      <c r="A71" s="278">
        <v>2019.0</v>
      </c>
      <c r="B71" s="3">
        <v>3.0</v>
      </c>
      <c r="C71" s="3" t="s">
        <v>4069</v>
      </c>
      <c r="D71" s="279">
        <v>10911.0</v>
      </c>
      <c r="E71" s="269"/>
      <c r="F71" s="280" t="s">
        <v>4077</v>
      </c>
      <c r="G71" s="257" t="b">
        <v>0</v>
      </c>
      <c r="H71" s="256"/>
    </row>
    <row r="72">
      <c r="A72" s="278">
        <v>2019.0</v>
      </c>
      <c r="B72" s="3">
        <v>3.0</v>
      </c>
      <c r="C72" s="3" t="s">
        <v>4069</v>
      </c>
      <c r="D72" s="279">
        <v>1040.0</v>
      </c>
      <c r="E72" s="269"/>
      <c r="F72" s="280" t="s">
        <v>4070</v>
      </c>
      <c r="G72" s="257" t="b">
        <v>0</v>
      </c>
      <c r="H72" s="256"/>
    </row>
    <row r="73">
      <c r="A73" s="267">
        <v>2019.0</v>
      </c>
      <c r="B73">
        <v>3.0</v>
      </c>
      <c r="C73" s="3" t="s">
        <v>4068</v>
      </c>
      <c r="D73" s="268">
        <v>30000.0</v>
      </c>
      <c r="E73" s="269">
        <v>43526.0</v>
      </c>
      <c r="F73" s="256"/>
      <c r="G73" s="257" t="b">
        <v>0</v>
      </c>
      <c r="H73" s="256"/>
    </row>
    <row r="74">
      <c r="A74" s="267">
        <v>2019.0</v>
      </c>
      <c r="B74">
        <v>3.0</v>
      </c>
      <c r="C74" s="3" t="s">
        <v>4068</v>
      </c>
      <c r="D74" s="268">
        <v>60000.0</v>
      </c>
      <c r="E74" s="269">
        <v>43534.0</v>
      </c>
      <c r="F74" s="256"/>
      <c r="G74" s="257" t="b">
        <v>0</v>
      </c>
      <c r="H74" s="256"/>
    </row>
    <row r="75">
      <c r="A75" s="267">
        <v>2019.0</v>
      </c>
      <c r="B75">
        <v>3.0</v>
      </c>
      <c r="C75" s="3" t="s">
        <v>4068</v>
      </c>
      <c r="D75" s="268">
        <v>35000.0</v>
      </c>
      <c r="E75" s="269">
        <v>43541.0</v>
      </c>
      <c r="F75" s="256"/>
      <c r="G75" s="257" t="b">
        <v>0</v>
      </c>
      <c r="H75" s="256"/>
    </row>
    <row r="76">
      <c r="A76" s="253">
        <v>2019.0</v>
      </c>
      <c r="B76" s="3">
        <v>3.0</v>
      </c>
      <c r="C76" s="3" t="s">
        <v>4069</v>
      </c>
      <c r="D76" s="3">
        <v>1382.0</v>
      </c>
      <c r="F76" s="280" t="s">
        <v>4078</v>
      </c>
      <c r="G76" s="257" t="b">
        <v>0</v>
      </c>
      <c r="H76" s="256"/>
    </row>
    <row r="77">
      <c r="A77" s="253">
        <v>2019.0</v>
      </c>
      <c r="B77" s="3">
        <v>3.0</v>
      </c>
      <c r="C77" s="3" t="s">
        <v>4069</v>
      </c>
      <c r="D77" s="3">
        <v>270.0</v>
      </c>
      <c r="F77" s="280" t="s">
        <v>4079</v>
      </c>
      <c r="G77" s="257" t="b">
        <v>0</v>
      </c>
      <c r="H77" s="256"/>
    </row>
    <row r="78">
      <c r="A78" s="253">
        <v>2019.0</v>
      </c>
      <c r="B78" s="3">
        <v>3.0</v>
      </c>
      <c r="C78" s="3" t="s">
        <v>4069</v>
      </c>
      <c r="D78" s="3">
        <v>1200.0</v>
      </c>
      <c r="E78" s="281">
        <v>43548.0</v>
      </c>
      <c r="F78" s="280" t="s">
        <v>4080</v>
      </c>
      <c r="G78" s="257" t="b">
        <v>0</v>
      </c>
      <c r="H78" s="256"/>
    </row>
    <row r="79">
      <c r="A79" s="253">
        <v>2019.0</v>
      </c>
      <c r="B79" s="3">
        <v>3.0</v>
      </c>
      <c r="C79" s="3" t="s">
        <v>4069</v>
      </c>
      <c r="D79" s="3">
        <v>1020.0</v>
      </c>
      <c r="E79" s="281">
        <v>43548.0</v>
      </c>
      <c r="F79" s="280" t="s">
        <v>4081</v>
      </c>
      <c r="G79" s="257" t="b">
        <v>0</v>
      </c>
      <c r="H79" s="256"/>
    </row>
    <row r="80">
      <c r="A80" s="253">
        <v>2019.0</v>
      </c>
      <c r="B80" s="3">
        <v>3.0</v>
      </c>
      <c r="C80" s="3" t="s">
        <v>4069</v>
      </c>
      <c r="D80" s="3">
        <v>3230.0</v>
      </c>
      <c r="E80" s="281">
        <v>43548.0</v>
      </c>
      <c r="F80" s="280" t="s">
        <v>4082</v>
      </c>
      <c r="G80" s="257" t="b">
        <v>0</v>
      </c>
      <c r="H80" s="256"/>
    </row>
    <row r="81">
      <c r="A81" s="253">
        <v>2019.0</v>
      </c>
      <c r="B81" s="3">
        <v>3.0</v>
      </c>
      <c r="C81" s="3" t="s">
        <v>4069</v>
      </c>
      <c r="D81" s="3">
        <v>1500.0</v>
      </c>
      <c r="F81" s="280" t="s">
        <v>4083</v>
      </c>
      <c r="G81" s="257" t="b">
        <v>0</v>
      </c>
      <c r="H81" s="256"/>
    </row>
    <row r="82">
      <c r="A82" s="253">
        <v>2019.0</v>
      </c>
      <c r="B82" s="3">
        <v>3.0</v>
      </c>
      <c r="C82" s="3" t="s">
        <v>4068</v>
      </c>
      <c r="D82" s="282">
        <v>45000.0</v>
      </c>
      <c r="E82" s="281">
        <v>43555.0</v>
      </c>
      <c r="F82" s="256"/>
      <c r="G82" s="257" t="b">
        <v>0</v>
      </c>
      <c r="H82" s="256"/>
    </row>
    <row r="83">
      <c r="A83" s="253">
        <v>2019.0</v>
      </c>
      <c r="B83" s="3">
        <v>3.0</v>
      </c>
      <c r="C83" s="3" t="s">
        <v>4068</v>
      </c>
      <c r="D83" s="282">
        <v>3546.0</v>
      </c>
      <c r="F83" s="256"/>
      <c r="G83" s="257" t="b">
        <v>0</v>
      </c>
      <c r="H83" s="256"/>
    </row>
    <row r="84">
      <c r="A84" s="283">
        <v>2019.0</v>
      </c>
      <c r="B84" s="258">
        <v>4.0</v>
      </c>
      <c r="C84" s="258" t="s">
        <v>4069</v>
      </c>
      <c r="D84" s="258">
        <v>670.0</v>
      </c>
      <c r="E84" s="284">
        <v>43557.0</v>
      </c>
      <c r="F84" s="277" t="s">
        <v>4084</v>
      </c>
      <c r="G84" s="263" t="b">
        <v>0</v>
      </c>
      <c r="H84" s="262"/>
    </row>
    <row r="85">
      <c r="A85" s="253">
        <v>2019.0</v>
      </c>
      <c r="B85" s="3">
        <v>4.0</v>
      </c>
      <c r="C85" s="3" t="s">
        <v>4069</v>
      </c>
      <c r="D85" s="3">
        <v>1040.0</v>
      </c>
      <c r="E85" s="281">
        <v>43562.0</v>
      </c>
      <c r="F85" s="256"/>
      <c r="G85" s="257" t="b">
        <v>0</v>
      </c>
      <c r="H85" s="256"/>
    </row>
    <row r="86">
      <c r="A86" s="253">
        <v>2019.0</v>
      </c>
      <c r="B86" s="3">
        <v>4.0</v>
      </c>
      <c r="C86" s="3" t="s">
        <v>4068</v>
      </c>
      <c r="D86" s="282">
        <v>35000.0</v>
      </c>
      <c r="E86" s="281">
        <v>43562.0</v>
      </c>
      <c r="F86" s="256"/>
      <c r="G86" s="257" t="b">
        <v>0</v>
      </c>
      <c r="H86" s="256"/>
    </row>
    <row r="87">
      <c r="A87" s="253">
        <v>2019.0</v>
      </c>
      <c r="B87" s="3">
        <v>4.0</v>
      </c>
      <c r="C87" s="3" t="s">
        <v>4069</v>
      </c>
      <c r="D87" s="3">
        <v>1245.0</v>
      </c>
      <c r="E87" s="281">
        <v>43562.0</v>
      </c>
      <c r="F87" s="280" t="s">
        <v>4085</v>
      </c>
      <c r="G87" s="257" t="b">
        <v>0</v>
      </c>
      <c r="H87" s="256"/>
    </row>
    <row r="88">
      <c r="A88" s="253">
        <v>2019.0</v>
      </c>
      <c r="B88" s="3">
        <v>4.0</v>
      </c>
      <c r="C88" s="3" t="s">
        <v>4068</v>
      </c>
      <c r="D88" s="282">
        <v>15000.0</v>
      </c>
      <c r="E88" s="281">
        <v>43568.0</v>
      </c>
      <c r="F88" s="256"/>
      <c r="G88" s="257" t="b">
        <v>0</v>
      </c>
      <c r="H88" s="256"/>
    </row>
    <row r="89">
      <c r="A89" s="253">
        <v>2019.0</v>
      </c>
      <c r="B89" s="3">
        <v>4.0</v>
      </c>
      <c r="C89" s="3" t="s">
        <v>4068</v>
      </c>
      <c r="D89" s="282">
        <v>50000.0</v>
      </c>
      <c r="E89" s="281">
        <v>43573.0</v>
      </c>
      <c r="F89" s="256"/>
      <c r="G89" s="257" t="b">
        <v>0</v>
      </c>
      <c r="H89" s="256"/>
    </row>
    <row r="90">
      <c r="A90" s="253">
        <v>2019.0</v>
      </c>
      <c r="B90" s="3">
        <v>4.0</v>
      </c>
      <c r="C90" s="3" t="s">
        <v>4068</v>
      </c>
      <c r="D90" s="282">
        <v>20000.0</v>
      </c>
      <c r="E90" s="281">
        <v>43581.0</v>
      </c>
      <c r="F90" s="256"/>
      <c r="G90" s="257" t="b">
        <v>0</v>
      </c>
      <c r="H90" s="256"/>
    </row>
    <row r="91">
      <c r="A91" s="253">
        <v>2019.0</v>
      </c>
      <c r="B91" s="3">
        <v>4.0</v>
      </c>
      <c r="C91" s="3" t="s">
        <v>4068</v>
      </c>
      <c r="D91" s="254">
        <v>27138.6</v>
      </c>
      <c r="E91" s="281">
        <v>43586.0</v>
      </c>
      <c r="F91" s="256"/>
      <c r="G91" s="257" t="b">
        <v>0</v>
      </c>
      <c r="H91" s="256"/>
    </row>
    <row r="92">
      <c r="A92" s="283">
        <v>2019.0</v>
      </c>
      <c r="B92" s="258">
        <v>5.0</v>
      </c>
      <c r="C92" s="258" t="s">
        <v>4068</v>
      </c>
      <c r="D92" s="285">
        <v>30000.0</v>
      </c>
      <c r="E92" s="284">
        <v>43597.0</v>
      </c>
      <c r="F92" s="262"/>
      <c r="G92" s="263" t="b">
        <v>0</v>
      </c>
      <c r="H92" s="262"/>
    </row>
    <row r="93">
      <c r="A93" s="253">
        <v>2019.0</v>
      </c>
      <c r="B93" s="3">
        <v>5.0</v>
      </c>
      <c r="C93" s="3" t="s">
        <v>4069</v>
      </c>
      <c r="D93" s="3">
        <v>1040.0</v>
      </c>
      <c r="E93" s="281">
        <v>43597.0</v>
      </c>
      <c r="F93" s="280" t="s">
        <v>4086</v>
      </c>
      <c r="G93" s="257" t="b">
        <v>0</v>
      </c>
      <c r="H93" s="256"/>
    </row>
    <row r="94">
      <c r="A94" s="253">
        <v>2019.0</v>
      </c>
      <c r="B94" s="3">
        <v>5.0</v>
      </c>
      <c r="C94" s="3" t="s">
        <v>4068</v>
      </c>
      <c r="D94" s="282">
        <v>30000.0</v>
      </c>
      <c r="E94" s="281">
        <v>43604.0</v>
      </c>
      <c r="F94" s="256"/>
      <c r="G94" s="257" t="b">
        <v>0</v>
      </c>
      <c r="H94" s="256"/>
    </row>
    <row r="95">
      <c r="A95" s="253">
        <v>2019.0</v>
      </c>
      <c r="B95" s="3">
        <v>5.0</v>
      </c>
      <c r="C95" s="3" t="s">
        <v>4069</v>
      </c>
      <c r="D95" s="282">
        <v>8000.0</v>
      </c>
      <c r="E95" s="281">
        <v>43610.0</v>
      </c>
      <c r="F95" s="280" t="s">
        <v>4087</v>
      </c>
      <c r="G95" s="257" t="b">
        <v>0</v>
      </c>
      <c r="H95" s="256"/>
    </row>
    <row r="96">
      <c r="A96" s="253">
        <v>2019.0</v>
      </c>
      <c r="B96" s="3">
        <v>5.0</v>
      </c>
      <c r="C96" s="3" t="s">
        <v>4069</v>
      </c>
      <c r="D96" s="282">
        <v>1200.0</v>
      </c>
      <c r="E96" s="281">
        <v>43611.0</v>
      </c>
      <c r="F96" s="280" t="s">
        <v>4088</v>
      </c>
      <c r="G96" s="257" t="b">
        <v>0</v>
      </c>
      <c r="H96" s="256"/>
    </row>
    <row r="97">
      <c r="A97" s="253">
        <v>2019.0</v>
      </c>
      <c r="B97" s="3">
        <v>5.0</v>
      </c>
      <c r="C97" s="3" t="s">
        <v>4068</v>
      </c>
      <c r="D97" s="282">
        <v>21770.0</v>
      </c>
      <c r="E97" s="281">
        <v>43618.0</v>
      </c>
      <c r="F97" s="280"/>
      <c r="G97" s="257" t="b">
        <v>0</v>
      </c>
      <c r="H97" s="256"/>
    </row>
    <row r="98">
      <c r="A98" s="253">
        <v>2019.0</v>
      </c>
      <c r="B98" s="3">
        <v>5.0</v>
      </c>
      <c r="C98" s="3" t="s">
        <v>500</v>
      </c>
      <c r="D98" s="282">
        <v>82350.0</v>
      </c>
      <c r="E98" s="281">
        <v>43618.0</v>
      </c>
      <c r="F98" s="280"/>
      <c r="G98" s="257" t="b">
        <v>0</v>
      </c>
      <c r="H98" s="256"/>
    </row>
    <row r="99">
      <c r="A99" s="283">
        <v>2019.0</v>
      </c>
      <c r="B99" s="258">
        <v>6.0</v>
      </c>
      <c r="C99" s="258" t="s">
        <v>4069</v>
      </c>
      <c r="D99" s="258">
        <v>470.0</v>
      </c>
      <c r="E99" s="284">
        <v>43618.0</v>
      </c>
      <c r="F99" s="277" t="s">
        <v>4086</v>
      </c>
      <c r="G99" s="263" t="b">
        <v>0</v>
      </c>
      <c r="H99" s="262"/>
    </row>
    <row r="100">
      <c r="A100" s="253">
        <v>2019.0</v>
      </c>
      <c r="B100" s="3">
        <v>6.0</v>
      </c>
      <c r="C100" s="3" t="s">
        <v>4069</v>
      </c>
      <c r="D100" s="3">
        <v>750.0</v>
      </c>
      <c r="E100" s="281">
        <v>43624.0</v>
      </c>
      <c r="F100" s="280" t="s">
        <v>4089</v>
      </c>
      <c r="G100" s="257" t="b">
        <v>0</v>
      </c>
      <c r="H100" s="256"/>
    </row>
    <row r="101">
      <c r="A101" s="253">
        <v>2019.0</v>
      </c>
      <c r="B101" s="3">
        <v>6.0</v>
      </c>
      <c r="C101" s="3" t="s">
        <v>4068</v>
      </c>
      <c r="D101" s="282">
        <v>20000.0</v>
      </c>
      <c r="E101" s="281">
        <v>43625.0</v>
      </c>
      <c r="F101" s="256"/>
      <c r="G101" s="257" t="b">
        <v>0</v>
      </c>
      <c r="H101" s="256"/>
    </row>
    <row r="102">
      <c r="A102" s="253">
        <v>2019.0</v>
      </c>
      <c r="B102" s="3">
        <v>6.0</v>
      </c>
      <c r="C102" s="3" t="s">
        <v>4069</v>
      </c>
      <c r="D102" s="282">
        <v>1050.0</v>
      </c>
      <c r="E102" s="281">
        <v>43629.0</v>
      </c>
      <c r="F102" s="280" t="s">
        <v>4090</v>
      </c>
      <c r="G102" s="257" t="b">
        <v>0</v>
      </c>
      <c r="H102" s="256"/>
    </row>
    <row r="103">
      <c r="A103" s="253">
        <v>2019.0</v>
      </c>
      <c r="B103" s="3">
        <v>6.0</v>
      </c>
      <c r="C103" s="3" t="s">
        <v>4069</v>
      </c>
      <c r="D103" s="3">
        <v>490.0</v>
      </c>
      <c r="E103" s="281">
        <v>43635.0</v>
      </c>
      <c r="F103" s="280" t="s">
        <v>4091</v>
      </c>
      <c r="G103" s="257" t="b">
        <v>0</v>
      </c>
      <c r="H103" s="256"/>
    </row>
    <row r="104">
      <c r="A104" s="253">
        <v>2019.0</v>
      </c>
      <c r="B104" s="3">
        <v>6.0</v>
      </c>
      <c r="C104" s="3" t="s">
        <v>4068</v>
      </c>
      <c r="D104" s="282">
        <v>10000.0</v>
      </c>
      <c r="E104" s="281">
        <v>43635.0</v>
      </c>
      <c r="F104" s="256"/>
      <c r="G104" s="257" t="b">
        <v>0</v>
      </c>
      <c r="H104" s="256"/>
    </row>
    <row r="105">
      <c r="A105" s="253">
        <v>2019.0</v>
      </c>
      <c r="B105" s="3">
        <v>6.0</v>
      </c>
      <c r="C105" s="3" t="s">
        <v>4069</v>
      </c>
      <c r="D105" s="3">
        <v>600.0</v>
      </c>
      <c r="E105" s="281">
        <v>43639.0</v>
      </c>
      <c r="F105" s="280" t="s">
        <v>4088</v>
      </c>
      <c r="G105" s="257" t="b">
        <v>0</v>
      </c>
      <c r="H105" s="256"/>
    </row>
    <row r="106">
      <c r="A106" s="253">
        <v>2019.0</v>
      </c>
      <c r="B106" s="3">
        <v>6.0</v>
      </c>
      <c r="C106" s="3" t="s">
        <v>4069</v>
      </c>
      <c r="D106" s="3">
        <v>600.0</v>
      </c>
      <c r="E106" s="255">
        <v>43645.0</v>
      </c>
      <c r="F106" s="280" t="s">
        <v>4088</v>
      </c>
      <c r="G106" s="257" t="b">
        <v>0</v>
      </c>
      <c r="H106" s="256"/>
    </row>
    <row r="107">
      <c r="A107" s="253">
        <v>2019.0</v>
      </c>
      <c r="B107" s="3">
        <v>6.0</v>
      </c>
      <c r="C107" s="3" t="s">
        <v>4092</v>
      </c>
      <c r="D107" s="282">
        <v>15337.0</v>
      </c>
      <c r="E107" s="255">
        <v>43645.0</v>
      </c>
      <c r="F107" s="280" t="s">
        <v>4093</v>
      </c>
      <c r="G107" s="257" t="b">
        <v>0</v>
      </c>
      <c r="H107" s="256"/>
    </row>
    <row r="108">
      <c r="A108" s="253">
        <v>2019.0</v>
      </c>
      <c r="B108" s="3">
        <v>6.0</v>
      </c>
      <c r="C108" s="3" t="s">
        <v>500</v>
      </c>
      <c r="D108" s="282">
        <v>103340.0</v>
      </c>
      <c r="F108" s="280" t="s">
        <v>4094</v>
      </c>
      <c r="G108" s="257" t="b">
        <v>0</v>
      </c>
      <c r="H108" s="256"/>
    </row>
    <row r="109">
      <c r="A109" s="253">
        <v>2019.0</v>
      </c>
      <c r="B109" s="3">
        <v>6.0</v>
      </c>
      <c r="C109" s="3" t="s">
        <v>4068</v>
      </c>
      <c r="D109" s="282">
        <v>15564.0</v>
      </c>
      <c r="E109" s="281">
        <v>43652.0</v>
      </c>
      <c r="F109" s="256"/>
      <c r="G109" s="257" t="b">
        <v>0</v>
      </c>
      <c r="H109" s="256"/>
    </row>
    <row r="110">
      <c r="A110" s="283">
        <v>2019.0</v>
      </c>
      <c r="B110" s="258">
        <v>7.0</v>
      </c>
      <c r="C110" s="258" t="s">
        <v>500</v>
      </c>
      <c r="D110" s="259">
        <v>105640.0</v>
      </c>
      <c r="E110" s="259"/>
      <c r="F110" s="262"/>
      <c r="G110" s="263" t="b">
        <v>0</v>
      </c>
      <c r="H110" s="262"/>
    </row>
    <row r="111">
      <c r="A111" s="253">
        <v>2019.0</v>
      </c>
      <c r="B111" s="3">
        <v>7.0</v>
      </c>
      <c r="C111" s="3" t="s">
        <v>4069</v>
      </c>
      <c r="D111" s="282">
        <v>2100.0</v>
      </c>
      <c r="E111" s="281">
        <v>43652.0</v>
      </c>
      <c r="F111" s="280" t="s">
        <v>4095</v>
      </c>
      <c r="G111" s="257" t="b">
        <v>0</v>
      </c>
      <c r="H111" s="256"/>
    </row>
    <row r="112">
      <c r="A112" s="253">
        <v>2019.0</v>
      </c>
      <c r="B112" s="3">
        <v>7.0</v>
      </c>
      <c r="C112" s="3" t="s">
        <v>4068</v>
      </c>
      <c r="D112" s="282">
        <v>20000.0</v>
      </c>
      <c r="E112" s="255">
        <v>43654.0</v>
      </c>
      <c r="F112" s="256"/>
      <c r="G112" s="257" t="b">
        <v>0</v>
      </c>
      <c r="H112" s="256"/>
    </row>
    <row r="113">
      <c r="A113" s="253">
        <v>2019.0</v>
      </c>
      <c r="B113" s="3">
        <v>7.0</v>
      </c>
      <c r="C113" s="3" t="s">
        <v>4069</v>
      </c>
      <c r="D113" s="3">
        <v>600.0</v>
      </c>
      <c r="E113" s="281">
        <v>43655.0</v>
      </c>
      <c r="F113" s="280" t="s">
        <v>4088</v>
      </c>
      <c r="G113" s="257" t="b">
        <v>0</v>
      </c>
      <c r="H113" s="256"/>
    </row>
    <row r="114">
      <c r="A114" s="253">
        <v>2019.0</v>
      </c>
      <c r="B114" s="3">
        <v>7.0</v>
      </c>
      <c r="C114" s="3" t="s">
        <v>4069</v>
      </c>
      <c r="D114" s="3">
        <v>600.0</v>
      </c>
      <c r="E114" s="281">
        <v>43659.0</v>
      </c>
      <c r="F114" s="280" t="s">
        <v>4096</v>
      </c>
      <c r="G114" s="257" t="b">
        <v>0</v>
      </c>
      <c r="H114" s="256"/>
    </row>
    <row r="115">
      <c r="A115" s="253">
        <v>2019.0</v>
      </c>
      <c r="B115" s="3">
        <v>7.0</v>
      </c>
      <c r="C115" s="3" t="s">
        <v>4068</v>
      </c>
      <c r="D115" s="282">
        <v>25000.0</v>
      </c>
      <c r="E115" s="281">
        <v>43673.0</v>
      </c>
      <c r="F115" s="256"/>
      <c r="G115" s="257" t="b">
        <v>0</v>
      </c>
      <c r="H115" s="256"/>
    </row>
    <row r="116">
      <c r="A116" s="253">
        <v>2019.0</v>
      </c>
      <c r="B116" s="3">
        <v>7.0</v>
      </c>
      <c r="C116" s="3" t="s">
        <v>4069</v>
      </c>
      <c r="D116" s="3">
        <v>600.0</v>
      </c>
      <c r="E116" s="281">
        <v>43673.0</v>
      </c>
      <c r="F116" s="280" t="s">
        <v>4096</v>
      </c>
      <c r="G116" s="257" t="b">
        <v>0</v>
      </c>
      <c r="H116" s="256"/>
    </row>
    <row r="117">
      <c r="A117" s="253">
        <v>2019.0</v>
      </c>
      <c r="B117" s="3">
        <v>7.0</v>
      </c>
      <c r="C117" s="3" t="s">
        <v>4068</v>
      </c>
      <c r="D117" s="282">
        <v>6498.0</v>
      </c>
      <c r="F117" s="256"/>
      <c r="G117" s="257" t="b">
        <v>0</v>
      </c>
      <c r="H117" s="256"/>
    </row>
    <row r="118">
      <c r="A118" s="283">
        <v>2019.0</v>
      </c>
      <c r="B118" s="258">
        <v>8.0</v>
      </c>
      <c r="C118" s="258" t="s">
        <v>500</v>
      </c>
      <c r="D118" s="258">
        <v>81950.0</v>
      </c>
      <c r="E118" s="259"/>
      <c r="F118" s="262"/>
      <c r="G118" s="263" t="b">
        <v>0</v>
      </c>
      <c r="H118" s="262"/>
    </row>
    <row r="119">
      <c r="A119" s="253">
        <v>2019.0</v>
      </c>
      <c r="B119" s="3">
        <v>8.0</v>
      </c>
      <c r="C119" s="3" t="s">
        <v>4069</v>
      </c>
      <c r="D119" s="3">
        <v>600.0</v>
      </c>
      <c r="E119" s="281">
        <v>43680.0</v>
      </c>
      <c r="F119" s="280" t="s">
        <v>4088</v>
      </c>
      <c r="G119" s="257" t="b">
        <v>0</v>
      </c>
      <c r="H119" s="256"/>
    </row>
    <row r="120">
      <c r="A120" s="253">
        <v>2019.0</v>
      </c>
      <c r="B120" s="3">
        <v>8.0</v>
      </c>
      <c r="C120" s="3" t="s">
        <v>4069</v>
      </c>
      <c r="D120" s="282">
        <v>6676.0</v>
      </c>
      <c r="E120" s="281">
        <v>43680.0</v>
      </c>
      <c r="F120" s="280" t="s">
        <v>4097</v>
      </c>
      <c r="G120" s="257" t="b">
        <v>0</v>
      </c>
      <c r="H120" s="256"/>
    </row>
    <row r="121">
      <c r="A121" s="253">
        <v>2019.0</v>
      </c>
      <c r="B121" s="3">
        <v>8.0</v>
      </c>
      <c r="C121" s="3" t="s">
        <v>4069</v>
      </c>
      <c r="D121" s="3">
        <v>600.0</v>
      </c>
      <c r="E121" s="281">
        <v>43687.0</v>
      </c>
      <c r="F121" s="280" t="s">
        <v>4098</v>
      </c>
      <c r="G121" s="257" t="b">
        <v>0</v>
      </c>
      <c r="H121" s="256"/>
    </row>
    <row r="122">
      <c r="A122" s="253">
        <v>2019.0</v>
      </c>
      <c r="B122" s="3">
        <v>8.0</v>
      </c>
      <c r="C122" s="3" t="s">
        <v>4069</v>
      </c>
      <c r="D122" s="3">
        <v>600.0</v>
      </c>
      <c r="E122" s="281">
        <v>43687.0</v>
      </c>
      <c r="F122" s="280" t="s">
        <v>4099</v>
      </c>
      <c r="G122" s="257" t="b">
        <v>0</v>
      </c>
      <c r="H122" s="256"/>
    </row>
    <row r="123">
      <c r="A123" s="253">
        <v>2019.0</v>
      </c>
      <c r="B123" s="3">
        <v>8.0</v>
      </c>
      <c r="C123" s="3" t="s">
        <v>4068</v>
      </c>
      <c r="D123" s="282">
        <v>40000.0</v>
      </c>
      <c r="E123" s="281">
        <v>43688.0</v>
      </c>
      <c r="F123" s="256"/>
      <c r="G123" s="257" t="b">
        <v>0</v>
      </c>
      <c r="H123" s="256"/>
    </row>
    <row r="124">
      <c r="A124" s="253">
        <v>2019.0</v>
      </c>
      <c r="B124" s="3">
        <v>8.0</v>
      </c>
      <c r="C124" s="3" t="s">
        <v>4069</v>
      </c>
      <c r="D124" s="3">
        <v>900.0</v>
      </c>
      <c r="E124" s="281">
        <v>43694.0</v>
      </c>
      <c r="F124" s="280" t="s">
        <v>4096</v>
      </c>
      <c r="G124" s="257" t="b">
        <v>0</v>
      </c>
      <c r="H124" s="256"/>
    </row>
    <row r="125">
      <c r="A125" s="253">
        <v>2019.0</v>
      </c>
      <c r="B125" s="3">
        <v>8.0</v>
      </c>
      <c r="C125" s="3" t="s">
        <v>4069</v>
      </c>
      <c r="D125" s="3">
        <v>600.0</v>
      </c>
      <c r="E125" s="281">
        <v>43701.0</v>
      </c>
      <c r="F125" s="280" t="s">
        <v>4096</v>
      </c>
      <c r="G125" s="257" t="b">
        <v>0</v>
      </c>
      <c r="H125" s="256"/>
    </row>
    <row r="126">
      <c r="A126" s="253">
        <v>2019.0</v>
      </c>
      <c r="B126" s="3">
        <v>8.0</v>
      </c>
      <c r="C126" s="3" t="s">
        <v>4068</v>
      </c>
      <c r="D126" s="282">
        <v>5000.0</v>
      </c>
      <c r="E126" s="281">
        <v>43701.0</v>
      </c>
      <c r="F126" s="256"/>
      <c r="G126" s="257" t="b">
        <v>0</v>
      </c>
      <c r="H126" s="256"/>
    </row>
    <row r="127">
      <c r="A127" s="253">
        <v>2019.0</v>
      </c>
      <c r="B127" s="3">
        <v>8.0</v>
      </c>
      <c r="C127" s="3" t="s">
        <v>4069</v>
      </c>
      <c r="D127" s="3">
        <v>600.0</v>
      </c>
      <c r="E127" s="281">
        <v>43709.0</v>
      </c>
      <c r="F127" s="280" t="s">
        <v>4088</v>
      </c>
      <c r="G127" s="257" t="b">
        <v>0</v>
      </c>
      <c r="H127" s="256"/>
    </row>
    <row r="128">
      <c r="A128" s="253">
        <v>2019.0</v>
      </c>
      <c r="B128" s="3">
        <v>8.0</v>
      </c>
      <c r="C128" s="3" t="s">
        <v>4068</v>
      </c>
      <c r="D128" s="282">
        <v>10434.0</v>
      </c>
      <c r="F128" s="256"/>
      <c r="G128" s="257" t="b">
        <v>0</v>
      </c>
      <c r="H128" s="256"/>
    </row>
    <row r="129">
      <c r="A129" s="253">
        <v>2019.0</v>
      </c>
      <c r="B129" s="3">
        <v>8.0</v>
      </c>
      <c r="C129" s="3" t="s">
        <v>4069</v>
      </c>
      <c r="D129" s="3">
        <v>700.0</v>
      </c>
      <c r="E129" s="281">
        <v>43715.0</v>
      </c>
      <c r="F129" s="280" t="s">
        <v>4088</v>
      </c>
      <c r="G129" s="257" t="b">
        <v>0</v>
      </c>
      <c r="H129" s="256"/>
    </row>
    <row r="130">
      <c r="A130" s="253">
        <v>2019.0</v>
      </c>
      <c r="B130" s="3">
        <v>8.0</v>
      </c>
      <c r="C130" s="3" t="s">
        <v>4069</v>
      </c>
      <c r="D130" s="282">
        <v>3200.0</v>
      </c>
      <c r="E130" s="281">
        <v>43715.0</v>
      </c>
      <c r="F130" s="280" t="s">
        <v>4100</v>
      </c>
      <c r="G130" s="257" t="b">
        <v>0</v>
      </c>
      <c r="H130" s="256"/>
    </row>
    <row r="131">
      <c r="A131" s="253">
        <v>2019.0</v>
      </c>
      <c r="B131" s="3">
        <v>8.0</v>
      </c>
      <c r="C131" s="3" t="s">
        <v>4069</v>
      </c>
      <c r="D131" s="282">
        <v>5200.0</v>
      </c>
      <c r="E131" s="281">
        <v>43715.0</v>
      </c>
      <c r="F131" s="280" t="s">
        <v>4101</v>
      </c>
      <c r="G131" s="257" t="b">
        <v>0</v>
      </c>
      <c r="H131" s="256"/>
    </row>
    <row r="132">
      <c r="A132" s="253">
        <v>2019.0</v>
      </c>
      <c r="B132" s="3">
        <v>8.0</v>
      </c>
      <c r="C132" s="3" t="s">
        <v>4069</v>
      </c>
      <c r="D132" s="282">
        <v>3540.0</v>
      </c>
      <c r="E132" s="281">
        <v>43715.0</v>
      </c>
      <c r="F132" s="280" t="s">
        <v>4102</v>
      </c>
      <c r="G132" s="257" t="b">
        <v>0</v>
      </c>
      <c r="H132" s="256"/>
    </row>
    <row r="133">
      <c r="A133" s="283">
        <v>2019.0</v>
      </c>
      <c r="B133" s="258">
        <v>9.0</v>
      </c>
      <c r="C133" s="258" t="s">
        <v>500</v>
      </c>
      <c r="D133" s="258">
        <v>158935.0</v>
      </c>
      <c r="E133" s="259"/>
      <c r="F133" s="262"/>
      <c r="G133" s="263" t="b">
        <v>0</v>
      </c>
      <c r="H133" s="262"/>
    </row>
    <row r="134">
      <c r="A134" s="253">
        <v>2019.0</v>
      </c>
      <c r="B134" s="3">
        <v>9.0</v>
      </c>
      <c r="C134" s="3" t="s">
        <v>4069</v>
      </c>
      <c r="D134" s="3">
        <v>700.0</v>
      </c>
      <c r="E134" s="281">
        <v>43722.0</v>
      </c>
      <c r="F134" s="280" t="s">
        <v>4088</v>
      </c>
      <c r="G134" s="257" t="b">
        <v>0</v>
      </c>
      <c r="H134" s="256"/>
    </row>
    <row r="135">
      <c r="A135" s="253">
        <v>2019.0</v>
      </c>
      <c r="B135" s="3">
        <v>9.0</v>
      </c>
      <c r="C135" s="3" t="s">
        <v>4069</v>
      </c>
      <c r="D135" s="3">
        <v>200.0</v>
      </c>
      <c r="E135" s="286">
        <v>43720.0</v>
      </c>
      <c r="F135" s="280" t="s">
        <v>4103</v>
      </c>
      <c r="G135" s="257" t="b">
        <v>0</v>
      </c>
      <c r="H135" s="256"/>
    </row>
    <row r="136">
      <c r="A136" s="253">
        <v>2019.0</v>
      </c>
      <c r="B136" s="3">
        <v>9.0</v>
      </c>
      <c r="C136" s="3" t="s">
        <v>4068</v>
      </c>
      <c r="D136" s="3">
        <v>20000.0</v>
      </c>
      <c r="E136" s="281">
        <v>43719.0</v>
      </c>
      <c r="F136" s="256"/>
      <c r="G136" s="257" t="b">
        <v>0</v>
      </c>
      <c r="H136" s="256"/>
    </row>
    <row r="137">
      <c r="A137" s="253">
        <v>2019.0</v>
      </c>
      <c r="B137" s="3">
        <v>9.0</v>
      </c>
      <c r="C137" s="3" t="s">
        <v>4069</v>
      </c>
      <c r="D137" s="282">
        <v>1771.0</v>
      </c>
      <c r="E137" s="281">
        <v>43727.0</v>
      </c>
      <c r="F137" s="280" t="s">
        <v>4104</v>
      </c>
      <c r="G137" s="257" t="b">
        <v>0</v>
      </c>
      <c r="H137" s="256"/>
    </row>
    <row r="138">
      <c r="A138" s="253">
        <v>2019.0</v>
      </c>
      <c r="B138" s="3">
        <v>9.0</v>
      </c>
      <c r="C138" s="3" t="s">
        <v>4069</v>
      </c>
      <c r="D138" s="282">
        <v>1100.0</v>
      </c>
      <c r="E138" s="281">
        <v>43729.0</v>
      </c>
      <c r="F138" s="280" t="s">
        <v>4105</v>
      </c>
      <c r="G138" s="257" t="b">
        <v>0</v>
      </c>
      <c r="H138" s="256"/>
    </row>
    <row r="139">
      <c r="A139" s="253">
        <v>2019.0</v>
      </c>
      <c r="B139" s="3">
        <v>9.0</v>
      </c>
      <c r="C139" s="3" t="s">
        <v>4069</v>
      </c>
      <c r="D139" s="3">
        <v>700.0</v>
      </c>
      <c r="E139" s="287">
        <v>43729.0</v>
      </c>
      <c r="F139" s="280" t="s">
        <v>4106</v>
      </c>
      <c r="G139" s="257" t="b">
        <v>0</v>
      </c>
      <c r="H139" s="256"/>
    </row>
    <row r="140">
      <c r="A140" s="253">
        <v>2019.0</v>
      </c>
      <c r="B140" s="3">
        <v>9.0</v>
      </c>
      <c r="C140" s="3" t="s">
        <v>4068</v>
      </c>
      <c r="D140" s="282">
        <v>40000.0</v>
      </c>
      <c r="E140" s="281">
        <v>43729.0</v>
      </c>
      <c r="F140" s="256"/>
      <c r="G140" s="257" t="b">
        <v>0</v>
      </c>
      <c r="H140" s="256"/>
    </row>
    <row r="141" ht="24.75" customHeight="1">
      <c r="A141" s="288"/>
      <c r="B141" s="3">
        <v>9.0</v>
      </c>
      <c r="C141" s="3" t="s">
        <v>4069</v>
      </c>
      <c r="D141" s="3">
        <v>2800.0</v>
      </c>
      <c r="E141" s="281">
        <v>43731.0</v>
      </c>
      <c r="F141" s="280" t="s">
        <v>4107</v>
      </c>
      <c r="G141" s="257" t="b">
        <v>0</v>
      </c>
      <c r="H141" s="256"/>
    </row>
    <row r="142">
      <c r="A142" s="253">
        <v>2019.0</v>
      </c>
      <c r="B142" s="3">
        <v>9.0</v>
      </c>
      <c r="C142" s="3" t="s">
        <v>4069</v>
      </c>
      <c r="D142" s="3">
        <v>700.0</v>
      </c>
      <c r="E142" s="255">
        <v>43736.0</v>
      </c>
      <c r="F142" s="280" t="s">
        <v>4088</v>
      </c>
      <c r="G142" s="257" t="b">
        <v>0</v>
      </c>
      <c r="H142" s="256"/>
    </row>
    <row r="143">
      <c r="A143" s="253">
        <v>2019.0</v>
      </c>
      <c r="B143" s="3">
        <v>9.0</v>
      </c>
      <c r="C143" s="3" t="s">
        <v>4069</v>
      </c>
      <c r="D143" s="3">
        <v>750.0</v>
      </c>
      <c r="E143" s="281">
        <v>43737.0</v>
      </c>
      <c r="F143" s="280" t="s">
        <v>4108</v>
      </c>
      <c r="G143" s="257" t="b">
        <v>0</v>
      </c>
      <c r="H143" s="256"/>
    </row>
    <row r="144">
      <c r="A144" s="253">
        <v>2019.0</v>
      </c>
      <c r="B144" s="3">
        <v>9.0</v>
      </c>
      <c r="C144" s="3" t="s">
        <v>4069</v>
      </c>
      <c r="D144" s="3">
        <v>400.0</v>
      </c>
      <c r="E144" s="281">
        <v>43737.0</v>
      </c>
      <c r="F144" s="280" t="s">
        <v>4109</v>
      </c>
      <c r="G144" s="257" t="b">
        <v>0</v>
      </c>
      <c r="H144" s="256"/>
    </row>
    <row r="145">
      <c r="A145" s="253">
        <v>2019.0</v>
      </c>
      <c r="B145" s="3">
        <v>9.0</v>
      </c>
      <c r="C145" s="3" t="s">
        <v>4069</v>
      </c>
      <c r="D145" s="282">
        <v>8610.0</v>
      </c>
      <c r="E145" s="281">
        <v>43738.0</v>
      </c>
      <c r="F145" s="280" t="s">
        <v>4110</v>
      </c>
      <c r="G145" s="257" t="b">
        <v>0</v>
      </c>
      <c r="H145" s="256"/>
    </row>
    <row r="146">
      <c r="A146" s="253">
        <v>2019.0</v>
      </c>
      <c r="B146" s="3">
        <v>9.0</v>
      </c>
      <c r="C146" s="3" t="s">
        <v>4068</v>
      </c>
      <c r="D146" s="282">
        <v>24220.0</v>
      </c>
      <c r="E146" s="281">
        <v>43743.0</v>
      </c>
      <c r="F146" s="280"/>
      <c r="G146" s="257" t="b">
        <v>0</v>
      </c>
      <c r="H146" s="256"/>
    </row>
    <row r="147">
      <c r="A147" s="283">
        <v>2019.0</v>
      </c>
      <c r="B147" s="258">
        <v>10.0</v>
      </c>
      <c r="C147" s="258" t="s">
        <v>500</v>
      </c>
      <c r="D147" s="259">
        <v>54900.0</v>
      </c>
      <c r="E147" s="259"/>
      <c r="F147" s="262"/>
      <c r="G147" s="263" t="b">
        <v>0</v>
      </c>
      <c r="H147" s="262"/>
    </row>
    <row r="148">
      <c r="A148" s="253">
        <v>2019.0</v>
      </c>
      <c r="B148" s="3">
        <v>10.0</v>
      </c>
      <c r="C148" s="3" t="s">
        <v>4069</v>
      </c>
      <c r="D148" s="3">
        <v>700.0</v>
      </c>
      <c r="F148" s="280" t="s">
        <v>4111</v>
      </c>
      <c r="G148" s="257" t="b">
        <v>0</v>
      </c>
      <c r="H148" s="256"/>
    </row>
    <row r="149">
      <c r="A149" s="253">
        <v>2019.0</v>
      </c>
      <c r="B149" s="3">
        <v>10.0</v>
      </c>
      <c r="C149" s="3" t="s">
        <v>4068</v>
      </c>
      <c r="D149" s="282">
        <v>15000.0</v>
      </c>
      <c r="F149" s="289">
        <v>43745.0</v>
      </c>
      <c r="G149" s="257" t="b">
        <v>0</v>
      </c>
      <c r="H149" s="256"/>
    </row>
    <row r="150">
      <c r="A150" s="253">
        <v>2019.0</v>
      </c>
      <c r="B150" s="3">
        <v>10.0</v>
      </c>
      <c r="C150" s="3" t="s">
        <v>4069</v>
      </c>
      <c r="D150" s="3">
        <v>700.0</v>
      </c>
      <c r="F150" s="280" t="s">
        <v>4112</v>
      </c>
      <c r="G150" s="257" t="b">
        <v>0</v>
      </c>
      <c r="H150" s="256"/>
    </row>
    <row r="151">
      <c r="A151" s="253">
        <v>2019.0</v>
      </c>
      <c r="B151" s="3">
        <v>10.0</v>
      </c>
      <c r="C151" s="3" t="s">
        <v>4069</v>
      </c>
      <c r="D151" s="3">
        <v>700.0</v>
      </c>
      <c r="F151" s="280" t="s">
        <v>4113</v>
      </c>
      <c r="G151" s="257" t="b">
        <v>0</v>
      </c>
      <c r="H151" s="256"/>
    </row>
    <row r="152">
      <c r="A152" s="253">
        <v>2019.0</v>
      </c>
      <c r="B152" s="3">
        <v>10.0</v>
      </c>
      <c r="C152" s="3" t="s">
        <v>4069</v>
      </c>
      <c r="D152" s="282">
        <v>1000.0</v>
      </c>
      <c r="F152" s="280" t="s">
        <v>4114</v>
      </c>
      <c r="G152" s="257" t="b">
        <v>0</v>
      </c>
      <c r="H152" s="256"/>
    </row>
    <row r="153">
      <c r="A153" s="253">
        <v>2019.0</v>
      </c>
      <c r="B153" s="3">
        <v>10.0</v>
      </c>
      <c r="C153" s="3" t="s">
        <v>4069</v>
      </c>
      <c r="D153" s="3">
        <v>700.0</v>
      </c>
      <c r="F153" s="280" t="s">
        <v>4115</v>
      </c>
      <c r="G153" s="257" t="b">
        <v>0</v>
      </c>
      <c r="H153" s="256"/>
    </row>
    <row r="154">
      <c r="A154" s="253">
        <v>2019.0</v>
      </c>
      <c r="B154" s="3">
        <v>10.0</v>
      </c>
      <c r="C154" s="3" t="s">
        <v>4069</v>
      </c>
      <c r="D154" s="3">
        <v>700.0</v>
      </c>
      <c r="F154" s="280" t="s">
        <v>4116</v>
      </c>
      <c r="G154" s="257" t="b">
        <v>0</v>
      </c>
      <c r="H154" s="256"/>
    </row>
    <row r="155">
      <c r="A155" s="253">
        <v>2019.0</v>
      </c>
      <c r="B155" s="3">
        <v>10.0</v>
      </c>
      <c r="C155" s="3" t="s">
        <v>4069</v>
      </c>
      <c r="D155" s="282">
        <v>6447.0</v>
      </c>
      <c r="F155" s="280" t="s">
        <v>4117</v>
      </c>
      <c r="G155" s="257" t="b">
        <v>0</v>
      </c>
      <c r="H155" s="256"/>
    </row>
    <row r="156">
      <c r="A156" s="253">
        <v>2019.0</v>
      </c>
      <c r="B156" s="3">
        <v>10.0</v>
      </c>
      <c r="C156" s="3" t="s">
        <v>4068</v>
      </c>
      <c r="D156" s="3">
        <v>35000.0</v>
      </c>
      <c r="F156" s="289">
        <v>43772.0</v>
      </c>
      <c r="G156" s="257" t="b">
        <v>0</v>
      </c>
      <c r="H156" s="256"/>
    </row>
    <row r="157">
      <c r="A157" s="253">
        <v>2019.0</v>
      </c>
      <c r="B157" s="3">
        <v>10.0</v>
      </c>
      <c r="C157" s="3" t="s">
        <v>4068</v>
      </c>
      <c r="D157" s="282">
        <v>8516.0</v>
      </c>
      <c r="F157" s="256"/>
      <c r="G157" s="257" t="b">
        <v>0</v>
      </c>
      <c r="H157" s="256"/>
    </row>
    <row r="158">
      <c r="A158" s="283">
        <v>2019.0</v>
      </c>
      <c r="B158" s="258">
        <v>11.0</v>
      </c>
      <c r="C158" s="258" t="s">
        <v>4068</v>
      </c>
      <c r="D158" s="285">
        <v>10000.0</v>
      </c>
      <c r="E158" s="259"/>
      <c r="F158" s="290">
        <v>43773.0</v>
      </c>
      <c r="G158" s="263" t="b">
        <v>0</v>
      </c>
      <c r="H158" s="262"/>
    </row>
    <row r="159">
      <c r="A159" s="253">
        <v>2019.0</v>
      </c>
      <c r="B159" s="3">
        <v>11.0</v>
      </c>
      <c r="C159" s="3" t="s">
        <v>500</v>
      </c>
      <c r="D159">
        <v>82300.0</v>
      </c>
      <c r="F159" s="256"/>
      <c r="G159" s="257" t="b">
        <v>0</v>
      </c>
      <c r="H159" s="256"/>
    </row>
    <row r="160">
      <c r="A160" s="253">
        <v>2019.0</v>
      </c>
      <c r="B160" s="3">
        <v>11.0</v>
      </c>
      <c r="C160" s="3" t="s">
        <v>4069</v>
      </c>
      <c r="D160" s="3">
        <v>700.0</v>
      </c>
      <c r="F160" s="280" t="s">
        <v>4118</v>
      </c>
      <c r="G160" s="257" t="b">
        <v>0</v>
      </c>
      <c r="H160" s="256"/>
    </row>
    <row r="161">
      <c r="A161" s="253">
        <v>2019.0</v>
      </c>
      <c r="B161" s="3">
        <v>11.0</v>
      </c>
      <c r="C161" s="3" t="s">
        <v>4068</v>
      </c>
      <c r="D161" s="3">
        <v>20000.0</v>
      </c>
      <c r="F161" s="256"/>
      <c r="G161" s="257" t="b">
        <v>0</v>
      </c>
      <c r="H161" s="256"/>
    </row>
    <row r="162">
      <c r="A162" s="253">
        <v>2019.0</v>
      </c>
      <c r="B162" s="3">
        <v>11.0</v>
      </c>
      <c r="C162" s="3" t="s">
        <v>4068</v>
      </c>
      <c r="D162" s="282">
        <v>10000.0</v>
      </c>
      <c r="F162" s="256"/>
      <c r="G162" s="257" t="b">
        <v>0</v>
      </c>
      <c r="H162" s="256"/>
    </row>
    <row r="163">
      <c r="A163" s="253">
        <v>2019.0</v>
      </c>
      <c r="B163" s="3">
        <v>11.0</v>
      </c>
      <c r="C163" s="3" t="s">
        <v>4069</v>
      </c>
      <c r="D163" s="282">
        <v>1050.0</v>
      </c>
      <c r="F163" s="280" t="s">
        <v>4119</v>
      </c>
      <c r="G163" s="257" t="b">
        <v>0</v>
      </c>
      <c r="H163" s="256"/>
    </row>
    <row r="164">
      <c r="A164" s="253">
        <v>2019.0</v>
      </c>
      <c r="B164" s="3">
        <v>11.0</v>
      </c>
      <c r="C164" s="3" t="s">
        <v>4069</v>
      </c>
      <c r="D164" s="3">
        <v>836.0</v>
      </c>
      <c r="F164" s="280" t="s">
        <v>4120</v>
      </c>
      <c r="G164" s="257" t="b">
        <v>0</v>
      </c>
      <c r="H164" s="256"/>
    </row>
    <row r="165">
      <c r="A165" s="253">
        <v>2019.0</v>
      </c>
      <c r="B165" s="3">
        <v>11.0</v>
      </c>
      <c r="C165" s="3" t="s">
        <v>4069</v>
      </c>
      <c r="D165" s="3">
        <v>700.0</v>
      </c>
      <c r="F165" s="280" t="s">
        <v>4121</v>
      </c>
      <c r="G165" s="257" t="b">
        <v>0</v>
      </c>
      <c r="H165" s="256"/>
    </row>
    <row r="166">
      <c r="A166" s="253">
        <v>2019.0</v>
      </c>
      <c r="B166" s="3">
        <v>11.0</v>
      </c>
      <c r="C166" s="3" t="s">
        <v>4069</v>
      </c>
      <c r="D166" s="3">
        <v>3200.0</v>
      </c>
      <c r="F166" s="280" t="s">
        <v>4122</v>
      </c>
      <c r="G166" s="257" t="b">
        <v>0</v>
      </c>
      <c r="H166" s="256"/>
    </row>
    <row r="167">
      <c r="A167" s="253">
        <v>2019.0</v>
      </c>
      <c r="B167" s="3">
        <v>11.0</v>
      </c>
      <c r="C167" s="3" t="s">
        <v>4069</v>
      </c>
      <c r="D167" s="3">
        <v>700.0</v>
      </c>
      <c r="F167" s="280" t="s">
        <v>4123</v>
      </c>
      <c r="G167" s="257" t="b">
        <v>0</v>
      </c>
      <c r="H167" s="256"/>
    </row>
    <row r="168">
      <c r="A168" s="253">
        <v>2019.0</v>
      </c>
      <c r="B168" s="3">
        <v>11.0</v>
      </c>
      <c r="C168" s="3" t="s">
        <v>4068</v>
      </c>
      <c r="D168" s="282">
        <v>35000.0</v>
      </c>
      <c r="F168" s="256"/>
      <c r="G168" s="257" t="b">
        <v>0</v>
      </c>
      <c r="H168" s="256"/>
    </row>
    <row r="169">
      <c r="A169" s="253">
        <v>2019.0</v>
      </c>
      <c r="B169" s="3">
        <v>11.0</v>
      </c>
      <c r="C169" s="3" t="s">
        <v>4069</v>
      </c>
      <c r="D169" s="282">
        <v>1150.0</v>
      </c>
      <c r="F169" s="280" t="s">
        <v>4124</v>
      </c>
      <c r="G169" s="257" t="b">
        <v>0</v>
      </c>
      <c r="H169" s="256"/>
    </row>
    <row r="170">
      <c r="A170" s="253">
        <v>2019.0</v>
      </c>
      <c r="B170" s="3">
        <v>11.0</v>
      </c>
      <c r="C170" s="3" t="s">
        <v>4068</v>
      </c>
      <c r="D170" s="3">
        <v>3112.0</v>
      </c>
      <c r="F170" s="256"/>
      <c r="G170" s="257" t="b">
        <v>0</v>
      </c>
      <c r="H170" s="256"/>
    </row>
    <row r="171">
      <c r="A171" s="283">
        <v>2019.0</v>
      </c>
      <c r="B171" s="258">
        <v>12.0</v>
      </c>
      <c r="C171" s="258" t="s">
        <v>500</v>
      </c>
      <c r="D171" s="258">
        <v>84250.0</v>
      </c>
      <c r="E171" s="259"/>
      <c r="F171" s="262"/>
      <c r="G171" s="263" t="b">
        <v>0</v>
      </c>
      <c r="H171" s="262"/>
    </row>
    <row r="172">
      <c r="A172" s="253">
        <v>2019.0</v>
      </c>
      <c r="B172" s="3">
        <v>12.0</v>
      </c>
      <c r="C172" s="3" t="s">
        <v>4069</v>
      </c>
      <c r="D172" s="3">
        <v>700.0</v>
      </c>
      <c r="F172" s="280" t="s">
        <v>4125</v>
      </c>
      <c r="G172" s="257" t="b">
        <v>0</v>
      </c>
      <c r="H172" s="256"/>
    </row>
    <row r="173">
      <c r="A173" s="253">
        <v>2019.0</v>
      </c>
      <c r="B173" s="3">
        <v>12.0</v>
      </c>
      <c r="C173" s="3" t="s">
        <v>4068</v>
      </c>
      <c r="D173" s="282">
        <v>30000.0</v>
      </c>
      <c r="F173" s="256"/>
      <c r="G173" s="257" t="b">
        <v>0</v>
      </c>
      <c r="H173" s="256"/>
    </row>
    <row r="174">
      <c r="A174" s="253">
        <v>2019.0</v>
      </c>
      <c r="B174" s="3">
        <v>12.0</v>
      </c>
      <c r="C174" s="3" t="s">
        <v>4069</v>
      </c>
      <c r="D174" s="3">
        <v>700.0</v>
      </c>
      <c r="F174" s="280" t="s">
        <v>4096</v>
      </c>
      <c r="G174" s="257" t="b">
        <v>0</v>
      </c>
      <c r="H174" s="256"/>
    </row>
    <row r="175">
      <c r="A175" s="253">
        <v>2019.0</v>
      </c>
      <c r="B175" s="3">
        <v>12.0</v>
      </c>
      <c r="C175" s="3" t="s">
        <v>4069</v>
      </c>
      <c r="D175" s="3">
        <v>700.0</v>
      </c>
      <c r="F175" s="280" t="s">
        <v>4096</v>
      </c>
      <c r="G175" s="257" t="b">
        <v>0</v>
      </c>
      <c r="H175" s="256"/>
    </row>
    <row r="176">
      <c r="A176" s="253">
        <v>2019.0</v>
      </c>
      <c r="B176" s="3">
        <v>12.0</v>
      </c>
      <c r="C176" s="3" t="s">
        <v>4069</v>
      </c>
      <c r="D176" s="3">
        <v>1000.0</v>
      </c>
      <c r="F176" s="280" t="s">
        <v>4126</v>
      </c>
      <c r="G176" s="257" t="b">
        <v>0</v>
      </c>
      <c r="H176" s="256"/>
    </row>
    <row r="177">
      <c r="A177" s="253">
        <v>2019.0</v>
      </c>
      <c r="B177" s="3">
        <v>12.0</v>
      </c>
      <c r="C177" s="3" t="s">
        <v>4068</v>
      </c>
      <c r="D177" s="282">
        <v>20000.0</v>
      </c>
      <c r="F177" s="256"/>
      <c r="G177" s="257" t="b">
        <v>0</v>
      </c>
      <c r="H177" s="256"/>
    </row>
    <row r="178">
      <c r="A178" s="253">
        <v>2019.0</v>
      </c>
      <c r="B178" s="3">
        <v>12.0</v>
      </c>
      <c r="C178" s="3" t="s">
        <v>4069</v>
      </c>
      <c r="D178" s="3">
        <v>1050.0</v>
      </c>
      <c r="F178" s="280" t="s">
        <v>4096</v>
      </c>
      <c r="G178" s="257" t="b">
        <v>0</v>
      </c>
      <c r="H178" s="256"/>
    </row>
    <row r="179">
      <c r="A179" s="253">
        <v>2019.0</v>
      </c>
      <c r="B179" s="3">
        <v>12.0</v>
      </c>
      <c r="C179" s="3" t="s">
        <v>4092</v>
      </c>
      <c r="D179" s="282">
        <v>10571.0</v>
      </c>
      <c r="F179" s="280" t="s">
        <v>4127</v>
      </c>
      <c r="G179" s="257" t="b">
        <v>0</v>
      </c>
      <c r="H179" s="256"/>
    </row>
    <row r="180">
      <c r="A180" s="253">
        <v>2019.0</v>
      </c>
      <c r="B180" s="3">
        <v>12.0</v>
      </c>
      <c r="C180" s="3" t="s">
        <v>4068</v>
      </c>
      <c r="D180" s="3">
        <v>10000.0</v>
      </c>
      <c r="F180" s="256"/>
      <c r="G180" s="257" t="b">
        <v>0</v>
      </c>
      <c r="H180" s="256"/>
    </row>
    <row r="181">
      <c r="A181" s="253">
        <v>2019.0</v>
      </c>
      <c r="B181" s="3">
        <v>12.0</v>
      </c>
      <c r="C181" s="3" t="s">
        <v>4068</v>
      </c>
      <c r="D181" s="282">
        <v>3000.0</v>
      </c>
      <c r="F181" s="256"/>
      <c r="G181" s="257" t="b">
        <v>0</v>
      </c>
      <c r="H181" s="256"/>
    </row>
    <row r="182">
      <c r="A182" s="283">
        <v>2020.0</v>
      </c>
      <c r="B182" s="258">
        <v>1.0</v>
      </c>
      <c r="C182" s="258" t="s">
        <v>4068</v>
      </c>
      <c r="D182" s="258">
        <v>20000.0</v>
      </c>
      <c r="E182" s="259"/>
      <c r="F182" s="290">
        <v>43922.0</v>
      </c>
      <c r="G182" s="263" t="b">
        <v>0</v>
      </c>
      <c r="H182" s="262"/>
    </row>
    <row r="183">
      <c r="A183" s="253">
        <v>2020.0</v>
      </c>
      <c r="B183" s="3">
        <v>1.0</v>
      </c>
      <c r="C183" s="3" t="s">
        <v>4069</v>
      </c>
      <c r="D183" s="3">
        <v>1050.0</v>
      </c>
      <c r="F183" s="280" t="s">
        <v>4128</v>
      </c>
      <c r="G183" s="257" t="b">
        <v>0</v>
      </c>
      <c r="H183" s="256"/>
    </row>
    <row r="184">
      <c r="A184" s="253">
        <v>2020.0</v>
      </c>
      <c r="B184" s="3">
        <v>1.0</v>
      </c>
      <c r="C184" s="3" t="s">
        <v>4068</v>
      </c>
      <c r="D184" s="3">
        <v>20000.0</v>
      </c>
      <c r="F184" s="289">
        <v>43835.0</v>
      </c>
      <c r="G184" s="257" t="b">
        <v>0</v>
      </c>
      <c r="H184" s="256"/>
    </row>
    <row r="185">
      <c r="A185" s="253">
        <v>2020.0</v>
      </c>
      <c r="B185" s="3">
        <v>1.0</v>
      </c>
      <c r="C185" s="3" t="s">
        <v>500</v>
      </c>
      <c r="D185">
        <v>124034.0</v>
      </c>
      <c r="F185" s="256"/>
      <c r="G185" s="257" t="b">
        <v>0</v>
      </c>
      <c r="H185" s="256"/>
    </row>
    <row r="186">
      <c r="A186" s="253">
        <v>2020.0</v>
      </c>
      <c r="B186" s="3">
        <v>1.0</v>
      </c>
      <c r="C186" s="3" t="s">
        <v>4068</v>
      </c>
      <c r="D186" s="282">
        <v>30000.0</v>
      </c>
      <c r="F186" s="291">
        <v>43841.0</v>
      </c>
      <c r="G186" s="257" t="b">
        <v>0</v>
      </c>
      <c r="H186" s="256"/>
    </row>
    <row r="187">
      <c r="A187" s="253">
        <v>2020.0</v>
      </c>
      <c r="B187" s="3">
        <v>1.0</v>
      </c>
      <c r="C187" s="3" t="s">
        <v>4069</v>
      </c>
      <c r="D187" s="3">
        <v>1050.0</v>
      </c>
      <c r="F187" s="256"/>
      <c r="G187" s="257" t="b">
        <v>0</v>
      </c>
      <c r="H187" s="256"/>
    </row>
    <row r="188">
      <c r="A188" s="253">
        <v>2020.0</v>
      </c>
      <c r="B188" s="3">
        <v>1.0</v>
      </c>
      <c r="C188" s="3" t="s">
        <v>4068</v>
      </c>
      <c r="D188" s="3">
        <v>15000.0</v>
      </c>
      <c r="F188" s="280" t="s">
        <v>4129</v>
      </c>
      <c r="G188" s="257" t="b">
        <v>0</v>
      </c>
      <c r="H188" s="256"/>
    </row>
    <row r="189">
      <c r="A189" s="253">
        <v>2020.0</v>
      </c>
      <c r="B189" s="3">
        <v>1.0</v>
      </c>
      <c r="C189" s="3" t="s">
        <v>4092</v>
      </c>
      <c r="D189" s="282">
        <v>10571.0</v>
      </c>
      <c r="F189" s="256"/>
      <c r="G189" s="257" t="b">
        <v>0</v>
      </c>
      <c r="H189" s="256"/>
    </row>
    <row r="190">
      <c r="A190" s="253">
        <v>2020.0</v>
      </c>
      <c r="B190" s="3">
        <v>1.0</v>
      </c>
      <c r="C190" s="3" t="s">
        <v>4069</v>
      </c>
      <c r="D190" s="282">
        <v>7135.0</v>
      </c>
      <c r="F190" s="280" t="s">
        <v>4130</v>
      </c>
      <c r="G190" s="257" t="b">
        <v>0</v>
      </c>
      <c r="H190" s="256"/>
    </row>
    <row r="191">
      <c r="A191" s="253">
        <v>2020.0</v>
      </c>
      <c r="B191" s="3">
        <v>1.0</v>
      </c>
      <c r="C191" s="3" t="s">
        <v>4069</v>
      </c>
      <c r="D191" s="282">
        <v>1050.0</v>
      </c>
      <c r="F191" s="280" t="s">
        <v>4096</v>
      </c>
      <c r="G191" s="257" t="b">
        <v>0</v>
      </c>
      <c r="H191" s="256"/>
    </row>
    <row r="192">
      <c r="A192" s="253">
        <v>2020.0</v>
      </c>
      <c r="B192" s="3">
        <v>1.0</v>
      </c>
      <c r="C192" s="3" t="s">
        <v>4069</v>
      </c>
      <c r="D192" s="3">
        <v>1050.0</v>
      </c>
      <c r="F192" s="280" t="s">
        <v>4088</v>
      </c>
      <c r="G192" s="257" t="b">
        <v>0</v>
      </c>
      <c r="H192" s="256"/>
    </row>
    <row r="193">
      <c r="A193" s="253">
        <v>2020.0</v>
      </c>
      <c r="B193" s="3">
        <v>1.0</v>
      </c>
      <c r="C193" s="3" t="s">
        <v>4069</v>
      </c>
      <c r="D193" s="3">
        <v>1050.0</v>
      </c>
      <c r="F193" s="280" t="s">
        <v>4096</v>
      </c>
      <c r="G193" s="257" t="b">
        <v>0</v>
      </c>
      <c r="H193" s="256"/>
    </row>
    <row r="194">
      <c r="A194" s="253">
        <v>2020.0</v>
      </c>
      <c r="B194" s="3">
        <v>1.0</v>
      </c>
      <c r="C194" s="3" t="s">
        <v>4068</v>
      </c>
      <c r="D194" s="282">
        <v>15000.0</v>
      </c>
      <c r="F194" s="291">
        <v>43859.0</v>
      </c>
      <c r="G194" s="257" t="b">
        <v>0</v>
      </c>
      <c r="H194" s="256"/>
    </row>
    <row r="195">
      <c r="A195" s="253">
        <v>2020.0</v>
      </c>
      <c r="B195" s="3">
        <v>1.0</v>
      </c>
      <c r="C195" s="3" t="s">
        <v>4068</v>
      </c>
      <c r="D195" s="282">
        <v>10000.0</v>
      </c>
      <c r="F195" s="289">
        <v>43862.0</v>
      </c>
      <c r="G195" s="257" t="b">
        <v>0</v>
      </c>
      <c r="H195" s="256"/>
    </row>
    <row r="196">
      <c r="A196" s="253">
        <v>2020.0</v>
      </c>
      <c r="B196" s="3">
        <v>1.0</v>
      </c>
      <c r="C196" s="3" t="s">
        <v>4068</v>
      </c>
      <c r="D196" s="3">
        <v>17000.0</v>
      </c>
      <c r="F196" s="291">
        <v>43868.0</v>
      </c>
      <c r="G196" s="257" t="b">
        <v>0</v>
      </c>
      <c r="H196" s="256"/>
    </row>
    <row r="197">
      <c r="A197" s="253">
        <v>2020.0</v>
      </c>
      <c r="B197" s="3">
        <v>1.0</v>
      </c>
      <c r="C197" s="3" t="s">
        <v>4069</v>
      </c>
      <c r="D197" s="3">
        <v>3992.0</v>
      </c>
      <c r="F197" s="280" t="s">
        <v>4131</v>
      </c>
      <c r="G197" s="257" t="b">
        <v>0</v>
      </c>
      <c r="H197" s="256"/>
    </row>
    <row r="198">
      <c r="A198" s="283">
        <v>2020.0</v>
      </c>
      <c r="B198" s="258">
        <v>2.0</v>
      </c>
      <c r="C198" s="258" t="s">
        <v>500</v>
      </c>
      <c r="D198" s="258">
        <v>112734.0</v>
      </c>
      <c r="E198" s="259"/>
      <c r="F198" s="262"/>
      <c r="G198" s="263" t="b">
        <v>0</v>
      </c>
      <c r="H198" s="262"/>
    </row>
    <row r="199">
      <c r="A199" s="253">
        <v>2020.0</v>
      </c>
      <c r="B199" s="3">
        <v>2.0</v>
      </c>
      <c r="C199" s="3" t="s">
        <v>4069</v>
      </c>
      <c r="D199" s="3">
        <v>1000.0</v>
      </c>
      <c r="F199" s="280" t="s">
        <v>4096</v>
      </c>
      <c r="G199" s="257" t="b">
        <v>0</v>
      </c>
      <c r="H199" s="256"/>
    </row>
    <row r="200">
      <c r="A200" s="253">
        <v>2020.0</v>
      </c>
      <c r="B200" s="3">
        <v>2.0</v>
      </c>
      <c r="C200" s="3" t="s">
        <v>4068</v>
      </c>
      <c r="D200" s="282">
        <v>20000.0</v>
      </c>
      <c r="F200" s="291">
        <v>43870.0</v>
      </c>
      <c r="G200" s="257" t="b">
        <v>0</v>
      </c>
      <c r="H200" s="256"/>
    </row>
    <row r="201">
      <c r="A201" s="253">
        <v>2020.0</v>
      </c>
      <c r="B201" s="3">
        <v>2.0</v>
      </c>
      <c r="C201" s="3" t="s">
        <v>4069</v>
      </c>
      <c r="D201" s="3">
        <v>1000.0</v>
      </c>
      <c r="F201" s="280" t="s">
        <v>4096</v>
      </c>
      <c r="G201" s="257" t="b">
        <v>0</v>
      </c>
      <c r="H201" s="256"/>
    </row>
    <row r="202">
      <c r="A202" s="253">
        <v>2020.0</v>
      </c>
      <c r="B202" s="3">
        <v>2.0</v>
      </c>
      <c r="C202" s="3" t="s">
        <v>4068</v>
      </c>
      <c r="D202" s="3">
        <v>25000.0</v>
      </c>
      <c r="F202" s="289">
        <v>43876.0</v>
      </c>
      <c r="G202" s="257" t="b">
        <v>0</v>
      </c>
      <c r="H202" s="256"/>
    </row>
    <row r="203">
      <c r="A203" s="253">
        <v>2020.0</v>
      </c>
      <c r="B203" s="3">
        <v>2.0</v>
      </c>
      <c r="C203" s="3" t="s">
        <v>4069</v>
      </c>
      <c r="D203" s="3">
        <v>1000.0</v>
      </c>
      <c r="F203" s="280" t="s">
        <v>4096</v>
      </c>
      <c r="G203" s="257" t="b">
        <v>0</v>
      </c>
      <c r="H203" s="256"/>
    </row>
    <row r="204">
      <c r="A204" s="253">
        <v>2020.0</v>
      </c>
      <c r="B204" s="3">
        <v>2.0</v>
      </c>
      <c r="C204" s="3" t="s">
        <v>4069</v>
      </c>
      <c r="D204" s="3">
        <v>500.0</v>
      </c>
      <c r="F204" s="280" t="s">
        <v>4132</v>
      </c>
      <c r="G204" s="257" t="b">
        <v>0</v>
      </c>
      <c r="H204" s="256"/>
    </row>
    <row r="205">
      <c r="A205" s="253">
        <v>2020.0</v>
      </c>
      <c r="B205" s="3">
        <v>2.0</v>
      </c>
      <c r="C205" s="3" t="s">
        <v>4068</v>
      </c>
      <c r="D205" s="282">
        <v>5000.0</v>
      </c>
      <c r="F205" s="280" t="s">
        <v>4133</v>
      </c>
      <c r="G205" s="257" t="b">
        <v>0</v>
      </c>
      <c r="H205" s="256"/>
    </row>
    <row r="206">
      <c r="A206" s="253">
        <v>2020.0</v>
      </c>
      <c r="B206" s="3">
        <v>2.0</v>
      </c>
      <c r="C206" s="3" t="s">
        <v>4069</v>
      </c>
      <c r="D206" s="282">
        <v>16000.0</v>
      </c>
      <c r="F206" s="280" t="s">
        <v>4134</v>
      </c>
      <c r="G206" s="257" t="b">
        <v>0</v>
      </c>
      <c r="H206" s="256"/>
    </row>
    <row r="207">
      <c r="A207" s="253">
        <v>2020.0</v>
      </c>
      <c r="B207" s="3">
        <v>2.0</v>
      </c>
      <c r="C207" s="3" t="s">
        <v>4068</v>
      </c>
      <c r="D207" s="3">
        <v>10000.0</v>
      </c>
      <c r="F207" s="291">
        <v>43890.0</v>
      </c>
      <c r="G207" s="257" t="b">
        <v>0</v>
      </c>
      <c r="H207" s="256"/>
    </row>
    <row r="208">
      <c r="A208" s="253">
        <v>2020.0</v>
      </c>
      <c r="B208" s="3">
        <v>2.0</v>
      </c>
      <c r="C208" s="3" t="s">
        <v>4069</v>
      </c>
      <c r="D208" s="3">
        <v>520.0</v>
      </c>
      <c r="F208" s="280" t="s">
        <v>4135</v>
      </c>
      <c r="G208" s="257" t="b">
        <v>0</v>
      </c>
      <c r="H208" s="256"/>
    </row>
    <row r="209">
      <c r="A209" s="253">
        <v>2020.0</v>
      </c>
      <c r="B209" s="3">
        <v>2.0</v>
      </c>
      <c r="C209" s="3" t="s">
        <v>4068</v>
      </c>
      <c r="D209" s="3">
        <v>1950.0</v>
      </c>
      <c r="F209" s="291">
        <v>43891.0</v>
      </c>
      <c r="G209" s="257" t="b">
        <v>0</v>
      </c>
      <c r="H209" s="256"/>
    </row>
    <row r="210">
      <c r="A210" s="283">
        <v>2020.0</v>
      </c>
      <c r="B210" s="258">
        <v>3.0</v>
      </c>
      <c r="C210" s="258" t="s">
        <v>4068</v>
      </c>
      <c r="D210" s="258">
        <v>7000.0</v>
      </c>
      <c r="E210" s="259"/>
      <c r="F210" s="292">
        <v>43891.0</v>
      </c>
      <c r="G210" s="263" t="b">
        <v>0</v>
      </c>
      <c r="H210" s="262"/>
    </row>
    <row r="211">
      <c r="A211" s="253">
        <v>2020.0</v>
      </c>
      <c r="B211" s="3">
        <v>3.0</v>
      </c>
      <c r="C211" s="3" t="s">
        <v>4068</v>
      </c>
      <c r="D211" s="3">
        <v>10000.0</v>
      </c>
      <c r="F211" s="256"/>
      <c r="G211" s="257" t="b">
        <v>0</v>
      </c>
      <c r="H211" s="256"/>
    </row>
    <row r="212">
      <c r="A212" s="253">
        <v>2020.0</v>
      </c>
      <c r="B212" s="3">
        <v>3.0</v>
      </c>
      <c r="C212" s="3" t="s">
        <v>4068</v>
      </c>
      <c r="D212" s="282">
        <v>20000.0</v>
      </c>
      <c r="F212" s="289">
        <v>43898.0</v>
      </c>
      <c r="G212" s="257" t="b">
        <v>0</v>
      </c>
      <c r="H212" s="256"/>
    </row>
    <row r="213">
      <c r="A213" s="253">
        <v>2020.0</v>
      </c>
      <c r="B213" s="3">
        <v>3.0</v>
      </c>
      <c r="C213" s="3" t="s">
        <v>500</v>
      </c>
      <c r="D213">
        <v>71775.0</v>
      </c>
      <c r="G213" s="257" t="b">
        <v>0</v>
      </c>
      <c r="H213" s="256"/>
    </row>
    <row r="214">
      <c r="A214" s="253">
        <v>2020.0</v>
      </c>
      <c r="B214" s="3">
        <v>3.0</v>
      </c>
      <c r="C214" s="3" t="s">
        <v>4069</v>
      </c>
      <c r="D214" s="3">
        <v>3200.0</v>
      </c>
      <c r="F214" s="280" t="s">
        <v>4136</v>
      </c>
      <c r="G214" s="257" t="b">
        <v>0</v>
      </c>
      <c r="H214" s="256"/>
    </row>
    <row r="215">
      <c r="A215" s="283">
        <v>2020.0</v>
      </c>
      <c r="B215" s="258">
        <v>4.0</v>
      </c>
      <c r="C215" s="258" t="s">
        <v>500</v>
      </c>
      <c r="D215" s="259">
        <v>152650.0</v>
      </c>
      <c r="E215" s="259"/>
      <c r="F215" s="262"/>
      <c r="G215" s="263" t="b">
        <v>0</v>
      </c>
      <c r="H215" s="262"/>
    </row>
    <row r="216">
      <c r="A216" s="283">
        <v>2020.0</v>
      </c>
      <c r="B216" s="258">
        <v>4.0</v>
      </c>
      <c r="C216" s="258" t="s">
        <v>4137</v>
      </c>
      <c r="D216" s="258">
        <v>-21425.0</v>
      </c>
      <c r="E216" s="259"/>
      <c r="F216" s="262"/>
      <c r="G216" s="263" t="b">
        <v>0</v>
      </c>
      <c r="H216" s="262"/>
    </row>
    <row r="217">
      <c r="A217" s="283">
        <v>2020.0</v>
      </c>
      <c r="B217" s="258">
        <v>5.0</v>
      </c>
      <c r="C217" s="258" t="s">
        <v>500</v>
      </c>
      <c r="D217" s="258">
        <v>234650.0</v>
      </c>
      <c r="E217" s="259"/>
      <c r="F217" s="262"/>
      <c r="G217" s="263" t="b">
        <v>0</v>
      </c>
      <c r="H217" s="262"/>
    </row>
    <row r="218">
      <c r="A218" s="253">
        <v>2020.0</v>
      </c>
      <c r="B218" s="3">
        <v>5.0</v>
      </c>
      <c r="C218" s="3" t="s">
        <v>4068</v>
      </c>
      <c r="D218" s="282">
        <v>5000.0</v>
      </c>
      <c r="F218" s="289">
        <v>43962.0</v>
      </c>
      <c r="G218" s="257" t="b">
        <v>0</v>
      </c>
      <c r="H218" s="256"/>
    </row>
    <row r="219">
      <c r="A219" s="253">
        <v>2020.0</v>
      </c>
      <c r="B219" s="3">
        <v>5.0</v>
      </c>
      <c r="C219" s="3" t="s">
        <v>4069</v>
      </c>
      <c r="D219" s="3">
        <v>3200.0</v>
      </c>
      <c r="F219" s="280" t="s">
        <v>4138</v>
      </c>
      <c r="G219" s="257" t="b">
        <v>0</v>
      </c>
      <c r="H219" s="256"/>
    </row>
    <row r="220">
      <c r="A220" s="253">
        <v>2020.0</v>
      </c>
      <c r="B220" s="3">
        <v>5.0</v>
      </c>
      <c r="C220" s="3" t="s">
        <v>4137</v>
      </c>
      <c r="D220" s="3">
        <v>-10580.0</v>
      </c>
      <c r="F220" s="280"/>
      <c r="G220" s="257" t="b">
        <v>0</v>
      </c>
      <c r="H220" s="256"/>
    </row>
    <row r="221">
      <c r="A221" s="283">
        <v>2020.0</v>
      </c>
      <c r="B221" s="258">
        <v>6.0</v>
      </c>
      <c r="C221" s="258" t="s">
        <v>500</v>
      </c>
      <c r="D221" s="258">
        <v>137975.0</v>
      </c>
      <c r="E221" s="259"/>
      <c r="F221" s="262"/>
      <c r="G221" s="263" t="b">
        <v>0</v>
      </c>
      <c r="H221" s="262"/>
    </row>
    <row r="222">
      <c r="A222" s="283">
        <v>2020.0</v>
      </c>
      <c r="B222" s="258">
        <v>6.0</v>
      </c>
      <c r="C222" s="258" t="s">
        <v>4137</v>
      </c>
      <c r="D222" s="285">
        <v>-8147.0</v>
      </c>
      <c r="E222" s="259"/>
      <c r="F222" s="262"/>
      <c r="G222" s="263" t="b">
        <v>0</v>
      </c>
      <c r="H222" s="262"/>
    </row>
    <row r="223">
      <c r="A223" s="283">
        <v>2020.0</v>
      </c>
      <c r="B223" s="258">
        <v>7.0</v>
      </c>
      <c r="C223" s="258" t="s">
        <v>500</v>
      </c>
      <c r="D223" s="258">
        <v>207310.0</v>
      </c>
      <c r="E223" s="259"/>
      <c r="F223" s="262"/>
      <c r="G223" s="263" t="b">
        <v>0</v>
      </c>
      <c r="H223" s="262"/>
    </row>
    <row r="224">
      <c r="A224" s="283">
        <v>2020.0</v>
      </c>
      <c r="B224" s="258">
        <v>7.0</v>
      </c>
      <c r="C224" s="258" t="s">
        <v>4137</v>
      </c>
      <c r="D224" s="285">
        <v>-5651.0</v>
      </c>
      <c r="E224" s="259"/>
      <c r="F224" s="262"/>
      <c r="G224" s="263" t="b">
        <v>0</v>
      </c>
      <c r="H224" s="262"/>
    </row>
    <row r="225">
      <c r="A225" s="283">
        <v>2020.0</v>
      </c>
      <c r="B225" s="258">
        <v>8.0</v>
      </c>
      <c r="C225" s="258" t="s">
        <v>500</v>
      </c>
      <c r="D225" s="258">
        <v>221300.0</v>
      </c>
      <c r="E225" s="259"/>
      <c r="F225" s="262"/>
      <c r="G225" s="263" t="b">
        <v>0</v>
      </c>
      <c r="H225" s="262"/>
    </row>
    <row r="226">
      <c r="A226" s="253">
        <v>2020.0</v>
      </c>
      <c r="B226" s="3">
        <v>8.0</v>
      </c>
      <c r="C226" s="3" t="s">
        <v>4092</v>
      </c>
      <c r="D226">
        <f>22549.3</f>
        <v>22549.3</v>
      </c>
      <c r="F226" s="256"/>
      <c r="G226" s="257" t="b">
        <v>0</v>
      </c>
      <c r="H226" s="256"/>
    </row>
    <row r="227">
      <c r="A227" s="253">
        <v>2020.0</v>
      </c>
      <c r="B227" s="3">
        <v>8.0</v>
      </c>
      <c r="C227" s="3" t="s">
        <v>4069</v>
      </c>
      <c r="D227" s="3">
        <v>4800.0</v>
      </c>
      <c r="F227" s="280" t="s">
        <v>4139</v>
      </c>
      <c r="G227" s="257" t="b">
        <v>0</v>
      </c>
      <c r="H227" s="256"/>
    </row>
    <row r="228">
      <c r="A228" s="253">
        <v>2020.0</v>
      </c>
      <c r="B228" s="3">
        <v>8.0</v>
      </c>
      <c r="C228" s="3" t="s">
        <v>4069</v>
      </c>
      <c r="D228" s="282">
        <v>2300.0</v>
      </c>
      <c r="F228" s="280" t="s">
        <v>4140</v>
      </c>
      <c r="G228" s="257" t="b">
        <v>0</v>
      </c>
      <c r="H228" s="256"/>
    </row>
    <row r="229">
      <c r="A229" s="253">
        <v>2020.0</v>
      </c>
      <c r="B229" s="3">
        <v>8.0</v>
      </c>
      <c r="C229" s="3" t="s">
        <v>4137</v>
      </c>
      <c r="D229" s="282">
        <v>-12549.0</v>
      </c>
      <c r="F229" s="280" t="s">
        <v>4141</v>
      </c>
      <c r="G229" s="257" t="b">
        <v>0</v>
      </c>
      <c r="H229" s="256"/>
    </row>
    <row r="230">
      <c r="A230" s="253">
        <v>2020.0</v>
      </c>
      <c r="B230" s="3">
        <v>8.0</v>
      </c>
      <c r="C230" s="3" t="s">
        <v>4137</v>
      </c>
      <c r="D230" s="282">
        <v>-27235.0</v>
      </c>
      <c r="F230" s="256"/>
      <c r="G230" s="257" t="b">
        <v>0</v>
      </c>
      <c r="H230" s="280">
        <f>35475+22549.3</f>
        <v>58024.3</v>
      </c>
    </row>
    <row r="231">
      <c r="A231" s="283">
        <v>2020.0</v>
      </c>
      <c r="B231" s="258">
        <v>9.0</v>
      </c>
      <c r="C231" s="258" t="s">
        <v>500</v>
      </c>
      <c r="D231" s="258">
        <v>339775.0</v>
      </c>
      <c r="E231" s="259"/>
      <c r="F231" s="262"/>
      <c r="G231" s="263" t="b">
        <v>0</v>
      </c>
      <c r="H231" s="262"/>
    </row>
    <row r="232">
      <c r="A232" s="253">
        <v>2020.0</v>
      </c>
      <c r="B232" s="3">
        <v>9.0</v>
      </c>
      <c r="C232" s="3" t="s">
        <v>4069</v>
      </c>
      <c r="D232" s="3">
        <v>680.0</v>
      </c>
      <c r="F232" s="280" t="s">
        <v>4142</v>
      </c>
      <c r="G232" s="257" t="b">
        <v>0</v>
      </c>
      <c r="H232" s="256">
        <f>25950-4800-2300</f>
        <v>18850</v>
      </c>
    </row>
    <row r="233">
      <c r="A233" s="253">
        <v>2020.0</v>
      </c>
      <c r="B233" s="3">
        <v>9.0</v>
      </c>
      <c r="C233" s="3" t="s">
        <v>4069</v>
      </c>
      <c r="D233" s="3">
        <v>750.0</v>
      </c>
      <c r="F233" s="280" t="s">
        <v>4143</v>
      </c>
      <c r="G233" s="257" t="b">
        <v>0</v>
      </c>
      <c r="H233" s="256">
        <f>H230-H232</f>
        <v>39174.3</v>
      </c>
    </row>
    <row r="234">
      <c r="A234" s="253">
        <v>2020.0</v>
      </c>
      <c r="B234" s="3">
        <v>9.0</v>
      </c>
      <c r="C234" s="3" t="s">
        <v>4069</v>
      </c>
      <c r="D234" s="282">
        <v>2500.0</v>
      </c>
      <c r="F234" s="280" t="s">
        <v>4144</v>
      </c>
      <c r="G234" s="257" t="b">
        <v>0</v>
      </c>
      <c r="H234" s="256"/>
    </row>
    <row r="235">
      <c r="A235" s="253">
        <v>2020.0</v>
      </c>
      <c r="B235" s="3">
        <v>9.0</v>
      </c>
      <c r="C235" s="3" t="s">
        <v>4068</v>
      </c>
      <c r="D235" s="282">
        <v>5567.0</v>
      </c>
      <c r="F235" s="256"/>
      <c r="G235" s="257" t="b">
        <v>0</v>
      </c>
      <c r="H235" s="256"/>
    </row>
    <row r="236">
      <c r="A236" s="283">
        <v>2020.0</v>
      </c>
      <c r="B236" s="258">
        <v>10.0</v>
      </c>
      <c r="C236" s="258" t="s">
        <v>500</v>
      </c>
      <c r="D236" s="285">
        <v>351700.0</v>
      </c>
      <c r="E236" s="259"/>
      <c r="F236" s="262"/>
      <c r="G236" s="263" t="b">
        <v>0</v>
      </c>
      <c r="H236" s="262"/>
    </row>
    <row r="237">
      <c r="A237" s="253">
        <v>2020.0</v>
      </c>
      <c r="B237" s="3">
        <v>10.0</v>
      </c>
      <c r="C237" s="3" t="s">
        <v>4137</v>
      </c>
      <c r="D237" s="282">
        <v>-5000.0</v>
      </c>
      <c r="F237" s="256"/>
      <c r="G237" s="257" t="b">
        <v>0</v>
      </c>
      <c r="H237" s="256"/>
    </row>
    <row r="238">
      <c r="A238" s="253">
        <v>2020.0</v>
      </c>
      <c r="B238" s="3">
        <v>10.0</v>
      </c>
      <c r="C238" s="3" t="s">
        <v>4069</v>
      </c>
      <c r="D238" s="282">
        <v>1580.0</v>
      </c>
      <c r="F238" s="256"/>
      <c r="G238" s="257" t="b">
        <v>0</v>
      </c>
      <c r="H238" s="256"/>
    </row>
    <row r="239">
      <c r="A239" s="253">
        <v>2020.0</v>
      </c>
      <c r="B239" s="3">
        <v>10.0</v>
      </c>
      <c r="C239" s="3" t="s">
        <v>4137</v>
      </c>
      <c r="D239" s="282">
        <v>-3472.0</v>
      </c>
      <c r="F239" s="256"/>
      <c r="G239" s="257" t="b">
        <v>0</v>
      </c>
      <c r="H239" s="256"/>
    </row>
    <row r="240">
      <c r="A240" s="283">
        <v>2020.0</v>
      </c>
      <c r="B240" s="258">
        <v>11.0</v>
      </c>
      <c r="C240" s="258" t="s">
        <v>500</v>
      </c>
      <c r="D240" s="285">
        <v>306684.0</v>
      </c>
      <c r="E240" s="259"/>
      <c r="F240" s="262"/>
      <c r="G240" s="263" t="b">
        <v>0</v>
      </c>
      <c r="H240" s="262"/>
    </row>
    <row r="241">
      <c r="A241" s="253">
        <v>2020.0</v>
      </c>
      <c r="B241" s="3">
        <v>11.0</v>
      </c>
      <c r="C241" s="3" t="s">
        <v>4069</v>
      </c>
      <c r="D241" s="282">
        <v>2642.0</v>
      </c>
      <c r="F241" s="280" t="s">
        <v>4145</v>
      </c>
      <c r="G241" s="257" t="b">
        <v>0</v>
      </c>
      <c r="H241" s="256"/>
    </row>
    <row r="242">
      <c r="A242" s="253">
        <v>2020.0</v>
      </c>
      <c r="B242" s="3">
        <v>11.0</v>
      </c>
      <c r="C242" s="3" t="s">
        <v>4069</v>
      </c>
      <c r="D242" s="3">
        <v>700.0</v>
      </c>
      <c r="F242" s="280" t="s">
        <v>4146</v>
      </c>
      <c r="G242" s="257" t="b">
        <v>0</v>
      </c>
      <c r="H242" s="256"/>
    </row>
    <row r="243">
      <c r="A243" s="253">
        <v>2020.0</v>
      </c>
      <c r="B243" s="3">
        <v>11.0</v>
      </c>
      <c r="C243" s="3" t="s">
        <v>4068</v>
      </c>
      <c r="D243" s="282">
        <v>3030.0</v>
      </c>
      <c r="F243" s="256"/>
      <c r="G243" s="257" t="b">
        <v>0</v>
      </c>
      <c r="H243" s="256"/>
    </row>
    <row r="244">
      <c r="A244" s="283">
        <v>2020.0</v>
      </c>
      <c r="B244" s="258">
        <v>12.0</v>
      </c>
      <c r="C244" s="258" t="s">
        <v>500</v>
      </c>
      <c r="D244" s="285">
        <v>275859.0</v>
      </c>
      <c r="E244" s="259"/>
      <c r="F244" s="277"/>
      <c r="G244" s="263" t="b">
        <v>0</v>
      </c>
      <c r="H244" s="262"/>
    </row>
    <row r="245">
      <c r="A245" s="253">
        <v>2020.0</v>
      </c>
      <c r="B245" s="3">
        <v>12.0</v>
      </c>
      <c r="C245" s="3" t="s">
        <v>4069</v>
      </c>
      <c r="D245" s="282">
        <v>1300.0</v>
      </c>
      <c r="F245" s="280" t="s">
        <v>4147</v>
      </c>
      <c r="G245" s="280" t="b">
        <v>0</v>
      </c>
      <c r="H245" s="256"/>
    </row>
    <row r="246">
      <c r="A246" s="253">
        <v>2020.0</v>
      </c>
      <c r="B246" s="3">
        <v>12.0</v>
      </c>
      <c r="C246" s="3" t="s">
        <v>4069</v>
      </c>
      <c r="D246" s="3">
        <v>7192.0</v>
      </c>
      <c r="F246" s="280" t="s">
        <v>4148</v>
      </c>
      <c r="G246" s="257" t="b">
        <v>0</v>
      </c>
      <c r="H246" s="256"/>
    </row>
    <row r="247">
      <c r="A247" s="253">
        <v>2020.0</v>
      </c>
      <c r="B247" s="3">
        <v>12.0</v>
      </c>
      <c r="C247" s="3" t="s">
        <v>4092</v>
      </c>
      <c r="D247" s="282">
        <v>28726.0</v>
      </c>
      <c r="F247" s="256"/>
      <c r="G247" s="257" t="b">
        <v>0</v>
      </c>
      <c r="H247" s="256"/>
    </row>
    <row r="248">
      <c r="A248" s="253">
        <v>2020.0</v>
      </c>
      <c r="B248" s="3">
        <v>12.0</v>
      </c>
      <c r="C248" s="3" t="s">
        <v>4068</v>
      </c>
      <c r="D248" s="282">
        <v>1212.0</v>
      </c>
      <c r="F248" s="256"/>
      <c r="G248" s="257" t="b">
        <v>0</v>
      </c>
      <c r="H248" s="256"/>
    </row>
    <row r="249">
      <c r="A249" s="293">
        <v>2021.0</v>
      </c>
      <c r="B249" s="294">
        <v>1.0</v>
      </c>
      <c r="C249" s="294" t="s">
        <v>500</v>
      </c>
      <c r="D249" s="294">
        <v>327668.0</v>
      </c>
      <c r="E249" s="295"/>
      <c r="F249" s="296"/>
      <c r="G249" s="297" t="b">
        <v>0</v>
      </c>
      <c r="H249" s="296"/>
    </row>
    <row r="250">
      <c r="A250" s="253">
        <v>2021.0</v>
      </c>
      <c r="B250" s="3">
        <v>1.0</v>
      </c>
      <c r="C250" s="3" t="s">
        <v>4068</v>
      </c>
      <c r="D250" s="282">
        <v>7442.0</v>
      </c>
      <c r="F250" s="256"/>
      <c r="G250" s="257" t="b">
        <v>0</v>
      </c>
      <c r="H250" s="256"/>
    </row>
    <row r="251">
      <c r="A251" s="283">
        <v>2021.0</v>
      </c>
      <c r="B251" s="258">
        <v>2.0</v>
      </c>
      <c r="C251" s="258" t="s">
        <v>500</v>
      </c>
      <c r="D251" s="258">
        <v>284315.0</v>
      </c>
      <c r="E251" s="259"/>
      <c r="F251" s="262"/>
      <c r="G251" s="263" t="b">
        <v>0</v>
      </c>
      <c r="H251" s="262"/>
    </row>
    <row r="252">
      <c r="A252" s="253">
        <v>2021.0</v>
      </c>
      <c r="B252" s="3">
        <v>2.0</v>
      </c>
      <c r="C252" s="3" t="s">
        <v>4068</v>
      </c>
      <c r="D252" s="3">
        <v>10000.0</v>
      </c>
      <c r="F252" s="256"/>
      <c r="G252" s="257" t="b">
        <v>0</v>
      </c>
      <c r="H252" s="256"/>
    </row>
    <row r="253">
      <c r="A253" s="253">
        <v>2021.0</v>
      </c>
      <c r="B253" s="3">
        <v>2.0</v>
      </c>
      <c r="C253" s="3" t="s">
        <v>4068</v>
      </c>
      <c r="D253" s="3">
        <v>27600.0</v>
      </c>
      <c r="F253" s="256"/>
      <c r="G253" s="257" t="b">
        <v>0</v>
      </c>
      <c r="H253" s="256"/>
    </row>
    <row r="254">
      <c r="A254" s="283">
        <v>2021.0</v>
      </c>
      <c r="B254" s="258">
        <v>3.0</v>
      </c>
      <c r="C254" s="258" t="s">
        <v>500</v>
      </c>
      <c r="D254" s="258">
        <v>284299.0</v>
      </c>
      <c r="E254" s="259"/>
      <c r="F254" s="262"/>
      <c r="G254" s="263" t="b">
        <v>0</v>
      </c>
      <c r="H254" s="262"/>
    </row>
    <row r="255">
      <c r="A255" s="253">
        <v>2021.0</v>
      </c>
      <c r="B255" s="3">
        <v>3.0</v>
      </c>
      <c r="C255" s="3" t="s">
        <v>4069</v>
      </c>
      <c r="D255" s="282">
        <v>1720.0</v>
      </c>
      <c r="F255" s="280" t="s">
        <v>4149</v>
      </c>
      <c r="G255" s="257" t="b">
        <v>0</v>
      </c>
      <c r="H255" s="256"/>
    </row>
    <row r="256">
      <c r="A256" s="253">
        <v>2021.0</v>
      </c>
      <c r="B256" s="3">
        <v>3.0</v>
      </c>
      <c r="C256" s="3" t="s">
        <v>4068</v>
      </c>
      <c r="D256" s="282">
        <v>11200.0</v>
      </c>
      <c r="F256" s="256"/>
      <c r="G256" s="257" t="b">
        <v>0</v>
      </c>
      <c r="H256" s="256"/>
    </row>
    <row r="257" ht="38.25" customHeight="1">
      <c r="A257" s="253">
        <v>2021.0</v>
      </c>
      <c r="B257" s="3">
        <v>3.0</v>
      </c>
      <c r="C257" s="3" t="s">
        <v>4069</v>
      </c>
      <c r="D257" s="3">
        <v>4800.0</v>
      </c>
      <c r="E257" s="298">
        <v>42454.0</v>
      </c>
      <c r="F257" s="280" t="s">
        <v>4150</v>
      </c>
      <c r="G257" s="257" t="b">
        <v>0</v>
      </c>
      <c r="H257" s="256"/>
    </row>
    <row r="258" ht="18.0" customHeight="1">
      <c r="A258" s="253">
        <v>2021.0</v>
      </c>
      <c r="B258" s="3">
        <v>3.0</v>
      </c>
      <c r="C258" s="3" t="s">
        <v>4068</v>
      </c>
      <c r="D258" s="282">
        <v>19591.0</v>
      </c>
      <c r="E258" s="298"/>
      <c r="F258" s="280"/>
      <c r="G258" s="257" t="b">
        <v>0</v>
      </c>
      <c r="H258" s="256"/>
    </row>
    <row r="259">
      <c r="A259" s="283">
        <v>2021.0</v>
      </c>
      <c r="B259" s="258">
        <v>4.0</v>
      </c>
      <c r="C259" s="258" t="s">
        <v>500</v>
      </c>
      <c r="D259" s="259">
        <f>287160</f>
        <v>287160</v>
      </c>
      <c r="E259" s="259"/>
      <c r="F259" s="262"/>
      <c r="G259" s="263" t="b">
        <v>0</v>
      </c>
      <c r="H259" s="262"/>
    </row>
    <row r="260">
      <c r="A260" s="253">
        <v>2021.0</v>
      </c>
      <c r="B260" s="3">
        <v>4.0</v>
      </c>
      <c r="C260" s="3" t="s">
        <v>4069</v>
      </c>
      <c r="D260" s="282">
        <v>8957.0</v>
      </c>
      <c r="F260" s="280" t="s">
        <v>4151</v>
      </c>
      <c r="G260" s="257" t="b">
        <v>0</v>
      </c>
      <c r="H260" s="256"/>
    </row>
    <row r="261">
      <c r="A261" s="253">
        <v>2021.0</v>
      </c>
      <c r="B261" s="3">
        <v>4.0</v>
      </c>
      <c r="C261" s="3" t="s">
        <v>4137</v>
      </c>
      <c r="D261" s="3">
        <v>-13545.0</v>
      </c>
      <c r="F261" s="256"/>
      <c r="G261" s="257" t="b">
        <v>0</v>
      </c>
      <c r="H261" s="256"/>
    </row>
    <row r="262">
      <c r="A262" s="283">
        <v>2021.0</v>
      </c>
      <c r="B262" s="258">
        <v>5.0</v>
      </c>
      <c r="C262" s="258" t="s">
        <v>500</v>
      </c>
      <c r="D262" s="258">
        <v>379350.0</v>
      </c>
      <c r="E262" s="259"/>
      <c r="F262" s="262"/>
      <c r="G262" s="263" t="b">
        <v>0</v>
      </c>
      <c r="H262" s="262"/>
    </row>
    <row r="263">
      <c r="A263" s="253">
        <v>2021.0</v>
      </c>
      <c r="B263" s="3">
        <v>5.0</v>
      </c>
      <c r="C263" s="3" t="s">
        <v>4069</v>
      </c>
      <c r="D263" s="3">
        <v>4071.0</v>
      </c>
      <c r="F263" s="3" t="s">
        <v>4152</v>
      </c>
      <c r="G263" s="257" t="b">
        <v>0</v>
      </c>
      <c r="H263" s="256"/>
    </row>
    <row r="264">
      <c r="A264" s="253">
        <v>2021.0</v>
      </c>
      <c r="B264" s="3">
        <v>5.0</v>
      </c>
      <c r="C264" s="3" t="s">
        <v>4069</v>
      </c>
      <c r="D264" s="3">
        <v>960.0</v>
      </c>
      <c r="F264" s="3" t="s">
        <v>4153</v>
      </c>
      <c r="G264" s="257" t="b">
        <v>0</v>
      </c>
      <c r="H264" s="256"/>
    </row>
    <row r="265">
      <c r="A265" s="253">
        <v>2021.0</v>
      </c>
      <c r="B265" s="3">
        <v>5.0</v>
      </c>
      <c r="C265" s="3" t="s">
        <v>4068</v>
      </c>
      <c r="D265" s="282">
        <v>3000.0</v>
      </c>
      <c r="F265" s="256"/>
      <c r="G265" s="257" t="b">
        <v>0</v>
      </c>
      <c r="H265" s="256"/>
    </row>
    <row r="266">
      <c r="A266" s="288"/>
      <c r="F266" s="256"/>
      <c r="G266" s="257" t="b">
        <v>0</v>
      </c>
      <c r="H266" s="256"/>
    </row>
    <row r="267">
      <c r="A267" s="283">
        <v>2021.0</v>
      </c>
      <c r="B267" s="258">
        <v>6.0</v>
      </c>
      <c r="C267" s="258" t="s">
        <v>500</v>
      </c>
      <c r="D267" s="285">
        <v>278351.0</v>
      </c>
      <c r="E267" s="258"/>
      <c r="F267" s="262"/>
      <c r="G267" s="263" t="b">
        <v>0</v>
      </c>
      <c r="H267" s="262"/>
    </row>
    <row r="268">
      <c r="A268" s="253">
        <v>2021.0</v>
      </c>
      <c r="B268" s="3">
        <v>6.0</v>
      </c>
      <c r="C268" s="3" t="s">
        <v>4069</v>
      </c>
      <c r="D268" s="282">
        <v>2290.0</v>
      </c>
      <c r="F268" s="3" t="s">
        <v>4154</v>
      </c>
      <c r="G268" s="280" t="b">
        <v>0</v>
      </c>
      <c r="H268" s="256"/>
    </row>
    <row r="269">
      <c r="A269" s="253">
        <v>2021.0</v>
      </c>
      <c r="B269" s="3">
        <v>6.0</v>
      </c>
      <c r="C269" s="3" t="s">
        <v>4092</v>
      </c>
      <c r="D269" s="282">
        <v>15718.0</v>
      </c>
      <c r="F269" s="3" t="s">
        <v>4155</v>
      </c>
      <c r="G269" s="257" t="b">
        <v>0</v>
      </c>
      <c r="H269" s="256"/>
    </row>
    <row r="270">
      <c r="A270" s="253">
        <v>2021.0</v>
      </c>
      <c r="B270" s="3">
        <v>6.0</v>
      </c>
      <c r="C270" s="3" t="s">
        <v>4137</v>
      </c>
      <c r="D270" s="282">
        <v>-25804.0</v>
      </c>
      <c r="F270" s="256"/>
      <c r="G270" s="257" t="b">
        <v>0</v>
      </c>
      <c r="H270" s="256"/>
    </row>
    <row r="271" ht="27.75" customHeight="1">
      <c r="A271" s="283">
        <v>2021.0</v>
      </c>
      <c r="B271" s="258">
        <v>7.0</v>
      </c>
      <c r="C271" s="258" t="s">
        <v>500</v>
      </c>
      <c r="D271" s="258">
        <v>356688.0</v>
      </c>
      <c r="E271" s="259"/>
      <c r="F271" s="259"/>
      <c r="G271" s="277" t="b">
        <v>0</v>
      </c>
      <c r="H271" s="262"/>
    </row>
    <row r="272" ht="70.5" customHeight="1">
      <c r="A272" s="253">
        <v>2021.0</v>
      </c>
      <c r="B272" s="3">
        <v>7.0</v>
      </c>
      <c r="C272" s="3" t="s">
        <v>4069</v>
      </c>
      <c r="D272" s="3">
        <v>7920.0</v>
      </c>
      <c r="F272" s="280" t="s">
        <v>4156</v>
      </c>
      <c r="G272" s="257" t="b">
        <v>0</v>
      </c>
      <c r="H272" s="256"/>
    </row>
    <row r="273">
      <c r="A273" s="253">
        <v>2021.0</v>
      </c>
      <c r="B273" s="3">
        <v>7.0</v>
      </c>
      <c r="C273" s="3" t="s">
        <v>4069</v>
      </c>
      <c r="D273" s="3">
        <v>8018.0</v>
      </c>
      <c r="F273" s="280" t="s">
        <v>4157</v>
      </c>
      <c r="G273" s="257" t="b">
        <v>0</v>
      </c>
      <c r="H273" s="256"/>
    </row>
    <row r="274">
      <c r="A274" s="253">
        <v>2021.0</v>
      </c>
      <c r="B274" s="3">
        <v>7.0</v>
      </c>
      <c r="C274" s="3" t="s">
        <v>4069</v>
      </c>
      <c r="D274" s="282">
        <v>2600.0</v>
      </c>
      <c r="F274" s="280" t="s">
        <v>4158</v>
      </c>
      <c r="G274" s="257" t="b">
        <v>0</v>
      </c>
      <c r="H274" s="256"/>
    </row>
    <row r="275">
      <c r="A275" s="253">
        <v>2021.0</v>
      </c>
      <c r="B275" s="3">
        <v>7.0</v>
      </c>
      <c r="C275" s="3" t="s">
        <v>4092</v>
      </c>
      <c r="D275" s="282">
        <v>15718.0</v>
      </c>
      <c r="F275" s="3" t="s">
        <v>4159</v>
      </c>
      <c r="G275" s="257" t="b">
        <v>0</v>
      </c>
      <c r="H275" s="256"/>
    </row>
    <row r="276">
      <c r="A276" s="253">
        <v>2021.0</v>
      </c>
      <c r="B276" s="3">
        <v>7.0</v>
      </c>
      <c r="C276" s="3" t="s">
        <v>4137</v>
      </c>
      <c r="D276" s="3">
        <v>-16361.0</v>
      </c>
      <c r="F276" s="256"/>
      <c r="G276" s="257" t="b">
        <v>0</v>
      </c>
      <c r="H276" s="256"/>
    </row>
    <row r="277">
      <c r="A277" s="283">
        <v>2021.0</v>
      </c>
      <c r="B277" s="258">
        <v>8.0</v>
      </c>
      <c r="C277" s="258" t="s">
        <v>500</v>
      </c>
      <c r="D277" s="258">
        <v>337466.0</v>
      </c>
      <c r="E277" s="259"/>
      <c r="F277" s="262"/>
      <c r="G277" s="263" t="b">
        <v>0</v>
      </c>
      <c r="H277" s="262"/>
    </row>
    <row r="278">
      <c r="A278" s="253">
        <v>2021.0</v>
      </c>
      <c r="B278" s="3">
        <v>8.0</v>
      </c>
      <c r="C278" s="3" t="s">
        <v>4069</v>
      </c>
      <c r="D278" s="3">
        <v>4125.0</v>
      </c>
      <c r="F278" s="3" t="s">
        <v>4160</v>
      </c>
      <c r="G278" s="257" t="b">
        <v>0</v>
      </c>
      <c r="H278" s="256"/>
    </row>
    <row r="279">
      <c r="A279" s="253">
        <v>2021.0</v>
      </c>
      <c r="B279" s="3">
        <v>8.0</v>
      </c>
      <c r="C279" s="3" t="s">
        <v>4069</v>
      </c>
      <c r="D279" s="3">
        <v>300.0</v>
      </c>
      <c r="F279" s="3" t="s">
        <v>4161</v>
      </c>
      <c r="G279" s="257" t="b">
        <v>0</v>
      </c>
      <c r="H279" s="256"/>
    </row>
    <row r="280">
      <c r="A280" s="253">
        <v>2021.0</v>
      </c>
      <c r="B280" s="3">
        <v>8.0</v>
      </c>
      <c r="C280" s="3" t="s">
        <v>4069</v>
      </c>
      <c r="D280" s="3">
        <v>490.0</v>
      </c>
      <c r="F280" s="3" t="s">
        <v>4162</v>
      </c>
      <c r="G280" s="257" t="b">
        <v>0</v>
      </c>
      <c r="H280" s="256"/>
    </row>
    <row r="281">
      <c r="A281" s="253">
        <v>2021.0</v>
      </c>
      <c r="B281" s="3">
        <v>8.0</v>
      </c>
      <c r="C281" s="3" t="s">
        <v>4069</v>
      </c>
      <c r="D281" s="3">
        <v>300.0</v>
      </c>
      <c r="F281" s="3" t="s">
        <v>4163</v>
      </c>
      <c r="G281" s="257" t="b">
        <v>0</v>
      </c>
      <c r="H281" s="256"/>
    </row>
    <row r="282">
      <c r="A282" s="253">
        <v>2021.0</v>
      </c>
      <c r="B282" s="3">
        <v>8.0</v>
      </c>
      <c r="C282" s="3" t="s">
        <v>4137</v>
      </c>
      <c r="D282" s="3">
        <v>-8132.0</v>
      </c>
      <c r="F282" s="256"/>
      <c r="G282" s="257" t="b">
        <v>0</v>
      </c>
      <c r="H282" s="256"/>
    </row>
    <row r="283">
      <c r="A283" s="283">
        <v>2021.0</v>
      </c>
      <c r="B283" s="258">
        <v>9.0</v>
      </c>
      <c r="C283" s="258" t="s">
        <v>500</v>
      </c>
      <c r="D283" s="259">
        <v>333690.0</v>
      </c>
      <c r="E283" s="259"/>
      <c r="F283" s="262"/>
      <c r="G283" s="263" t="b">
        <v>0</v>
      </c>
      <c r="H283" s="262"/>
    </row>
    <row r="284">
      <c r="A284" s="253">
        <v>2021.0</v>
      </c>
      <c r="B284" s="3">
        <v>9.0</v>
      </c>
      <c r="C284" s="3" t="s">
        <v>4069</v>
      </c>
      <c r="D284" s="3">
        <v>2720.0</v>
      </c>
      <c r="F284" s="3" t="s">
        <v>4164</v>
      </c>
      <c r="G284" s="257" t="b">
        <v>0</v>
      </c>
      <c r="H284" s="256"/>
    </row>
    <row r="285">
      <c r="A285" s="253">
        <v>2021.0</v>
      </c>
      <c r="B285" s="3">
        <v>9.0</v>
      </c>
      <c r="C285" s="3" t="s">
        <v>4068</v>
      </c>
      <c r="D285" s="3">
        <v>13000.0</v>
      </c>
      <c r="F285" s="3"/>
      <c r="G285" s="257" t="b">
        <v>0</v>
      </c>
      <c r="H285" s="256"/>
    </row>
    <row r="286">
      <c r="A286" s="283">
        <v>2021.0</v>
      </c>
      <c r="B286" s="258">
        <v>10.0</v>
      </c>
      <c r="C286" s="258" t="s">
        <v>500</v>
      </c>
      <c r="D286" s="258">
        <v>354590.0</v>
      </c>
      <c r="E286" s="259"/>
      <c r="F286" s="262"/>
      <c r="G286" s="263" t="b">
        <v>0</v>
      </c>
      <c r="H286" s="262"/>
    </row>
    <row r="287">
      <c r="A287" s="253">
        <v>2021.0</v>
      </c>
      <c r="B287" s="3">
        <v>10.0</v>
      </c>
      <c r="C287" s="3" t="s">
        <v>4069</v>
      </c>
      <c r="D287" s="282">
        <v>1750.0</v>
      </c>
      <c r="F287" s="3" t="s">
        <v>4165</v>
      </c>
      <c r="G287" s="257" t="b">
        <v>0</v>
      </c>
      <c r="H287" s="256"/>
    </row>
    <row r="288">
      <c r="A288" s="253">
        <v>2021.0</v>
      </c>
      <c r="B288" s="3">
        <v>10.0</v>
      </c>
      <c r="C288" s="3" t="s">
        <v>4069</v>
      </c>
      <c r="D288" s="3">
        <v>700.0</v>
      </c>
      <c r="F288" s="3" t="s">
        <v>4099</v>
      </c>
      <c r="G288" s="257" t="b">
        <v>0</v>
      </c>
      <c r="H288" s="256"/>
    </row>
    <row r="289">
      <c r="A289" s="253">
        <v>2021.0</v>
      </c>
      <c r="B289" s="3">
        <v>10.0</v>
      </c>
      <c r="C289" s="3" t="s">
        <v>4069</v>
      </c>
      <c r="D289" s="282">
        <v>3300.0</v>
      </c>
      <c r="F289" s="3" t="s">
        <v>4166</v>
      </c>
      <c r="G289" s="257" t="b">
        <v>0</v>
      </c>
      <c r="H289" s="256"/>
    </row>
    <row r="290">
      <c r="A290" s="253">
        <v>2021.0</v>
      </c>
      <c r="B290" s="3">
        <v>10.0</v>
      </c>
      <c r="C290" s="3" t="s">
        <v>4069</v>
      </c>
      <c r="D290" s="282">
        <v>11439.0</v>
      </c>
      <c r="F290" s="280" t="s">
        <v>4167</v>
      </c>
      <c r="G290" s="257" t="b">
        <v>0</v>
      </c>
      <c r="H290" s="256"/>
    </row>
    <row r="291">
      <c r="A291" s="253">
        <v>2021.0</v>
      </c>
      <c r="B291" s="3">
        <v>10.0</v>
      </c>
      <c r="C291" s="3" t="s">
        <v>4068</v>
      </c>
      <c r="D291" s="282">
        <v>3700.0</v>
      </c>
      <c r="F291" s="280"/>
      <c r="G291" s="257" t="b">
        <v>0</v>
      </c>
      <c r="H291" s="256"/>
    </row>
    <row r="292">
      <c r="A292" s="283">
        <v>2021.0</v>
      </c>
      <c r="B292" s="258">
        <v>11.0</v>
      </c>
      <c r="C292" s="258" t="s">
        <v>500</v>
      </c>
      <c r="D292" s="258">
        <v>415302.0</v>
      </c>
      <c r="E292" s="259"/>
      <c r="F292" s="262"/>
      <c r="G292" s="263" t="b">
        <v>0</v>
      </c>
      <c r="H292" s="262"/>
    </row>
    <row r="293">
      <c r="A293" s="253">
        <v>2021.0</v>
      </c>
      <c r="B293" s="3">
        <v>11.0</v>
      </c>
      <c r="C293" s="3" t="s">
        <v>4137</v>
      </c>
      <c r="D293" s="282">
        <v>-11100.0</v>
      </c>
      <c r="F293" s="256"/>
      <c r="G293" s="257" t="b">
        <v>0</v>
      </c>
      <c r="H293" s="256"/>
    </row>
    <row r="294">
      <c r="A294" s="283">
        <v>2021.0</v>
      </c>
      <c r="B294" s="258">
        <v>12.0</v>
      </c>
      <c r="C294" s="258" t="s">
        <v>500</v>
      </c>
      <c r="D294" s="258">
        <v>503543.0</v>
      </c>
      <c r="E294" s="259"/>
      <c r="F294" s="262"/>
      <c r="G294" s="263" t="b">
        <v>0</v>
      </c>
      <c r="H294" s="262"/>
    </row>
    <row r="295">
      <c r="A295" s="253">
        <v>2021.0</v>
      </c>
      <c r="B295" s="3">
        <v>12.0</v>
      </c>
      <c r="C295" s="3" t="s">
        <v>4069</v>
      </c>
      <c r="D295" s="3">
        <v>10932.0</v>
      </c>
      <c r="F295" s="280" t="s">
        <v>4168</v>
      </c>
      <c r="G295" s="257" t="b">
        <v>0</v>
      </c>
      <c r="H295" s="256"/>
    </row>
    <row r="296">
      <c r="A296" s="253">
        <v>2021.0</v>
      </c>
      <c r="B296" s="3">
        <v>12.0</v>
      </c>
      <c r="C296" s="3" t="s">
        <v>4069</v>
      </c>
      <c r="D296" s="282">
        <v>6650.0</v>
      </c>
      <c r="F296" s="280" t="s">
        <v>4169</v>
      </c>
      <c r="G296" s="257" t="b">
        <v>0</v>
      </c>
      <c r="H296" s="256"/>
    </row>
    <row r="297">
      <c r="A297" s="253">
        <v>2021.0</v>
      </c>
      <c r="B297" s="3">
        <v>12.0</v>
      </c>
      <c r="C297" s="3" t="s">
        <v>4092</v>
      </c>
      <c r="D297" s="282">
        <v>21425.0</v>
      </c>
      <c r="F297" s="280" t="s">
        <v>4170</v>
      </c>
      <c r="G297" s="257" t="b">
        <v>0</v>
      </c>
      <c r="H297" s="256"/>
    </row>
    <row r="298">
      <c r="A298" s="253">
        <v>2021.0</v>
      </c>
      <c r="B298" s="3">
        <v>12.0</v>
      </c>
      <c r="C298" s="3" t="s">
        <v>4137</v>
      </c>
      <c r="D298" s="282">
        <v>-16700.0</v>
      </c>
      <c r="F298" s="256"/>
      <c r="G298" s="257" t="b">
        <v>0</v>
      </c>
      <c r="H298" s="256"/>
    </row>
    <row r="299">
      <c r="A299" s="288"/>
      <c r="F299" s="256"/>
      <c r="G299" s="257" t="b">
        <v>0</v>
      </c>
      <c r="H299" s="256"/>
    </row>
    <row r="300">
      <c r="A300" s="283">
        <v>2022.0</v>
      </c>
      <c r="B300" s="258">
        <v>1.0</v>
      </c>
      <c r="C300" s="258" t="s">
        <v>500</v>
      </c>
      <c r="D300" s="258">
        <v>597680.0</v>
      </c>
      <c r="E300" s="259"/>
      <c r="F300" s="262"/>
      <c r="G300" s="263" t="b">
        <v>0</v>
      </c>
      <c r="H300" s="262"/>
    </row>
    <row r="301">
      <c r="A301" s="253">
        <v>2022.0</v>
      </c>
      <c r="B301" s="3">
        <v>1.0</v>
      </c>
      <c r="C301" s="3" t="s">
        <v>4092</v>
      </c>
      <c r="D301" s="3">
        <v>21425.0</v>
      </c>
      <c r="F301" s="280" t="s">
        <v>4171</v>
      </c>
      <c r="G301" s="257" t="b">
        <v>0</v>
      </c>
      <c r="H301" s="256"/>
    </row>
    <row r="302">
      <c r="A302" s="253">
        <v>2022.0</v>
      </c>
      <c r="B302" s="3">
        <v>1.0</v>
      </c>
      <c r="C302" s="3" t="s">
        <v>4069</v>
      </c>
      <c r="D302" s="3">
        <v>930.0</v>
      </c>
      <c r="F302" s="280" t="s">
        <v>4172</v>
      </c>
      <c r="G302" s="257" t="b">
        <v>0</v>
      </c>
      <c r="H302" s="256"/>
    </row>
    <row r="303">
      <c r="A303" s="253">
        <v>2022.0</v>
      </c>
      <c r="B303" s="3">
        <v>1.0</v>
      </c>
      <c r="C303" s="3" t="s">
        <v>4069</v>
      </c>
      <c r="D303" s="282">
        <v>5100.0</v>
      </c>
      <c r="F303" s="280" t="s">
        <v>4173</v>
      </c>
      <c r="G303" s="257" t="b">
        <v>0</v>
      </c>
      <c r="H303" s="256"/>
    </row>
    <row r="304">
      <c r="A304" s="253">
        <v>2022.0</v>
      </c>
      <c r="B304" s="3">
        <v>1.0</v>
      </c>
      <c r="C304" s="3" t="s">
        <v>4069</v>
      </c>
      <c r="D304" s="3">
        <v>720.0</v>
      </c>
      <c r="F304" s="280" t="s">
        <v>4174</v>
      </c>
      <c r="G304" s="257" t="b">
        <v>0</v>
      </c>
      <c r="H304" s="256"/>
    </row>
    <row r="305">
      <c r="A305" s="253">
        <v>2022.0</v>
      </c>
      <c r="B305" s="3">
        <v>1.0</v>
      </c>
      <c r="C305" s="3" t="s">
        <v>4137</v>
      </c>
      <c r="D305" s="282">
        <v>-6628.0</v>
      </c>
      <c r="F305" s="256"/>
      <c r="G305" s="257" t="b">
        <v>0</v>
      </c>
      <c r="H305" s="256"/>
    </row>
    <row r="306">
      <c r="A306" s="288"/>
      <c r="F306" s="256"/>
      <c r="G306" s="257" t="b">
        <v>0</v>
      </c>
      <c r="H306" s="256"/>
    </row>
    <row r="307">
      <c r="A307" s="283">
        <v>2022.0</v>
      </c>
      <c r="B307" s="258">
        <v>2.0</v>
      </c>
      <c r="C307" s="258" t="s">
        <v>500</v>
      </c>
      <c r="D307" s="258">
        <v>471080.0</v>
      </c>
      <c r="E307" s="259"/>
      <c r="F307" s="262"/>
      <c r="G307" s="263" t="b">
        <v>0</v>
      </c>
      <c r="H307" s="262"/>
    </row>
    <row r="308">
      <c r="A308" s="253">
        <v>2022.0</v>
      </c>
      <c r="B308" s="3">
        <v>2.0</v>
      </c>
      <c r="C308" s="3" t="s">
        <v>4069</v>
      </c>
      <c r="D308" s="3">
        <v>4000.0</v>
      </c>
      <c r="F308" s="280" t="s">
        <v>4175</v>
      </c>
      <c r="G308" s="257" t="b">
        <v>0</v>
      </c>
      <c r="H308" s="256"/>
    </row>
    <row r="309">
      <c r="A309" s="253">
        <v>2022.0</v>
      </c>
      <c r="B309" s="3">
        <v>2.0</v>
      </c>
      <c r="C309" s="3" t="s">
        <v>4069</v>
      </c>
      <c r="D309" s="3">
        <v>7140.0</v>
      </c>
      <c r="F309" s="280" t="s">
        <v>4176</v>
      </c>
      <c r="G309" s="257" t="b">
        <v>0</v>
      </c>
      <c r="H309" s="256"/>
    </row>
    <row r="310">
      <c r="A310" s="253">
        <v>2022.0</v>
      </c>
      <c r="B310" s="3">
        <v>2.0</v>
      </c>
      <c r="C310" s="3" t="s">
        <v>4137</v>
      </c>
      <c r="D310" s="3">
        <v>-14700.0</v>
      </c>
      <c r="F310" s="256"/>
      <c r="G310" s="257" t="b">
        <v>0</v>
      </c>
      <c r="H310" s="256"/>
    </row>
    <row r="311">
      <c r="A311" s="283">
        <v>2022.0</v>
      </c>
      <c r="B311" s="258">
        <v>3.0</v>
      </c>
      <c r="C311" s="258" t="s">
        <v>500</v>
      </c>
      <c r="D311" s="258">
        <v>438165.0</v>
      </c>
      <c r="E311" s="259"/>
      <c r="F311" s="262"/>
      <c r="G311" s="263" t="b">
        <v>0</v>
      </c>
      <c r="H311" s="262"/>
    </row>
    <row r="312">
      <c r="A312" s="253">
        <v>2022.0</v>
      </c>
      <c r="B312" s="3">
        <v>3.0</v>
      </c>
      <c r="C312" s="3" t="s">
        <v>4069</v>
      </c>
      <c r="D312" s="3">
        <v>2500.0</v>
      </c>
      <c r="F312" s="280" t="s">
        <v>4177</v>
      </c>
      <c r="G312" s="257" t="b">
        <v>0</v>
      </c>
      <c r="H312" s="256"/>
    </row>
    <row r="313">
      <c r="A313" s="253">
        <v>2022.0</v>
      </c>
      <c r="B313" s="3">
        <v>3.0</v>
      </c>
      <c r="C313" s="3" t="s">
        <v>4069</v>
      </c>
      <c r="D313" s="282">
        <v>2200.0</v>
      </c>
      <c r="F313" s="280" t="s">
        <v>4178</v>
      </c>
      <c r="G313" s="257" t="b">
        <v>0</v>
      </c>
      <c r="H313" s="256"/>
    </row>
    <row r="314">
      <c r="A314" s="253">
        <v>2022.0</v>
      </c>
      <c r="B314" s="3">
        <v>3.0</v>
      </c>
      <c r="C314" s="3" t="s">
        <v>4069</v>
      </c>
      <c r="D314" s="282">
        <v>1350.0</v>
      </c>
      <c r="F314" s="280" t="s">
        <v>4179</v>
      </c>
      <c r="G314" s="257" t="b">
        <v>0</v>
      </c>
      <c r="H314" s="256"/>
    </row>
    <row r="315">
      <c r="A315" s="253">
        <v>2022.0</v>
      </c>
      <c r="B315" s="3">
        <v>3.0</v>
      </c>
      <c r="C315" s="3" t="s">
        <v>4068</v>
      </c>
      <c r="D315" s="3">
        <v>19000.0</v>
      </c>
      <c r="F315" s="256"/>
      <c r="G315" s="257" t="b">
        <v>0</v>
      </c>
      <c r="H315" s="256"/>
    </row>
    <row r="316">
      <c r="A316" s="283">
        <v>2022.0</v>
      </c>
      <c r="B316" s="258">
        <v>4.0</v>
      </c>
      <c r="C316" s="258" t="s">
        <v>500</v>
      </c>
      <c r="D316" s="259">
        <v>537495.0</v>
      </c>
      <c r="E316" s="259"/>
      <c r="F316" s="262"/>
      <c r="G316" s="263" t="b">
        <v>0</v>
      </c>
      <c r="H316" s="262"/>
    </row>
    <row r="317">
      <c r="A317" s="253">
        <v>2022.0</v>
      </c>
      <c r="B317" s="3">
        <v>4.0</v>
      </c>
      <c r="C317" s="3" t="s">
        <v>4069</v>
      </c>
      <c r="D317" s="3">
        <v>2091.0</v>
      </c>
      <c r="F317" s="280" t="s">
        <v>4099</v>
      </c>
      <c r="G317" s="257" t="b">
        <v>0</v>
      </c>
      <c r="H317" s="256"/>
    </row>
    <row r="318">
      <c r="A318" s="253">
        <v>2022.0</v>
      </c>
      <c r="B318" s="3">
        <v>4.0</v>
      </c>
      <c r="C318" s="3" t="s">
        <v>4069</v>
      </c>
      <c r="D318" s="282">
        <v>7300.0</v>
      </c>
      <c r="F318" s="280" t="s">
        <v>4180</v>
      </c>
      <c r="G318" s="257" t="b">
        <v>0</v>
      </c>
      <c r="H318" s="256"/>
    </row>
    <row r="319">
      <c r="A319" s="253">
        <v>2022.0</v>
      </c>
      <c r="B319" s="3">
        <v>4.0</v>
      </c>
      <c r="C319" s="3" t="s">
        <v>4137</v>
      </c>
      <c r="D319" s="3">
        <v>-22134.0</v>
      </c>
      <c r="F319" s="256"/>
      <c r="G319" s="257" t="b">
        <v>0</v>
      </c>
      <c r="H319" s="256"/>
    </row>
    <row r="320">
      <c r="A320" s="283">
        <v>2022.0</v>
      </c>
      <c r="B320" s="258">
        <v>5.0</v>
      </c>
      <c r="C320" s="258" t="s">
        <v>500</v>
      </c>
      <c r="D320" s="258">
        <v>490700.0</v>
      </c>
      <c r="E320" s="259"/>
      <c r="F320" s="262"/>
      <c r="G320" s="263" t="b">
        <v>0</v>
      </c>
      <c r="H320" s="262"/>
    </row>
    <row r="321">
      <c r="A321" s="253">
        <v>2022.0</v>
      </c>
      <c r="B321" s="3">
        <v>5.0</v>
      </c>
      <c r="C321" s="3" t="s">
        <v>4069</v>
      </c>
      <c r="D321" s="282">
        <v>3200.0</v>
      </c>
      <c r="F321" s="280" t="s">
        <v>4181</v>
      </c>
      <c r="G321" s="257" t="b">
        <v>0</v>
      </c>
      <c r="H321" s="256"/>
    </row>
    <row r="322">
      <c r="A322" s="253">
        <v>2022.0</v>
      </c>
      <c r="B322" s="3">
        <v>5.0</v>
      </c>
      <c r="C322" s="3" t="s">
        <v>4069</v>
      </c>
      <c r="D322" s="3">
        <v>4760.0</v>
      </c>
      <c r="F322" s="280" t="s">
        <v>4182</v>
      </c>
      <c r="G322" s="257" t="b">
        <v>0</v>
      </c>
      <c r="H322" s="256"/>
    </row>
    <row r="323">
      <c r="A323" s="253">
        <v>2022.0</v>
      </c>
      <c r="B323" s="3">
        <v>5.0</v>
      </c>
      <c r="C323" s="3" t="s">
        <v>4137</v>
      </c>
      <c r="D323" s="282">
        <v>-8629.0</v>
      </c>
      <c r="F323" s="280"/>
      <c r="G323" s="257" t="b">
        <v>0</v>
      </c>
      <c r="H323" s="256"/>
    </row>
    <row r="324">
      <c r="A324" s="283">
        <v>2022.0</v>
      </c>
      <c r="B324" s="258">
        <v>6.0</v>
      </c>
      <c r="C324" s="258" t="s">
        <v>500</v>
      </c>
      <c r="D324" s="258">
        <v>498560.0</v>
      </c>
      <c r="E324" s="259"/>
      <c r="F324" s="262"/>
      <c r="G324" s="263" t="b">
        <v>0</v>
      </c>
      <c r="H324" s="262"/>
    </row>
    <row r="325">
      <c r="A325" s="253">
        <v>2022.0</v>
      </c>
      <c r="B325" s="3">
        <v>6.0</v>
      </c>
      <c r="C325" s="3" t="s">
        <v>4092</v>
      </c>
      <c r="D325" s="3">
        <v>24000.0</v>
      </c>
      <c r="F325" s="280" t="s">
        <v>4183</v>
      </c>
      <c r="G325" s="257" t="b">
        <v>0</v>
      </c>
      <c r="H325" s="256"/>
    </row>
    <row r="326">
      <c r="A326" s="253">
        <v>2022.0</v>
      </c>
      <c r="B326" s="3">
        <v>6.0</v>
      </c>
      <c r="C326" s="3" t="s">
        <v>4137</v>
      </c>
      <c r="D326" s="282">
        <v>-53840.0</v>
      </c>
      <c r="F326" s="256"/>
      <c r="G326" s="257" t="b">
        <v>0</v>
      </c>
      <c r="H326" s="256"/>
    </row>
    <row r="327">
      <c r="A327" s="283">
        <v>2022.0</v>
      </c>
      <c r="B327" s="258">
        <v>7.0</v>
      </c>
      <c r="C327" s="258" t="s">
        <v>500</v>
      </c>
      <c r="D327" s="258">
        <v>605020.0</v>
      </c>
      <c r="E327" s="259"/>
      <c r="F327" s="262"/>
      <c r="G327" s="263" t="b">
        <v>0</v>
      </c>
      <c r="H327" s="262"/>
    </row>
    <row r="328">
      <c r="A328" s="253">
        <v>2022.0</v>
      </c>
      <c r="B328" s="3">
        <v>7.0</v>
      </c>
      <c r="C328" s="3" t="s">
        <v>4092</v>
      </c>
      <c r="D328" s="3">
        <v>24000.0</v>
      </c>
      <c r="F328" s="280" t="s">
        <v>4184</v>
      </c>
      <c r="G328" s="257" t="b">
        <v>0</v>
      </c>
      <c r="H328" s="256"/>
    </row>
    <row r="329">
      <c r="A329" s="253">
        <v>2022.0</v>
      </c>
      <c r="B329" s="3">
        <v>7.0</v>
      </c>
      <c r="C329" s="3" t="s">
        <v>4137</v>
      </c>
      <c r="D329" s="282">
        <v>-65700.0</v>
      </c>
      <c r="F329" s="256"/>
      <c r="G329" s="257" t="b">
        <v>0</v>
      </c>
      <c r="H329" s="256"/>
    </row>
    <row r="330">
      <c r="A330" s="283">
        <v>2022.0</v>
      </c>
      <c r="B330" s="258">
        <v>8.0</v>
      </c>
      <c r="C330" s="258" t="s">
        <v>500</v>
      </c>
      <c r="D330" s="258">
        <v>793670.0</v>
      </c>
      <c r="E330" s="259"/>
      <c r="F330" s="262"/>
      <c r="G330" s="263" t="b">
        <v>0</v>
      </c>
      <c r="H330" s="262"/>
    </row>
    <row r="331">
      <c r="A331" s="253">
        <v>2022.0</v>
      </c>
      <c r="B331" s="3">
        <v>8.0</v>
      </c>
      <c r="C331" s="3" t="s">
        <v>4069</v>
      </c>
      <c r="D331" s="3">
        <v>6900.0</v>
      </c>
      <c r="F331" s="280" t="s">
        <v>4185</v>
      </c>
      <c r="G331" s="257" t="b">
        <v>0</v>
      </c>
      <c r="H331" s="256"/>
    </row>
    <row r="332">
      <c r="A332" s="253">
        <v>2022.0</v>
      </c>
      <c r="B332" s="3">
        <v>8.0</v>
      </c>
      <c r="C332" s="3" t="s">
        <v>4069</v>
      </c>
      <c r="D332" s="3">
        <v>8380.0</v>
      </c>
      <c r="F332" s="280" t="s">
        <v>4175</v>
      </c>
      <c r="G332" s="257" t="b">
        <v>0</v>
      </c>
      <c r="H332" s="256"/>
    </row>
    <row r="333" ht="51.0" customHeight="1">
      <c r="A333" s="288"/>
      <c r="B333" s="3">
        <v>8.0</v>
      </c>
      <c r="C333" s="3" t="s">
        <v>4069</v>
      </c>
      <c r="D333" s="3">
        <v>9120.0</v>
      </c>
      <c r="F333" s="280" t="s">
        <v>4186</v>
      </c>
      <c r="G333" s="257" t="b">
        <v>0</v>
      </c>
      <c r="H333" s="256"/>
    </row>
    <row r="334">
      <c r="A334" s="253">
        <v>2022.0</v>
      </c>
      <c r="B334" s="3">
        <v>8.0</v>
      </c>
      <c r="C334" s="3" t="s">
        <v>4137</v>
      </c>
      <c r="D334" s="3">
        <v>-17000.0</v>
      </c>
      <c r="F334" s="256"/>
      <c r="G334" s="257" t="b">
        <v>0</v>
      </c>
      <c r="H334" s="256"/>
    </row>
    <row r="335">
      <c r="A335" s="283">
        <v>2022.0</v>
      </c>
      <c r="B335" s="258">
        <v>9.0</v>
      </c>
      <c r="C335" s="258" t="s">
        <v>500</v>
      </c>
      <c r="D335" s="258">
        <v>787230.0</v>
      </c>
      <c r="E335" s="259"/>
      <c r="F335" s="262"/>
      <c r="G335" s="263" t="b">
        <v>0</v>
      </c>
      <c r="H335" s="262"/>
    </row>
    <row r="336">
      <c r="A336" s="253">
        <v>2022.0</v>
      </c>
      <c r="B336" s="3">
        <v>9.0</v>
      </c>
      <c r="C336" s="3" t="s">
        <v>4069</v>
      </c>
      <c r="D336" s="3">
        <v>2600.0</v>
      </c>
      <c r="F336" s="280" t="s">
        <v>4187</v>
      </c>
      <c r="G336" s="257" t="b">
        <v>0</v>
      </c>
      <c r="H336" s="256"/>
    </row>
    <row r="337">
      <c r="A337" s="253">
        <v>2022.0</v>
      </c>
      <c r="B337" s="3">
        <v>9.0</v>
      </c>
      <c r="C337" s="3" t="s">
        <v>4069</v>
      </c>
      <c r="D337" s="3">
        <v>3200.0</v>
      </c>
      <c r="F337" s="280" t="s">
        <v>4188</v>
      </c>
      <c r="G337" s="257" t="b">
        <v>0</v>
      </c>
      <c r="H337" s="256"/>
    </row>
    <row r="338">
      <c r="A338" s="253">
        <v>2022.0</v>
      </c>
      <c r="B338" s="3">
        <v>9.0</v>
      </c>
      <c r="C338" s="3" t="s">
        <v>4068</v>
      </c>
      <c r="D338" s="282">
        <v>19109.0</v>
      </c>
      <c r="F338" s="256"/>
      <c r="G338" s="257" t="b">
        <v>0</v>
      </c>
      <c r="H338" s="256"/>
    </row>
    <row r="339">
      <c r="A339" s="283">
        <v>2022.0</v>
      </c>
      <c r="B339" s="258">
        <v>10.0</v>
      </c>
      <c r="C339" s="258" t="s">
        <v>500</v>
      </c>
      <c r="D339" s="258">
        <v>671200.0</v>
      </c>
      <c r="E339" s="259"/>
      <c r="F339" s="262"/>
      <c r="G339" s="263" t="b">
        <v>0</v>
      </c>
      <c r="H339" s="262"/>
    </row>
    <row r="340">
      <c r="A340" s="253">
        <v>2022.0</v>
      </c>
      <c r="B340" s="3">
        <v>10.0</v>
      </c>
      <c r="C340" s="3" t="s">
        <v>4069</v>
      </c>
      <c r="D340" s="3">
        <v>6680.0</v>
      </c>
      <c r="F340" s="280" t="s">
        <v>4189</v>
      </c>
      <c r="G340" s="257" t="b">
        <v>0</v>
      </c>
      <c r="H340" s="256"/>
    </row>
    <row r="341">
      <c r="A341" s="253">
        <v>2022.0</v>
      </c>
      <c r="B341" s="3">
        <v>10.0</v>
      </c>
      <c r="C341" s="3" t="s">
        <v>4069</v>
      </c>
      <c r="D341" s="282">
        <v>3242.0</v>
      </c>
      <c r="F341" s="280" t="s">
        <v>4190</v>
      </c>
      <c r="G341" s="257" t="b">
        <v>0</v>
      </c>
      <c r="H341" s="256"/>
    </row>
    <row r="342">
      <c r="A342" s="253">
        <v>2022.0</v>
      </c>
      <c r="B342" s="3">
        <v>10.0</v>
      </c>
      <c r="C342" s="3" t="s">
        <v>4069</v>
      </c>
      <c r="D342" s="282">
        <v>23483.0</v>
      </c>
      <c r="F342" s="280" t="s">
        <v>4117</v>
      </c>
      <c r="G342" s="257" t="b">
        <v>0</v>
      </c>
      <c r="H342" s="256"/>
    </row>
    <row r="343">
      <c r="A343" s="253">
        <v>2022.0</v>
      </c>
      <c r="B343" s="3">
        <v>10.0</v>
      </c>
      <c r="C343" s="3" t="s">
        <v>4068</v>
      </c>
      <c r="D343" s="282">
        <v>12707.0</v>
      </c>
      <c r="F343" s="256"/>
      <c r="G343" s="257" t="b">
        <v>0</v>
      </c>
      <c r="H343" s="256"/>
    </row>
    <row r="344">
      <c r="A344" s="283">
        <v>2022.0</v>
      </c>
      <c r="B344" s="258">
        <v>11.0</v>
      </c>
      <c r="C344" s="258" t="s">
        <v>500</v>
      </c>
      <c r="D344" s="258">
        <v>991850.0</v>
      </c>
      <c r="E344" s="259"/>
      <c r="F344" s="262"/>
      <c r="G344" s="263" t="b">
        <v>0</v>
      </c>
      <c r="H344" s="262"/>
    </row>
    <row r="345">
      <c r="A345" s="253">
        <v>2022.0</v>
      </c>
      <c r="B345" s="3">
        <v>11.0</v>
      </c>
      <c r="C345" s="3" t="s">
        <v>4068</v>
      </c>
      <c r="D345" s="282">
        <v>15000.0</v>
      </c>
      <c r="F345" s="256"/>
      <c r="G345" s="257" t="b">
        <v>0</v>
      </c>
      <c r="H345" s="256"/>
    </row>
    <row r="346">
      <c r="A346" s="253">
        <v>2022.0</v>
      </c>
      <c r="B346" s="3">
        <v>11.0</v>
      </c>
      <c r="C346" s="3" t="s">
        <v>4068</v>
      </c>
      <c r="D346" s="282">
        <v>10000.0</v>
      </c>
      <c r="F346" s="256"/>
      <c r="G346" s="257" t="b">
        <v>0</v>
      </c>
      <c r="H346" s="256"/>
    </row>
    <row r="347">
      <c r="A347" s="253">
        <v>2022.0</v>
      </c>
      <c r="B347" s="3">
        <v>11.0</v>
      </c>
      <c r="C347" s="3" t="s">
        <v>4069</v>
      </c>
      <c r="D347" s="282">
        <v>16600.0</v>
      </c>
      <c r="F347" s="280" t="s">
        <v>4191</v>
      </c>
      <c r="G347" s="257" t="b">
        <v>0</v>
      </c>
      <c r="H347" s="256"/>
    </row>
    <row r="348">
      <c r="A348" s="253">
        <v>2022.0</v>
      </c>
      <c r="B348" s="3">
        <v>11.0</v>
      </c>
      <c r="C348" s="3" t="s">
        <v>4069</v>
      </c>
      <c r="D348" s="3">
        <v>1860.0</v>
      </c>
      <c r="F348" s="280" t="s">
        <v>4192</v>
      </c>
      <c r="G348" s="257" t="b">
        <v>0</v>
      </c>
      <c r="H348" s="256"/>
    </row>
    <row r="349">
      <c r="A349" s="299">
        <v>2022.0</v>
      </c>
      <c r="B349" s="300">
        <v>11.0</v>
      </c>
      <c r="C349" s="301" t="s">
        <v>4069</v>
      </c>
      <c r="D349" s="302">
        <v>3340.0</v>
      </c>
      <c r="E349" s="301"/>
      <c r="F349" s="303" t="s">
        <v>4193</v>
      </c>
      <c r="G349" s="257" t="b">
        <v>0</v>
      </c>
      <c r="H349" s="256"/>
    </row>
    <row r="350">
      <c r="A350" s="304">
        <v>2022.0</v>
      </c>
      <c r="B350" s="305">
        <v>11.0</v>
      </c>
      <c r="C350" s="306" t="s">
        <v>4137</v>
      </c>
      <c r="D350" s="307">
        <v>-73089.0</v>
      </c>
      <c r="E350" s="301"/>
      <c r="F350" s="308"/>
      <c r="G350" s="257" t="b">
        <v>0</v>
      </c>
      <c r="H350" s="256"/>
    </row>
    <row r="351">
      <c r="A351" s="283">
        <v>2022.0</v>
      </c>
      <c r="B351" s="258">
        <v>12.0</v>
      </c>
      <c r="C351" s="258" t="s">
        <v>500</v>
      </c>
      <c r="D351" s="258">
        <v>1260790.0</v>
      </c>
      <c r="E351" s="259"/>
      <c r="F351" s="262"/>
      <c r="G351" s="263" t="b">
        <v>0</v>
      </c>
      <c r="H351" s="262"/>
    </row>
    <row r="352">
      <c r="A352" s="253">
        <v>2022.0</v>
      </c>
      <c r="B352" s="3">
        <v>12.0</v>
      </c>
      <c r="C352" s="3" t="s">
        <v>4092</v>
      </c>
      <c r="D352" s="282">
        <v>42000.0</v>
      </c>
      <c r="F352" s="280" t="s">
        <v>4194</v>
      </c>
      <c r="G352" s="257" t="b">
        <v>0</v>
      </c>
      <c r="H352" s="256"/>
    </row>
    <row r="353">
      <c r="A353" s="253">
        <v>2022.0</v>
      </c>
      <c r="B353" s="3">
        <v>12.0</v>
      </c>
      <c r="C353" s="3" t="s">
        <v>4137</v>
      </c>
      <c r="D353" s="282">
        <v>-25000.0</v>
      </c>
      <c r="F353" s="256"/>
      <c r="G353" s="257" t="b">
        <v>0</v>
      </c>
      <c r="H353" s="256"/>
    </row>
    <row r="354">
      <c r="A354" s="253">
        <v>2022.0</v>
      </c>
      <c r="B354" s="3">
        <v>12.0</v>
      </c>
      <c r="C354" s="3" t="s">
        <v>4137</v>
      </c>
      <c r="D354" s="282">
        <v>-132466.0</v>
      </c>
      <c r="F354" s="256"/>
      <c r="G354" s="257" t="b">
        <v>0</v>
      </c>
      <c r="H354" s="256"/>
    </row>
    <row r="355">
      <c r="A355" s="283">
        <v>2023.0</v>
      </c>
      <c r="B355" s="258">
        <v>1.0</v>
      </c>
      <c r="C355" s="258" t="s">
        <v>500</v>
      </c>
      <c r="D355" s="258">
        <v>1941020.0</v>
      </c>
      <c r="E355" s="259"/>
      <c r="F355" s="262"/>
      <c r="G355" s="263" t="b">
        <v>0</v>
      </c>
      <c r="H355" s="262"/>
    </row>
    <row r="356">
      <c r="A356" s="253">
        <v>2023.0</v>
      </c>
      <c r="B356" s="3">
        <v>1.0</v>
      </c>
      <c r="C356" s="3" t="s">
        <v>4069</v>
      </c>
      <c r="D356" s="282">
        <v>4500.0</v>
      </c>
      <c r="F356" s="280" t="s">
        <v>4195</v>
      </c>
      <c r="G356" s="257" t="b">
        <v>0</v>
      </c>
      <c r="H356" s="256"/>
    </row>
    <row r="357">
      <c r="A357" s="253">
        <v>2023.0</v>
      </c>
      <c r="B357" s="3">
        <v>1.0</v>
      </c>
      <c r="C357" s="3" t="s">
        <v>4069</v>
      </c>
      <c r="D357" s="3">
        <v>23800.0</v>
      </c>
      <c r="F357" s="280" t="s">
        <v>4180</v>
      </c>
      <c r="G357" s="257" t="b">
        <v>0</v>
      </c>
      <c r="H357" s="256"/>
    </row>
    <row r="358">
      <c r="A358" s="253">
        <v>2023.0</v>
      </c>
      <c r="B358" s="3">
        <v>1.0</v>
      </c>
      <c r="C358" s="3" t="s">
        <v>4092</v>
      </c>
      <c r="D358" s="3">
        <v>42000.0</v>
      </c>
      <c r="F358" s="256"/>
      <c r="G358" s="257" t="b">
        <v>0</v>
      </c>
      <c r="H358" s="256"/>
    </row>
    <row r="359">
      <c r="A359" s="253">
        <v>2023.0</v>
      </c>
      <c r="B359" s="3">
        <v>1.0</v>
      </c>
      <c r="C359" s="3" t="s">
        <v>4069</v>
      </c>
      <c r="D359" s="3">
        <v>720.0</v>
      </c>
      <c r="F359" s="280" t="s">
        <v>4196</v>
      </c>
      <c r="G359" s="257" t="b">
        <v>0</v>
      </c>
      <c r="H359" s="256"/>
    </row>
    <row r="360">
      <c r="A360" s="253">
        <v>2023.0</v>
      </c>
      <c r="B360" s="3">
        <v>1.0</v>
      </c>
      <c r="C360" s="3" t="s">
        <v>4069</v>
      </c>
      <c r="D360" s="3">
        <v>7800.0</v>
      </c>
      <c r="F360" s="280" t="s">
        <v>4197</v>
      </c>
      <c r="G360" s="257" t="b">
        <v>0</v>
      </c>
      <c r="H360" s="256"/>
    </row>
    <row r="361">
      <c r="A361" s="253">
        <v>2023.0</v>
      </c>
      <c r="B361" s="3">
        <v>1.0</v>
      </c>
      <c r="C361" s="3" t="s">
        <v>4069</v>
      </c>
      <c r="D361" s="3">
        <v>680.0</v>
      </c>
      <c r="F361" s="280" t="s">
        <v>4099</v>
      </c>
      <c r="G361" s="257" t="b">
        <v>0</v>
      </c>
      <c r="H361" s="256"/>
    </row>
    <row r="362">
      <c r="A362" s="253">
        <v>2023.0</v>
      </c>
      <c r="B362" s="3">
        <v>1.0</v>
      </c>
      <c r="C362" s="3" t="s">
        <v>4069</v>
      </c>
      <c r="D362" s="3">
        <v>11680.0</v>
      </c>
      <c r="F362" s="309" t="s">
        <v>4198</v>
      </c>
      <c r="G362" s="257" t="b">
        <v>0</v>
      </c>
      <c r="H362" s="256"/>
    </row>
    <row r="363">
      <c r="A363" s="253">
        <v>2023.0</v>
      </c>
      <c r="B363" s="3">
        <v>1.0</v>
      </c>
      <c r="C363" s="3" t="s">
        <v>4137</v>
      </c>
      <c r="D363" s="282">
        <v>-90159.0</v>
      </c>
      <c r="F363" s="256"/>
      <c r="G363" s="257" t="b">
        <v>0</v>
      </c>
      <c r="H363" s="256"/>
    </row>
    <row r="364">
      <c r="A364" s="283">
        <v>2023.0</v>
      </c>
      <c r="B364" s="258">
        <v>2.0</v>
      </c>
      <c r="C364" s="258" t="s">
        <v>500</v>
      </c>
      <c r="D364" s="258">
        <v>1129500.0</v>
      </c>
      <c r="E364" s="259"/>
      <c r="F364" s="262"/>
      <c r="G364" s="263" t="b">
        <v>0</v>
      </c>
      <c r="H364" s="262"/>
    </row>
    <row r="365">
      <c r="A365" s="253">
        <v>2023.0</v>
      </c>
      <c r="B365" s="3">
        <v>2.0</v>
      </c>
      <c r="C365" s="3" t="s">
        <v>4069</v>
      </c>
      <c r="D365" s="282">
        <v>2300.0</v>
      </c>
      <c r="F365" s="280" t="s">
        <v>4161</v>
      </c>
      <c r="G365" s="257" t="b">
        <v>0</v>
      </c>
      <c r="H365" s="256"/>
    </row>
    <row r="366">
      <c r="A366" s="253">
        <v>2023.0</v>
      </c>
      <c r="B366" s="3">
        <v>2.0</v>
      </c>
      <c r="C366" s="3" t="s">
        <v>4069</v>
      </c>
      <c r="D366" s="3">
        <v>2400.0</v>
      </c>
      <c r="F366" s="280" t="s">
        <v>4199</v>
      </c>
      <c r="G366" s="257" t="b">
        <v>0</v>
      </c>
      <c r="H366" s="256"/>
    </row>
    <row r="367">
      <c r="A367" s="253">
        <v>2023.0</v>
      </c>
      <c r="B367" s="3">
        <v>2.0</v>
      </c>
      <c r="C367" s="3" t="s">
        <v>4137</v>
      </c>
      <c r="D367" s="3">
        <v>-25400.0</v>
      </c>
      <c r="F367" s="256"/>
      <c r="G367" s="257" t="b">
        <v>0</v>
      </c>
      <c r="H367" s="256"/>
    </row>
    <row r="368">
      <c r="A368" s="283">
        <v>2023.0</v>
      </c>
      <c r="B368" s="258">
        <v>3.0</v>
      </c>
      <c r="C368" s="258" t="s">
        <v>500</v>
      </c>
      <c r="D368" s="258">
        <v>1318150.0</v>
      </c>
      <c r="E368" s="259"/>
      <c r="F368" s="262"/>
      <c r="G368" s="263" t="b">
        <v>0</v>
      </c>
      <c r="H368" s="262"/>
    </row>
    <row r="369">
      <c r="A369" s="253">
        <v>2023.0</v>
      </c>
      <c r="B369" s="3">
        <v>3.0</v>
      </c>
      <c r="C369" s="3" t="s">
        <v>4069</v>
      </c>
      <c r="D369" s="282">
        <v>2000.0</v>
      </c>
      <c r="F369" s="280" t="s">
        <v>4172</v>
      </c>
      <c r="G369" s="257" t="b">
        <v>0</v>
      </c>
      <c r="H369" s="256"/>
    </row>
    <row r="370">
      <c r="A370" s="253">
        <v>2023.0</v>
      </c>
      <c r="B370" s="3">
        <v>3.0</v>
      </c>
      <c r="C370" s="3" t="s">
        <v>4069</v>
      </c>
      <c r="D370" s="3">
        <v>1900.0</v>
      </c>
      <c r="F370" s="280" t="s">
        <v>4200</v>
      </c>
      <c r="G370" s="257" t="b">
        <v>0</v>
      </c>
      <c r="H370" s="256"/>
    </row>
    <row r="371">
      <c r="A371" s="253">
        <v>2023.0</v>
      </c>
      <c r="B371" s="3">
        <v>3.0</v>
      </c>
      <c r="C371" s="3" t="s">
        <v>4069</v>
      </c>
      <c r="D371" s="3">
        <v>4900.0</v>
      </c>
      <c r="F371" s="280" t="s">
        <v>4201</v>
      </c>
      <c r="G371" s="257" t="b">
        <v>0</v>
      </c>
      <c r="H371" s="256"/>
    </row>
    <row r="372">
      <c r="A372" s="253">
        <v>2023.0</v>
      </c>
      <c r="B372" s="3">
        <v>3.0</v>
      </c>
      <c r="C372" s="3" t="s">
        <v>4137</v>
      </c>
      <c r="D372" s="3">
        <v>-1250.0</v>
      </c>
      <c r="F372" s="256"/>
      <c r="G372" s="257" t="b">
        <v>0</v>
      </c>
      <c r="H372" s="256"/>
    </row>
    <row r="373">
      <c r="A373" s="253">
        <v>2023.0</v>
      </c>
      <c r="B373" s="3">
        <v>3.0</v>
      </c>
      <c r="C373" s="3" t="s">
        <v>4137</v>
      </c>
      <c r="D373" s="3">
        <v>-45585.0</v>
      </c>
      <c r="F373" s="256"/>
      <c r="G373" s="257" t="b">
        <v>0</v>
      </c>
      <c r="H373" s="256"/>
    </row>
    <row r="374">
      <c r="A374" s="283">
        <v>2023.0</v>
      </c>
      <c r="B374" s="258">
        <v>4.0</v>
      </c>
      <c r="C374" s="258" t="s">
        <v>500</v>
      </c>
      <c r="D374" s="259">
        <v>1230100.0</v>
      </c>
      <c r="E374" s="259"/>
      <c r="F374" s="262"/>
      <c r="G374" s="263" t="b">
        <v>0</v>
      </c>
      <c r="H374" s="262"/>
    </row>
    <row r="375">
      <c r="A375" s="253">
        <v>2023.0</v>
      </c>
      <c r="B375" s="3">
        <v>4.0</v>
      </c>
      <c r="C375" s="3" t="s">
        <v>4069</v>
      </c>
      <c r="D375" s="3">
        <v>4900.0</v>
      </c>
      <c r="F375" s="280" t="s">
        <v>4202</v>
      </c>
      <c r="G375" s="257" t="b">
        <v>0</v>
      </c>
      <c r="H375" s="256"/>
    </row>
    <row r="376">
      <c r="A376" s="253">
        <v>2023.0</v>
      </c>
      <c r="B376" s="3">
        <v>4.0</v>
      </c>
      <c r="C376" s="3" t="s">
        <v>4137</v>
      </c>
      <c r="D376" s="3">
        <v>-72850.0</v>
      </c>
      <c r="F376" s="280"/>
      <c r="G376" s="257" t="b">
        <v>0</v>
      </c>
      <c r="H376" s="256"/>
    </row>
    <row r="377">
      <c r="A377" s="283">
        <v>2023.0</v>
      </c>
      <c r="B377" s="258">
        <v>5.0</v>
      </c>
      <c r="C377" s="258" t="s">
        <v>500</v>
      </c>
      <c r="D377" s="258">
        <v>1374150.0</v>
      </c>
      <c r="E377" s="259"/>
      <c r="F377" s="277"/>
      <c r="G377" s="263" t="b">
        <v>0</v>
      </c>
      <c r="H377" s="262"/>
    </row>
    <row r="378">
      <c r="A378" s="253">
        <v>2023.0</v>
      </c>
      <c r="B378" s="3">
        <v>5.0</v>
      </c>
      <c r="C378" s="3" t="s">
        <v>4069</v>
      </c>
      <c r="D378" s="282">
        <v>10750.0</v>
      </c>
      <c r="F378" s="280" t="s">
        <v>4203</v>
      </c>
      <c r="G378" s="257" t="b">
        <v>0</v>
      </c>
      <c r="H378" s="256"/>
    </row>
    <row r="379">
      <c r="A379" s="253">
        <v>2023.0</v>
      </c>
      <c r="B379" s="3">
        <v>5.0</v>
      </c>
      <c r="C379" s="3" t="s">
        <v>4069</v>
      </c>
      <c r="D379" s="3">
        <v>1499.0</v>
      </c>
      <c r="F379" s="280" t="s">
        <v>4204</v>
      </c>
      <c r="G379" s="257" t="b">
        <v>0</v>
      </c>
      <c r="H379" s="256"/>
    </row>
    <row r="380">
      <c r="A380" s="253">
        <v>2023.0</v>
      </c>
      <c r="B380" s="3">
        <v>5.0</v>
      </c>
      <c r="C380" s="3" t="s">
        <v>4137</v>
      </c>
      <c r="F380" s="256"/>
      <c r="G380" s="257" t="b">
        <v>0</v>
      </c>
      <c r="H380" s="256"/>
    </row>
    <row r="381">
      <c r="A381" s="253">
        <v>2023.0</v>
      </c>
      <c r="B381" s="3">
        <v>5.0</v>
      </c>
      <c r="C381" s="3" t="s">
        <v>4137</v>
      </c>
      <c r="D381" s="3">
        <v>-61076.0</v>
      </c>
      <c r="F381" s="256"/>
      <c r="G381" s="257" t="b">
        <v>0</v>
      </c>
      <c r="H381" s="256"/>
    </row>
    <row r="382">
      <c r="A382" s="283">
        <v>2023.0</v>
      </c>
      <c r="B382" s="258">
        <v>6.0</v>
      </c>
      <c r="C382" s="258" t="s">
        <v>500</v>
      </c>
      <c r="D382" s="258">
        <v>1526200.0</v>
      </c>
      <c r="E382" s="259"/>
      <c r="F382" s="262"/>
      <c r="G382" s="263" t="b">
        <v>0</v>
      </c>
      <c r="H382" s="262"/>
    </row>
    <row r="383">
      <c r="A383" s="253">
        <v>2023.0</v>
      </c>
      <c r="B383" s="3">
        <v>6.0</v>
      </c>
      <c r="C383" s="3" t="s">
        <v>4069</v>
      </c>
      <c r="D383" s="282">
        <v>5400.0</v>
      </c>
      <c r="F383" s="280" t="s">
        <v>4205</v>
      </c>
      <c r="G383" s="257" t="b">
        <v>0</v>
      </c>
      <c r="H383" s="256"/>
    </row>
    <row r="384">
      <c r="A384" s="253">
        <v>2023.0</v>
      </c>
      <c r="B384" s="3">
        <v>6.0</v>
      </c>
      <c r="C384" s="3" t="s">
        <v>4137</v>
      </c>
      <c r="D384" s="282">
        <v>68750.0</v>
      </c>
      <c r="F384" s="280" t="s">
        <v>4206</v>
      </c>
      <c r="G384" s="257" t="b">
        <v>0</v>
      </c>
      <c r="H384" s="256"/>
    </row>
    <row r="385">
      <c r="A385" s="253">
        <v>2023.0</v>
      </c>
      <c r="B385" s="3">
        <v>6.0</v>
      </c>
      <c r="C385" s="3" t="s">
        <v>4137</v>
      </c>
      <c r="D385" s="3">
        <v>-73107.0</v>
      </c>
      <c r="F385" s="256"/>
      <c r="G385" s="257" t="b">
        <v>0</v>
      </c>
      <c r="H385" s="256"/>
    </row>
    <row r="386">
      <c r="A386" s="253">
        <v>2023.0</v>
      </c>
      <c r="B386" s="3">
        <v>6.0</v>
      </c>
      <c r="C386" s="3" t="s">
        <v>4092</v>
      </c>
      <c r="D386" s="282">
        <v>-68750.0</v>
      </c>
      <c r="F386" s="280" t="s">
        <v>4207</v>
      </c>
      <c r="G386" s="257" t="b">
        <v>0</v>
      </c>
      <c r="H386" s="256"/>
    </row>
    <row r="387">
      <c r="A387" s="283">
        <v>2023.0</v>
      </c>
      <c r="B387" s="258">
        <v>7.0</v>
      </c>
      <c r="C387" s="258" t="s">
        <v>500</v>
      </c>
      <c r="D387" s="285">
        <v>1427800.0</v>
      </c>
      <c r="E387" s="259"/>
      <c r="F387" s="277"/>
      <c r="G387" s="263" t="b">
        <v>0</v>
      </c>
      <c r="H387" s="262"/>
    </row>
    <row r="388">
      <c r="A388" s="253">
        <v>2023.0</v>
      </c>
      <c r="B388" s="3">
        <v>7.0</v>
      </c>
      <c r="C388" s="3" t="s">
        <v>4069</v>
      </c>
      <c r="D388" s="282">
        <v>9500.0</v>
      </c>
      <c r="F388" s="280" t="s">
        <v>4208</v>
      </c>
      <c r="G388" s="280" t="b">
        <v>0</v>
      </c>
      <c r="H388" s="256"/>
    </row>
    <row r="389">
      <c r="A389" s="253">
        <v>2023.0</v>
      </c>
      <c r="B389" s="3">
        <v>7.0</v>
      </c>
      <c r="C389" s="3" t="s">
        <v>4069</v>
      </c>
      <c r="D389" s="3">
        <v>1210.0</v>
      </c>
      <c r="F389" s="310" t="s">
        <v>4209</v>
      </c>
      <c r="G389" s="257" t="b">
        <v>0</v>
      </c>
      <c r="H389" s="256"/>
    </row>
    <row r="390">
      <c r="A390" s="253">
        <v>2023.0</v>
      </c>
      <c r="B390" s="3">
        <v>7.0</v>
      </c>
      <c r="C390" s="3" t="s">
        <v>4137</v>
      </c>
      <c r="D390" s="3">
        <v>-92647.0</v>
      </c>
      <c r="F390" s="256"/>
      <c r="G390" s="257" t="b">
        <v>0</v>
      </c>
      <c r="H390" s="256"/>
    </row>
    <row r="391">
      <c r="A391" s="283">
        <v>2023.0</v>
      </c>
      <c r="B391" s="258">
        <v>8.0</v>
      </c>
      <c r="C391" s="258" t="s">
        <v>500</v>
      </c>
      <c r="D391" s="259">
        <f>Transferencias</f>
        <v>14204000</v>
      </c>
      <c r="E391" s="259"/>
      <c r="F391" s="262"/>
      <c r="G391" s="263" t="b">
        <v>0</v>
      </c>
      <c r="H391" s="262"/>
    </row>
    <row r="392">
      <c r="A392" s="253">
        <v>2023.0</v>
      </c>
      <c r="B392" s="3">
        <v>8.0</v>
      </c>
      <c r="C392" s="3" t="s">
        <v>4069</v>
      </c>
      <c r="D392" s="3">
        <v>12500.0</v>
      </c>
      <c r="F392" s="280" t="s">
        <v>4210</v>
      </c>
      <c r="G392" s="257" t="b">
        <v>0</v>
      </c>
      <c r="H392" s="256"/>
    </row>
    <row r="393">
      <c r="A393" s="253">
        <v>2023.0</v>
      </c>
      <c r="B393" s="3">
        <v>8.0</v>
      </c>
      <c r="C393" s="3" t="s">
        <v>4069</v>
      </c>
      <c r="D393" s="3">
        <v>2050.0</v>
      </c>
      <c r="F393" s="280" t="s">
        <v>4211</v>
      </c>
      <c r="G393" s="257" t="b">
        <v>0</v>
      </c>
      <c r="H393" s="256"/>
    </row>
    <row r="394">
      <c r="A394" s="253">
        <v>2023.0</v>
      </c>
      <c r="B394" s="3">
        <v>8.0</v>
      </c>
      <c r="C394" s="3" t="s">
        <v>4137</v>
      </c>
      <c r="D394" s="3">
        <v>40000.0</v>
      </c>
      <c r="F394" s="280" t="s">
        <v>4212</v>
      </c>
      <c r="G394" s="257" t="b">
        <v>0</v>
      </c>
      <c r="H394" s="256"/>
    </row>
    <row r="395">
      <c r="A395" s="253">
        <v>2023.0</v>
      </c>
      <c r="B395" s="3">
        <v>9.0</v>
      </c>
      <c r="C395" s="3" t="s">
        <v>4069</v>
      </c>
      <c r="D395" s="3">
        <v>5900.0</v>
      </c>
      <c r="F395" s="280" t="s">
        <v>4213</v>
      </c>
      <c r="G395" s="257" t="b">
        <v>0</v>
      </c>
      <c r="H395" s="256"/>
    </row>
    <row r="396">
      <c r="A396" s="253">
        <v>2023.0</v>
      </c>
      <c r="B396" s="3">
        <v>10.0</v>
      </c>
      <c r="C396" s="3" t="s">
        <v>4069</v>
      </c>
      <c r="D396" s="3">
        <v>4000.0</v>
      </c>
      <c r="F396" s="280" t="s">
        <v>4214</v>
      </c>
      <c r="G396" s="257" t="b">
        <v>0</v>
      </c>
      <c r="H396" s="256"/>
    </row>
    <row r="397">
      <c r="A397" s="253">
        <v>2023.0</v>
      </c>
      <c r="B397" s="3">
        <v>10.0</v>
      </c>
      <c r="C397" s="3" t="s">
        <v>4137</v>
      </c>
      <c r="D397" s="282">
        <v>31150.0</v>
      </c>
      <c r="F397" s="280" t="s">
        <v>4215</v>
      </c>
      <c r="G397" s="257" t="b">
        <v>0</v>
      </c>
      <c r="H397" s="256"/>
    </row>
    <row r="398">
      <c r="A398" s="253">
        <v>2023.0</v>
      </c>
      <c r="B398" s="3">
        <v>11.0</v>
      </c>
      <c r="C398" s="3" t="s">
        <v>4137</v>
      </c>
      <c r="D398" s="282">
        <v>18350.0</v>
      </c>
      <c r="F398" s="280" t="s">
        <v>4216</v>
      </c>
      <c r="G398" s="257" t="b">
        <v>0</v>
      </c>
      <c r="H398" s="256"/>
    </row>
    <row r="399">
      <c r="A399" s="253">
        <v>2023.0</v>
      </c>
      <c r="B399" s="3">
        <v>12.0</v>
      </c>
      <c r="C399" s="3" t="s">
        <v>4069</v>
      </c>
      <c r="D399" s="3">
        <v>3000.0</v>
      </c>
      <c r="F399" s="280" t="s">
        <v>4217</v>
      </c>
      <c r="G399" s="257" t="b">
        <v>0</v>
      </c>
      <c r="H399" s="280" t="s">
        <v>4218</v>
      </c>
    </row>
    <row r="400">
      <c r="A400" s="253">
        <v>2023.0</v>
      </c>
      <c r="B400" s="3">
        <v>12.0</v>
      </c>
      <c r="C400" s="3" t="s">
        <v>4069</v>
      </c>
      <c r="D400" s="3">
        <v>85900.0</v>
      </c>
      <c r="F400" s="280" t="s">
        <v>4219</v>
      </c>
      <c r="G400" s="257" t="b">
        <v>0</v>
      </c>
      <c r="H400" s="280" t="s">
        <v>4220</v>
      </c>
    </row>
    <row r="401">
      <c r="A401" s="253">
        <v>2023.0</v>
      </c>
      <c r="B401" s="3">
        <v>12.0</v>
      </c>
      <c r="C401" s="3" t="s">
        <v>4137</v>
      </c>
      <c r="D401" s="282">
        <v>135350.0</v>
      </c>
      <c r="F401" s="280" t="s">
        <v>4221</v>
      </c>
      <c r="G401" s="257" t="b">
        <v>0</v>
      </c>
      <c r="H401" s="280" t="s">
        <v>4222</v>
      </c>
    </row>
    <row r="402">
      <c r="A402" s="253">
        <v>2024.0</v>
      </c>
      <c r="B402" s="3">
        <v>1.0</v>
      </c>
      <c r="C402" s="3" t="s">
        <v>4068</v>
      </c>
      <c r="D402" s="282">
        <v>30900.0</v>
      </c>
      <c r="F402" s="280" t="s">
        <v>4223</v>
      </c>
      <c r="G402" s="257" t="b">
        <v>0</v>
      </c>
      <c r="H402" s="256"/>
    </row>
    <row r="403">
      <c r="A403" s="253">
        <v>2024.0</v>
      </c>
      <c r="B403" s="3">
        <v>2.0</v>
      </c>
      <c r="C403" s="3" t="s">
        <v>4068</v>
      </c>
      <c r="F403" s="280" t="s">
        <v>4224</v>
      </c>
      <c r="G403" s="257" t="b">
        <v>0</v>
      </c>
      <c r="H403" s="280" t="s">
        <v>4225</v>
      </c>
    </row>
    <row r="404">
      <c r="A404" s="253">
        <v>2024.0</v>
      </c>
      <c r="B404" s="3">
        <v>2.0</v>
      </c>
      <c r="C404" s="3" t="s">
        <v>4069</v>
      </c>
      <c r="D404" s="3">
        <v>5000.0</v>
      </c>
      <c r="F404" s="256"/>
      <c r="G404" s="257" t="b">
        <v>0</v>
      </c>
      <c r="H404" s="280" t="s">
        <v>4226</v>
      </c>
    </row>
    <row r="405">
      <c r="A405" s="253">
        <v>2024.0</v>
      </c>
      <c r="B405" s="3">
        <v>3.0</v>
      </c>
      <c r="C405" s="3" t="s">
        <v>4137</v>
      </c>
      <c r="D405" s="282">
        <v>70000.0</v>
      </c>
      <c r="F405" s="256"/>
      <c r="G405" s="257" t="b">
        <v>0</v>
      </c>
    </row>
    <row r="406">
      <c r="A406" s="253">
        <v>2024.0</v>
      </c>
      <c r="B406" s="3">
        <v>4.0</v>
      </c>
      <c r="C406" s="3" t="s">
        <v>4069</v>
      </c>
      <c r="F406" s="280" t="s">
        <v>4096</v>
      </c>
      <c r="G406" s="257" t="b">
        <v>0</v>
      </c>
      <c r="H406" s="280" t="s">
        <v>4227</v>
      </c>
    </row>
    <row r="407">
      <c r="A407" s="253">
        <v>2024.0</v>
      </c>
      <c r="B407" s="3">
        <v>4.0</v>
      </c>
      <c r="C407" s="3" t="s">
        <v>4069</v>
      </c>
      <c r="F407" s="280" t="s">
        <v>4228</v>
      </c>
      <c r="G407" s="257" t="b">
        <v>0</v>
      </c>
    </row>
    <row r="408">
      <c r="A408" s="253">
        <v>2024.0</v>
      </c>
      <c r="B408" s="3">
        <v>4.0</v>
      </c>
      <c r="C408" s="3" t="s">
        <v>4069</v>
      </c>
      <c r="D408" s="3">
        <v>33700.0</v>
      </c>
      <c r="F408" s="280" t="s">
        <v>4096</v>
      </c>
      <c r="G408" s="257" t="b">
        <v>0</v>
      </c>
      <c r="H408" s="256"/>
    </row>
    <row r="409">
      <c r="A409" s="253">
        <v>2024.0</v>
      </c>
      <c r="B409" s="3">
        <v>4.0</v>
      </c>
      <c r="C409" s="3" t="s">
        <v>4137</v>
      </c>
      <c r="D409" s="282">
        <v>107697.0</v>
      </c>
      <c r="F409" s="280" t="s">
        <v>4229</v>
      </c>
      <c r="G409" s="257" t="b">
        <v>0</v>
      </c>
      <c r="H409" s="280" t="s">
        <v>4230</v>
      </c>
    </row>
    <row r="410">
      <c r="A410" s="253">
        <v>2024.0</v>
      </c>
      <c r="B410" s="3">
        <v>5.0</v>
      </c>
      <c r="C410" s="3" t="s">
        <v>4069</v>
      </c>
      <c r="D410" s="282">
        <v>36000.0</v>
      </c>
      <c r="F410" s="280" t="s">
        <v>4231</v>
      </c>
      <c r="G410" s="257" t="b">
        <v>0</v>
      </c>
      <c r="H410" s="256"/>
    </row>
    <row r="411">
      <c r="A411" s="253">
        <v>2024.0</v>
      </c>
      <c r="B411" s="3">
        <v>5.0</v>
      </c>
      <c r="C411" s="3" t="s">
        <v>4137</v>
      </c>
      <c r="F411" s="280" t="s">
        <v>4232</v>
      </c>
      <c r="G411" s="257" t="b">
        <v>0</v>
      </c>
      <c r="H411" s="280" t="s">
        <v>4233</v>
      </c>
    </row>
    <row r="412">
      <c r="A412" s="253"/>
      <c r="B412" s="3"/>
      <c r="C412" s="3"/>
      <c r="D412" s="282"/>
      <c r="F412" s="280"/>
      <c r="G412" s="257" t="b">
        <v>0</v>
      </c>
      <c r="H412" s="280"/>
    </row>
    <row r="413">
      <c r="A413" s="253">
        <v>2024.0</v>
      </c>
      <c r="B413" s="3">
        <v>6.0</v>
      </c>
      <c r="C413" s="3" t="s">
        <v>4069</v>
      </c>
      <c r="D413" s="282">
        <v>32000.0</v>
      </c>
      <c r="F413" s="280" t="s">
        <v>4234</v>
      </c>
      <c r="G413" s="257" t="b">
        <v>0</v>
      </c>
      <c r="H413" s="310" t="s">
        <v>4235</v>
      </c>
    </row>
    <row r="414">
      <c r="A414" s="253">
        <v>2024.0</v>
      </c>
      <c r="B414" s="3">
        <v>6.0</v>
      </c>
      <c r="C414" s="3" t="s">
        <v>4069</v>
      </c>
      <c r="D414" s="282">
        <v>532992.0</v>
      </c>
      <c r="F414" s="280" t="s">
        <v>4180</v>
      </c>
      <c r="G414" s="257" t="b">
        <v>0</v>
      </c>
      <c r="H414" s="310" t="s">
        <v>4236</v>
      </c>
    </row>
    <row r="415">
      <c r="A415" s="253">
        <v>2024.0</v>
      </c>
      <c r="B415" s="3">
        <v>6.0</v>
      </c>
      <c r="C415" s="3" t="s">
        <v>4137</v>
      </c>
      <c r="D415" s="3" t="s">
        <v>4237</v>
      </c>
      <c r="E415" s="3">
        <v>503.925</v>
      </c>
      <c r="F415" s="280" t="s">
        <v>4238</v>
      </c>
      <c r="G415" s="257" t="b">
        <v>0</v>
      </c>
      <c r="H415" s="256"/>
    </row>
    <row r="416">
      <c r="A416" s="288"/>
      <c r="F416" s="256"/>
      <c r="G416" s="257" t="b">
        <v>0</v>
      </c>
      <c r="H416" s="280" t="s">
        <v>4239</v>
      </c>
    </row>
    <row r="417">
      <c r="A417" s="253">
        <v>2024.0</v>
      </c>
      <c r="B417" s="3">
        <v>7.0</v>
      </c>
      <c r="C417" s="3" t="s">
        <v>4137</v>
      </c>
      <c r="D417" s="3" t="s">
        <v>4240</v>
      </c>
      <c r="F417" s="256"/>
      <c r="G417" s="257" t="b">
        <v>0</v>
      </c>
      <c r="H417" s="311">
        <v>438404.0</v>
      </c>
    </row>
    <row r="418">
      <c r="A418" s="253">
        <v>2024.0</v>
      </c>
      <c r="B418" s="3">
        <v>8.0</v>
      </c>
      <c r="C418" s="3" t="s">
        <v>4137</v>
      </c>
      <c r="D418" s="3" t="s">
        <v>4241</v>
      </c>
      <c r="F418" s="256"/>
      <c r="G418" s="257" t="b">
        <v>0</v>
      </c>
      <c r="H418" s="280" t="s">
        <v>4242</v>
      </c>
    </row>
    <row r="419">
      <c r="A419" s="253">
        <v>2024.0</v>
      </c>
      <c r="B419" s="3">
        <v>9.0</v>
      </c>
      <c r="C419" s="3" t="s">
        <v>4137</v>
      </c>
      <c r="D419" s="282" t="s">
        <v>4243</v>
      </c>
      <c r="E419" s="3">
        <v>239000.0</v>
      </c>
      <c r="F419" s="256"/>
      <c r="G419" s="257" t="b">
        <v>0</v>
      </c>
      <c r="H419" s="311">
        <v>462101.0</v>
      </c>
    </row>
    <row r="420">
      <c r="A420" s="253">
        <v>2024.0</v>
      </c>
      <c r="B420" s="3">
        <v>10.0</v>
      </c>
      <c r="C420" s="3" t="s">
        <v>4137</v>
      </c>
      <c r="D420" s="3" t="s">
        <v>4244</v>
      </c>
      <c r="F420" s="256"/>
      <c r="G420" s="257" t="b">
        <v>0</v>
      </c>
      <c r="H420" s="280" t="s">
        <v>4245</v>
      </c>
    </row>
    <row r="421">
      <c r="A421" s="253">
        <v>2024.0</v>
      </c>
      <c r="B421" s="3">
        <v>12.0</v>
      </c>
      <c r="C421" s="3" t="s">
        <v>4069</v>
      </c>
      <c r="D421" s="282">
        <v>108000.0</v>
      </c>
      <c r="E421" s="3" t="s">
        <v>4246</v>
      </c>
      <c r="F421" s="312"/>
      <c r="G421" s="257" t="b">
        <v>0</v>
      </c>
      <c r="H421" s="313">
        <v>481000.0</v>
      </c>
    </row>
    <row r="422">
      <c r="A422" s="253">
        <v>2025.0</v>
      </c>
      <c r="B422" s="3">
        <v>12.0</v>
      </c>
      <c r="C422" s="3" t="s">
        <v>4137</v>
      </c>
      <c r="D422" s="3" t="s">
        <v>4247</v>
      </c>
      <c r="F422" s="256"/>
      <c r="G422" s="257" t="b">
        <v>0</v>
      </c>
      <c r="H422" s="280" t="s">
        <v>4248</v>
      </c>
    </row>
    <row r="423">
      <c r="A423" s="253"/>
      <c r="B423" s="3"/>
      <c r="C423" s="3"/>
      <c r="D423" s="3"/>
      <c r="F423" s="256"/>
      <c r="G423" s="257" t="b">
        <v>0</v>
      </c>
      <c r="H423" s="313">
        <v>501.596</v>
      </c>
    </row>
    <row r="424">
      <c r="A424" s="253"/>
      <c r="B424" s="3"/>
      <c r="C424" s="3"/>
      <c r="D424" s="3"/>
      <c r="F424" s="256"/>
      <c r="G424" s="257" t="b">
        <v>0</v>
      </c>
      <c r="H424" s="280" t="s">
        <v>4249</v>
      </c>
    </row>
    <row r="425">
      <c r="A425" s="253"/>
      <c r="B425" s="3"/>
      <c r="C425" s="3"/>
      <c r="D425" s="3"/>
      <c r="F425" s="256"/>
      <c r="G425" s="257" t="b">
        <v>0</v>
      </c>
      <c r="H425" s="280" t="s">
        <v>4250</v>
      </c>
    </row>
    <row r="426">
      <c r="A426" s="253">
        <v>2025.0</v>
      </c>
      <c r="B426" s="3">
        <v>1.0</v>
      </c>
      <c r="C426" s="3" t="s">
        <v>4137</v>
      </c>
      <c r="D426" s="3" t="s">
        <v>4251</v>
      </c>
      <c r="F426" s="256"/>
      <c r="G426" s="257" t="b">
        <v>0</v>
      </c>
    </row>
    <row r="427">
      <c r="A427" s="253">
        <v>2025.0</v>
      </c>
      <c r="B427" s="3">
        <v>2.0</v>
      </c>
      <c r="C427" s="3" t="s">
        <v>4069</v>
      </c>
      <c r="D427" s="3" t="s">
        <v>4252</v>
      </c>
      <c r="F427" s="256"/>
      <c r="G427" s="257" t="b">
        <v>0</v>
      </c>
      <c r="H427" s="314" t="s">
        <v>4253</v>
      </c>
    </row>
    <row r="428">
      <c r="A428" s="253">
        <v>2025.0</v>
      </c>
      <c r="B428" s="3">
        <v>2.0</v>
      </c>
      <c r="C428" s="314" t="s">
        <v>4137</v>
      </c>
      <c r="D428" s="314" t="s">
        <v>4254</v>
      </c>
      <c r="F428" s="256"/>
      <c r="G428" s="257" t="b">
        <v>0</v>
      </c>
      <c r="H428" s="314" t="s">
        <v>4255</v>
      </c>
    </row>
    <row r="429">
      <c r="A429" s="253">
        <v>2024.0</v>
      </c>
      <c r="B429" s="3">
        <v>3.0</v>
      </c>
      <c r="C429" s="3" t="s">
        <v>4137</v>
      </c>
      <c r="F429" s="256"/>
      <c r="G429" s="257" t="b">
        <v>0</v>
      </c>
      <c r="H429" s="256"/>
    </row>
    <row r="430">
      <c r="A430" s="288"/>
      <c r="F430" s="256"/>
      <c r="G430" s="257" t="b">
        <v>0</v>
      </c>
      <c r="H430" s="310" t="s">
        <v>4256</v>
      </c>
    </row>
    <row r="431">
      <c r="A431" s="253">
        <v>2025.0</v>
      </c>
      <c r="B431" s="3">
        <v>4.0</v>
      </c>
      <c r="C431" s="3" t="s">
        <v>4069</v>
      </c>
      <c r="D431" s="3" t="s">
        <v>4257</v>
      </c>
      <c r="F431" s="256"/>
      <c r="G431" s="257" t="b">
        <v>0</v>
      </c>
      <c r="H431" s="310" t="s">
        <v>4258</v>
      </c>
    </row>
    <row r="432">
      <c r="A432" s="253">
        <v>2025.0</v>
      </c>
      <c r="B432" s="3">
        <v>4.0</v>
      </c>
      <c r="C432" s="3" t="s">
        <v>4137</v>
      </c>
      <c r="D432" s="3" t="s">
        <v>4259</v>
      </c>
      <c r="F432" s="256"/>
      <c r="G432" s="257" t="b">
        <v>0</v>
      </c>
      <c r="H432" s="256"/>
    </row>
    <row r="433">
      <c r="A433" s="253">
        <v>2025.0</v>
      </c>
      <c r="B433" s="3">
        <v>5.0</v>
      </c>
      <c r="C433" s="3" t="s">
        <v>4137</v>
      </c>
      <c r="D433" s="3" t="s">
        <v>4260</v>
      </c>
      <c r="F433" s="256"/>
      <c r="G433" s="257" t="b">
        <v>0</v>
      </c>
      <c r="H433" s="310" t="s">
        <v>4261</v>
      </c>
    </row>
    <row r="434">
      <c r="A434" s="253"/>
      <c r="B434" s="3"/>
      <c r="C434" s="3"/>
      <c r="D434" s="3"/>
      <c r="F434" s="256"/>
      <c r="G434" s="257" t="b">
        <v>0</v>
      </c>
      <c r="H434" s="310"/>
    </row>
    <row r="435">
      <c r="A435" s="253">
        <v>2025.0</v>
      </c>
      <c r="B435" s="3">
        <v>6.0</v>
      </c>
      <c r="C435" s="3" t="s">
        <v>4069</v>
      </c>
      <c r="D435" s="3" t="s">
        <v>4262</v>
      </c>
      <c r="F435" s="256"/>
      <c r="G435" s="257" t="b">
        <v>0</v>
      </c>
      <c r="H435" s="310" t="s">
        <v>4263</v>
      </c>
    </row>
    <row r="436">
      <c r="A436" s="253">
        <v>2025.0</v>
      </c>
      <c r="B436" s="3">
        <v>6.0</v>
      </c>
      <c r="C436" s="3" t="s">
        <v>4137</v>
      </c>
      <c r="D436" s="3" t="s">
        <v>4264</v>
      </c>
      <c r="F436" s="256"/>
      <c r="G436" s="257" t="b">
        <v>0</v>
      </c>
      <c r="H436" s="256"/>
    </row>
    <row r="437">
      <c r="A437" s="253">
        <v>2025.0</v>
      </c>
      <c r="B437" s="3">
        <v>6.0</v>
      </c>
      <c r="C437" s="3" t="s">
        <v>4092</v>
      </c>
      <c r="D437" s="282">
        <v>300000.0</v>
      </c>
      <c r="F437" s="256"/>
      <c r="G437" s="257" t="b">
        <v>0</v>
      </c>
      <c r="H437" s="256"/>
    </row>
    <row r="438">
      <c r="A438" s="288"/>
      <c r="F438" s="256"/>
      <c r="G438" s="257" t="b">
        <v>0</v>
      </c>
      <c r="H438" s="310" t="s">
        <v>4265</v>
      </c>
    </row>
    <row r="439">
      <c r="A439" s="253">
        <v>2025.0</v>
      </c>
      <c r="B439" s="3">
        <v>7.0</v>
      </c>
      <c r="C439" s="3" t="s">
        <v>4137</v>
      </c>
      <c r="D439" s="3" t="s">
        <v>4266</v>
      </c>
      <c r="F439" s="256"/>
      <c r="G439" s="257" t="b">
        <v>0</v>
      </c>
      <c r="H439" s="256"/>
    </row>
    <row r="440">
      <c r="A440" s="253">
        <v>2025.0</v>
      </c>
      <c r="B440" s="3">
        <v>7.0</v>
      </c>
      <c r="C440" s="3" t="s">
        <v>4137</v>
      </c>
      <c r="D440" s="3" t="s">
        <v>4267</v>
      </c>
      <c r="E440" s="315">
        <v>267000.0</v>
      </c>
      <c r="F440" s="256"/>
      <c r="G440" s="257" t="b">
        <v>0</v>
      </c>
      <c r="H440" s="256"/>
    </row>
    <row r="441">
      <c r="A441" s="288"/>
      <c r="D441" s="3" t="s">
        <v>4268</v>
      </c>
      <c r="E441" s="316"/>
      <c r="F441" s="256"/>
      <c r="G441" s="257" t="b">
        <v>0</v>
      </c>
      <c r="H441" s="256"/>
    </row>
    <row r="442">
      <c r="A442" s="288"/>
      <c r="F442" s="256"/>
      <c r="G442" s="257" t="b">
        <v>0</v>
      </c>
      <c r="H442" s="256"/>
    </row>
    <row r="443">
      <c r="A443" s="253">
        <v>2025.0</v>
      </c>
      <c r="B443" s="3">
        <v>8.0</v>
      </c>
      <c r="C443" s="3" t="s">
        <v>4069</v>
      </c>
      <c r="D443" s="3" t="s">
        <v>4269</v>
      </c>
      <c r="F443" s="256"/>
      <c r="G443" s="257" t="b">
        <v>0</v>
      </c>
      <c r="H443" s="317" t="s">
        <v>4270</v>
      </c>
    </row>
    <row r="444">
      <c r="A444" s="253">
        <v>2025.0</v>
      </c>
      <c r="B444" s="3">
        <v>8.0</v>
      </c>
      <c r="C444" s="3" t="s">
        <v>4137</v>
      </c>
      <c r="D444" s="3" t="s">
        <v>4271</v>
      </c>
      <c r="F444" s="256"/>
      <c r="G444" s="257" t="b">
        <v>0</v>
      </c>
      <c r="H444" s="256"/>
    </row>
    <row r="445">
      <c r="A445" s="253">
        <v>2025.0</v>
      </c>
      <c r="B445" s="3">
        <v>8.0</v>
      </c>
      <c r="D445" s="3" t="s">
        <v>4272</v>
      </c>
      <c r="F445" s="256"/>
      <c r="G445" s="257" t="b">
        <v>0</v>
      </c>
      <c r="H445" s="256"/>
    </row>
    <row r="446">
      <c r="A446" s="288"/>
      <c r="F446" s="256"/>
      <c r="G446" s="257" t="b">
        <v>0</v>
      </c>
      <c r="H446" s="256"/>
    </row>
    <row r="447">
      <c r="A447" s="253">
        <v>2025.0</v>
      </c>
      <c r="B447" s="3">
        <v>9.0</v>
      </c>
      <c r="F447" s="256"/>
      <c r="G447" s="257" t="b">
        <v>0</v>
      </c>
      <c r="H447" s="256"/>
    </row>
    <row r="448">
      <c r="A448" s="288"/>
      <c r="F448" s="256"/>
      <c r="G448" s="257" t="b">
        <v>0</v>
      </c>
      <c r="H448" s="256"/>
    </row>
    <row r="449">
      <c r="A449" s="288"/>
      <c r="F449" s="256"/>
      <c r="G449" s="257" t="b">
        <v>0</v>
      </c>
      <c r="H449" s="256"/>
    </row>
    <row r="450">
      <c r="A450" s="288"/>
      <c r="F450" s="256"/>
      <c r="G450" s="257" t="b">
        <v>0</v>
      </c>
      <c r="H450" s="256"/>
    </row>
    <row r="451">
      <c r="A451" s="288"/>
      <c r="F451" s="256"/>
      <c r="G451" s="257" t="b">
        <v>0</v>
      </c>
      <c r="H451" s="256"/>
    </row>
    <row r="452">
      <c r="A452" s="288"/>
      <c r="F452" s="256"/>
      <c r="G452" s="257" t="b">
        <v>0</v>
      </c>
      <c r="H452" s="256"/>
    </row>
    <row r="453">
      <c r="A453" s="288"/>
      <c r="F453" s="256"/>
      <c r="G453" s="257" t="b">
        <v>0</v>
      </c>
      <c r="H453" s="256"/>
    </row>
    <row r="454">
      <c r="A454" s="288"/>
      <c r="F454" s="256"/>
      <c r="G454" s="257" t="b">
        <v>0</v>
      </c>
      <c r="H454" s="256"/>
    </row>
    <row r="455">
      <c r="A455" s="288"/>
      <c r="F455" s="256"/>
      <c r="G455" s="257" t="b">
        <v>0</v>
      </c>
      <c r="H455" s="256"/>
    </row>
    <row r="456">
      <c r="A456" s="288"/>
      <c r="F456" s="256"/>
      <c r="G456" s="257" t="b">
        <v>0</v>
      </c>
      <c r="H456" s="256"/>
    </row>
    <row r="457">
      <c r="A457" s="288"/>
      <c r="F457" s="256"/>
      <c r="G457" s="257" t="b">
        <v>0</v>
      </c>
      <c r="H457" s="256"/>
    </row>
    <row r="458">
      <c r="A458" s="288"/>
      <c r="F458" s="256"/>
      <c r="G458" s="257" t="b">
        <v>0</v>
      </c>
      <c r="H458" s="256"/>
    </row>
    <row r="459">
      <c r="A459" s="288"/>
      <c r="F459" s="256"/>
      <c r="G459" s="257" t="b">
        <v>0</v>
      </c>
      <c r="H459" s="256"/>
    </row>
    <row r="460">
      <c r="A460" s="288"/>
      <c r="F460" s="256"/>
      <c r="G460" s="257" t="b">
        <v>0</v>
      </c>
      <c r="H460" s="256"/>
    </row>
    <row r="461">
      <c r="A461" s="288"/>
      <c r="F461" s="256"/>
      <c r="G461" s="257" t="b">
        <v>0</v>
      </c>
      <c r="H461" s="256"/>
    </row>
    <row r="462">
      <c r="A462" s="288"/>
      <c r="F462" s="256"/>
      <c r="G462" s="257" t="b">
        <v>0</v>
      </c>
      <c r="H462" s="256"/>
    </row>
    <row r="463">
      <c r="A463" s="288"/>
      <c r="F463" s="256"/>
      <c r="G463" s="257" t="b">
        <v>0</v>
      </c>
      <c r="H463" s="256"/>
    </row>
    <row r="464">
      <c r="A464" s="288"/>
      <c r="F464" s="256"/>
      <c r="G464" s="257" t="b">
        <v>0</v>
      </c>
      <c r="H464" s="256"/>
    </row>
    <row r="465">
      <c r="A465" s="288"/>
      <c r="F465" s="256"/>
      <c r="G465" s="257" t="b">
        <v>0</v>
      </c>
      <c r="H465" s="256"/>
    </row>
    <row r="466">
      <c r="A466" s="288"/>
      <c r="F466" s="256"/>
      <c r="G466" s="257" t="b">
        <v>0</v>
      </c>
      <c r="H466" s="256"/>
    </row>
    <row r="467">
      <c r="A467" s="288"/>
      <c r="F467" s="256"/>
      <c r="G467" s="257" t="b">
        <v>0</v>
      </c>
      <c r="H467" s="256"/>
    </row>
    <row r="468">
      <c r="A468" s="288"/>
      <c r="F468" s="256"/>
      <c r="G468" s="257" t="b">
        <v>0</v>
      </c>
      <c r="H468" s="256"/>
    </row>
    <row r="469">
      <c r="A469" s="288"/>
      <c r="F469" s="256"/>
      <c r="G469" s="257" t="b">
        <v>0</v>
      </c>
      <c r="H469" s="256"/>
    </row>
    <row r="470">
      <c r="A470" s="288"/>
      <c r="F470" s="256"/>
      <c r="G470" s="257" t="b">
        <v>0</v>
      </c>
      <c r="H470" s="256"/>
    </row>
    <row r="471">
      <c r="A471" s="288"/>
      <c r="F471" s="256"/>
      <c r="G471" s="257" t="b">
        <v>0</v>
      </c>
      <c r="H471" s="256"/>
    </row>
    <row r="472">
      <c r="A472" s="288"/>
      <c r="F472" s="256"/>
      <c r="G472" s="257" t="b">
        <v>0</v>
      </c>
      <c r="H472" s="256"/>
    </row>
    <row r="473">
      <c r="A473" s="288"/>
      <c r="F473" s="256"/>
      <c r="G473" s="257" t="b">
        <v>0</v>
      </c>
      <c r="H473" s="256"/>
    </row>
    <row r="474">
      <c r="A474" s="288"/>
      <c r="F474" s="256"/>
      <c r="G474" s="257" t="b">
        <v>0</v>
      </c>
      <c r="H474" s="256"/>
    </row>
    <row r="475">
      <c r="A475" s="288"/>
      <c r="F475" s="256"/>
      <c r="G475" s="257" t="b">
        <v>0</v>
      </c>
      <c r="H475" s="256"/>
    </row>
    <row r="476">
      <c r="A476" s="288"/>
      <c r="F476" s="256"/>
      <c r="G476" s="257" t="b">
        <v>0</v>
      </c>
      <c r="H476" s="256"/>
    </row>
    <row r="477">
      <c r="A477" s="288"/>
      <c r="F477" s="256"/>
      <c r="G477" s="257" t="b">
        <v>0</v>
      </c>
      <c r="H477" s="256"/>
    </row>
    <row r="478">
      <c r="A478" s="288"/>
      <c r="F478" s="256"/>
      <c r="G478" s="257" t="b">
        <v>0</v>
      </c>
      <c r="H478" s="256"/>
    </row>
    <row r="479">
      <c r="A479" s="288"/>
      <c r="F479" s="256"/>
      <c r="G479" s="257" t="b">
        <v>0</v>
      </c>
      <c r="H479" s="256"/>
    </row>
    <row r="480">
      <c r="A480" s="288"/>
      <c r="F480" s="256"/>
      <c r="G480" s="257" t="b">
        <v>0</v>
      </c>
      <c r="H480" s="256"/>
    </row>
    <row r="481">
      <c r="A481" s="288"/>
      <c r="F481" s="256"/>
      <c r="G481" s="257" t="b">
        <v>0</v>
      </c>
      <c r="H481" s="256"/>
    </row>
    <row r="482">
      <c r="A482" s="288"/>
      <c r="F482" s="256"/>
      <c r="G482" s="257" t="b">
        <v>0</v>
      </c>
      <c r="H482" s="256"/>
    </row>
    <row r="483">
      <c r="A483" s="288"/>
      <c r="F483" s="256"/>
      <c r="G483" s="257" t="b">
        <v>0</v>
      </c>
      <c r="H483" s="256"/>
    </row>
    <row r="484">
      <c r="A484" s="288"/>
      <c r="F484" s="256"/>
      <c r="G484" s="257" t="b">
        <v>0</v>
      </c>
      <c r="H484" s="256"/>
    </row>
    <row r="485">
      <c r="A485" s="288"/>
      <c r="F485" s="256"/>
      <c r="G485" s="257" t="b">
        <v>0</v>
      </c>
      <c r="H485" s="256"/>
    </row>
    <row r="486">
      <c r="A486" s="288"/>
      <c r="F486" s="256"/>
      <c r="G486" s="257" t="b">
        <v>0</v>
      </c>
      <c r="H486" s="256"/>
    </row>
    <row r="487">
      <c r="A487" s="288"/>
      <c r="F487" s="256"/>
      <c r="G487" s="257" t="b">
        <v>0</v>
      </c>
      <c r="H487" s="256"/>
    </row>
    <row r="488">
      <c r="A488" s="288"/>
      <c r="F488" s="256"/>
      <c r="G488" s="257" t="b">
        <v>0</v>
      </c>
      <c r="H488" s="256"/>
    </row>
    <row r="489">
      <c r="A489" s="288"/>
      <c r="F489" s="256"/>
      <c r="G489" s="257" t="b">
        <v>0</v>
      </c>
      <c r="H489" s="256"/>
    </row>
    <row r="490">
      <c r="A490" s="288"/>
      <c r="F490" s="256"/>
      <c r="G490" s="257" t="b">
        <v>0</v>
      </c>
      <c r="H490" s="256"/>
    </row>
    <row r="491">
      <c r="A491" s="288"/>
      <c r="F491" s="256"/>
      <c r="G491" s="257" t="b">
        <v>0</v>
      </c>
      <c r="H491" s="256"/>
    </row>
    <row r="492">
      <c r="A492" s="288"/>
      <c r="F492" s="256"/>
      <c r="G492" s="257" t="b">
        <v>0</v>
      </c>
      <c r="H492" s="256"/>
    </row>
    <row r="493">
      <c r="A493" s="288"/>
      <c r="F493" s="256"/>
      <c r="G493" s="257" t="b">
        <v>0</v>
      </c>
      <c r="H493" s="256"/>
    </row>
    <row r="494">
      <c r="A494" s="288"/>
      <c r="F494" s="256"/>
      <c r="G494" s="257" t="b">
        <v>0</v>
      </c>
      <c r="H494" s="256"/>
    </row>
    <row r="495">
      <c r="A495" s="288"/>
      <c r="F495" s="256"/>
      <c r="G495" s="257" t="b">
        <v>0</v>
      </c>
      <c r="H495" s="256"/>
    </row>
    <row r="496">
      <c r="A496" s="288"/>
      <c r="F496" s="256"/>
      <c r="G496" s="257" t="b">
        <v>0</v>
      </c>
      <c r="H496" s="256"/>
    </row>
    <row r="497">
      <c r="A497" s="288"/>
      <c r="F497" s="256"/>
      <c r="G497" s="257" t="b">
        <v>0</v>
      </c>
      <c r="H497" s="256"/>
    </row>
    <row r="498">
      <c r="A498" s="288"/>
      <c r="F498" s="256"/>
      <c r="G498" s="257" t="b">
        <v>0</v>
      </c>
      <c r="H498" s="256"/>
    </row>
    <row r="499">
      <c r="A499" s="288"/>
      <c r="F499" s="256"/>
      <c r="G499" s="257" t="b">
        <v>0</v>
      </c>
      <c r="H499" s="256"/>
    </row>
    <row r="500">
      <c r="A500" s="288"/>
      <c r="F500" s="256"/>
      <c r="G500" s="257" t="b">
        <v>0</v>
      </c>
      <c r="H500" s="256"/>
    </row>
    <row r="501">
      <c r="A501" s="288"/>
      <c r="F501" s="256"/>
      <c r="G501" s="257" t="b">
        <v>0</v>
      </c>
      <c r="H501" s="256"/>
    </row>
    <row r="502">
      <c r="A502" s="288"/>
      <c r="F502" s="256"/>
      <c r="G502" s="257" t="b">
        <v>0</v>
      </c>
      <c r="H502" s="256"/>
    </row>
    <row r="503">
      <c r="A503" s="288"/>
      <c r="F503" s="256"/>
      <c r="G503" s="257" t="b">
        <v>0</v>
      </c>
      <c r="H503" s="256"/>
    </row>
    <row r="504">
      <c r="A504" s="288"/>
      <c r="F504" s="256"/>
      <c r="G504" s="257" t="b">
        <v>0</v>
      </c>
      <c r="H504" s="256"/>
    </row>
    <row r="505">
      <c r="A505" s="288"/>
      <c r="F505" s="256"/>
      <c r="G505" s="257" t="b">
        <v>0</v>
      </c>
      <c r="H505" s="256"/>
    </row>
    <row r="506">
      <c r="A506" s="288"/>
      <c r="F506" s="256"/>
      <c r="G506" s="257" t="b">
        <v>0</v>
      </c>
      <c r="H506" s="256"/>
    </row>
    <row r="507">
      <c r="A507" s="288"/>
      <c r="F507" s="256"/>
      <c r="G507" s="257" t="b">
        <v>0</v>
      </c>
      <c r="H507" s="256"/>
    </row>
    <row r="508">
      <c r="A508" s="288"/>
      <c r="F508" s="256"/>
      <c r="G508" s="257" t="b">
        <v>0</v>
      </c>
      <c r="H508" s="256"/>
    </row>
    <row r="509">
      <c r="A509" s="288"/>
      <c r="F509" s="256"/>
      <c r="G509" s="257" t="b">
        <v>0</v>
      </c>
      <c r="H509" s="256"/>
    </row>
    <row r="510">
      <c r="A510" s="288"/>
      <c r="F510" s="256"/>
      <c r="G510" s="257" t="b">
        <v>0</v>
      </c>
      <c r="H510" s="256"/>
    </row>
    <row r="511">
      <c r="A511" s="288"/>
      <c r="F511" s="256"/>
      <c r="G511" s="257" t="b">
        <v>0</v>
      </c>
      <c r="H511" s="256"/>
    </row>
    <row r="512">
      <c r="A512" s="288"/>
      <c r="F512" s="256"/>
      <c r="G512" s="257" t="b">
        <v>0</v>
      </c>
      <c r="H512" s="256"/>
    </row>
    <row r="513">
      <c r="A513" s="288"/>
      <c r="F513" s="256"/>
      <c r="G513" s="257" t="b">
        <v>0</v>
      </c>
      <c r="H513" s="256"/>
    </row>
    <row r="514">
      <c r="A514" s="288"/>
      <c r="F514" s="256"/>
      <c r="G514" s="257" t="b">
        <v>0</v>
      </c>
      <c r="H514" s="256"/>
    </row>
    <row r="515">
      <c r="A515" s="288"/>
      <c r="F515" s="256"/>
      <c r="G515" s="257" t="b">
        <v>0</v>
      </c>
      <c r="H515" s="256"/>
    </row>
    <row r="516">
      <c r="A516" s="288"/>
      <c r="F516" s="256"/>
      <c r="G516" s="257" t="b">
        <v>0</v>
      </c>
      <c r="H516" s="256"/>
    </row>
    <row r="517">
      <c r="A517" s="288"/>
      <c r="F517" s="256"/>
      <c r="G517" s="257" t="b">
        <v>0</v>
      </c>
      <c r="H517" s="256"/>
    </row>
    <row r="518">
      <c r="A518" s="288"/>
      <c r="F518" s="256"/>
      <c r="G518" s="257" t="b">
        <v>0</v>
      </c>
      <c r="H518" s="256"/>
    </row>
    <row r="519">
      <c r="A519" s="288"/>
      <c r="F519" s="256"/>
      <c r="G519" s="257" t="b">
        <v>0</v>
      </c>
      <c r="H519" s="256"/>
    </row>
    <row r="520">
      <c r="A520" s="288"/>
      <c r="F520" s="256"/>
      <c r="G520" s="257" t="b">
        <v>0</v>
      </c>
      <c r="H520" s="256"/>
    </row>
    <row r="521">
      <c r="A521" s="288"/>
      <c r="F521" s="256"/>
      <c r="G521" s="257" t="b">
        <v>0</v>
      </c>
      <c r="H521" s="256"/>
    </row>
    <row r="522">
      <c r="A522" s="288"/>
      <c r="F522" s="256"/>
      <c r="G522" s="257" t="b">
        <v>0</v>
      </c>
      <c r="H522" s="256"/>
    </row>
    <row r="523">
      <c r="A523" s="288"/>
      <c r="F523" s="256"/>
      <c r="G523" s="257" t="b">
        <v>0</v>
      </c>
      <c r="H523" s="256"/>
    </row>
    <row r="524">
      <c r="A524" s="288"/>
      <c r="F524" s="256"/>
      <c r="G524" s="257" t="b">
        <v>0</v>
      </c>
      <c r="H524" s="256"/>
    </row>
    <row r="525">
      <c r="A525" s="288"/>
      <c r="F525" s="256"/>
      <c r="G525" s="257" t="b">
        <v>0</v>
      </c>
      <c r="H525" s="256"/>
    </row>
    <row r="526">
      <c r="A526" s="288"/>
      <c r="F526" s="256"/>
      <c r="G526" s="257" t="b">
        <v>0</v>
      </c>
      <c r="H526" s="256"/>
    </row>
    <row r="527">
      <c r="A527" s="288"/>
      <c r="F527" s="256"/>
      <c r="G527" s="257" t="b">
        <v>0</v>
      </c>
      <c r="H527" s="256"/>
    </row>
    <row r="528">
      <c r="A528" s="288"/>
      <c r="F528" s="256"/>
      <c r="G528" s="257" t="b">
        <v>0</v>
      </c>
      <c r="H528" s="256"/>
    </row>
    <row r="529">
      <c r="A529" s="288"/>
      <c r="F529" s="256"/>
      <c r="G529" s="257" t="b">
        <v>0</v>
      </c>
      <c r="H529" s="256"/>
    </row>
    <row r="530">
      <c r="A530" s="288"/>
      <c r="F530" s="256"/>
      <c r="G530" s="257" t="b">
        <v>0</v>
      </c>
      <c r="H530" s="256"/>
    </row>
    <row r="531">
      <c r="A531" s="288"/>
      <c r="F531" s="256"/>
      <c r="G531" s="257" t="b">
        <v>0</v>
      </c>
      <c r="H531" s="256"/>
    </row>
    <row r="532">
      <c r="A532" s="288"/>
      <c r="F532" s="256"/>
      <c r="G532" s="257" t="b">
        <v>0</v>
      </c>
      <c r="H532" s="256"/>
    </row>
    <row r="533">
      <c r="A533" s="288"/>
      <c r="F533" s="256"/>
      <c r="G533" s="257" t="b">
        <v>0</v>
      </c>
      <c r="H533" s="256"/>
    </row>
    <row r="534">
      <c r="A534" s="288"/>
      <c r="F534" s="256"/>
      <c r="G534" s="257" t="b">
        <v>0</v>
      </c>
      <c r="H534" s="256"/>
    </row>
    <row r="535">
      <c r="A535" s="288"/>
      <c r="F535" s="256"/>
      <c r="G535" s="257" t="b">
        <v>0</v>
      </c>
      <c r="H535" s="256"/>
    </row>
    <row r="536">
      <c r="A536" s="288"/>
      <c r="F536" s="256"/>
      <c r="G536" s="257" t="b">
        <v>0</v>
      </c>
      <c r="H536" s="256"/>
    </row>
    <row r="537">
      <c r="A537" s="288"/>
      <c r="F537" s="256"/>
      <c r="G537" s="257" t="b">
        <v>0</v>
      </c>
      <c r="H537" s="256"/>
    </row>
    <row r="538">
      <c r="A538" s="288"/>
      <c r="F538" s="256"/>
      <c r="G538" s="257" t="b">
        <v>0</v>
      </c>
      <c r="H538" s="256"/>
    </row>
    <row r="539">
      <c r="A539" s="288"/>
      <c r="F539" s="256"/>
      <c r="G539" s="257" t="b">
        <v>0</v>
      </c>
      <c r="H539" s="256"/>
    </row>
    <row r="540">
      <c r="A540" s="288"/>
      <c r="F540" s="256"/>
      <c r="G540" s="257" t="b">
        <v>0</v>
      </c>
      <c r="H540" s="256"/>
    </row>
    <row r="541">
      <c r="A541" s="288"/>
      <c r="F541" s="256"/>
      <c r="G541" s="257" t="b">
        <v>0</v>
      </c>
      <c r="H541" s="256"/>
    </row>
    <row r="542">
      <c r="A542" s="288"/>
      <c r="F542" s="256"/>
      <c r="G542" s="257" t="b">
        <v>0</v>
      </c>
      <c r="H542" s="256"/>
    </row>
    <row r="543">
      <c r="A543" s="288"/>
      <c r="F543" s="256"/>
      <c r="G543" s="257" t="b">
        <v>0</v>
      </c>
      <c r="H543" s="256"/>
    </row>
    <row r="544">
      <c r="A544" s="288"/>
      <c r="F544" s="256"/>
      <c r="G544" s="257" t="b">
        <v>0</v>
      </c>
      <c r="H544" s="256"/>
    </row>
    <row r="545">
      <c r="A545" s="288"/>
      <c r="F545" s="256"/>
      <c r="G545" s="257" t="b">
        <v>0</v>
      </c>
      <c r="H545" s="256"/>
    </row>
    <row r="546">
      <c r="A546" s="288"/>
      <c r="F546" s="256"/>
      <c r="G546" s="257" t="b">
        <v>0</v>
      </c>
      <c r="H546" s="256"/>
    </row>
    <row r="547">
      <c r="A547" s="288"/>
      <c r="F547" s="256"/>
      <c r="G547" s="257" t="b">
        <v>0</v>
      </c>
      <c r="H547" s="256"/>
    </row>
    <row r="548">
      <c r="A548" s="288"/>
      <c r="F548" s="256"/>
      <c r="G548" s="257" t="b">
        <v>0</v>
      </c>
      <c r="H548" s="256"/>
    </row>
    <row r="549">
      <c r="A549" s="288"/>
      <c r="F549" s="256"/>
      <c r="G549" s="257" t="b">
        <v>0</v>
      </c>
      <c r="H549" s="256"/>
    </row>
  </sheetData>
  <mergeCells count="2">
    <mergeCell ref="A1:F1"/>
    <mergeCell ref="G1:H1"/>
  </mergeCells>
  <conditionalFormatting sqref="B3:B549">
    <cfRule type="cellIs" dxfId="10" priority="1" operator="equal">
      <formula>1</formula>
    </cfRule>
  </conditionalFormatting>
  <conditionalFormatting sqref="B3:B549">
    <cfRule type="cellIs" dxfId="11" priority="2" operator="equal">
      <formula>2</formula>
    </cfRule>
  </conditionalFormatting>
  <conditionalFormatting sqref="B3:B549">
    <cfRule type="cellIs" dxfId="12" priority="3" operator="equal">
      <formula>3</formula>
    </cfRule>
  </conditionalFormatting>
  <conditionalFormatting sqref="B3:B549">
    <cfRule type="cellIs" dxfId="13" priority="4" operator="equal">
      <formula>4</formula>
    </cfRule>
  </conditionalFormatting>
  <conditionalFormatting sqref="B3:B549">
    <cfRule type="cellIs" dxfId="3" priority="5" operator="equal">
      <formula>5</formula>
    </cfRule>
  </conditionalFormatting>
  <conditionalFormatting sqref="B3:B549">
    <cfRule type="cellIs" dxfId="1" priority="6" operator="equal">
      <formula>6</formula>
    </cfRule>
  </conditionalFormatting>
  <conditionalFormatting sqref="B3:B549">
    <cfRule type="cellIs" dxfId="4" priority="7" operator="equal">
      <formula>8</formula>
    </cfRule>
  </conditionalFormatting>
  <conditionalFormatting sqref="B3:B549">
    <cfRule type="cellIs" dxfId="14" priority="8" operator="equal">
      <formula>9</formula>
    </cfRule>
  </conditionalFormatting>
  <conditionalFormatting sqref="B3:B549">
    <cfRule type="cellIs" dxfId="15" priority="9" operator="equal">
      <formula>10</formula>
    </cfRule>
  </conditionalFormatting>
  <conditionalFormatting sqref="B3:B549">
    <cfRule type="cellIs" dxfId="16" priority="10" operator="equal">
      <formula>11</formula>
    </cfRule>
  </conditionalFormatting>
  <conditionalFormatting sqref="B3:B549">
    <cfRule type="cellIs" dxfId="17" priority="11" operator="equal">
      <formula>12</formula>
    </cfRule>
  </conditionalFormatting>
  <conditionalFormatting sqref="B3:B549">
    <cfRule type="cellIs" dxfId="18" priority="12" operator="equal">
      <formula>7</formula>
    </cfRule>
  </conditionalFormatting>
  <dataValidations>
    <dataValidation type="list" allowBlank="1" sqref="B3:B549">
      <formula1>"1,2,3,4,5,6,7,8,9,10,11,12"</formula1>
    </dataValidation>
    <dataValidation type="list" allowBlank="1" sqref="A3:A549">
      <formula1>"2018,2019,2020,2021,2022,2023,2024,2025"</formula1>
    </dataValidation>
    <dataValidation type="list" allowBlank="1" sqref="C3:C549">
      <formula1>"Entrega efectivo,Gastos,Transferencias,Aguinaldo Cecilia,Reintegro Cecilia"</formula1>
    </dataValidation>
  </dataValidations>
  <printOptions gridLines="1" horizontalCentered="1"/>
  <pageMargins bottom="0.75" footer="0.0" header="0.0" left="0.7" right="0.7" top="0.75"/>
  <pageSetup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showGridLines="0" workbookViewId="0">
      <pane ySplit="9.0" topLeftCell="A10" activePane="bottomLeft" state="frozen"/>
      <selection activeCell="B11" sqref="B11" pane="bottomLeft"/>
    </sheetView>
  </sheetViews>
  <sheetFormatPr customHeight="1" defaultColWidth="12.63" defaultRowHeight="15.75"/>
  <cols>
    <col customWidth="1" min="1" max="1" width="12.63"/>
    <col customWidth="1" min="2" max="2" width="8.63"/>
    <col customWidth="1" min="3" max="4" width="11.13"/>
    <col customWidth="1" min="5" max="5" width="4.13"/>
    <col customWidth="1" min="6" max="6" width="12.13"/>
    <col customWidth="1" min="7" max="7" width="17.13"/>
    <col customWidth="1" min="8" max="8" width="11.75"/>
    <col customWidth="1" min="9" max="9" width="12.5"/>
    <col customWidth="1" min="10" max="10" width="12.88"/>
  </cols>
  <sheetData>
    <row r="1">
      <c r="A1" s="318"/>
      <c r="B1" s="318"/>
      <c r="C1" s="319"/>
      <c r="D1" s="319"/>
      <c r="E1" s="320"/>
      <c r="F1" s="320"/>
      <c r="G1" s="320"/>
      <c r="H1" s="320"/>
      <c r="J1" s="321"/>
    </row>
    <row r="2" ht="29.25" customHeight="1">
      <c r="A2" s="320"/>
      <c r="B2" s="322"/>
      <c r="C2" s="323" t="s">
        <v>4273</v>
      </c>
      <c r="D2" s="324"/>
      <c r="E2" s="322"/>
      <c r="F2" s="325" t="s">
        <v>4274</v>
      </c>
      <c r="G2" s="326">
        <v>41395.0</v>
      </c>
      <c r="H2" s="323" t="s">
        <v>4275</v>
      </c>
      <c r="I2" s="327">
        <f>'Valores vigentes'!B3</f>
        <v>45870</v>
      </c>
      <c r="J2" s="321"/>
    </row>
    <row r="3" ht="40.5" customHeight="1">
      <c r="A3" s="320"/>
      <c r="B3" s="320"/>
      <c r="C3" s="319"/>
      <c r="D3" s="328" t="s">
        <v>4276</v>
      </c>
      <c r="E3" s="320"/>
      <c r="F3" s="320"/>
      <c r="G3" s="320"/>
      <c r="H3" s="320"/>
      <c r="J3" s="321"/>
    </row>
    <row r="4">
      <c r="A4" s="329"/>
      <c r="B4" s="329"/>
      <c r="C4" s="329"/>
      <c r="D4" s="330" t="s">
        <v>4277</v>
      </c>
      <c r="E4" s="331" t="str">
        <f>if(   iserror(offset(PADRON!B$2,match(D2,PADRON!A$2:A558,0)-1,0,1,1) )  ,"Ningún socio seleccionado"  ,    offset(PADRON!B$2,match(D2,PADRON!A$2:A558,0)-1,0,1,1))</f>
        <v>Ningún socio seleccionado</v>
      </c>
      <c r="F4" s="332"/>
      <c r="G4" s="329"/>
      <c r="H4" s="329"/>
      <c r="I4" s="329"/>
      <c r="J4" s="329"/>
    </row>
    <row r="5">
      <c r="A5" s="333"/>
      <c r="B5" s="334"/>
      <c r="C5" s="335"/>
      <c r="D5" s="336"/>
      <c r="E5" s="334"/>
      <c r="F5" s="337"/>
      <c r="G5" s="338"/>
      <c r="H5" s="335"/>
      <c r="I5" s="338"/>
      <c r="J5" s="339"/>
    </row>
    <row r="6" ht="27.75" customHeight="1">
      <c r="A6" s="340"/>
      <c r="B6" s="341"/>
      <c r="C6" s="342" t="s">
        <v>4278</v>
      </c>
      <c r="D6" s="343">
        <f>SUMIF(Pagos!C:C,$D$2,Pagos!J:J)</f>
        <v>0</v>
      </c>
      <c r="E6" s="341"/>
      <c r="F6" s="344" t="s">
        <v>4279</v>
      </c>
      <c r="G6" s="345">
        <f>SUM(G10:G558)</f>
        <v>0</v>
      </c>
      <c r="H6" s="342" t="s">
        <v>4280</v>
      </c>
      <c r="I6" s="345">
        <f>SUM(G10:G558)+D6</f>
        <v>0</v>
      </c>
      <c r="J6" s="339"/>
    </row>
    <row r="7">
      <c r="A7" s="346"/>
      <c r="B7" s="346"/>
      <c r="C7" s="346"/>
      <c r="D7" s="346"/>
      <c r="E7" s="347"/>
      <c r="F7" s="347"/>
      <c r="G7" s="348"/>
      <c r="H7" s="347"/>
      <c r="I7" s="346"/>
      <c r="J7" s="339"/>
    </row>
    <row r="8" ht="24.75" customHeight="1">
      <c r="A8" s="349" t="s">
        <v>4281</v>
      </c>
      <c r="B8" s="175"/>
      <c r="C8" s="175"/>
      <c r="D8" s="175"/>
      <c r="E8" s="175"/>
      <c r="F8" s="175"/>
      <c r="G8" s="175"/>
      <c r="H8" s="175"/>
      <c r="I8" s="175"/>
      <c r="J8" s="176"/>
    </row>
    <row r="9">
      <c r="A9" s="350" t="s">
        <v>494</v>
      </c>
      <c r="B9" s="350" t="s">
        <v>23</v>
      </c>
      <c r="C9" s="351" t="s">
        <v>4282</v>
      </c>
      <c r="D9" s="351" t="s">
        <v>27</v>
      </c>
      <c r="E9" s="350" t="s">
        <v>29</v>
      </c>
      <c r="F9" s="350" t="s">
        <v>30</v>
      </c>
      <c r="G9" s="352" t="s">
        <v>4283</v>
      </c>
      <c r="H9" s="350" t="s">
        <v>31</v>
      </c>
      <c r="I9" s="352" t="s">
        <v>32</v>
      </c>
      <c r="J9" s="352" t="s">
        <v>4284</v>
      </c>
    </row>
    <row r="10">
      <c r="A10" s="353" t="str">
        <f>IFERROR(__xludf.DUMMYFUNCTION("If(D2,         If(       ISERR(query(importrange(""1MlMV0wWnqWYbWlZ5xpeyvKNoOM1OFzfnTbk9OgxDLkM"",""Todo!A:N""),""Select Col14,Col2,Col5,Col6,Col7,Col8,Col9,Col10,Col11,Col12 where Col3=""&amp;D2&amp;"" and Col13&gt;=""&amp;G2&amp;"" order by Col12 desc"",0)) ,""Espere..."""&amp;", If ( iserror(query(importrange(""1MlMV0wWnqWYbWlZ5xpeyvKNoOM1OFzfnTbk9OgxDLkM"",""Todo!A:N""),""Select Col14,Col2,Col5,Col6,Col7,Col8,Col9,Col10,Col11,Col12 where Col3=""&amp;D2&amp;"" and Col13&gt;=""&amp;G2&amp;"" order by Col12 desc"",0)),""Sin datos"",   query(importr"&amp;"ange(""1MlMV0wWnqWYbWlZ5xpeyvKNoOM1OFzfnTbk9OgxDLkM"",""Todo!A:N""),""Select Col14,Col2,Col5,Col6,Col7,Col8,Col9,Col10,Col11,Col12 where Col3=""&amp;D2&amp;"" and Col13&gt;=""&amp;G2&amp;"" order by Col12 desc"",0))                   )         ,"""")"),"")</f>
        <v/>
      </c>
      <c r="B10" s="353"/>
      <c r="C10" s="354"/>
      <c r="D10" s="354"/>
      <c r="E10" s="353"/>
      <c r="F10" s="353"/>
      <c r="G10" s="353"/>
      <c r="H10" s="353"/>
      <c r="I10" s="355"/>
      <c r="J10" s="356"/>
    </row>
    <row r="11">
      <c r="A11" s="353"/>
      <c r="B11" s="353"/>
      <c r="C11" s="354"/>
      <c r="D11" s="354"/>
      <c r="E11" s="353"/>
      <c r="F11" s="353"/>
      <c r="G11" s="353"/>
      <c r="H11" s="353"/>
      <c r="I11" s="355"/>
      <c r="J11" s="356"/>
    </row>
    <row r="12">
      <c r="A12" s="353"/>
      <c r="B12" s="353"/>
      <c r="C12" s="354"/>
      <c r="D12" s="354"/>
      <c r="E12" s="353"/>
      <c r="F12" s="353"/>
      <c r="G12" s="353"/>
      <c r="H12" s="353"/>
      <c r="I12" s="355"/>
      <c r="J12" s="356"/>
    </row>
    <row r="13">
      <c r="A13" s="353"/>
      <c r="B13" s="353"/>
      <c r="C13" s="354"/>
      <c r="D13" s="354"/>
      <c r="E13" s="353"/>
      <c r="F13" s="353"/>
      <c r="G13" s="353"/>
      <c r="H13" s="353"/>
      <c r="I13" s="355"/>
      <c r="J13" s="356"/>
    </row>
    <row r="14">
      <c r="A14" s="353"/>
      <c r="B14" s="353"/>
      <c r="C14" s="354"/>
      <c r="D14" s="354"/>
      <c r="E14" s="353"/>
      <c r="F14" s="353"/>
      <c r="G14" s="353"/>
      <c r="H14" s="353"/>
      <c r="I14" s="355"/>
      <c r="J14" s="356"/>
    </row>
    <row r="15">
      <c r="A15" s="353"/>
      <c r="B15" s="353"/>
      <c r="C15" s="354"/>
      <c r="D15" s="354"/>
      <c r="E15" s="353"/>
      <c r="F15" s="353"/>
      <c r="G15" s="353"/>
      <c r="H15" s="353"/>
      <c r="I15" s="355"/>
      <c r="J15" s="356"/>
    </row>
    <row r="16">
      <c r="A16" s="353"/>
      <c r="B16" s="353"/>
      <c r="C16" s="354"/>
      <c r="D16" s="354"/>
      <c r="E16" s="353"/>
      <c r="F16" s="353"/>
      <c r="G16" s="353"/>
      <c r="H16" s="353"/>
      <c r="I16" s="355"/>
      <c r="J16" s="356"/>
    </row>
    <row r="17">
      <c r="A17" s="353"/>
      <c r="B17" s="353"/>
      <c r="C17" s="354"/>
      <c r="D17" s="354"/>
      <c r="E17" s="353"/>
      <c r="F17" s="353"/>
      <c r="G17" s="353"/>
      <c r="H17" s="353"/>
      <c r="I17" s="355"/>
      <c r="J17" s="356"/>
    </row>
    <row r="18">
      <c r="A18" s="353"/>
      <c r="B18" s="353"/>
      <c r="C18" s="354"/>
      <c r="D18" s="354"/>
      <c r="E18" s="353"/>
      <c r="F18" s="353"/>
      <c r="G18" s="353"/>
      <c r="H18" s="353"/>
      <c r="I18" s="355"/>
      <c r="J18" s="356"/>
    </row>
    <row r="19">
      <c r="A19" s="353"/>
      <c r="B19" s="353"/>
      <c r="C19" s="354"/>
      <c r="D19" s="354"/>
      <c r="E19" s="353"/>
      <c r="F19" s="353"/>
      <c r="G19" s="353"/>
      <c r="H19" s="353"/>
      <c r="I19" s="355"/>
      <c r="J19" s="356"/>
    </row>
    <row r="20">
      <c r="A20" s="353"/>
      <c r="B20" s="353"/>
      <c r="C20" s="354"/>
      <c r="D20" s="354"/>
      <c r="E20" s="353"/>
      <c r="F20" s="353"/>
      <c r="G20" s="353"/>
      <c r="H20" s="353"/>
      <c r="I20" s="355"/>
      <c r="J20" s="356"/>
    </row>
    <row r="21">
      <c r="A21" s="353"/>
      <c r="B21" s="353"/>
      <c r="C21" s="354"/>
      <c r="D21" s="354"/>
      <c r="E21" s="353"/>
      <c r="F21" s="353"/>
      <c r="G21" s="353"/>
      <c r="H21" s="353"/>
      <c r="I21" s="355"/>
      <c r="J21" s="356"/>
    </row>
    <row r="22">
      <c r="A22" s="353"/>
      <c r="B22" s="353"/>
      <c r="C22" s="354"/>
      <c r="D22" s="354"/>
      <c r="E22" s="353"/>
      <c r="F22" s="353"/>
      <c r="G22" s="353"/>
      <c r="H22" s="353"/>
      <c r="I22" s="355"/>
      <c r="J22" s="356"/>
    </row>
    <row r="23">
      <c r="A23" s="353"/>
      <c r="B23" s="353"/>
      <c r="C23" s="354"/>
      <c r="D23" s="354"/>
      <c r="E23" s="353"/>
      <c r="F23" s="353"/>
      <c r="G23" s="353"/>
      <c r="H23" s="353"/>
      <c r="I23" s="355"/>
      <c r="J23" s="356"/>
    </row>
    <row r="24">
      <c r="A24" s="353"/>
      <c r="B24" s="353"/>
      <c r="C24" s="354"/>
      <c r="D24" s="354"/>
      <c r="E24" s="353"/>
      <c r="F24" s="353"/>
      <c r="G24" s="353"/>
      <c r="H24" s="353"/>
      <c r="I24" s="355"/>
      <c r="J24" s="356"/>
    </row>
    <row r="25">
      <c r="A25" s="353"/>
      <c r="B25" s="353"/>
      <c r="C25" s="354"/>
      <c r="D25" s="354"/>
      <c r="E25" s="353"/>
      <c r="F25" s="353"/>
      <c r="G25" s="353"/>
      <c r="H25" s="353"/>
      <c r="I25" s="355"/>
      <c r="J25" s="356"/>
    </row>
    <row r="26">
      <c r="A26" s="353"/>
      <c r="B26" s="353"/>
      <c r="C26" s="354"/>
      <c r="D26" s="354"/>
      <c r="E26" s="353"/>
      <c r="F26" s="353"/>
      <c r="G26" s="353"/>
      <c r="H26" s="353"/>
      <c r="I26" s="355"/>
      <c r="J26" s="356"/>
    </row>
    <row r="27">
      <c r="A27" s="353"/>
      <c r="B27" s="353"/>
      <c r="C27" s="354"/>
      <c r="D27" s="354"/>
      <c r="E27" s="353"/>
      <c r="F27" s="353"/>
      <c r="G27" s="353"/>
      <c r="H27" s="353"/>
      <c r="I27" s="355"/>
      <c r="J27" s="356"/>
    </row>
    <row r="28">
      <c r="A28" s="353"/>
      <c r="B28" s="353"/>
      <c r="C28" s="354"/>
      <c r="D28" s="354"/>
      <c r="E28" s="353"/>
      <c r="F28" s="353"/>
      <c r="G28" s="353"/>
      <c r="H28" s="353"/>
      <c r="I28" s="355"/>
      <c r="J28" s="356"/>
    </row>
    <row r="29">
      <c r="A29" s="353"/>
      <c r="B29" s="353"/>
      <c r="C29" s="354"/>
      <c r="D29" s="354"/>
      <c r="E29" s="353"/>
      <c r="F29" s="353"/>
      <c r="G29" s="353"/>
      <c r="H29" s="353"/>
      <c r="I29" s="355"/>
      <c r="J29" s="356"/>
    </row>
    <row r="30">
      <c r="A30" s="353"/>
      <c r="B30" s="353"/>
      <c r="C30" s="354"/>
      <c r="D30" s="354"/>
      <c r="E30" s="353"/>
      <c r="F30" s="353"/>
      <c r="G30" s="353"/>
      <c r="H30" s="353"/>
      <c r="I30" s="355"/>
      <c r="J30" s="356"/>
    </row>
    <row r="31">
      <c r="A31" s="353"/>
      <c r="B31" s="353"/>
      <c r="C31" s="354"/>
      <c r="D31" s="354"/>
      <c r="E31" s="353"/>
      <c r="F31" s="353"/>
      <c r="G31" s="353"/>
      <c r="H31" s="353"/>
      <c r="I31" s="355"/>
      <c r="J31" s="356"/>
    </row>
    <row r="32">
      <c r="A32" s="353"/>
      <c r="B32" s="353"/>
      <c r="C32" s="354"/>
      <c r="D32" s="354"/>
      <c r="E32" s="353"/>
      <c r="F32" s="353"/>
      <c r="G32" s="353"/>
      <c r="H32" s="353"/>
      <c r="I32" s="355"/>
      <c r="J32" s="356"/>
    </row>
    <row r="33">
      <c r="A33" s="353"/>
      <c r="B33" s="353"/>
      <c r="C33" s="354"/>
      <c r="D33" s="354"/>
      <c r="E33" s="353"/>
      <c r="F33" s="353"/>
      <c r="G33" s="353"/>
      <c r="H33" s="353"/>
      <c r="I33" s="355"/>
      <c r="J33" s="356"/>
    </row>
    <row r="34">
      <c r="A34" s="353"/>
      <c r="B34" s="353"/>
      <c r="C34" s="354"/>
      <c r="D34" s="354"/>
      <c r="E34" s="353"/>
      <c r="F34" s="353"/>
      <c r="G34" s="353"/>
      <c r="H34" s="353"/>
      <c r="I34" s="355"/>
      <c r="J34" s="356"/>
    </row>
    <row r="35">
      <c r="A35" s="353"/>
      <c r="B35" s="353"/>
      <c r="C35" s="354"/>
      <c r="D35" s="354"/>
      <c r="E35" s="353"/>
      <c r="F35" s="353"/>
      <c r="G35" s="353"/>
      <c r="H35" s="353"/>
      <c r="I35" s="355"/>
      <c r="J35" s="356"/>
    </row>
    <row r="36">
      <c r="A36" s="353"/>
      <c r="B36" s="353"/>
      <c r="C36" s="354"/>
      <c r="D36" s="354"/>
      <c r="E36" s="353"/>
      <c r="F36" s="353"/>
      <c r="G36" s="353"/>
      <c r="H36" s="353"/>
      <c r="I36" s="355"/>
      <c r="J36" s="356"/>
    </row>
    <row r="37">
      <c r="A37" s="353"/>
      <c r="B37" s="353"/>
      <c r="C37" s="354"/>
      <c r="D37" s="354"/>
      <c r="E37" s="353"/>
      <c r="F37" s="353"/>
      <c r="G37" s="353"/>
      <c r="H37" s="353"/>
      <c r="I37" s="355"/>
      <c r="J37" s="356"/>
    </row>
    <row r="38">
      <c r="A38" s="353"/>
      <c r="B38" s="353"/>
      <c r="C38" s="354"/>
      <c r="D38" s="354"/>
      <c r="E38" s="353"/>
      <c r="F38" s="353"/>
      <c r="G38" s="353"/>
      <c r="H38" s="353"/>
      <c r="I38" s="355"/>
      <c r="J38" s="356"/>
    </row>
    <row r="39">
      <c r="A39" s="353"/>
      <c r="B39" s="353"/>
      <c r="C39" s="354"/>
      <c r="D39" s="354"/>
      <c r="E39" s="353"/>
      <c r="F39" s="353"/>
      <c r="G39" s="353"/>
      <c r="H39" s="353"/>
      <c r="I39" s="355"/>
      <c r="J39" s="356"/>
    </row>
    <row r="40">
      <c r="A40" s="353"/>
      <c r="B40" s="353"/>
      <c r="C40" s="354"/>
      <c r="D40" s="354"/>
      <c r="E40" s="353"/>
      <c r="F40" s="353"/>
      <c r="G40" s="353"/>
      <c r="H40" s="353"/>
      <c r="I40" s="355"/>
      <c r="J40" s="356"/>
    </row>
    <row r="41">
      <c r="A41" s="353"/>
      <c r="B41" s="353"/>
      <c r="C41" s="354"/>
      <c r="D41" s="354"/>
      <c r="E41" s="353"/>
      <c r="F41" s="353"/>
      <c r="G41" s="353"/>
      <c r="H41" s="353"/>
      <c r="I41" s="355"/>
      <c r="J41" s="356"/>
    </row>
    <row r="42">
      <c r="A42" s="353"/>
      <c r="B42" s="353"/>
      <c r="C42" s="354"/>
      <c r="D42" s="354"/>
      <c r="E42" s="353"/>
      <c r="F42" s="353"/>
      <c r="G42" s="353"/>
      <c r="H42" s="353"/>
      <c r="I42" s="355"/>
      <c r="J42" s="356"/>
    </row>
    <row r="43">
      <c r="A43" s="353"/>
      <c r="B43" s="353"/>
      <c r="C43" s="354"/>
      <c r="D43" s="354"/>
      <c r="E43" s="353"/>
      <c r="F43" s="353"/>
      <c r="G43" s="353"/>
      <c r="H43" s="353"/>
      <c r="I43" s="355"/>
      <c r="J43" s="356"/>
    </row>
    <row r="44">
      <c r="A44" s="353"/>
      <c r="B44" s="353"/>
      <c r="C44" s="354"/>
      <c r="D44" s="354"/>
      <c r="E44" s="353"/>
      <c r="F44" s="353"/>
      <c r="G44" s="353"/>
      <c r="H44" s="353"/>
      <c r="I44" s="355"/>
      <c r="J44" s="356"/>
    </row>
    <row r="45">
      <c r="A45" s="353"/>
      <c r="B45" s="353"/>
      <c r="C45" s="354"/>
      <c r="D45" s="354"/>
      <c r="E45" s="353"/>
      <c r="F45" s="353"/>
      <c r="G45" s="353"/>
      <c r="H45" s="353"/>
      <c r="I45" s="355"/>
      <c r="J45" s="356"/>
    </row>
    <row r="46">
      <c r="A46" s="353"/>
      <c r="B46" s="353"/>
      <c r="C46" s="354"/>
      <c r="D46" s="354"/>
      <c r="E46" s="353"/>
      <c r="F46" s="353"/>
      <c r="G46" s="353"/>
      <c r="H46" s="353"/>
      <c r="I46" s="355"/>
      <c r="J46" s="356"/>
    </row>
    <row r="47">
      <c r="A47" s="353"/>
      <c r="B47" s="353"/>
      <c r="C47" s="354"/>
      <c r="D47" s="354"/>
      <c r="E47" s="353"/>
      <c r="F47" s="353"/>
      <c r="G47" s="353"/>
      <c r="H47" s="353"/>
      <c r="I47" s="355"/>
      <c r="J47" s="356"/>
    </row>
    <row r="48">
      <c r="A48" s="353"/>
      <c r="B48" s="353"/>
      <c r="C48" s="354"/>
      <c r="D48" s="354"/>
      <c r="E48" s="353"/>
      <c r="F48" s="353"/>
      <c r="G48" s="353"/>
      <c r="H48" s="353"/>
      <c r="I48" s="355"/>
      <c r="J48" s="356"/>
    </row>
    <row r="49">
      <c r="A49" s="353"/>
      <c r="B49" s="353"/>
      <c r="C49" s="354"/>
      <c r="D49" s="354"/>
      <c r="E49" s="353"/>
      <c r="F49" s="353"/>
      <c r="G49" s="353"/>
      <c r="H49" s="353"/>
      <c r="I49" s="355"/>
      <c r="J49" s="356"/>
    </row>
    <row r="50">
      <c r="A50" s="353"/>
      <c r="B50" s="353"/>
      <c r="C50" s="354"/>
      <c r="D50" s="354"/>
      <c r="E50" s="353"/>
      <c r="F50" s="353"/>
      <c r="G50" s="353"/>
      <c r="H50" s="353"/>
      <c r="I50" s="355"/>
      <c r="J50" s="356"/>
    </row>
    <row r="51">
      <c r="A51" s="353"/>
      <c r="B51" s="353"/>
      <c r="C51" s="354"/>
      <c r="D51" s="354"/>
      <c r="E51" s="353"/>
      <c r="F51" s="353"/>
      <c r="G51" s="353"/>
      <c r="H51" s="353"/>
      <c r="I51" s="355"/>
      <c r="J51" s="356"/>
    </row>
    <row r="52">
      <c r="A52" s="353"/>
      <c r="B52" s="353"/>
      <c r="C52" s="354"/>
      <c r="D52" s="354"/>
      <c r="E52" s="353"/>
      <c r="F52" s="353"/>
      <c r="G52" s="353"/>
      <c r="H52" s="353"/>
      <c r="I52" s="355"/>
      <c r="J52" s="356"/>
    </row>
    <row r="53">
      <c r="A53" s="353"/>
      <c r="B53" s="353"/>
      <c r="C53" s="354"/>
      <c r="D53" s="354"/>
      <c r="E53" s="353"/>
      <c r="F53" s="353"/>
      <c r="G53" s="353"/>
      <c r="H53" s="353"/>
      <c r="I53" s="355"/>
      <c r="J53" s="356"/>
    </row>
    <row r="54">
      <c r="A54" s="353"/>
      <c r="B54" s="353"/>
      <c r="C54" s="354"/>
      <c r="D54" s="354"/>
      <c r="E54" s="353"/>
      <c r="F54" s="353"/>
      <c r="G54" s="353"/>
      <c r="H54" s="353"/>
      <c r="I54" s="355"/>
      <c r="J54" s="356"/>
    </row>
    <row r="55">
      <c r="A55" s="353"/>
      <c r="B55" s="353"/>
      <c r="C55" s="354"/>
      <c r="D55" s="354"/>
      <c r="E55" s="353"/>
      <c r="F55" s="353"/>
      <c r="G55" s="353"/>
      <c r="H55" s="353"/>
      <c r="I55" s="355"/>
      <c r="J55" s="356"/>
    </row>
    <row r="56">
      <c r="A56" s="353"/>
      <c r="B56" s="353"/>
      <c r="C56" s="354"/>
      <c r="D56" s="354"/>
      <c r="E56" s="353"/>
      <c r="F56" s="353"/>
      <c r="G56" s="353"/>
      <c r="H56" s="353"/>
      <c r="I56" s="355"/>
      <c r="J56" s="356"/>
    </row>
    <row r="57">
      <c r="A57" s="353"/>
      <c r="B57" s="353"/>
      <c r="C57" s="354"/>
      <c r="D57" s="354"/>
      <c r="E57" s="353"/>
      <c r="F57" s="353"/>
      <c r="G57" s="353"/>
      <c r="H57" s="353"/>
      <c r="I57" s="355"/>
      <c r="J57" s="356"/>
    </row>
    <row r="58">
      <c r="A58" s="353"/>
      <c r="B58" s="353"/>
      <c r="C58" s="354"/>
      <c r="D58" s="354"/>
      <c r="E58" s="353"/>
      <c r="F58" s="353"/>
      <c r="G58" s="353"/>
      <c r="H58" s="353"/>
      <c r="I58" s="355"/>
      <c r="J58" s="356"/>
    </row>
    <row r="59">
      <c r="A59" s="353"/>
      <c r="B59" s="353"/>
      <c r="C59" s="354"/>
      <c r="D59" s="354"/>
      <c r="E59" s="353"/>
      <c r="F59" s="353"/>
      <c r="G59" s="353"/>
      <c r="H59" s="353"/>
      <c r="I59" s="355"/>
      <c r="J59" s="356"/>
    </row>
    <row r="60">
      <c r="A60" s="353"/>
      <c r="B60" s="353"/>
      <c r="C60" s="354"/>
      <c r="D60" s="354"/>
      <c r="E60" s="353"/>
      <c r="F60" s="353"/>
      <c r="G60" s="353"/>
      <c r="H60" s="353"/>
      <c r="I60" s="355"/>
      <c r="J60" s="356"/>
    </row>
    <row r="61">
      <c r="A61" s="353"/>
      <c r="B61" s="353"/>
      <c r="C61" s="354"/>
      <c r="D61" s="354"/>
      <c r="E61" s="353"/>
      <c r="F61" s="353"/>
      <c r="G61" s="353"/>
      <c r="H61" s="353"/>
      <c r="I61" s="355"/>
      <c r="J61" s="356"/>
    </row>
    <row r="62">
      <c r="A62" s="353"/>
      <c r="B62" s="353"/>
      <c r="C62" s="354"/>
      <c r="D62" s="354"/>
      <c r="E62" s="353"/>
      <c r="F62" s="353"/>
      <c r="G62" s="353"/>
      <c r="H62" s="353"/>
      <c r="I62" s="355"/>
      <c r="J62" s="356"/>
    </row>
    <row r="63">
      <c r="A63" s="353"/>
      <c r="B63" s="353"/>
      <c r="C63" s="354"/>
      <c r="D63" s="354"/>
      <c r="E63" s="353"/>
      <c r="F63" s="353"/>
      <c r="G63" s="353"/>
      <c r="H63" s="353"/>
      <c r="I63" s="355"/>
      <c r="J63" s="356"/>
    </row>
    <row r="64">
      <c r="A64" s="353"/>
      <c r="B64" s="353"/>
      <c r="C64" s="354"/>
      <c r="D64" s="354"/>
      <c r="E64" s="353"/>
      <c r="F64" s="353"/>
      <c r="G64" s="353"/>
      <c r="H64" s="353"/>
      <c r="I64" s="355"/>
      <c r="J64" s="356"/>
    </row>
    <row r="65">
      <c r="A65" s="353"/>
      <c r="B65" s="353"/>
      <c r="C65" s="354"/>
      <c r="D65" s="354"/>
      <c r="E65" s="353"/>
      <c r="F65" s="353"/>
      <c r="G65" s="353"/>
      <c r="H65" s="353"/>
      <c r="I65" s="355"/>
      <c r="J65" s="356"/>
    </row>
    <row r="66">
      <c r="A66" s="353"/>
      <c r="B66" s="353"/>
      <c r="C66" s="354"/>
      <c r="D66" s="354"/>
      <c r="E66" s="353"/>
      <c r="F66" s="353"/>
      <c r="G66" s="353"/>
      <c r="H66" s="353"/>
      <c r="I66" s="355"/>
      <c r="J66" s="356"/>
    </row>
    <row r="67">
      <c r="A67" s="353"/>
      <c r="B67" s="353"/>
      <c r="C67" s="354"/>
      <c r="D67" s="354"/>
      <c r="E67" s="353"/>
      <c r="F67" s="353"/>
      <c r="G67" s="353"/>
      <c r="H67" s="353"/>
      <c r="I67" s="355"/>
      <c r="J67" s="356"/>
    </row>
    <row r="68">
      <c r="A68" s="353"/>
      <c r="B68" s="353"/>
      <c r="C68" s="354"/>
      <c r="D68" s="354"/>
      <c r="E68" s="353"/>
      <c r="F68" s="353"/>
      <c r="G68" s="353"/>
      <c r="H68" s="353"/>
      <c r="I68" s="355"/>
      <c r="J68" s="356"/>
    </row>
    <row r="69">
      <c r="A69" s="353"/>
      <c r="B69" s="353"/>
      <c r="C69" s="354"/>
      <c r="D69" s="354"/>
      <c r="E69" s="353"/>
      <c r="F69" s="353"/>
      <c r="G69" s="353"/>
      <c r="H69" s="353"/>
      <c r="I69" s="355"/>
      <c r="J69" s="356"/>
    </row>
    <row r="70">
      <c r="A70" s="353"/>
      <c r="B70" s="353"/>
      <c r="C70" s="354"/>
      <c r="D70" s="354"/>
      <c r="E70" s="353"/>
      <c r="F70" s="353"/>
      <c r="G70" s="353"/>
      <c r="H70" s="353"/>
      <c r="I70" s="355"/>
      <c r="J70" s="356"/>
    </row>
    <row r="71">
      <c r="A71" s="353"/>
      <c r="B71" s="353"/>
      <c r="C71" s="354"/>
      <c r="D71" s="354"/>
      <c r="E71" s="353"/>
      <c r="F71" s="353"/>
      <c r="G71" s="353"/>
      <c r="H71" s="353"/>
      <c r="I71" s="355"/>
      <c r="J71" s="356"/>
    </row>
    <row r="72">
      <c r="A72" s="353"/>
      <c r="B72" s="353"/>
      <c r="C72" s="354"/>
      <c r="D72" s="354"/>
      <c r="E72" s="353"/>
      <c r="F72" s="353"/>
      <c r="G72" s="353"/>
      <c r="H72" s="353"/>
      <c r="I72" s="355"/>
      <c r="J72" s="356"/>
    </row>
    <row r="73">
      <c r="A73" s="353"/>
      <c r="B73" s="353"/>
      <c r="C73" s="354"/>
      <c r="D73" s="354"/>
      <c r="E73" s="353"/>
      <c r="F73" s="353"/>
      <c r="G73" s="353"/>
      <c r="H73" s="353"/>
      <c r="I73" s="355"/>
      <c r="J73" s="356"/>
    </row>
    <row r="74">
      <c r="A74" s="353"/>
      <c r="B74" s="353"/>
      <c r="C74" s="354"/>
      <c r="D74" s="354"/>
      <c r="E74" s="353"/>
      <c r="F74" s="353"/>
      <c r="G74" s="353"/>
      <c r="H74" s="353"/>
      <c r="I74" s="355"/>
      <c r="J74" s="356"/>
    </row>
    <row r="75">
      <c r="A75" s="353"/>
      <c r="B75" s="353"/>
      <c r="C75" s="354"/>
      <c r="D75" s="354"/>
      <c r="E75" s="353"/>
      <c r="F75" s="353"/>
      <c r="G75" s="353"/>
      <c r="H75" s="353"/>
      <c r="I75" s="355"/>
      <c r="J75" s="356"/>
    </row>
    <row r="76">
      <c r="A76" s="353"/>
      <c r="B76" s="353"/>
      <c r="C76" s="354"/>
      <c r="D76" s="354"/>
      <c r="E76" s="353"/>
      <c r="F76" s="353"/>
      <c r="G76" s="353"/>
      <c r="H76" s="353"/>
      <c r="I76" s="355"/>
      <c r="J76" s="356"/>
    </row>
    <row r="77">
      <c r="A77" s="353"/>
      <c r="B77" s="353"/>
      <c r="C77" s="354"/>
      <c r="D77" s="354"/>
      <c r="E77" s="353"/>
      <c r="F77" s="353"/>
      <c r="G77" s="353"/>
      <c r="H77" s="353"/>
      <c r="I77" s="355"/>
      <c r="J77" s="356"/>
    </row>
    <row r="78">
      <c r="A78" s="353"/>
      <c r="B78" s="353"/>
      <c r="C78" s="354"/>
      <c r="D78" s="354"/>
      <c r="E78" s="353"/>
      <c r="F78" s="353"/>
      <c r="G78" s="353"/>
      <c r="H78" s="353"/>
      <c r="I78" s="355"/>
      <c r="J78" s="356"/>
    </row>
    <row r="79">
      <c r="A79" s="353"/>
      <c r="B79" s="353"/>
      <c r="C79" s="354"/>
      <c r="D79" s="354"/>
      <c r="E79" s="353"/>
      <c r="F79" s="353"/>
      <c r="G79" s="353"/>
      <c r="H79" s="353"/>
      <c r="I79" s="355"/>
      <c r="J79" s="356"/>
    </row>
    <row r="80">
      <c r="A80" s="353"/>
      <c r="B80" s="353"/>
      <c r="C80" s="354"/>
      <c r="D80" s="354"/>
      <c r="E80" s="353"/>
      <c r="F80" s="353"/>
      <c r="G80" s="353"/>
      <c r="H80" s="353"/>
      <c r="I80" s="355"/>
      <c r="J80" s="356"/>
    </row>
    <row r="81">
      <c r="A81" s="353"/>
      <c r="B81" s="353"/>
      <c r="C81" s="354"/>
      <c r="D81" s="354"/>
      <c r="E81" s="353"/>
      <c r="F81" s="353"/>
      <c r="G81" s="353"/>
      <c r="H81" s="353"/>
      <c r="I81" s="355"/>
      <c r="J81" s="356"/>
    </row>
    <row r="82">
      <c r="A82" s="353"/>
      <c r="B82" s="353"/>
      <c r="C82" s="354"/>
      <c r="D82" s="354"/>
      <c r="E82" s="353"/>
      <c r="F82" s="353"/>
      <c r="G82" s="353"/>
      <c r="H82" s="353"/>
      <c r="I82" s="355"/>
      <c r="J82" s="356"/>
    </row>
    <row r="83">
      <c r="A83" s="353"/>
      <c r="B83" s="353"/>
      <c r="C83" s="354"/>
      <c r="D83" s="354"/>
      <c r="E83" s="353"/>
      <c r="F83" s="353"/>
      <c r="G83" s="353"/>
      <c r="H83" s="353"/>
      <c r="I83" s="355"/>
      <c r="J83" s="356"/>
    </row>
    <row r="84">
      <c r="A84" s="353"/>
      <c r="B84" s="353"/>
      <c r="C84" s="354"/>
      <c r="D84" s="354"/>
      <c r="E84" s="353"/>
      <c r="F84" s="353"/>
      <c r="G84" s="353"/>
      <c r="H84" s="353"/>
      <c r="I84" s="355"/>
      <c r="J84" s="356"/>
    </row>
    <row r="85">
      <c r="A85" s="353"/>
      <c r="B85" s="353"/>
      <c r="C85" s="354"/>
      <c r="D85" s="354"/>
      <c r="E85" s="353"/>
      <c r="F85" s="353"/>
      <c r="G85" s="353"/>
      <c r="H85" s="353"/>
      <c r="I85" s="355"/>
      <c r="J85" s="356"/>
    </row>
    <row r="86">
      <c r="A86" s="353"/>
      <c r="B86" s="353"/>
      <c r="C86" s="354"/>
      <c r="D86" s="354"/>
      <c r="E86" s="353"/>
      <c r="F86" s="353"/>
      <c r="G86" s="353"/>
      <c r="H86" s="353"/>
      <c r="I86" s="355"/>
      <c r="J86" s="356"/>
    </row>
    <row r="87">
      <c r="A87" s="353"/>
      <c r="B87" s="353"/>
      <c r="C87" s="354"/>
      <c r="D87" s="354"/>
      <c r="E87" s="353"/>
      <c r="F87" s="353"/>
      <c r="G87" s="353"/>
      <c r="H87" s="353"/>
      <c r="I87" s="355"/>
      <c r="J87" s="356"/>
    </row>
    <row r="88">
      <c r="A88" s="353"/>
      <c r="B88" s="353"/>
      <c r="C88" s="354"/>
      <c r="D88" s="354"/>
      <c r="E88" s="353"/>
      <c r="F88" s="353"/>
      <c r="G88" s="353"/>
      <c r="H88" s="353"/>
      <c r="I88" s="355"/>
      <c r="J88" s="356"/>
    </row>
    <row r="89">
      <c r="A89" s="353"/>
      <c r="B89" s="353"/>
      <c r="C89" s="354"/>
      <c r="D89" s="354"/>
      <c r="E89" s="353"/>
      <c r="F89" s="353"/>
      <c r="G89" s="353"/>
      <c r="H89" s="353"/>
      <c r="I89" s="355"/>
      <c r="J89" s="356"/>
    </row>
    <row r="90">
      <c r="A90" s="353"/>
      <c r="B90" s="353"/>
      <c r="C90" s="354"/>
      <c r="D90" s="354"/>
      <c r="E90" s="353"/>
      <c r="F90" s="353"/>
      <c r="G90" s="353"/>
      <c r="H90" s="353"/>
      <c r="I90" s="355"/>
      <c r="J90" s="356"/>
    </row>
    <row r="91">
      <c r="A91" s="353"/>
      <c r="B91" s="353"/>
      <c r="C91" s="354"/>
      <c r="D91" s="354"/>
      <c r="E91" s="353"/>
      <c r="F91" s="353"/>
      <c r="G91" s="353"/>
      <c r="H91" s="353"/>
      <c r="I91" s="355"/>
      <c r="J91" s="356"/>
    </row>
    <row r="92">
      <c r="A92" s="353"/>
      <c r="B92" s="353"/>
      <c r="C92" s="354"/>
      <c r="D92" s="354"/>
      <c r="E92" s="353"/>
      <c r="F92" s="353"/>
      <c r="G92" s="353"/>
      <c r="H92" s="353"/>
      <c r="I92" s="355"/>
      <c r="J92" s="356"/>
    </row>
    <row r="93">
      <c r="A93" s="353"/>
      <c r="B93" s="353"/>
      <c r="C93" s="354"/>
      <c r="D93" s="354"/>
      <c r="E93" s="353"/>
      <c r="F93" s="353"/>
      <c r="G93" s="353"/>
      <c r="H93" s="353"/>
      <c r="I93" s="355"/>
      <c r="J93" s="356"/>
    </row>
    <row r="94">
      <c r="A94" s="353"/>
      <c r="B94" s="353"/>
      <c r="C94" s="354"/>
      <c r="D94" s="354"/>
      <c r="E94" s="353"/>
      <c r="F94" s="353"/>
      <c r="G94" s="353"/>
      <c r="H94" s="353"/>
      <c r="I94" s="355"/>
      <c r="J94" s="356"/>
    </row>
    <row r="95">
      <c r="A95" s="353"/>
      <c r="B95" s="353"/>
      <c r="C95" s="354"/>
      <c r="D95" s="354"/>
      <c r="E95" s="353"/>
      <c r="F95" s="353"/>
      <c r="G95" s="353"/>
      <c r="H95" s="353"/>
      <c r="I95" s="355"/>
      <c r="J95" s="356"/>
    </row>
    <row r="96">
      <c r="A96" s="353"/>
      <c r="B96" s="353"/>
      <c r="C96" s="354"/>
      <c r="D96" s="354"/>
      <c r="E96" s="353"/>
      <c r="F96" s="353"/>
      <c r="G96" s="353"/>
      <c r="H96" s="353"/>
      <c r="I96" s="355"/>
      <c r="J96" s="356"/>
    </row>
    <row r="97">
      <c r="A97" s="353"/>
      <c r="B97" s="353"/>
      <c r="C97" s="354"/>
      <c r="D97" s="354"/>
      <c r="E97" s="353"/>
      <c r="F97" s="353"/>
      <c r="G97" s="353"/>
      <c r="H97" s="353"/>
      <c r="I97" s="355"/>
      <c r="J97" s="356"/>
    </row>
    <row r="98">
      <c r="A98" s="353"/>
      <c r="B98" s="353"/>
      <c r="C98" s="354"/>
      <c r="D98" s="354"/>
      <c r="E98" s="353"/>
      <c r="F98" s="353"/>
      <c r="G98" s="353"/>
      <c r="H98" s="353"/>
      <c r="I98" s="355"/>
      <c r="J98" s="356"/>
    </row>
    <row r="99">
      <c r="A99" s="353"/>
      <c r="B99" s="353"/>
      <c r="C99" s="354"/>
      <c r="D99" s="354"/>
      <c r="E99" s="353"/>
      <c r="F99" s="353"/>
      <c r="G99" s="353"/>
      <c r="H99" s="353"/>
      <c r="I99" s="355"/>
      <c r="J99" s="356"/>
    </row>
    <row r="100">
      <c r="A100" s="353"/>
      <c r="B100" s="353"/>
      <c r="C100" s="354"/>
      <c r="D100" s="354"/>
      <c r="E100" s="353"/>
      <c r="F100" s="353"/>
      <c r="G100" s="353"/>
      <c r="H100" s="353"/>
      <c r="I100" s="355"/>
      <c r="J100" s="356"/>
    </row>
    <row r="101">
      <c r="A101" s="353"/>
      <c r="B101" s="353"/>
      <c r="C101" s="354"/>
      <c r="D101" s="354"/>
      <c r="E101" s="353"/>
      <c r="F101" s="353"/>
      <c r="G101" s="353"/>
      <c r="H101" s="353"/>
      <c r="I101" s="355"/>
      <c r="J101" s="356"/>
    </row>
    <row r="102">
      <c r="A102" s="353"/>
      <c r="B102" s="353"/>
      <c r="C102" s="354"/>
      <c r="D102" s="354"/>
      <c r="E102" s="353"/>
      <c r="F102" s="353"/>
      <c r="G102" s="353"/>
      <c r="H102" s="353"/>
      <c r="I102" s="355"/>
      <c r="J102" s="356"/>
    </row>
    <row r="103">
      <c r="A103" s="353"/>
      <c r="B103" s="353"/>
      <c r="C103" s="354"/>
      <c r="D103" s="354"/>
      <c r="E103" s="353"/>
      <c r="F103" s="353"/>
      <c r="G103" s="353"/>
      <c r="H103" s="353"/>
      <c r="I103" s="355"/>
      <c r="J103" s="356"/>
    </row>
    <row r="104">
      <c r="A104" s="353"/>
      <c r="B104" s="353"/>
      <c r="C104" s="354"/>
      <c r="D104" s="354"/>
      <c r="E104" s="353"/>
      <c r="F104" s="353"/>
      <c r="G104" s="353"/>
      <c r="H104" s="353"/>
      <c r="I104" s="355"/>
      <c r="J104" s="356"/>
    </row>
    <row r="105">
      <c r="A105" s="353"/>
      <c r="B105" s="353"/>
      <c r="C105" s="354"/>
      <c r="D105" s="354"/>
      <c r="E105" s="353"/>
      <c r="F105" s="353"/>
      <c r="G105" s="353"/>
      <c r="H105" s="353"/>
      <c r="I105" s="355"/>
      <c r="J105" s="356"/>
    </row>
    <row r="106">
      <c r="A106" s="353"/>
      <c r="B106" s="353"/>
      <c r="C106" s="354"/>
      <c r="D106" s="354"/>
      <c r="E106" s="353"/>
      <c r="F106" s="353"/>
      <c r="G106" s="353"/>
      <c r="H106" s="353"/>
      <c r="I106" s="355"/>
      <c r="J106" s="356"/>
    </row>
    <row r="107">
      <c r="A107" s="353"/>
      <c r="B107" s="353"/>
      <c r="C107" s="354"/>
      <c r="D107" s="354"/>
      <c r="E107" s="353"/>
      <c r="F107" s="353"/>
      <c r="G107" s="353"/>
      <c r="H107" s="353"/>
      <c r="I107" s="355"/>
      <c r="J107" s="356"/>
    </row>
    <row r="108">
      <c r="A108" s="353"/>
      <c r="B108" s="353"/>
      <c r="C108" s="354"/>
      <c r="D108" s="354"/>
      <c r="E108" s="353"/>
      <c r="F108" s="353"/>
      <c r="G108" s="353"/>
      <c r="H108" s="353"/>
      <c r="I108" s="355"/>
      <c r="J108" s="356"/>
    </row>
    <row r="109">
      <c r="A109" s="353"/>
      <c r="B109" s="353"/>
      <c r="C109" s="354"/>
      <c r="D109" s="354"/>
      <c r="E109" s="353"/>
      <c r="F109" s="353"/>
      <c r="G109" s="353"/>
      <c r="H109" s="353"/>
      <c r="I109" s="355"/>
      <c r="J109" s="356"/>
    </row>
    <row r="110">
      <c r="A110" s="353"/>
      <c r="B110" s="353"/>
      <c r="C110" s="354"/>
      <c r="D110" s="354"/>
      <c r="E110" s="353"/>
      <c r="F110" s="353"/>
      <c r="G110" s="353"/>
      <c r="H110" s="353"/>
      <c r="I110" s="355"/>
      <c r="J110" s="356"/>
    </row>
    <row r="111">
      <c r="A111" s="353"/>
      <c r="B111" s="353"/>
      <c r="C111" s="354"/>
      <c r="D111" s="354"/>
      <c r="E111" s="353"/>
      <c r="F111" s="353"/>
      <c r="G111" s="353"/>
      <c r="H111" s="353"/>
      <c r="I111" s="355"/>
      <c r="J111" s="356"/>
    </row>
    <row r="112">
      <c r="A112" s="353"/>
      <c r="B112" s="353"/>
      <c r="C112" s="354"/>
      <c r="D112" s="354"/>
      <c r="E112" s="353"/>
      <c r="F112" s="353"/>
      <c r="G112" s="353"/>
      <c r="H112" s="353"/>
      <c r="I112" s="355"/>
      <c r="J112" s="356"/>
    </row>
    <row r="113">
      <c r="A113" s="353"/>
      <c r="B113" s="353"/>
      <c r="C113" s="354"/>
      <c r="D113" s="354"/>
      <c r="E113" s="353"/>
      <c r="F113" s="353"/>
      <c r="G113" s="353"/>
      <c r="H113" s="353"/>
      <c r="I113" s="355"/>
      <c r="J113" s="356"/>
    </row>
    <row r="114">
      <c r="A114" s="353"/>
      <c r="B114" s="353"/>
      <c r="C114" s="354"/>
      <c r="D114" s="354"/>
      <c r="E114" s="353"/>
      <c r="F114" s="353"/>
      <c r="G114" s="353"/>
      <c r="H114" s="353"/>
      <c r="I114" s="355"/>
      <c r="J114" s="356"/>
    </row>
    <row r="115">
      <c r="A115" s="353"/>
      <c r="B115" s="353"/>
      <c r="C115" s="354"/>
      <c r="D115" s="354"/>
      <c r="E115" s="353"/>
      <c r="F115" s="353"/>
      <c r="G115" s="353"/>
      <c r="H115" s="353"/>
      <c r="I115" s="355"/>
      <c r="J115" s="356"/>
    </row>
    <row r="116">
      <c r="A116" s="353"/>
      <c r="B116" s="353"/>
      <c r="C116" s="354"/>
      <c r="D116" s="354"/>
      <c r="E116" s="353"/>
      <c r="F116" s="353"/>
      <c r="G116" s="353"/>
      <c r="H116" s="353"/>
      <c r="I116" s="355"/>
      <c r="J116" s="356"/>
    </row>
    <row r="117">
      <c r="A117" s="353"/>
      <c r="B117" s="353"/>
      <c r="C117" s="354"/>
      <c r="D117" s="354"/>
      <c r="E117" s="353"/>
      <c r="F117" s="353"/>
      <c r="G117" s="353"/>
      <c r="H117" s="353"/>
      <c r="I117" s="355"/>
      <c r="J117" s="356"/>
    </row>
    <row r="118">
      <c r="A118" s="353"/>
      <c r="B118" s="353"/>
      <c r="C118" s="354"/>
      <c r="D118" s="354"/>
      <c r="E118" s="353"/>
      <c r="F118" s="353"/>
      <c r="G118" s="353"/>
      <c r="H118" s="353"/>
      <c r="I118" s="355"/>
      <c r="J118" s="356"/>
    </row>
    <row r="119">
      <c r="A119" s="353"/>
      <c r="B119" s="353"/>
      <c r="C119" s="354"/>
      <c r="D119" s="354"/>
      <c r="E119" s="353"/>
      <c r="F119" s="353"/>
      <c r="G119" s="353"/>
      <c r="H119" s="353"/>
      <c r="I119" s="355"/>
      <c r="J119" s="356"/>
    </row>
    <row r="120">
      <c r="A120" s="353"/>
      <c r="B120" s="353"/>
      <c r="C120" s="354"/>
      <c r="D120" s="354"/>
      <c r="E120" s="353"/>
      <c r="F120" s="353"/>
      <c r="G120" s="353"/>
      <c r="H120" s="353"/>
      <c r="I120" s="355"/>
      <c r="J120" s="356"/>
    </row>
    <row r="121">
      <c r="A121" s="353"/>
      <c r="B121" s="353"/>
      <c r="C121" s="354"/>
      <c r="D121" s="354"/>
      <c r="E121" s="353"/>
      <c r="F121" s="353"/>
      <c r="G121" s="353"/>
      <c r="H121" s="353"/>
      <c r="I121" s="355"/>
      <c r="J121" s="356"/>
    </row>
    <row r="122">
      <c r="A122" s="353"/>
      <c r="B122" s="353"/>
      <c r="C122" s="354"/>
      <c r="D122" s="354"/>
      <c r="E122" s="353"/>
      <c r="F122" s="353"/>
      <c r="G122" s="353"/>
      <c r="H122" s="353"/>
      <c r="I122" s="355"/>
      <c r="J122" s="356"/>
    </row>
    <row r="123">
      <c r="A123" s="353"/>
      <c r="B123" s="353"/>
      <c r="C123" s="354"/>
      <c r="D123" s="354"/>
      <c r="E123" s="353"/>
      <c r="F123" s="353"/>
      <c r="G123" s="353"/>
      <c r="H123" s="353"/>
      <c r="I123" s="355"/>
      <c r="J123" s="356"/>
    </row>
    <row r="124">
      <c r="A124" s="353"/>
      <c r="B124" s="353"/>
      <c r="C124" s="354"/>
      <c r="D124" s="354"/>
      <c r="E124" s="353"/>
      <c r="F124" s="353"/>
      <c r="G124" s="353"/>
      <c r="H124" s="353"/>
      <c r="I124" s="355"/>
      <c r="J124" s="356"/>
    </row>
    <row r="125">
      <c r="A125" s="353"/>
      <c r="B125" s="353"/>
      <c r="C125" s="354"/>
      <c r="D125" s="354"/>
      <c r="E125" s="353"/>
      <c r="F125" s="353"/>
      <c r="G125" s="353"/>
      <c r="H125" s="353"/>
      <c r="I125" s="355"/>
      <c r="J125" s="356"/>
    </row>
    <row r="126">
      <c r="A126" s="353"/>
      <c r="B126" s="353"/>
      <c r="C126" s="354"/>
      <c r="D126" s="354"/>
      <c r="E126" s="353"/>
      <c r="F126" s="353"/>
      <c r="G126" s="353"/>
      <c r="H126" s="353"/>
      <c r="I126" s="355"/>
      <c r="J126" s="356"/>
    </row>
    <row r="127">
      <c r="A127" s="353"/>
      <c r="B127" s="353"/>
      <c r="C127" s="354"/>
      <c r="D127" s="354"/>
      <c r="E127" s="353"/>
      <c r="F127" s="353"/>
      <c r="G127" s="353"/>
      <c r="H127" s="353"/>
      <c r="I127" s="355"/>
      <c r="J127" s="356"/>
    </row>
    <row r="128">
      <c r="A128" s="353"/>
      <c r="B128" s="353"/>
      <c r="C128" s="354"/>
      <c r="D128" s="354"/>
      <c r="E128" s="353"/>
      <c r="F128" s="353"/>
      <c r="G128" s="353"/>
      <c r="H128" s="353"/>
      <c r="I128" s="355"/>
      <c r="J128" s="356"/>
    </row>
    <row r="129">
      <c r="A129" s="353"/>
      <c r="B129" s="353"/>
      <c r="C129" s="354"/>
      <c r="D129" s="354"/>
      <c r="E129" s="353"/>
      <c r="F129" s="353"/>
      <c r="G129" s="353"/>
      <c r="H129" s="353"/>
      <c r="I129" s="355"/>
      <c r="J129" s="356"/>
    </row>
    <row r="130">
      <c r="A130" s="353"/>
      <c r="B130" s="353"/>
      <c r="C130" s="354"/>
      <c r="D130" s="354"/>
      <c r="E130" s="353"/>
      <c r="F130" s="353"/>
      <c r="G130" s="353"/>
      <c r="H130" s="353"/>
      <c r="I130" s="355"/>
      <c r="J130" s="356"/>
    </row>
    <row r="131">
      <c r="A131" s="353"/>
      <c r="B131" s="353"/>
      <c r="C131" s="354"/>
      <c r="D131" s="354"/>
      <c r="E131" s="353"/>
      <c r="F131" s="353"/>
      <c r="G131" s="353"/>
      <c r="H131" s="353"/>
      <c r="I131" s="355"/>
      <c r="J131" s="356"/>
    </row>
    <row r="132">
      <c r="A132" s="353"/>
      <c r="B132" s="353"/>
      <c r="C132" s="354"/>
      <c r="D132" s="354"/>
      <c r="E132" s="353"/>
      <c r="F132" s="353"/>
      <c r="G132" s="353"/>
      <c r="H132" s="353"/>
      <c r="I132" s="355"/>
      <c r="J132" s="356"/>
    </row>
    <row r="133">
      <c r="A133" s="353"/>
      <c r="B133" s="353"/>
      <c r="C133" s="354"/>
      <c r="D133" s="354"/>
      <c r="E133" s="353"/>
      <c r="F133" s="353"/>
      <c r="G133" s="353"/>
      <c r="H133" s="353"/>
      <c r="I133" s="355"/>
      <c r="J133" s="356"/>
    </row>
    <row r="134">
      <c r="A134" s="353"/>
      <c r="B134" s="353"/>
      <c r="C134" s="354"/>
      <c r="D134" s="354"/>
      <c r="E134" s="353"/>
      <c r="F134" s="353"/>
      <c r="G134" s="353"/>
      <c r="H134" s="353"/>
      <c r="I134" s="355"/>
      <c r="J134" s="356"/>
    </row>
    <row r="135">
      <c r="A135" s="353"/>
      <c r="B135" s="353"/>
      <c r="C135" s="354"/>
      <c r="D135" s="354"/>
      <c r="E135" s="353"/>
      <c r="F135" s="353"/>
      <c r="G135" s="353"/>
      <c r="H135" s="353"/>
      <c r="I135" s="355"/>
      <c r="J135" s="356"/>
    </row>
    <row r="136">
      <c r="A136" s="353"/>
      <c r="B136" s="353"/>
      <c r="C136" s="354"/>
      <c r="D136" s="354"/>
      <c r="E136" s="353"/>
      <c r="F136" s="353"/>
      <c r="G136" s="353"/>
      <c r="H136" s="353"/>
      <c r="I136" s="355"/>
      <c r="J136" s="356"/>
    </row>
    <row r="137">
      <c r="A137" s="353"/>
      <c r="B137" s="353"/>
      <c r="C137" s="354"/>
      <c r="D137" s="354"/>
      <c r="E137" s="353"/>
      <c r="F137" s="353"/>
      <c r="G137" s="353"/>
      <c r="H137" s="353"/>
      <c r="I137" s="355"/>
      <c r="J137" s="356"/>
    </row>
    <row r="138">
      <c r="A138" s="353"/>
      <c r="B138" s="353"/>
      <c r="C138" s="354"/>
      <c r="D138" s="354"/>
      <c r="E138" s="353"/>
      <c r="F138" s="353"/>
      <c r="G138" s="353"/>
      <c r="H138" s="353"/>
      <c r="I138" s="355"/>
      <c r="J138" s="356"/>
    </row>
    <row r="139">
      <c r="A139" s="353"/>
      <c r="B139" s="353"/>
      <c r="C139" s="354"/>
      <c r="D139" s="354"/>
      <c r="E139" s="353"/>
      <c r="F139" s="353"/>
      <c r="G139" s="353"/>
      <c r="H139" s="353"/>
      <c r="I139" s="355"/>
      <c r="J139" s="356"/>
    </row>
    <row r="140">
      <c r="A140" s="353"/>
      <c r="B140" s="353"/>
      <c r="C140" s="354"/>
      <c r="D140" s="354"/>
      <c r="E140" s="353"/>
      <c r="F140" s="353"/>
      <c r="G140" s="353"/>
      <c r="H140" s="353"/>
      <c r="I140" s="355"/>
      <c r="J140" s="356"/>
    </row>
    <row r="141">
      <c r="A141" s="353"/>
      <c r="B141" s="353"/>
      <c r="C141" s="354"/>
      <c r="D141" s="354"/>
      <c r="E141" s="353"/>
      <c r="F141" s="353"/>
      <c r="G141" s="353"/>
      <c r="H141" s="353"/>
      <c r="I141" s="355"/>
      <c r="J141" s="356"/>
    </row>
    <row r="142">
      <c r="A142" s="353"/>
      <c r="B142" s="353"/>
      <c r="C142" s="354"/>
      <c r="D142" s="354"/>
      <c r="E142" s="353"/>
      <c r="F142" s="353"/>
      <c r="G142" s="353"/>
      <c r="H142" s="353"/>
      <c r="I142" s="355"/>
      <c r="J142" s="356"/>
    </row>
    <row r="143">
      <c r="A143" s="353"/>
      <c r="B143" s="353"/>
      <c r="C143" s="354"/>
      <c r="D143" s="354"/>
      <c r="E143" s="353"/>
      <c r="F143" s="353"/>
      <c r="G143" s="353"/>
      <c r="H143" s="353"/>
      <c r="I143" s="355"/>
      <c r="J143" s="356"/>
    </row>
    <row r="144">
      <c r="A144" s="353"/>
      <c r="B144" s="353"/>
      <c r="C144" s="354"/>
      <c r="D144" s="354"/>
      <c r="E144" s="353"/>
      <c r="F144" s="353"/>
      <c r="G144" s="353"/>
      <c r="H144" s="353"/>
      <c r="I144" s="355"/>
      <c r="J144" s="356"/>
    </row>
    <row r="145">
      <c r="A145" s="353"/>
      <c r="B145" s="353"/>
      <c r="C145" s="354"/>
      <c r="D145" s="354"/>
      <c r="E145" s="353"/>
      <c r="F145" s="353"/>
      <c r="G145" s="353"/>
      <c r="H145" s="353"/>
      <c r="I145" s="355"/>
      <c r="J145" s="356"/>
    </row>
    <row r="146">
      <c r="A146" s="353"/>
      <c r="B146" s="353"/>
      <c r="C146" s="354"/>
      <c r="D146" s="354"/>
      <c r="E146" s="353"/>
      <c r="F146" s="353"/>
      <c r="G146" s="353"/>
      <c r="H146" s="353"/>
      <c r="I146" s="355"/>
      <c r="J146" s="356"/>
    </row>
    <row r="147">
      <c r="A147" s="353"/>
      <c r="B147" s="353"/>
      <c r="C147" s="354"/>
      <c r="D147" s="354"/>
      <c r="E147" s="353"/>
      <c r="F147" s="353"/>
      <c r="G147" s="353"/>
      <c r="H147" s="353"/>
      <c r="I147" s="355"/>
      <c r="J147" s="356"/>
    </row>
    <row r="148">
      <c r="A148" s="353"/>
      <c r="B148" s="353"/>
      <c r="C148" s="354"/>
      <c r="D148" s="354"/>
      <c r="E148" s="353"/>
      <c r="F148" s="353"/>
      <c r="G148" s="353"/>
      <c r="H148" s="353"/>
      <c r="I148" s="355"/>
      <c r="J148" s="356"/>
    </row>
    <row r="149">
      <c r="A149" s="353"/>
      <c r="B149" s="353"/>
      <c r="C149" s="354"/>
      <c r="D149" s="354"/>
      <c r="E149" s="353"/>
      <c r="F149" s="353"/>
      <c r="G149" s="353"/>
      <c r="H149" s="353"/>
      <c r="I149" s="355"/>
      <c r="J149" s="356"/>
    </row>
    <row r="150">
      <c r="A150" s="353"/>
      <c r="B150" s="353"/>
      <c r="C150" s="354"/>
      <c r="D150" s="354"/>
      <c r="E150" s="353"/>
      <c r="F150" s="353"/>
      <c r="G150" s="353"/>
      <c r="H150" s="353"/>
      <c r="I150" s="355"/>
      <c r="J150" s="356"/>
    </row>
    <row r="151">
      <c r="A151" s="353"/>
      <c r="B151" s="353"/>
      <c r="C151" s="354"/>
      <c r="D151" s="354"/>
      <c r="E151" s="353"/>
      <c r="F151" s="353"/>
      <c r="G151" s="353"/>
      <c r="H151" s="353"/>
      <c r="I151" s="355"/>
      <c r="J151" s="356"/>
    </row>
    <row r="152">
      <c r="A152" s="353"/>
      <c r="B152" s="353"/>
      <c r="C152" s="354"/>
      <c r="D152" s="354"/>
      <c r="E152" s="353"/>
      <c r="F152" s="353"/>
      <c r="G152" s="353"/>
      <c r="H152" s="353"/>
      <c r="I152" s="355"/>
      <c r="J152" s="356"/>
    </row>
    <row r="153">
      <c r="A153" s="353"/>
      <c r="B153" s="353"/>
      <c r="C153" s="354"/>
      <c r="D153" s="354"/>
      <c r="E153" s="353"/>
      <c r="F153" s="353"/>
      <c r="G153" s="353"/>
      <c r="H153" s="353"/>
      <c r="I153" s="355"/>
      <c r="J153" s="356"/>
    </row>
    <row r="154">
      <c r="A154" s="353"/>
      <c r="B154" s="353"/>
      <c r="C154" s="354"/>
      <c r="D154" s="354"/>
      <c r="E154" s="353"/>
      <c r="F154" s="353"/>
      <c r="G154" s="353"/>
      <c r="H154" s="353"/>
      <c r="I154" s="355"/>
      <c r="J154" s="356"/>
    </row>
    <row r="155">
      <c r="A155" s="353"/>
      <c r="B155" s="353"/>
      <c r="C155" s="354"/>
      <c r="D155" s="354"/>
      <c r="E155" s="353"/>
      <c r="F155" s="353"/>
      <c r="G155" s="353"/>
      <c r="H155" s="353"/>
      <c r="I155" s="355"/>
      <c r="J155" s="356"/>
    </row>
    <row r="156">
      <c r="A156" s="353"/>
      <c r="B156" s="353"/>
      <c r="C156" s="354"/>
      <c r="D156" s="354"/>
      <c r="E156" s="353"/>
      <c r="F156" s="353"/>
      <c r="G156" s="353"/>
      <c r="H156" s="353"/>
      <c r="I156" s="355"/>
      <c r="J156" s="356"/>
    </row>
    <row r="157">
      <c r="A157" s="353"/>
      <c r="B157" s="353"/>
      <c r="C157" s="354"/>
      <c r="D157" s="354"/>
      <c r="E157" s="353"/>
      <c r="F157" s="353"/>
      <c r="G157" s="353"/>
      <c r="H157" s="353"/>
      <c r="I157" s="355"/>
      <c r="J157" s="356"/>
    </row>
    <row r="158">
      <c r="A158" s="353"/>
      <c r="B158" s="353"/>
      <c r="C158" s="354"/>
      <c r="D158" s="354"/>
      <c r="E158" s="353"/>
      <c r="F158" s="353"/>
      <c r="G158" s="353"/>
      <c r="H158" s="353"/>
      <c r="I158" s="355"/>
      <c r="J158" s="356"/>
    </row>
    <row r="159">
      <c r="A159" s="353"/>
      <c r="B159" s="353"/>
      <c r="C159" s="354"/>
      <c r="D159" s="354"/>
      <c r="E159" s="353"/>
      <c r="F159" s="353"/>
      <c r="G159" s="353"/>
      <c r="H159" s="353"/>
      <c r="I159" s="355"/>
      <c r="J159" s="356"/>
    </row>
    <row r="160">
      <c r="A160" s="353"/>
      <c r="B160" s="353"/>
      <c r="C160" s="354"/>
      <c r="D160" s="354"/>
      <c r="E160" s="353"/>
      <c r="F160" s="353"/>
      <c r="G160" s="353"/>
      <c r="H160" s="353"/>
      <c r="I160" s="355"/>
      <c r="J160" s="356"/>
    </row>
    <row r="161">
      <c r="A161" s="353"/>
      <c r="B161" s="353"/>
      <c r="C161" s="354"/>
      <c r="D161" s="354"/>
      <c r="E161" s="353"/>
      <c r="F161" s="353"/>
      <c r="G161" s="353"/>
      <c r="H161" s="353"/>
      <c r="I161" s="355"/>
      <c r="J161" s="356"/>
    </row>
    <row r="162">
      <c r="A162" s="353"/>
      <c r="B162" s="353"/>
      <c r="C162" s="354"/>
      <c r="D162" s="354"/>
      <c r="E162" s="353"/>
      <c r="F162" s="353"/>
      <c r="G162" s="353"/>
      <c r="H162" s="353"/>
      <c r="I162" s="355"/>
      <c r="J162" s="356"/>
    </row>
    <row r="163">
      <c r="A163" s="353"/>
      <c r="B163" s="353"/>
      <c r="C163" s="354"/>
      <c r="D163" s="354"/>
      <c r="E163" s="353"/>
      <c r="F163" s="353"/>
      <c r="G163" s="353"/>
      <c r="H163" s="353"/>
      <c r="I163" s="355"/>
      <c r="J163" s="356"/>
    </row>
    <row r="164">
      <c r="A164" s="353"/>
      <c r="B164" s="353"/>
      <c r="C164" s="354"/>
      <c r="D164" s="354"/>
      <c r="E164" s="353"/>
      <c r="F164" s="353"/>
      <c r="G164" s="353"/>
      <c r="H164" s="353"/>
      <c r="I164" s="355"/>
      <c r="J164" s="356"/>
    </row>
    <row r="165">
      <c r="A165" s="353"/>
      <c r="B165" s="353"/>
      <c r="C165" s="354"/>
      <c r="D165" s="354"/>
      <c r="E165" s="353"/>
      <c r="F165" s="353"/>
      <c r="G165" s="353"/>
      <c r="H165" s="353"/>
      <c r="I165" s="355"/>
      <c r="J165" s="356"/>
    </row>
    <row r="166">
      <c r="A166" s="353"/>
      <c r="B166" s="353"/>
      <c r="C166" s="354"/>
      <c r="D166" s="354"/>
      <c r="E166" s="353"/>
      <c r="F166" s="353"/>
      <c r="G166" s="353"/>
      <c r="H166" s="353"/>
      <c r="I166" s="355"/>
      <c r="J166" s="356"/>
    </row>
    <row r="167">
      <c r="A167" s="353"/>
      <c r="B167" s="353"/>
      <c r="C167" s="354"/>
      <c r="D167" s="354"/>
      <c r="E167" s="353"/>
      <c r="F167" s="353"/>
      <c r="G167" s="353"/>
      <c r="H167" s="353"/>
      <c r="I167" s="355"/>
      <c r="J167" s="356"/>
    </row>
    <row r="168">
      <c r="A168" s="353"/>
      <c r="B168" s="353"/>
      <c r="C168" s="354"/>
      <c r="D168" s="354"/>
      <c r="E168" s="353"/>
      <c r="F168" s="353"/>
      <c r="G168" s="353"/>
      <c r="H168" s="353"/>
      <c r="I168" s="355"/>
      <c r="J168" s="356"/>
    </row>
    <row r="169">
      <c r="A169" s="353"/>
      <c r="B169" s="353"/>
      <c r="C169" s="354"/>
      <c r="D169" s="354"/>
      <c r="E169" s="353"/>
      <c r="F169" s="353"/>
      <c r="G169" s="353"/>
      <c r="H169" s="353"/>
      <c r="I169" s="355"/>
      <c r="J169" s="356"/>
    </row>
    <row r="170">
      <c r="A170" s="353"/>
      <c r="B170" s="353"/>
      <c r="C170" s="354"/>
      <c r="D170" s="354"/>
      <c r="E170" s="353"/>
      <c r="F170" s="353"/>
      <c r="G170" s="353"/>
      <c r="H170" s="353"/>
      <c r="I170" s="355"/>
      <c r="J170" s="356"/>
    </row>
    <row r="171">
      <c r="A171" s="353"/>
      <c r="B171" s="353"/>
      <c r="C171" s="354"/>
      <c r="D171" s="354"/>
      <c r="E171" s="353"/>
      <c r="F171" s="353"/>
      <c r="G171" s="353"/>
      <c r="H171" s="353"/>
      <c r="I171" s="355"/>
      <c r="J171" s="356"/>
    </row>
    <row r="172">
      <c r="A172" s="353"/>
      <c r="B172" s="353"/>
      <c r="C172" s="354"/>
      <c r="D172" s="354"/>
      <c r="E172" s="353"/>
      <c r="F172" s="353"/>
      <c r="G172" s="353"/>
      <c r="H172" s="353"/>
      <c r="I172" s="355"/>
      <c r="J172" s="356"/>
    </row>
    <row r="173">
      <c r="A173" s="353"/>
      <c r="B173" s="353"/>
      <c r="C173" s="354"/>
      <c r="D173" s="354"/>
      <c r="E173" s="353"/>
      <c r="F173" s="353"/>
      <c r="G173" s="353"/>
      <c r="H173" s="353"/>
      <c r="I173" s="355"/>
      <c r="J173" s="356"/>
    </row>
    <row r="174">
      <c r="A174" s="353"/>
      <c r="B174" s="353"/>
      <c r="C174" s="354"/>
      <c r="D174" s="354"/>
      <c r="E174" s="353"/>
      <c r="F174" s="353"/>
      <c r="G174" s="353"/>
      <c r="H174" s="353"/>
      <c r="I174" s="355"/>
      <c r="J174" s="356"/>
    </row>
    <row r="175">
      <c r="A175" s="353"/>
      <c r="B175" s="353"/>
      <c r="C175" s="354"/>
      <c r="D175" s="354"/>
      <c r="E175" s="353"/>
      <c r="F175" s="353"/>
      <c r="G175" s="353"/>
      <c r="H175" s="353"/>
      <c r="I175" s="355"/>
      <c r="J175" s="356"/>
    </row>
    <row r="176">
      <c r="A176" s="353"/>
      <c r="B176" s="353"/>
      <c r="C176" s="354"/>
      <c r="D176" s="354"/>
      <c r="E176" s="353"/>
      <c r="F176" s="353"/>
      <c r="G176" s="353"/>
      <c r="H176" s="353"/>
      <c r="I176" s="355"/>
      <c r="J176" s="356"/>
    </row>
    <row r="177">
      <c r="A177" s="353"/>
      <c r="B177" s="353"/>
      <c r="C177" s="354"/>
      <c r="D177" s="354"/>
      <c r="E177" s="353"/>
      <c r="F177" s="353"/>
      <c r="G177" s="353"/>
      <c r="H177" s="353"/>
      <c r="I177" s="355"/>
      <c r="J177" s="356"/>
    </row>
    <row r="178">
      <c r="A178" s="353"/>
      <c r="B178" s="353"/>
      <c r="C178" s="354"/>
      <c r="D178" s="354"/>
      <c r="E178" s="353"/>
      <c r="F178" s="353"/>
      <c r="G178" s="353"/>
      <c r="H178" s="353"/>
      <c r="I178" s="355"/>
      <c r="J178" s="356"/>
    </row>
    <row r="179">
      <c r="A179" s="353"/>
      <c r="B179" s="353"/>
      <c r="C179" s="354"/>
      <c r="D179" s="354"/>
      <c r="E179" s="353"/>
      <c r="F179" s="353"/>
      <c r="G179" s="353"/>
      <c r="H179" s="353"/>
      <c r="I179" s="355"/>
      <c r="J179" s="356"/>
    </row>
    <row r="180">
      <c r="A180" s="353"/>
      <c r="B180" s="353"/>
      <c r="C180" s="354"/>
      <c r="D180" s="354"/>
      <c r="E180" s="353"/>
      <c r="F180" s="353"/>
      <c r="G180" s="353"/>
      <c r="H180" s="353"/>
      <c r="I180" s="355"/>
      <c r="J180" s="356"/>
    </row>
    <row r="181">
      <c r="A181" s="353"/>
      <c r="B181" s="353"/>
      <c r="C181" s="354"/>
      <c r="D181" s="354"/>
      <c r="E181" s="353"/>
      <c r="F181" s="353"/>
      <c r="G181" s="353"/>
      <c r="H181" s="353"/>
      <c r="I181" s="355"/>
      <c r="J181" s="356"/>
    </row>
    <row r="182">
      <c r="A182" s="353"/>
      <c r="B182" s="353"/>
      <c r="C182" s="354"/>
      <c r="D182" s="354"/>
      <c r="E182" s="353"/>
      <c r="F182" s="353"/>
      <c r="G182" s="353"/>
      <c r="H182" s="353"/>
      <c r="I182" s="355"/>
      <c r="J182" s="356"/>
    </row>
    <row r="183">
      <c r="A183" s="353"/>
      <c r="B183" s="353"/>
      <c r="C183" s="354"/>
      <c r="D183" s="354"/>
      <c r="E183" s="353"/>
      <c r="F183" s="353"/>
      <c r="G183" s="353"/>
      <c r="H183" s="353"/>
      <c r="I183" s="355"/>
      <c r="J183" s="356"/>
    </row>
    <row r="184">
      <c r="A184" s="353"/>
      <c r="B184" s="353"/>
      <c r="C184" s="354"/>
      <c r="D184" s="354"/>
      <c r="E184" s="353"/>
      <c r="F184" s="353"/>
      <c r="G184" s="353"/>
      <c r="H184" s="353"/>
      <c r="I184" s="355"/>
      <c r="J184" s="356"/>
    </row>
    <row r="185">
      <c r="A185" s="353"/>
      <c r="B185" s="353"/>
      <c r="C185" s="354"/>
      <c r="D185" s="354"/>
      <c r="E185" s="353"/>
      <c r="F185" s="353"/>
      <c r="G185" s="353"/>
      <c r="H185" s="353"/>
      <c r="I185" s="355"/>
      <c r="J185" s="356"/>
    </row>
    <row r="186">
      <c r="A186" s="353"/>
      <c r="B186" s="353"/>
      <c r="C186" s="354"/>
      <c r="D186" s="354"/>
      <c r="E186" s="353"/>
      <c r="F186" s="353"/>
      <c r="G186" s="353"/>
      <c r="H186" s="353"/>
      <c r="I186" s="355"/>
      <c r="J186" s="356"/>
    </row>
    <row r="187">
      <c r="A187" s="353"/>
      <c r="B187" s="353"/>
      <c r="C187" s="354"/>
      <c r="D187" s="354"/>
      <c r="E187" s="353"/>
      <c r="F187" s="353"/>
      <c r="G187" s="353"/>
      <c r="H187" s="353"/>
      <c r="I187" s="355"/>
      <c r="J187" s="356"/>
    </row>
    <row r="188">
      <c r="A188" s="353"/>
      <c r="B188" s="353"/>
      <c r="C188" s="354"/>
      <c r="D188" s="354"/>
      <c r="E188" s="353"/>
      <c r="F188" s="353"/>
      <c r="G188" s="353"/>
      <c r="H188" s="353"/>
      <c r="I188" s="355"/>
      <c r="J188" s="356"/>
    </row>
    <row r="189">
      <c r="A189" s="353"/>
      <c r="B189" s="353"/>
      <c r="C189" s="354"/>
      <c r="D189" s="354"/>
      <c r="E189" s="353"/>
      <c r="F189" s="353"/>
      <c r="G189" s="353"/>
      <c r="H189" s="353"/>
      <c r="I189" s="355"/>
      <c r="J189" s="356"/>
    </row>
    <row r="190">
      <c r="A190" s="353"/>
      <c r="B190" s="353"/>
      <c r="C190" s="354"/>
      <c r="D190" s="354"/>
      <c r="E190" s="353"/>
      <c r="F190" s="353"/>
      <c r="G190" s="353"/>
      <c r="H190" s="353"/>
      <c r="I190" s="355"/>
      <c r="J190" s="356"/>
    </row>
    <row r="191">
      <c r="A191" s="353"/>
      <c r="B191" s="353"/>
      <c r="C191" s="354"/>
      <c r="D191" s="354"/>
      <c r="E191" s="353"/>
      <c r="F191" s="353"/>
      <c r="G191" s="353"/>
      <c r="H191" s="353"/>
      <c r="I191" s="355"/>
      <c r="J191" s="356"/>
    </row>
    <row r="192">
      <c r="A192" s="353"/>
      <c r="B192" s="353"/>
      <c r="C192" s="354"/>
      <c r="D192" s="354"/>
      <c r="E192" s="353"/>
      <c r="F192" s="353"/>
      <c r="G192" s="353"/>
      <c r="H192" s="353"/>
      <c r="I192" s="355"/>
      <c r="J192" s="356"/>
    </row>
    <row r="193">
      <c r="A193" s="353"/>
      <c r="B193" s="353"/>
      <c r="C193" s="354"/>
      <c r="D193" s="354"/>
      <c r="E193" s="353"/>
      <c r="F193" s="353"/>
      <c r="G193" s="353"/>
      <c r="H193" s="353"/>
      <c r="I193" s="355"/>
      <c r="J193" s="356"/>
    </row>
    <row r="194">
      <c r="A194" s="353"/>
      <c r="B194" s="353"/>
      <c r="C194" s="354"/>
      <c r="D194" s="354"/>
      <c r="E194" s="353"/>
      <c r="F194" s="353"/>
      <c r="G194" s="353"/>
      <c r="H194" s="353"/>
      <c r="I194" s="355"/>
      <c r="J194" s="356"/>
    </row>
    <row r="195">
      <c r="A195" s="353"/>
      <c r="B195" s="353"/>
      <c r="C195" s="354"/>
      <c r="D195" s="354"/>
      <c r="E195" s="353"/>
      <c r="F195" s="353"/>
      <c r="G195" s="353"/>
      <c r="H195" s="353"/>
      <c r="I195" s="355"/>
      <c r="J195" s="356"/>
    </row>
    <row r="196">
      <c r="A196" s="353"/>
      <c r="B196" s="353"/>
      <c r="C196" s="354"/>
      <c r="D196" s="354"/>
      <c r="E196" s="353"/>
      <c r="F196" s="353"/>
      <c r="G196" s="353"/>
      <c r="H196" s="353"/>
      <c r="I196" s="355"/>
      <c r="J196" s="356"/>
    </row>
    <row r="197">
      <c r="A197" s="353"/>
      <c r="B197" s="353"/>
      <c r="C197" s="354"/>
      <c r="D197" s="354"/>
      <c r="E197" s="353"/>
      <c r="F197" s="353"/>
      <c r="G197" s="353"/>
      <c r="H197" s="353"/>
      <c r="I197" s="355"/>
      <c r="J197" s="356"/>
    </row>
    <row r="198">
      <c r="A198" s="353"/>
      <c r="B198" s="353"/>
      <c r="C198" s="354"/>
      <c r="D198" s="354"/>
      <c r="E198" s="353"/>
      <c r="F198" s="353"/>
      <c r="G198" s="353"/>
      <c r="H198" s="353"/>
      <c r="I198" s="355"/>
      <c r="J198" s="356"/>
    </row>
    <row r="199">
      <c r="A199" s="353"/>
      <c r="B199" s="353"/>
      <c r="C199" s="354"/>
      <c r="D199" s="354"/>
      <c r="E199" s="353"/>
      <c r="F199" s="353"/>
      <c r="G199" s="353"/>
      <c r="H199" s="353"/>
      <c r="I199" s="355"/>
      <c r="J199" s="356"/>
    </row>
    <row r="200">
      <c r="A200" s="353"/>
      <c r="B200" s="353"/>
      <c r="C200" s="354"/>
      <c r="D200" s="354"/>
      <c r="E200" s="353"/>
      <c r="F200" s="353"/>
      <c r="G200" s="353"/>
      <c r="H200" s="353"/>
      <c r="I200" s="355"/>
      <c r="J200" s="356"/>
    </row>
    <row r="201">
      <c r="A201" s="353"/>
      <c r="B201" s="353"/>
      <c r="C201" s="354"/>
      <c r="D201" s="354"/>
      <c r="E201" s="353"/>
      <c r="F201" s="353"/>
      <c r="G201" s="353"/>
      <c r="H201" s="353"/>
      <c r="I201" s="355"/>
      <c r="J201" s="356"/>
    </row>
    <row r="202">
      <c r="A202" s="353"/>
      <c r="B202" s="353"/>
      <c r="C202" s="354"/>
      <c r="D202" s="354"/>
      <c r="E202" s="353"/>
      <c r="F202" s="353"/>
      <c r="G202" s="353"/>
      <c r="H202" s="353"/>
      <c r="I202" s="355"/>
      <c r="J202" s="356"/>
    </row>
    <row r="203">
      <c r="A203" s="353"/>
      <c r="B203" s="353"/>
      <c r="C203" s="354"/>
      <c r="D203" s="354"/>
      <c r="E203" s="353"/>
      <c r="F203" s="353"/>
      <c r="G203" s="353"/>
      <c r="H203" s="353"/>
      <c r="I203" s="355"/>
      <c r="J203" s="356"/>
    </row>
    <row r="204">
      <c r="A204" s="353"/>
      <c r="B204" s="353"/>
      <c r="C204" s="354"/>
      <c r="D204" s="354"/>
      <c r="E204" s="353"/>
      <c r="F204" s="353"/>
      <c r="G204" s="353"/>
      <c r="H204" s="353"/>
      <c r="I204" s="355"/>
      <c r="J204" s="356"/>
    </row>
    <row r="205">
      <c r="A205" s="353"/>
      <c r="B205" s="353"/>
      <c r="C205" s="354"/>
      <c r="D205" s="354"/>
      <c r="E205" s="353"/>
      <c r="F205" s="353"/>
      <c r="G205" s="353"/>
      <c r="H205" s="353"/>
      <c r="I205" s="355"/>
      <c r="J205" s="356"/>
    </row>
    <row r="206">
      <c r="A206" s="353"/>
      <c r="B206" s="353"/>
      <c r="C206" s="354"/>
      <c r="D206" s="354"/>
      <c r="E206" s="353"/>
      <c r="F206" s="353"/>
      <c r="G206" s="353"/>
      <c r="H206" s="353"/>
      <c r="I206" s="355"/>
      <c r="J206" s="356"/>
    </row>
    <row r="207">
      <c r="A207" s="353"/>
      <c r="B207" s="353"/>
      <c r="C207" s="354"/>
      <c r="D207" s="354"/>
      <c r="E207" s="353"/>
      <c r="F207" s="353"/>
      <c r="G207" s="353"/>
      <c r="H207" s="353"/>
      <c r="I207" s="355"/>
      <c r="J207" s="356"/>
    </row>
    <row r="208">
      <c r="A208" s="353"/>
      <c r="B208" s="353"/>
      <c r="C208" s="354"/>
      <c r="D208" s="354"/>
      <c r="E208" s="353"/>
      <c r="F208" s="353"/>
      <c r="G208" s="353"/>
      <c r="H208" s="353"/>
      <c r="I208" s="355"/>
      <c r="J208" s="356"/>
    </row>
    <row r="209">
      <c r="A209" s="353"/>
      <c r="B209" s="353"/>
      <c r="C209" s="354"/>
      <c r="D209" s="354"/>
      <c r="E209" s="353"/>
      <c r="F209" s="353"/>
      <c r="G209" s="353"/>
      <c r="H209" s="353"/>
      <c r="I209" s="355"/>
      <c r="J209" s="356"/>
    </row>
    <row r="210">
      <c r="A210" s="353"/>
      <c r="B210" s="353"/>
      <c r="C210" s="354"/>
      <c r="D210" s="354"/>
      <c r="E210" s="353"/>
      <c r="F210" s="353"/>
      <c r="G210" s="353"/>
      <c r="H210" s="353"/>
      <c r="I210" s="355"/>
      <c r="J210" s="356"/>
    </row>
    <row r="211">
      <c r="A211" s="353"/>
      <c r="B211" s="353"/>
      <c r="C211" s="354"/>
      <c r="D211" s="354"/>
      <c r="E211" s="353"/>
      <c r="F211" s="353"/>
      <c r="G211" s="353"/>
      <c r="H211" s="353"/>
      <c r="I211" s="355"/>
      <c r="J211" s="356"/>
    </row>
    <row r="212">
      <c r="A212" s="353"/>
      <c r="B212" s="353"/>
      <c r="C212" s="354"/>
      <c r="D212" s="354"/>
      <c r="E212" s="353"/>
      <c r="F212" s="353"/>
      <c r="G212" s="353"/>
      <c r="H212" s="353"/>
      <c r="I212" s="355"/>
      <c r="J212" s="356"/>
    </row>
    <row r="213">
      <c r="A213" s="353"/>
      <c r="B213" s="353"/>
      <c r="C213" s="354"/>
      <c r="D213" s="354"/>
      <c r="E213" s="353"/>
      <c r="F213" s="353"/>
      <c r="G213" s="353"/>
      <c r="H213" s="353"/>
      <c r="I213" s="355"/>
      <c r="J213" s="356"/>
    </row>
    <row r="214">
      <c r="A214" s="353"/>
      <c r="B214" s="353"/>
      <c r="C214" s="354"/>
      <c r="D214" s="354"/>
      <c r="E214" s="353"/>
      <c r="F214" s="353"/>
      <c r="G214" s="353"/>
      <c r="H214" s="353"/>
      <c r="I214" s="355"/>
      <c r="J214" s="356"/>
    </row>
    <row r="215">
      <c r="A215" s="353"/>
      <c r="B215" s="353"/>
      <c r="C215" s="354"/>
      <c r="D215" s="354"/>
      <c r="E215" s="353"/>
      <c r="F215" s="353"/>
      <c r="G215" s="353"/>
      <c r="H215" s="353"/>
      <c r="I215" s="355"/>
      <c r="J215" s="356"/>
    </row>
    <row r="216">
      <c r="A216" s="353"/>
      <c r="B216" s="353"/>
      <c r="C216" s="354"/>
      <c r="D216" s="354"/>
      <c r="E216" s="353"/>
      <c r="F216" s="353"/>
      <c r="G216" s="353"/>
      <c r="H216" s="353"/>
      <c r="I216" s="355"/>
      <c r="J216" s="356"/>
    </row>
    <row r="217">
      <c r="A217" s="353"/>
      <c r="B217" s="353"/>
      <c r="C217" s="354"/>
      <c r="D217" s="354"/>
      <c r="E217" s="353"/>
      <c r="F217" s="353"/>
      <c r="G217" s="353"/>
      <c r="H217" s="353"/>
      <c r="I217" s="355"/>
      <c r="J217" s="356"/>
    </row>
    <row r="218">
      <c r="A218" s="353"/>
      <c r="B218" s="353"/>
      <c r="C218" s="354"/>
      <c r="D218" s="354"/>
      <c r="E218" s="353"/>
      <c r="F218" s="353"/>
      <c r="G218" s="353"/>
      <c r="H218" s="353"/>
      <c r="I218" s="355"/>
      <c r="J218" s="356"/>
    </row>
    <row r="219">
      <c r="A219" s="353"/>
      <c r="B219" s="353"/>
      <c r="C219" s="354"/>
      <c r="D219" s="354"/>
      <c r="E219" s="353"/>
      <c r="F219" s="353"/>
      <c r="G219" s="353"/>
      <c r="H219" s="353"/>
      <c r="I219" s="355"/>
      <c r="J219" s="356"/>
    </row>
    <row r="220">
      <c r="A220" s="353"/>
      <c r="B220" s="353"/>
      <c r="C220" s="354"/>
      <c r="D220" s="354"/>
      <c r="E220" s="353"/>
      <c r="F220" s="353"/>
      <c r="G220" s="353"/>
      <c r="H220" s="353"/>
      <c r="I220" s="355"/>
      <c r="J220" s="356"/>
    </row>
    <row r="221">
      <c r="A221" s="353"/>
      <c r="B221" s="353"/>
      <c r="C221" s="354"/>
      <c r="D221" s="354"/>
      <c r="E221" s="353"/>
      <c r="F221" s="353"/>
      <c r="G221" s="353"/>
      <c r="H221" s="353"/>
      <c r="I221" s="355"/>
      <c r="J221" s="356"/>
    </row>
    <row r="222">
      <c r="A222" s="353"/>
      <c r="B222" s="353"/>
      <c r="C222" s="354"/>
      <c r="D222" s="354"/>
      <c r="E222" s="353"/>
      <c r="F222" s="353"/>
      <c r="G222" s="353"/>
      <c r="H222" s="353"/>
      <c r="I222" s="355"/>
      <c r="J222" s="356"/>
    </row>
    <row r="223">
      <c r="A223" s="353"/>
      <c r="B223" s="353"/>
      <c r="C223" s="354"/>
      <c r="D223" s="354"/>
      <c r="E223" s="353"/>
      <c r="F223" s="353"/>
      <c r="G223" s="353"/>
      <c r="H223" s="353"/>
      <c r="I223" s="355"/>
      <c r="J223" s="356"/>
    </row>
    <row r="224">
      <c r="A224" s="353"/>
      <c r="B224" s="353"/>
      <c r="C224" s="354"/>
      <c r="D224" s="354"/>
      <c r="E224" s="353"/>
      <c r="F224" s="353"/>
      <c r="G224" s="353"/>
      <c r="H224" s="353"/>
      <c r="I224" s="355"/>
      <c r="J224" s="356"/>
    </row>
    <row r="225">
      <c r="A225" s="353"/>
      <c r="B225" s="353"/>
      <c r="C225" s="354"/>
      <c r="D225" s="354"/>
      <c r="E225" s="353"/>
      <c r="F225" s="353"/>
      <c r="G225" s="353"/>
      <c r="H225" s="353"/>
      <c r="I225" s="355"/>
      <c r="J225" s="356"/>
    </row>
    <row r="226">
      <c r="A226" s="353"/>
      <c r="B226" s="353"/>
      <c r="C226" s="354"/>
      <c r="D226" s="354"/>
      <c r="E226" s="353"/>
      <c r="F226" s="353"/>
      <c r="G226" s="353"/>
      <c r="H226" s="353"/>
      <c r="I226" s="355"/>
      <c r="J226" s="356"/>
    </row>
    <row r="227">
      <c r="A227" s="353"/>
      <c r="B227" s="353"/>
      <c r="C227" s="354"/>
      <c r="D227" s="354"/>
      <c r="E227" s="353"/>
      <c r="F227" s="353"/>
      <c r="G227" s="353"/>
      <c r="H227" s="353"/>
      <c r="I227" s="355"/>
      <c r="J227" s="356"/>
    </row>
    <row r="228">
      <c r="A228" s="353"/>
      <c r="B228" s="353"/>
      <c r="C228" s="354"/>
      <c r="D228" s="354"/>
      <c r="E228" s="353"/>
      <c r="F228" s="353"/>
      <c r="G228" s="353"/>
      <c r="H228" s="353"/>
      <c r="I228" s="355"/>
      <c r="J228" s="356"/>
    </row>
    <row r="229">
      <c r="A229" s="353"/>
      <c r="B229" s="353"/>
      <c r="C229" s="354"/>
      <c r="D229" s="354"/>
      <c r="E229" s="353"/>
      <c r="F229" s="353"/>
      <c r="G229" s="353"/>
      <c r="H229" s="353"/>
      <c r="I229" s="355"/>
      <c r="J229" s="356"/>
    </row>
    <row r="230">
      <c r="A230" s="353"/>
      <c r="B230" s="353"/>
      <c r="C230" s="354"/>
      <c r="D230" s="354"/>
      <c r="E230" s="353"/>
      <c r="F230" s="353"/>
      <c r="G230" s="353"/>
      <c r="H230" s="353"/>
      <c r="I230" s="355"/>
      <c r="J230" s="356"/>
    </row>
    <row r="231">
      <c r="A231" s="353"/>
      <c r="B231" s="353"/>
      <c r="C231" s="354"/>
      <c r="D231" s="354"/>
      <c r="E231" s="353"/>
      <c r="F231" s="353"/>
      <c r="G231" s="353"/>
      <c r="H231" s="353"/>
      <c r="I231" s="355"/>
      <c r="J231" s="356"/>
    </row>
    <row r="232">
      <c r="A232" s="353"/>
      <c r="B232" s="353"/>
      <c r="C232" s="354"/>
      <c r="D232" s="354"/>
      <c r="E232" s="353"/>
      <c r="F232" s="353"/>
      <c r="G232" s="353"/>
      <c r="H232" s="353"/>
      <c r="I232" s="355"/>
      <c r="J232" s="356"/>
    </row>
    <row r="233">
      <c r="A233" s="353"/>
      <c r="B233" s="353"/>
      <c r="C233" s="354"/>
      <c r="D233" s="354"/>
      <c r="E233" s="353"/>
      <c r="F233" s="353"/>
      <c r="G233" s="353"/>
      <c r="H233" s="353"/>
      <c r="I233" s="355"/>
      <c r="J233" s="356"/>
    </row>
    <row r="234">
      <c r="A234" s="353"/>
      <c r="B234" s="353"/>
      <c r="C234" s="354"/>
      <c r="D234" s="354"/>
      <c r="E234" s="353"/>
      <c r="F234" s="353"/>
      <c r="G234" s="353"/>
      <c r="H234" s="353"/>
      <c r="I234" s="355"/>
      <c r="J234" s="356"/>
    </row>
    <row r="235">
      <c r="A235" s="353"/>
      <c r="B235" s="353"/>
      <c r="C235" s="354"/>
      <c r="D235" s="354"/>
      <c r="E235" s="353"/>
      <c r="F235" s="353"/>
      <c r="G235" s="353"/>
      <c r="H235" s="353"/>
      <c r="I235" s="355"/>
      <c r="J235" s="356"/>
    </row>
    <row r="236">
      <c r="A236" s="353"/>
      <c r="B236" s="353"/>
      <c r="C236" s="354"/>
      <c r="D236" s="354"/>
      <c r="E236" s="353"/>
      <c r="F236" s="353"/>
      <c r="G236" s="353"/>
      <c r="H236" s="353"/>
      <c r="I236" s="355"/>
      <c r="J236" s="356"/>
    </row>
    <row r="237">
      <c r="A237" s="353"/>
      <c r="B237" s="353"/>
      <c r="C237" s="354"/>
      <c r="D237" s="354"/>
      <c r="E237" s="353"/>
      <c r="F237" s="353"/>
      <c r="G237" s="353"/>
      <c r="H237" s="353"/>
      <c r="I237" s="355"/>
      <c r="J237" s="356"/>
    </row>
    <row r="238">
      <c r="A238" s="353"/>
      <c r="B238" s="353"/>
      <c r="C238" s="354"/>
      <c r="D238" s="354"/>
      <c r="E238" s="353"/>
      <c r="F238" s="353"/>
      <c r="G238" s="353"/>
      <c r="H238" s="353"/>
      <c r="I238" s="355"/>
      <c r="J238" s="356"/>
    </row>
    <row r="239">
      <c r="A239" s="353"/>
      <c r="B239" s="353"/>
      <c r="C239" s="354"/>
      <c r="D239" s="354"/>
      <c r="E239" s="353"/>
      <c r="F239" s="353"/>
      <c r="G239" s="353"/>
      <c r="H239" s="353"/>
      <c r="I239" s="355"/>
      <c r="J239" s="356"/>
    </row>
    <row r="240">
      <c r="A240" s="353"/>
      <c r="B240" s="353"/>
      <c r="C240" s="354"/>
      <c r="D240" s="354"/>
      <c r="E240" s="353"/>
      <c r="F240" s="353"/>
      <c r="G240" s="353"/>
      <c r="H240" s="353"/>
      <c r="I240" s="355"/>
      <c r="J240" s="356"/>
    </row>
    <row r="241">
      <c r="A241" s="353"/>
      <c r="B241" s="353"/>
      <c r="C241" s="354"/>
      <c r="D241" s="354"/>
      <c r="E241" s="353"/>
      <c r="F241" s="353"/>
      <c r="G241" s="353"/>
      <c r="H241" s="353"/>
      <c r="I241" s="355"/>
      <c r="J241" s="356"/>
    </row>
    <row r="242">
      <c r="A242" s="353"/>
      <c r="B242" s="353"/>
      <c r="C242" s="354"/>
      <c r="D242" s="354"/>
      <c r="E242" s="353"/>
      <c r="F242" s="353"/>
      <c r="G242" s="353"/>
      <c r="H242" s="353"/>
      <c r="I242" s="355"/>
      <c r="J242" s="356"/>
    </row>
    <row r="243">
      <c r="A243" s="353"/>
      <c r="B243" s="353"/>
      <c r="C243" s="354"/>
      <c r="D243" s="354"/>
      <c r="E243" s="353"/>
      <c r="F243" s="353"/>
      <c r="G243" s="353"/>
      <c r="H243" s="353"/>
      <c r="I243" s="355"/>
      <c r="J243" s="356"/>
    </row>
    <row r="244">
      <c r="A244" s="353"/>
      <c r="B244" s="353"/>
      <c r="C244" s="354"/>
      <c r="D244" s="354"/>
      <c r="E244" s="353"/>
      <c r="F244" s="353"/>
      <c r="G244" s="353"/>
      <c r="H244" s="353"/>
      <c r="I244" s="355"/>
      <c r="J244" s="356"/>
    </row>
    <row r="245">
      <c r="A245" s="353"/>
      <c r="B245" s="353"/>
      <c r="C245" s="354"/>
      <c r="D245" s="354"/>
      <c r="E245" s="353"/>
      <c r="F245" s="353"/>
      <c r="G245" s="353"/>
      <c r="H245" s="353"/>
      <c r="I245" s="355"/>
      <c r="J245" s="356"/>
    </row>
    <row r="246">
      <c r="A246" s="353"/>
      <c r="B246" s="353"/>
      <c r="C246" s="354"/>
      <c r="D246" s="354"/>
      <c r="E246" s="353"/>
      <c r="F246" s="353"/>
      <c r="G246" s="353"/>
      <c r="H246" s="353"/>
      <c r="I246" s="355"/>
      <c r="J246" s="356"/>
    </row>
    <row r="247">
      <c r="A247" s="353"/>
      <c r="B247" s="353"/>
      <c r="C247" s="354"/>
      <c r="D247" s="354"/>
      <c r="E247" s="353"/>
      <c r="F247" s="353"/>
      <c r="G247" s="353"/>
      <c r="H247" s="353"/>
      <c r="I247" s="355"/>
      <c r="J247" s="356"/>
    </row>
    <row r="248">
      <c r="A248" s="353"/>
      <c r="B248" s="353"/>
      <c r="C248" s="354"/>
      <c r="D248" s="354"/>
      <c r="E248" s="353"/>
      <c r="F248" s="353"/>
      <c r="G248" s="353"/>
      <c r="H248" s="353"/>
      <c r="I248" s="355"/>
      <c r="J248" s="356"/>
    </row>
    <row r="249">
      <c r="A249" s="353"/>
      <c r="B249" s="353"/>
      <c r="C249" s="354"/>
      <c r="D249" s="354"/>
      <c r="E249" s="353"/>
      <c r="F249" s="353"/>
      <c r="G249" s="353"/>
      <c r="H249" s="353"/>
      <c r="I249" s="355"/>
      <c r="J249" s="356"/>
    </row>
    <row r="250">
      <c r="A250" s="353"/>
      <c r="B250" s="353"/>
      <c r="C250" s="354"/>
      <c r="D250" s="354"/>
      <c r="E250" s="353"/>
      <c r="F250" s="353"/>
      <c r="G250" s="353"/>
      <c r="H250" s="353"/>
      <c r="I250" s="355"/>
      <c r="J250" s="356"/>
    </row>
    <row r="251">
      <c r="A251" s="353"/>
      <c r="B251" s="353"/>
      <c r="C251" s="354"/>
      <c r="D251" s="354"/>
      <c r="E251" s="353"/>
      <c r="F251" s="353"/>
      <c r="G251" s="353"/>
      <c r="H251" s="353"/>
      <c r="I251" s="355"/>
      <c r="J251" s="356"/>
    </row>
    <row r="252">
      <c r="A252" s="353"/>
      <c r="B252" s="353"/>
      <c r="C252" s="354"/>
      <c r="D252" s="354"/>
      <c r="E252" s="353"/>
      <c r="F252" s="353"/>
      <c r="G252" s="353"/>
      <c r="H252" s="353"/>
      <c r="I252" s="355"/>
      <c r="J252" s="356"/>
    </row>
    <row r="253">
      <c r="A253" s="353"/>
      <c r="B253" s="353"/>
      <c r="C253" s="354"/>
      <c r="D253" s="354"/>
      <c r="E253" s="353"/>
      <c r="F253" s="353"/>
      <c r="G253" s="353"/>
      <c r="H253" s="353"/>
      <c r="I253" s="355"/>
      <c r="J253" s="356"/>
    </row>
    <row r="254">
      <c r="A254" s="353"/>
      <c r="B254" s="353"/>
      <c r="C254" s="354"/>
      <c r="D254" s="354"/>
      <c r="E254" s="353"/>
      <c r="F254" s="353"/>
      <c r="G254" s="353"/>
      <c r="H254" s="353"/>
      <c r="I254" s="355"/>
      <c r="J254" s="356"/>
    </row>
    <row r="255">
      <c r="A255" s="353"/>
      <c r="B255" s="353"/>
      <c r="C255" s="354"/>
      <c r="D255" s="354"/>
      <c r="E255" s="353"/>
      <c r="F255" s="353"/>
      <c r="G255" s="353"/>
      <c r="H255" s="353"/>
      <c r="I255" s="355"/>
      <c r="J255" s="356"/>
    </row>
    <row r="256">
      <c r="A256" s="353"/>
      <c r="B256" s="353"/>
      <c r="C256" s="354"/>
      <c r="D256" s="354"/>
      <c r="E256" s="353"/>
      <c r="F256" s="353"/>
      <c r="G256" s="353"/>
      <c r="H256" s="353"/>
      <c r="I256" s="355"/>
      <c r="J256" s="356"/>
    </row>
    <row r="257">
      <c r="A257" s="353"/>
      <c r="B257" s="353"/>
      <c r="C257" s="354"/>
      <c r="D257" s="354"/>
      <c r="E257" s="353"/>
      <c r="F257" s="353"/>
      <c r="G257" s="353"/>
      <c r="H257" s="353"/>
      <c r="I257" s="355"/>
      <c r="J257" s="356"/>
    </row>
    <row r="258">
      <c r="A258" s="353"/>
      <c r="B258" s="353"/>
      <c r="C258" s="354"/>
      <c r="D258" s="354"/>
      <c r="E258" s="353"/>
      <c r="F258" s="353"/>
      <c r="G258" s="353"/>
      <c r="H258" s="353"/>
      <c r="I258" s="355"/>
      <c r="J258" s="356"/>
    </row>
    <row r="259">
      <c r="A259" s="353"/>
      <c r="B259" s="353"/>
      <c r="C259" s="354"/>
      <c r="D259" s="354"/>
      <c r="E259" s="353"/>
      <c r="F259" s="353"/>
      <c r="G259" s="353"/>
      <c r="H259" s="353"/>
      <c r="I259" s="355"/>
      <c r="J259" s="356"/>
    </row>
    <row r="260">
      <c r="A260" s="353"/>
      <c r="B260" s="353"/>
      <c r="C260" s="354"/>
      <c r="D260" s="354"/>
      <c r="E260" s="353"/>
      <c r="F260" s="353"/>
      <c r="G260" s="353"/>
      <c r="H260" s="353"/>
      <c r="I260" s="355"/>
      <c r="J260" s="356"/>
    </row>
    <row r="261">
      <c r="A261" s="353"/>
      <c r="B261" s="353"/>
      <c r="C261" s="354"/>
      <c r="D261" s="354"/>
      <c r="E261" s="353"/>
      <c r="F261" s="353"/>
      <c r="G261" s="353"/>
      <c r="H261" s="353"/>
      <c r="I261" s="355"/>
      <c r="J261" s="356"/>
    </row>
    <row r="262">
      <c r="A262" s="353"/>
      <c r="B262" s="353"/>
      <c r="C262" s="354"/>
      <c r="D262" s="354"/>
      <c r="E262" s="353"/>
      <c r="F262" s="353"/>
      <c r="G262" s="353"/>
      <c r="H262" s="353"/>
      <c r="I262" s="355"/>
      <c r="J262" s="356"/>
    </row>
    <row r="263">
      <c r="A263" s="353"/>
      <c r="B263" s="353"/>
      <c r="C263" s="354"/>
      <c r="D263" s="354"/>
      <c r="E263" s="353"/>
      <c r="F263" s="353"/>
      <c r="G263" s="353"/>
      <c r="H263" s="353"/>
      <c r="I263" s="355"/>
      <c r="J263" s="356"/>
    </row>
    <row r="264">
      <c r="A264" s="353"/>
      <c r="B264" s="353"/>
      <c r="C264" s="354"/>
      <c r="D264" s="354"/>
      <c r="E264" s="353"/>
      <c r="F264" s="353"/>
      <c r="G264" s="353"/>
      <c r="H264" s="353"/>
      <c r="I264" s="355"/>
      <c r="J264" s="356"/>
    </row>
    <row r="265">
      <c r="A265" s="353"/>
      <c r="B265" s="353"/>
      <c r="C265" s="354"/>
      <c r="D265" s="354"/>
      <c r="E265" s="353"/>
      <c r="F265" s="353"/>
      <c r="G265" s="353"/>
      <c r="H265" s="353"/>
      <c r="I265" s="355"/>
      <c r="J265" s="356"/>
    </row>
    <row r="266">
      <c r="A266" s="353"/>
      <c r="B266" s="353"/>
      <c r="C266" s="354"/>
      <c r="D266" s="354"/>
      <c r="E266" s="353"/>
      <c r="F266" s="353"/>
      <c r="G266" s="353"/>
      <c r="H266" s="353"/>
      <c r="I266" s="355"/>
      <c r="J266" s="356"/>
    </row>
    <row r="267">
      <c r="A267" s="353"/>
      <c r="B267" s="353"/>
      <c r="C267" s="354"/>
      <c r="D267" s="354"/>
      <c r="E267" s="353"/>
      <c r="F267" s="353"/>
      <c r="G267" s="353"/>
      <c r="H267" s="353"/>
      <c r="I267" s="355"/>
      <c r="J267" s="356"/>
    </row>
    <row r="268">
      <c r="A268" s="353"/>
      <c r="B268" s="353"/>
      <c r="C268" s="354"/>
      <c r="D268" s="354"/>
      <c r="E268" s="353"/>
      <c r="F268" s="353"/>
      <c r="G268" s="353"/>
      <c r="H268" s="353"/>
      <c r="I268" s="355"/>
      <c r="J268" s="356"/>
    </row>
    <row r="269">
      <c r="A269" s="353"/>
      <c r="B269" s="353"/>
      <c r="C269" s="354"/>
      <c r="D269" s="354"/>
      <c r="E269" s="353"/>
      <c r="F269" s="353"/>
      <c r="G269" s="353"/>
      <c r="H269" s="353"/>
      <c r="I269" s="355"/>
      <c r="J269" s="356"/>
    </row>
    <row r="270">
      <c r="A270" s="353"/>
      <c r="B270" s="353"/>
      <c r="C270" s="354"/>
      <c r="D270" s="354"/>
      <c r="E270" s="353"/>
      <c r="F270" s="353"/>
      <c r="G270" s="353"/>
      <c r="H270" s="353"/>
      <c r="I270" s="355"/>
      <c r="J270" s="356"/>
    </row>
    <row r="271">
      <c r="A271" s="353"/>
      <c r="B271" s="353"/>
      <c r="C271" s="354"/>
      <c r="D271" s="354"/>
      <c r="E271" s="353"/>
      <c r="F271" s="353"/>
      <c r="G271" s="353"/>
      <c r="H271" s="353"/>
      <c r="I271" s="355"/>
      <c r="J271" s="356"/>
    </row>
    <row r="272">
      <c r="A272" s="353"/>
      <c r="B272" s="353"/>
      <c r="C272" s="354"/>
      <c r="D272" s="354"/>
      <c r="E272" s="353"/>
      <c r="F272" s="353"/>
      <c r="G272" s="353"/>
      <c r="H272" s="353"/>
      <c r="I272" s="355"/>
      <c r="J272" s="356"/>
    </row>
    <row r="273">
      <c r="A273" s="353"/>
      <c r="B273" s="353"/>
      <c r="C273" s="354"/>
      <c r="D273" s="354"/>
      <c r="E273" s="353"/>
      <c r="F273" s="353"/>
      <c r="G273" s="353"/>
      <c r="H273" s="353"/>
      <c r="I273" s="355"/>
      <c r="J273" s="356"/>
    </row>
    <row r="274">
      <c r="A274" s="353"/>
      <c r="B274" s="353"/>
      <c r="C274" s="354"/>
      <c r="D274" s="354"/>
      <c r="E274" s="353"/>
      <c r="F274" s="353"/>
      <c r="G274" s="353"/>
      <c r="H274" s="353"/>
      <c r="I274" s="355"/>
      <c r="J274" s="356"/>
    </row>
    <row r="275">
      <c r="A275" s="353"/>
      <c r="B275" s="353"/>
      <c r="C275" s="354"/>
      <c r="D275" s="354"/>
      <c r="E275" s="353"/>
      <c r="F275" s="353"/>
      <c r="G275" s="353"/>
      <c r="H275" s="353"/>
      <c r="I275" s="355"/>
      <c r="J275" s="356"/>
    </row>
    <row r="276">
      <c r="A276" s="353"/>
      <c r="B276" s="353"/>
      <c r="C276" s="354"/>
      <c r="D276" s="354"/>
      <c r="E276" s="353"/>
      <c r="F276" s="353"/>
      <c r="G276" s="353"/>
      <c r="H276" s="353"/>
      <c r="I276" s="355"/>
      <c r="J276" s="356"/>
    </row>
    <row r="277">
      <c r="A277" s="353"/>
      <c r="B277" s="353"/>
      <c r="C277" s="354"/>
      <c r="D277" s="354"/>
      <c r="E277" s="353"/>
      <c r="F277" s="353"/>
      <c r="G277" s="353"/>
      <c r="H277" s="353"/>
      <c r="I277" s="355"/>
      <c r="J277" s="356"/>
    </row>
    <row r="278">
      <c r="A278" s="353"/>
      <c r="B278" s="353"/>
      <c r="C278" s="354"/>
      <c r="D278" s="354"/>
      <c r="E278" s="353"/>
      <c r="F278" s="353"/>
      <c r="G278" s="353"/>
      <c r="H278" s="353"/>
      <c r="I278" s="355"/>
      <c r="J278" s="356"/>
    </row>
    <row r="279">
      <c r="A279" s="353"/>
      <c r="B279" s="353"/>
      <c r="C279" s="354"/>
      <c r="D279" s="354"/>
      <c r="E279" s="353"/>
      <c r="F279" s="353"/>
      <c r="G279" s="353"/>
      <c r="H279" s="353"/>
      <c r="I279" s="355"/>
      <c r="J279" s="356"/>
    </row>
    <row r="280">
      <c r="A280" s="353"/>
      <c r="B280" s="353"/>
      <c r="C280" s="354"/>
      <c r="D280" s="354"/>
      <c r="E280" s="353"/>
      <c r="F280" s="353"/>
      <c r="G280" s="353"/>
      <c r="H280" s="353"/>
      <c r="I280" s="355"/>
      <c r="J280" s="356"/>
    </row>
    <row r="281">
      <c r="A281" s="353"/>
      <c r="B281" s="353"/>
      <c r="C281" s="354"/>
      <c r="D281" s="354"/>
      <c r="E281" s="353"/>
      <c r="F281" s="353"/>
      <c r="G281" s="353"/>
      <c r="H281" s="353"/>
      <c r="I281" s="355"/>
      <c r="J281" s="356"/>
    </row>
    <row r="282">
      <c r="A282" s="353"/>
      <c r="B282" s="353"/>
      <c r="C282" s="354"/>
      <c r="D282" s="354"/>
      <c r="E282" s="353"/>
      <c r="F282" s="353"/>
      <c r="G282" s="353"/>
      <c r="H282" s="353"/>
      <c r="I282" s="355"/>
      <c r="J282" s="356"/>
    </row>
    <row r="283">
      <c r="A283" s="353"/>
      <c r="B283" s="353"/>
      <c r="C283" s="354"/>
      <c r="D283" s="354"/>
      <c r="E283" s="353"/>
      <c r="F283" s="353"/>
      <c r="G283" s="353"/>
      <c r="H283" s="353"/>
      <c r="I283" s="355"/>
      <c r="J283" s="356"/>
    </row>
    <row r="284">
      <c r="A284" s="353"/>
      <c r="B284" s="353"/>
      <c r="C284" s="354"/>
      <c r="D284" s="354"/>
      <c r="E284" s="353"/>
      <c r="F284" s="353"/>
      <c r="G284" s="353"/>
      <c r="H284" s="353"/>
      <c r="I284" s="355"/>
      <c r="J284" s="356"/>
    </row>
    <row r="285">
      <c r="A285" s="353"/>
      <c r="B285" s="353"/>
      <c r="C285" s="354"/>
      <c r="D285" s="354"/>
      <c r="E285" s="353"/>
      <c r="F285" s="353"/>
      <c r="G285" s="353"/>
      <c r="H285" s="353"/>
      <c r="I285" s="355"/>
      <c r="J285" s="356"/>
    </row>
    <row r="286">
      <c r="A286" s="353"/>
      <c r="B286" s="353"/>
      <c r="C286" s="354"/>
      <c r="D286" s="354"/>
      <c r="E286" s="353"/>
      <c r="F286" s="353"/>
      <c r="G286" s="353"/>
      <c r="H286" s="353"/>
      <c r="I286" s="355"/>
      <c r="J286" s="356"/>
    </row>
    <row r="287">
      <c r="A287" s="353"/>
      <c r="B287" s="353"/>
      <c r="C287" s="354"/>
      <c r="D287" s="354"/>
      <c r="E287" s="353"/>
      <c r="F287" s="353"/>
      <c r="G287" s="353"/>
      <c r="H287" s="353"/>
      <c r="I287" s="355"/>
      <c r="J287" s="356"/>
    </row>
    <row r="288">
      <c r="A288" s="353"/>
      <c r="B288" s="353"/>
      <c r="C288" s="354"/>
      <c r="D288" s="354"/>
      <c r="E288" s="353"/>
      <c r="F288" s="353"/>
      <c r="G288" s="353"/>
      <c r="H288" s="353"/>
      <c r="I288" s="355"/>
      <c r="J288" s="356"/>
    </row>
    <row r="289">
      <c r="A289" s="353"/>
      <c r="B289" s="353"/>
      <c r="C289" s="354"/>
      <c r="D289" s="354"/>
      <c r="E289" s="353"/>
      <c r="F289" s="353"/>
      <c r="G289" s="353"/>
      <c r="H289" s="353"/>
      <c r="I289" s="355"/>
      <c r="J289" s="356"/>
    </row>
    <row r="290">
      <c r="A290" s="353"/>
      <c r="B290" s="353"/>
      <c r="C290" s="354"/>
      <c r="D290" s="354"/>
      <c r="E290" s="353"/>
      <c r="F290" s="353"/>
      <c r="G290" s="353"/>
      <c r="H290" s="353"/>
      <c r="I290" s="355"/>
      <c r="J290" s="356"/>
    </row>
    <row r="291">
      <c r="A291" s="353"/>
      <c r="B291" s="353"/>
      <c r="C291" s="354"/>
      <c r="D291" s="354"/>
      <c r="E291" s="353"/>
      <c r="F291" s="353"/>
      <c r="G291" s="353"/>
      <c r="H291" s="353"/>
      <c r="I291" s="355"/>
      <c r="J291" s="356"/>
    </row>
    <row r="292">
      <c r="A292" s="353"/>
      <c r="B292" s="353"/>
      <c r="C292" s="354"/>
      <c r="D292" s="354"/>
      <c r="E292" s="353"/>
      <c r="F292" s="353"/>
      <c r="G292" s="353"/>
      <c r="H292" s="353"/>
      <c r="I292" s="355"/>
      <c r="J292" s="356"/>
    </row>
    <row r="293">
      <c r="A293" s="353"/>
      <c r="B293" s="353"/>
      <c r="C293" s="354"/>
      <c r="D293" s="354"/>
      <c r="E293" s="353"/>
      <c r="F293" s="353"/>
      <c r="G293" s="353"/>
      <c r="H293" s="353"/>
      <c r="I293" s="355"/>
      <c r="J293" s="356"/>
    </row>
    <row r="294">
      <c r="A294" s="353"/>
      <c r="B294" s="353"/>
      <c r="C294" s="354"/>
      <c r="D294" s="354"/>
      <c r="E294" s="353"/>
      <c r="F294" s="353"/>
      <c r="G294" s="353"/>
      <c r="H294" s="353"/>
      <c r="I294" s="355"/>
      <c r="J294" s="356"/>
    </row>
    <row r="295">
      <c r="A295" s="353"/>
      <c r="B295" s="353"/>
      <c r="C295" s="354"/>
      <c r="D295" s="354"/>
      <c r="E295" s="353"/>
      <c r="F295" s="353"/>
      <c r="G295" s="353"/>
      <c r="H295" s="353"/>
      <c r="I295" s="355"/>
      <c r="J295" s="356"/>
    </row>
    <row r="296">
      <c r="A296" s="353"/>
      <c r="B296" s="353"/>
      <c r="C296" s="354"/>
      <c r="D296" s="354"/>
      <c r="E296" s="353"/>
      <c r="F296" s="353"/>
      <c r="G296" s="353"/>
      <c r="H296" s="353"/>
      <c r="I296" s="355"/>
      <c r="J296" s="356"/>
    </row>
    <row r="297">
      <c r="A297" s="353"/>
      <c r="B297" s="353"/>
      <c r="C297" s="354"/>
      <c r="D297" s="354"/>
      <c r="E297" s="353"/>
      <c r="F297" s="353"/>
      <c r="G297" s="353"/>
      <c r="H297" s="353"/>
      <c r="I297" s="355"/>
      <c r="J297" s="356"/>
    </row>
    <row r="298">
      <c r="A298" s="353"/>
      <c r="B298" s="353"/>
      <c r="C298" s="354"/>
      <c r="D298" s="354"/>
      <c r="E298" s="353"/>
      <c r="F298" s="353"/>
      <c r="G298" s="353"/>
      <c r="H298" s="353"/>
      <c r="I298" s="355"/>
      <c r="J298" s="356"/>
    </row>
    <row r="299">
      <c r="A299" s="353"/>
      <c r="B299" s="353"/>
      <c r="C299" s="354"/>
      <c r="D299" s="354"/>
      <c r="E299" s="353"/>
      <c r="F299" s="353"/>
      <c r="G299" s="353"/>
      <c r="H299" s="353"/>
      <c r="I299" s="355"/>
      <c r="J299" s="356"/>
    </row>
    <row r="300">
      <c r="A300" s="353"/>
      <c r="B300" s="353"/>
      <c r="C300" s="354"/>
      <c r="D300" s="354"/>
      <c r="E300" s="353"/>
      <c r="F300" s="353"/>
      <c r="G300" s="353"/>
      <c r="H300" s="353"/>
      <c r="I300" s="355"/>
      <c r="J300" s="356"/>
    </row>
    <row r="301">
      <c r="A301" s="353"/>
      <c r="B301" s="353"/>
      <c r="C301" s="354"/>
      <c r="D301" s="354"/>
      <c r="E301" s="353"/>
      <c r="F301" s="353"/>
      <c r="G301" s="353"/>
      <c r="H301" s="353"/>
      <c r="I301" s="355"/>
      <c r="J301" s="356"/>
    </row>
    <row r="302">
      <c r="A302" s="353"/>
      <c r="B302" s="353"/>
      <c r="C302" s="354"/>
      <c r="D302" s="354"/>
      <c r="E302" s="353"/>
      <c r="F302" s="353"/>
      <c r="G302" s="353"/>
      <c r="H302" s="353"/>
      <c r="I302" s="355"/>
      <c r="J302" s="356"/>
    </row>
    <row r="303">
      <c r="A303" s="353"/>
      <c r="B303" s="353"/>
      <c r="C303" s="354"/>
      <c r="D303" s="354"/>
      <c r="E303" s="353"/>
      <c r="F303" s="353"/>
      <c r="G303" s="353"/>
      <c r="H303" s="353"/>
      <c r="I303" s="355"/>
      <c r="J303" s="356"/>
    </row>
    <row r="304">
      <c r="A304" s="353"/>
      <c r="B304" s="353"/>
      <c r="C304" s="354"/>
      <c r="D304" s="354"/>
      <c r="E304" s="353"/>
      <c r="F304" s="353"/>
      <c r="G304" s="353"/>
      <c r="H304" s="353"/>
      <c r="I304" s="355"/>
      <c r="J304" s="356"/>
    </row>
    <row r="305">
      <c r="A305" s="353"/>
      <c r="B305" s="353"/>
      <c r="C305" s="354"/>
      <c r="D305" s="354"/>
      <c r="E305" s="353"/>
      <c r="F305" s="353"/>
      <c r="G305" s="353"/>
      <c r="H305" s="353"/>
      <c r="I305" s="355"/>
      <c r="J305" s="356"/>
    </row>
    <row r="306">
      <c r="A306" s="353"/>
      <c r="B306" s="353"/>
      <c r="C306" s="354"/>
      <c r="D306" s="354"/>
      <c r="E306" s="353"/>
      <c r="F306" s="353"/>
      <c r="G306" s="353"/>
      <c r="H306" s="353"/>
      <c r="I306" s="355"/>
      <c r="J306" s="356"/>
    </row>
    <row r="307">
      <c r="A307" s="353"/>
      <c r="B307" s="353"/>
      <c r="C307" s="354"/>
      <c r="D307" s="354"/>
      <c r="E307" s="353"/>
      <c r="F307" s="353"/>
      <c r="G307" s="353"/>
      <c r="H307" s="353"/>
      <c r="I307" s="355"/>
      <c r="J307" s="356"/>
    </row>
    <row r="308">
      <c r="A308" s="353"/>
      <c r="B308" s="353"/>
      <c r="C308" s="354"/>
      <c r="D308" s="354"/>
      <c r="E308" s="353"/>
      <c r="F308" s="353"/>
      <c r="G308" s="353"/>
      <c r="H308" s="353"/>
      <c r="I308" s="355"/>
      <c r="J308" s="356"/>
    </row>
    <row r="309">
      <c r="A309" s="353"/>
      <c r="B309" s="353"/>
      <c r="C309" s="354"/>
      <c r="D309" s="354"/>
      <c r="E309" s="353"/>
      <c r="F309" s="353"/>
      <c r="G309" s="353"/>
      <c r="H309" s="353"/>
      <c r="I309" s="355"/>
      <c r="J309" s="356"/>
    </row>
    <row r="310">
      <c r="A310" s="353"/>
      <c r="B310" s="353"/>
      <c r="C310" s="354"/>
      <c r="D310" s="354"/>
      <c r="E310" s="353"/>
      <c r="F310" s="353"/>
      <c r="G310" s="353"/>
      <c r="H310" s="353"/>
      <c r="I310" s="355"/>
      <c r="J310" s="356"/>
    </row>
    <row r="311">
      <c r="A311" s="353"/>
      <c r="B311" s="353"/>
      <c r="C311" s="354"/>
      <c r="D311" s="354"/>
      <c r="E311" s="353"/>
      <c r="F311" s="353"/>
      <c r="G311" s="353"/>
      <c r="H311" s="353"/>
      <c r="I311" s="355"/>
      <c r="J311" s="356"/>
    </row>
    <row r="312">
      <c r="A312" s="353"/>
      <c r="B312" s="353"/>
      <c r="C312" s="354"/>
      <c r="D312" s="354"/>
      <c r="E312" s="353"/>
      <c r="F312" s="353"/>
      <c r="G312" s="353"/>
      <c r="H312" s="353"/>
      <c r="I312" s="355"/>
      <c r="J312" s="356"/>
    </row>
    <row r="313">
      <c r="A313" s="353"/>
      <c r="B313" s="353"/>
      <c r="C313" s="354"/>
      <c r="D313" s="354"/>
      <c r="E313" s="353"/>
      <c r="F313" s="353"/>
      <c r="G313" s="353"/>
      <c r="H313" s="353"/>
      <c r="I313" s="355"/>
      <c r="J313" s="356"/>
    </row>
    <row r="314">
      <c r="A314" s="353"/>
      <c r="B314" s="353"/>
      <c r="C314" s="354"/>
      <c r="D314" s="354"/>
      <c r="E314" s="353"/>
      <c r="F314" s="353"/>
      <c r="G314" s="353"/>
      <c r="H314" s="353"/>
      <c r="I314" s="355"/>
      <c r="J314" s="356"/>
    </row>
    <row r="315">
      <c r="A315" s="353"/>
      <c r="B315" s="353"/>
      <c r="C315" s="354"/>
      <c r="D315" s="354"/>
      <c r="E315" s="353"/>
      <c r="F315" s="353"/>
      <c r="G315" s="353"/>
      <c r="H315" s="353"/>
      <c r="I315" s="355"/>
      <c r="J315" s="356"/>
    </row>
    <row r="316">
      <c r="A316" s="353"/>
      <c r="B316" s="353"/>
      <c r="C316" s="354"/>
      <c r="D316" s="354"/>
      <c r="E316" s="353"/>
      <c r="F316" s="353"/>
      <c r="G316" s="353"/>
      <c r="H316" s="353"/>
      <c r="I316" s="355"/>
      <c r="J316" s="356"/>
    </row>
    <row r="317">
      <c r="A317" s="353"/>
      <c r="B317" s="353"/>
      <c r="C317" s="354"/>
      <c r="D317" s="354"/>
      <c r="E317" s="353"/>
      <c r="F317" s="353"/>
      <c r="G317" s="353"/>
      <c r="H317" s="353"/>
      <c r="I317" s="355"/>
      <c r="J317" s="356"/>
    </row>
    <row r="318">
      <c r="A318" s="353"/>
      <c r="B318" s="353"/>
      <c r="C318" s="354"/>
      <c r="D318" s="354"/>
      <c r="E318" s="353"/>
      <c r="F318" s="353"/>
      <c r="G318" s="353"/>
      <c r="H318" s="353"/>
      <c r="I318" s="355"/>
      <c r="J318" s="356"/>
    </row>
    <row r="319">
      <c r="A319" s="353"/>
      <c r="B319" s="353"/>
      <c r="C319" s="354"/>
      <c r="D319" s="354"/>
      <c r="E319" s="353"/>
      <c r="F319" s="353"/>
      <c r="G319" s="353"/>
      <c r="H319" s="353"/>
      <c r="I319" s="355"/>
      <c r="J319" s="356"/>
    </row>
    <row r="320">
      <c r="A320" s="353"/>
      <c r="B320" s="353"/>
      <c r="C320" s="354"/>
      <c r="D320" s="354"/>
      <c r="E320" s="353"/>
      <c r="F320" s="353"/>
      <c r="G320" s="353"/>
      <c r="H320" s="353"/>
      <c r="I320" s="355"/>
      <c r="J320" s="356"/>
    </row>
    <row r="321">
      <c r="A321" s="353"/>
      <c r="B321" s="353"/>
      <c r="C321" s="354"/>
      <c r="D321" s="354"/>
      <c r="E321" s="353"/>
      <c r="F321" s="353"/>
      <c r="G321" s="353"/>
      <c r="H321" s="353"/>
      <c r="I321" s="355"/>
      <c r="J321" s="356"/>
    </row>
    <row r="322">
      <c r="A322" s="353"/>
      <c r="B322" s="353"/>
      <c r="C322" s="354"/>
      <c r="D322" s="354"/>
      <c r="E322" s="353"/>
      <c r="F322" s="353"/>
      <c r="G322" s="353"/>
      <c r="H322" s="353"/>
      <c r="I322" s="355"/>
      <c r="J322" s="356"/>
    </row>
    <row r="323">
      <c r="A323" s="353"/>
      <c r="B323" s="353"/>
      <c r="C323" s="354"/>
      <c r="D323" s="354"/>
      <c r="E323" s="353"/>
      <c r="F323" s="353"/>
      <c r="G323" s="353"/>
      <c r="H323" s="353"/>
      <c r="I323" s="355"/>
      <c r="J323" s="356"/>
    </row>
    <row r="324">
      <c r="A324" s="353"/>
      <c r="B324" s="353"/>
      <c r="C324" s="354"/>
      <c r="D324" s="354"/>
      <c r="E324" s="353"/>
      <c r="F324" s="353"/>
      <c r="G324" s="353"/>
      <c r="H324" s="353"/>
      <c r="I324" s="355"/>
      <c r="J324" s="356"/>
    </row>
    <row r="325">
      <c r="A325" s="353"/>
      <c r="B325" s="353"/>
      <c r="C325" s="354"/>
      <c r="D325" s="354"/>
      <c r="E325" s="353"/>
      <c r="F325" s="353"/>
      <c r="G325" s="353"/>
      <c r="H325" s="353"/>
      <c r="I325" s="355"/>
      <c r="J325" s="356"/>
    </row>
    <row r="326">
      <c r="A326" s="353"/>
      <c r="B326" s="353"/>
      <c r="C326" s="354"/>
      <c r="D326" s="354"/>
      <c r="E326" s="353"/>
      <c r="F326" s="353"/>
      <c r="G326" s="353"/>
      <c r="H326" s="353"/>
      <c r="I326" s="355"/>
      <c r="J326" s="356"/>
    </row>
    <row r="327">
      <c r="A327" s="353"/>
      <c r="B327" s="353"/>
      <c r="C327" s="354"/>
      <c r="D327" s="354"/>
      <c r="E327" s="353"/>
      <c r="F327" s="353"/>
      <c r="G327" s="353"/>
      <c r="H327" s="353"/>
      <c r="I327" s="355"/>
      <c r="J327" s="356"/>
    </row>
    <row r="328">
      <c r="A328" s="353"/>
      <c r="B328" s="353"/>
      <c r="C328" s="354"/>
      <c r="D328" s="354"/>
      <c r="E328" s="353"/>
      <c r="F328" s="353"/>
      <c r="G328" s="353"/>
      <c r="H328" s="353"/>
      <c r="I328" s="355"/>
      <c r="J328" s="356"/>
    </row>
    <row r="329">
      <c r="A329" s="353"/>
      <c r="B329" s="353"/>
      <c r="C329" s="354"/>
      <c r="D329" s="354"/>
      <c r="E329" s="353"/>
      <c r="F329" s="353"/>
      <c r="G329" s="353"/>
      <c r="H329" s="353"/>
      <c r="I329" s="355"/>
      <c r="J329" s="356"/>
    </row>
    <row r="330">
      <c r="A330" s="353"/>
      <c r="B330" s="353"/>
      <c r="C330" s="354"/>
      <c r="D330" s="354"/>
      <c r="E330" s="353"/>
      <c r="F330" s="353"/>
      <c r="G330" s="353"/>
      <c r="H330" s="353"/>
      <c r="I330" s="355"/>
      <c r="J330" s="356"/>
    </row>
    <row r="331">
      <c r="A331" s="353"/>
      <c r="B331" s="353"/>
      <c r="C331" s="354"/>
      <c r="D331" s="354"/>
      <c r="E331" s="353"/>
      <c r="F331" s="353"/>
      <c r="G331" s="353"/>
      <c r="H331" s="353"/>
      <c r="I331" s="355"/>
      <c r="J331" s="356"/>
    </row>
    <row r="332">
      <c r="A332" s="353"/>
      <c r="B332" s="353"/>
      <c r="C332" s="354"/>
      <c r="D332" s="354"/>
      <c r="E332" s="353"/>
      <c r="F332" s="353"/>
      <c r="G332" s="353"/>
      <c r="H332" s="353"/>
      <c r="I332" s="355"/>
      <c r="J332" s="356"/>
    </row>
    <row r="333">
      <c r="A333" s="353"/>
      <c r="B333" s="353"/>
      <c r="C333" s="354"/>
      <c r="D333" s="354"/>
      <c r="E333" s="353"/>
      <c r="F333" s="353"/>
      <c r="G333" s="353"/>
      <c r="H333" s="353"/>
      <c r="I333" s="355"/>
      <c r="J333" s="356"/>
    </row>
    <row r="334">
      <c r="A334" s="353"/>
      <c r="B334" s="353"/>
      <c r="C334" s="354"/>
      <c r="D334" s="354"/>
      <c r="E334" s="353"/>
      <c r="F334" s="353"/>
      <c r="G334" s="353"/>
      <c r="H334" s="353"/>
      <c r="I334" s="355"/>
      <c r="J334" s="356"/>
    </row>
    <row r="335">
      <c r="A335" s="353"/>
      <c r="B335" s="353"/>
      <c r="C335" s="354"/>
      <c r="D335" s="354"/>
      <c r="E335" s="353"/>
      <c r="F335" s="353"/>
      <c r="G335" s="353"/>
      <c r="H335" s="353"/>
      <c r="I335" s="355"/>
      <c r="J335" s="356"/>
    </row>
    <row r="336">
      <c r="A336" s="353"/>
      <c r="B336" s="353"/>
      <c r="C336" s="354"/>
      <c r="D336" s="354"/>
      <c r="E336" s="353"/>
      <c r="F336" s="353"/>
      <c r="G336" s="353"/>
      <c r="H336" s="353"/>
      <c r="I336" s="355"/>
      <c r="J336" s="356"/>
    </row>
    <row r="337">
      <c r="A337" s="353"/>
      <c r="B337" s="353"/>
      <c r="C337" s="354"/>
      <c r="D337" s="354"/>
      <c r="E337" s="353"/>
      <c r="F337" s="353"/>
      <c r="G337" s="353"/>
      <c r="H337" s="353"/>
      <c r="I337" s="355"/>
      <c r="J337" s="356"/>
    </row>
    <row r="338">
      <c r="A338" s="353"/>
      <c r="B338" s="353"/>
      <c r="C338" s="354"/>
      <c r="D338" s="354"/>
      <c r="E338" s="353"/>
      <c r="F338" s="353"/>
      <c r="G338" s="353"/>
      <c r="H338" s="353"/>
      <c r="I338" s="355"/>
      <c r="J338" s="356"/>
    </row>
    <row r="339">
      <c r="A339" s="353"/>
      <c r="B339" s="353"/>
      <c r="C339" s="354"/>
      <c r="D339" s="354"/>
      <c r="E339" s="353"/>
      <c r="F339" s="353"/>
      <c r="G339" s="353"/>
      <c r="H339" s="353"/>
      <c r="I339" s="355"/>
      <c r="J339" s="356"/>
    </row>
    <row r="340">
      <c r="A340" s="353"/>
      <c r="B340" s="353"/>
      <c r="C340" s="354"/>
      <c r="D340" s="354"/>
      <c r="E340" s="353"/>
      <c r="F340" s="353"/>
      <c r="G340" s="353"/>
      <c r="H340" s="353"/>
      <c r="I340" s="355"/>
      <c r="J340" s="356"/>
    </row>
    <row r="341">
      <c r="A341" s="353"/>
      <c r="B341" s="353"/>
      <c r="C341" s="354"/>
      <c r="D341" s="354"/>
      <c r="E341" s="353"/>
      <c r="F341" s="353"/>
      <c r="G341" s="353"/>
      <c r="H341" s="353"/>
      <c r="I341" s="355"/>
      <c r="J341" s="356"/>
    </row>
    <row r="342">
      <c r="A342" s="353"/>
      <c r="B342" s="353"/>
      <c r="C342" s="354"/>
      <c r="D342" s="354"/>
      <c r="E342" s="353"/>
      <c r="F342" s="353"/>
      <c r="G342" s="353"/>
      <c r="H342" s="353"/>
      <c r="I342" s="355"/>
      <c r="J342" s="356"/>
    </row>
    <row r="343">
      <c r="A343" s="353"/>
      <c r="B343" s="353"/>
      <c r="C343" s="354"/>
      <c r="D343" s="354"/>
      <c r="E343" s="353"/>
      <c r="F343" s="353"/>
      <c r="G343" s="353"/>
      <c r="H343" s="353"/>
      <c r="I343" s="355"/>
      <c r="J343" s="356"/>
    </row>
    <row r="344">
      <c r="A344" s="353"/>
      <c r="B344" s="353"/>
      <c r="C344" s="354"/>
      <c r="D344" s="354"/>
      <c r="E344" s="353"/>
      <c r="F344" s="353"/>
      <c r="G344" s="353"/>
      <c r="H344" s="353"/>
      <c r="I344" s="355"/>
      <c r="J344" s="356"/>
    </row>
    <row r="345">
      <c r="A345" s="353"/>
      <c r="B345" s="353"/>
      <c r="C345" s="354"/>
      <c r="D345" s="354"/>
      <c r="E345" s="353"/>
      <c r="F345" s="353"/>
      <c r="G345" s="353"/>
      <c r="H345" s="353"/>
      <c r="I345" s="355"/>
      <c r="J345" s="356"/>
    </row>
    <row r="346">
      <c r="A346" s="353"/>
      <c r="B346" s="353"/>
      <c r="C346" s="354"/>
      <c r="D346" s="354"/>
      <c r="E346" s="353"/>
      <c r="F346" s="353"/>
      <c r="G346" s="353"/>
      <c r="H346" s="353"/>
      <c r="I346" s="355"/>
      <c r="J346" s="356"/>
    </row>
    <row r="347">
      <c r="A347" s="353"/>
      <c r="B347" s="353"/>
      <c r="C347" s="354"/>
      <c r="D347" s="354"/>
      <c r="E347" s="353"/>
      <c r="F347" s="353"/>
      <c r="G347" s="353"/>
      <c r="H347" s="353"/>
      <c r="I347" s="355"/>
      <c r="J347" s="356"/>
    </row>
    <row r="348">
      <c r="A348" s="353"/>
      <c r="B348" s="353"/>
      <c r="C348" s="354"/>
      <c r="D348" s="354"/>
      <c r="E348" s="353"/>
      <c r="F348" s="353"/>
      <c r="G348" s="353"/>
      <c r="H348" s="353"/>
      <c r="I348" s="355"/>
      <c r="J348" s="356"/>
    </row>
    <row r="349">
      <c r="A349" s="353"/>
      <c r="B349" s="353"/>
      <c r="C349" s="354"/>
      <c r="D349" s="354"/>
      <c r="E349" s="353"/>
      <c r="F349" s="353"/>
      <c r="G349" s="353"/>
      <c r="H349" s="353"/>
      <c r="I349" s="355"/>
      <c r="J349" s="356"/>
    </row>
    <row r="350">
      <c r="A350" s="353"/>
      <c r="B350" s="353"/>
      <c r="C350" s="354"/>
      <c r="D350" s="354"/>
      <c r="E350" s="353"/>
      <c r="F350" s="353"/>
      <c r="G350" s="353"/>
      <c r="H350" s="353"/>
      <c r="I350" s="355"/>
      <c r="J350" s="356"/>
    </row>
    <row r="351">
      <c r="A351" s="353"/>
      <c r="B351" s="353"/>
      <c r="C351" s="354"/>
      <c r="D351" s="354"/>
      <c r="E351" s="353"/>
      <c r="F351" s="353"/>
      <c r="G351" s="353"/>
      <c r="H351" s="353"/>
      <c r="I351" s="355"/>
      <c r="J351" s="356"/>
    </row>
    <row r="352">
      <c r="A352" s="353"/>
      <c r="B352" s="353"/>
      <c r="C352" s="354"/>
      <c r="D352" s="354"/>
      <c r="E352" s="353"/>
      <c r="F352" s="353"/>
      <c r="G352" s="353"/>
      <c r="H352" s="353"/>
      <c r="I352" s="355"/>
      <c r="J352" s="356"/>
    </row>
    <row r="353">
      <c r="A353" s="353"/>
      <c r="B353" s="353"/>
      <c r="C353" s="354"/>
      <c r="D353" s="354"/>
      <c r="E353" s="353"/>
      <c r="F353" s="353"/>
      <c r="G353" s="353"/>
      <c r="H353" s="353"/>
      <c r="I353" s="355"/>
      <c r="J353" s="356"/>
    </row>
    <row r="354">
      <c r="A354" s="353"/>
      <c r="B354" s="353"/>
      <c r="C354" s="354"/>
      <c r="D354" s="354"/>
      <c r="E354" s="353"/>
      <c r="F354" s="353"/>
      <c r="G354" s="353"/>
      <c r="H354" s="353"/>
      <c r="I354" s="355"/>
      <c r="J354" s="356"/>
    </row>
    <row r="355">
      <c r="A355" s="353"/>
      <c r="B355" s="353"/>
      <c r="C355" s="354"/>
      <c r="D355" s="354"/>
      <c r="E355" s="353"/>
      <c r="F355" s="353"/>
      <c r="G355" s="353"/>
      <c r="H355" s="353"/>
      <c r="I355" s="355"/>
      <c r="J355" s="356"/>
    </row>
    <row r="356">
      <c r="A356" s="353"/>
      <c r="B356" s="353"/>
      <c r="C356" s="354"/>
      <c r="D356" s="354"/>
      <c r="E356" s="353"/>
      <c r="F356" s="353"/>
      <c r="G356" s="353"/>
      <c r="H356" s="353"/>
      <c r="I356" s="355"/>
      <c r="J356" s="356"/>
    </row>
    <row r="357">
      <c r="A357" s="353"/>
      <c r="B357" s="353"/>
      <c r="C357" s="354"/>
      <c r="D357" s="354"/>
      <c r="E357" s="353"/>
      <c r="F357" s="353"/>
      <c r="G357" s="353"/>
      <c r="H357" s="353"/>
      <c r="I357" s="355"/>
      <c r="J357" s="356"/>
    </row>
    <row r="358">
      <c r="A358" s="353"/>
      <c r="B358" s="353"/>
      <c r="C358" s="354"/>
      <c r="D358" s="354"/>
      <c r="E358" s="353"/>
      <c r="F358" s="353"/>
      <c r="G358" s="353"/>
      <c r="H358" s="353"/>
      <c r="I358" s="355"/>
      <c r="J358" s="356"/>
    </row>
    <row r="359">
      <c r="A359" s="353"/>
      <c r="B359" s="353"/>
      <c r="C359" s="354"/>
      <c r="D359" s="354"/>
      <c r="E359" s="353"/>
      <c r="F359" s="353"/>
      <c r="G359" s="353"/>
      <c r="H359" s="353"/>
      <c r="I359" s="355"/>
      <c r="J359" s="356"/>
    </row>
    <row r="360">
      <c r="A360" s="353"/>
      <c r="B360" s="353"/>
      <c r="C360" s="354"/>
      <c r="D360" s="354"/>
      <c r="E360" s="353"/>
      <c r="F360" s="353"/>
      <c r="G360" s="353"/>
      <c r="H360" s="353"/>
      <c r="I360" s="355"/>
      <c r="J360" s="356"/>
    </row>
    <row r="361">
      <c r="A361" s="353"/>
      <c r="B361" s="353"/>
      <c r="C361" s="354"/>
      <c r="D361" s="354"/>
      <c r="E361" s="353"/>
      <c r="F361" s="353"/>
      <c r="G361" s="353"/>
      <c r="H361" s="353"/>
      <c r="I361" s="355"/>
      <c r="J361" s="356"/>
    </row>
    <row r="362">
      <c r="A362" s="353"/>
      <c r="B362" s="353"/>
      <c r="C362" s="354"/>
      <c r="D362" s="354"/>
      <c r="E362" s="353"/>
      <c r="F362" s="353"/>
      <c r="G362" s="353"/>
      <c r="H362" s="353"/>
      <c r="I362" s="355"/>
      <c r="J362" s="356"/>
    </row>
    <row r="363">
      <c r="A363" s="353"/>
      <c r="B363" s="353"/>
      <c r="C363" s="354"/>
      <c r="D363" s="354"/>
      <c r="E363" s="353"/>
      <c r="F363" s="353"/>
      <c r="G363" s="353"/>
      <c r="H363" s="353"/>
      <c r="I363" s="355"/>
      <c r="J363" s="356"/>
    </row>
    <row r="364">
      <c r="A364" s="353"/>
      <c r="B364" s="353"/>
      <c r="C364" s="354"/>
      <c r="D364" s="354"/>
      <c r="E364" s="353"/>
      <c r="F364" s="353"/>
      <c r="G364" s="353"/>
      <c r="H364" s="353"/>
      <c r="I364" s="355"/>
      <c r="J364" s="356"/>
    </row>
    <row r="365">
      <c r="A365" s="353"/>
      <c r="B365" s="353"/>
      <c r="C365" s="354"/>
      <c r="D365" s="354"/>
      <c r="E365" s="353"/>
      <c r="F365" s="353"/>
      <c r="G365" s="353"/>
      <c r="H365" s="353"/>
      <c r="I365" s="355"/>
      <c r="J365" s="356"/>
    </row>
    <row r="366">
      <c r="A366" s="353"/>
      <c r="B366" s="353"/>
      <c r="C366" s="354"/>
      <c r="D366" s="354"/>
      <c r="E366" s="353"/>
      <c r="F366" s="353"/>
      <c r="G366" s="353"/>
      <c r="H366" s="353"/>
      <c r="I366" s="355"/>
      <c r="J366" s="356"/>
    </row>
    <row r="367">
      <c r="A367" s="353"/>
      <c r="B367" s="353"/>
      <c r="C367" s="354"/>
      <c r="D367" s="354"/>
      <c r="E367" s="353"/>
      <c r="F367" s="353"/>
      <c r="G367" s="353"/>
      <c r="H367" s="353"/>
      <c r="I367" s="355"/>
      <c r="J367" s="356"/>
    </row>
    <row r="368">
      <c r="A368" s="353"/>
      <c r="B368" s="353"/>
      <c r="C368" s="354"/>
      <c r="D368" s="354"/>
      <c r="E368" s="353"/>
      <c r="F368" s="353"/>
      <c r="G368" s="353"/>
      <c r="H368" s="353"/>
      <c r="I368" s="355"/>
      <c r="J368" s="356"/>
    </row>
    <row r="369">
      <c r="A369" s="353"/>
      <c r="B369" s="353"/>
      <c r="C369" s="354"/>
      <c r="D369" s="354"/>
      <c r="E369" s="353"/>
      <c r="F369" s="353"/>
      <c r="G369" s="353"/>
      <c r="H369" s="353"/>
      <c r="I369" s="355"/>
      <c r="J369" s="356"/>
    </row>
    <row r="370">
      <c r="A370" s="353"/>
      <c r="B370" s="353"/>
      <c r="C370" s="354"/>
      <c r="D370" s="354"/>
      <c r="E370" s="353"/>
      <c r="F370" s="353"/>
      <c r="G370" s="353"/>
      <c r="H370" s="353"/>
      <c r="I370" s="355"/>
      <c r="J370" s="356"/>
    </row>
    <row r="371">
      <c r="A371" s="353"/>
      <c r="B371" s="353"/>
      <c r="C371" s="354"/>
      <c r="D371" s="354"/>
      <c r="E371" s="353"/>
      <c r="F371" s="353"/>
      <c r="G371" s="353"/>
      <c r="H371" s="353"/>
      <c r="I371" s="355"/>
      <c r="J371" s="356"/>
    </row>
    <row r="372">
      <c r="A372" s="353"/>
      <c r="B372" s="353"/>
      <c r="C372" s="354"/>
      <c r="D372" s="354"/>
      <c r="E372" s="353"/>
      <c r="F372" s="353"/>
      <c r="G372" s="353"/>
      <c r="H372" s="353"/>
      <c r="I372" s="355"/>
      <c r="J372" s="356"/>
    </row>
    <row r="373">
      <c r="A373" s="353"/>
      <c r="B373" s="353"/>
      <c r="C373" s="354"/>
      <c r="D373" s="354"/>
      <c r="E373" s="353"/>
      <c r="F373" s="353"/>
      <c r="G373" s="353"/>
      <c r="H373" s="353"/>
      <c r="I373" s="355"/>
      <c r="J373" s="356"/>
    </row>
    <row r="374">
      <c r="A374" s="353"/>
      <c r="B374" s="353"/>
      <c r="C374" s="354"/>
      <c r="D374" s="354"/>
      <c r="E374" s="353"/>
      <c r="F374" s="353"/>
      <c r="G374" s="353"/>
      <c r="H374" s="353"/>
      <c r="I374" s="355"/>
      <c r="J374" s="356"/>
    </row>
    <row r="375">
      <c r="A375" s="353"/>
      <c r="B375" s="353"/>
      <c r="C375" s="354"/>
      <c r="D375" s="354"/>
      <c r="E375" s="353"/>
      <c r="F375" s="353"/>
      <c r="G375" s="353"/>
      <c r="H375" s="353"/>
      <c r="I375" s="355"/>
      <c r="J375" s="356"/>
    </row>
    <row r="376">
      <c r="A376" s="353"/>
      <c r="B376" s="353"/>
      <c r="C376" s="354"/>
      <c r="D376" s="354"/>
      <c r="E376" s="353"/>
      <c r="F376" s="353"/>
      <c r="G376" s="353"/>
      <c r="H376" s="353"/>
      <c r="I376" s="355"/>
      <c r="J376" s="356"/>
    </row>
    <row r="377">
      <c r="A377" s="353"/>
      <c r="B377" s="353"/>
      <c r="C377" s="354"/>
      <c r="D377" s="354"/>
      <c r="E377" s="353"/>
      <c r="F377" s="353"/>
      <c r="G377" s="353"/>
      <c r="H377" s="353"/>
      <c r="I377" s="355"/>
      <c r="J377" s="356"/>
    </row>
    <row r="378">
      <c r="A378" s="353"/>
      <c r="B378" s="353"/>
      <c r="C378" s="354"/>
      <c r="D378" s="354"/>
      <c r="E378" s="353"/>
      <c r="F378" s="353"/>
      <c r="G378" s="353"/>
      <c r="H378" s="353"/>
      <c r="I378" s="355"/>
      <c r="J378" s="356"/>
    </row>
    <row r="379">
      <c r="A379" s="353"/>
      <c r="B379" s="353"/>
      <c r="C379" s="354"/>
      <c r="D379" s="354"/>
      <c r="E379" s="353"/>
      <c r="F379" s="353"/>
      <c r="G379" s="353"/>
      <c r="H379" s="353"/>
      <c r="I379" s="355"/>
      <c r="J379" s="356"/>
    </row>
    <row r="380">
      <c r="A380" s="353"/>
      <c r="B380" s="353"/>
      <c r="C380" s="354"/>
      <c r="D380" s="354"/>
      <c r="E380" s="353"/>
      <c r="F380" s="353"/>
      <c r="G380" s="353"/>
      <c r="H380" s="353"/>
      <c r="I380" s="355"/>
      <c r="J380" s="356"/>
    </row>
    <row r="381">
      <c r="A381" s="353"/>
      <c r="B381" s="353"/>
      <c r="C381" s="354"/>
      <c r="D381" s="354"/>
      <c r="E381" s="353"/>
      <c r="F381" s="353"/>
      <c r="G381" s="353"/>
      <c r="H381" s="353"/>
      <c r="I381" s="355"/>
      <c r="J381" s="356"/>
    </row>
    <row r="382">
      <c r="A382" s="353"/>
      <c r="B382" s="353"/>
      <c r="C382" s="354"/>
      <c r="D382" s="354"/>
      <c r="E382" s="353"/>
      <c r="F382" s="353"/>
      <c r="G382" s="353"/>
      <c r="H382" s="353"/>
      <c r="I382" s="355"/>
      <c r="J382" s="356"/>
    </row>
    <row r="383">
      <c r="A383" s="353"/>
      <c r="B383" s="353"/>
      <c r="C383" s="354"/>
      <c r="D383" s="354"/>
      <c r="E383" s="353"/>
      <c r="F383" s="353"/>
      <c r="G383" s="353"/>
      <c r="H383" s="353"/>
      <c r="I383" s="355"/>
      <c r="J383" s="356"/>
    </row>
    <row r="384">
      <c r="A384" s="353"/>
      <c r="B384" s="353"/>
      <c r="C384" s="354"/>
      <c r="D384" s="354"/>
      <c r="E384" s="353"/>
      <c r="F384" s="353"/>
      <c r="G384" s="353"/>
      <c r="H384" s="353"/>
      <c r="I384" s="355"/>
      <c r="J384" s="356"/>
    </row>
    <row r="385">
      <c r="A385" s="353"/>
      <c r="B385" s="353"/>
      <c r="C385" s="354"/>
      <c r="D385" s="354"/>
      <c r="E385" s="353"/>
      <c r="F385" s="353"/>
      <c r="G385" s="353"/>
      <c r="H385" s="353"/>
      <c r="I385" s="355"/>
      <c r="J385" s="356"/>
    </row>
    <row r="386">
      <c r="A386" s="353"/>
      <c r="B386" s="353"/>
      <c r="C386" s="354"/>
      <c r="D386" s="354"/>
      <c r="E386" s="353"/>
      <c r="F386" s="353"/>
      <c r="G386" s="353"/>
      <c r="H386" s="353"/>
      <c r="I386" s="355"/>
      <c r="J386" s="356"/>
    </row>
    <row r="387">
      <c r="A387" s="353"/>
      <c r="B387" s="353"/>
      <c r="C387" s="354"/>
      <c r="D387" s="354"/>
      <c r="E387" s="353"/>
      <c r="F387" s="353"/>
      <c r="G387" s="353"/>
      <c r="H387" s="353"/>
      <c r="I387" s="355"/>
      <c r="J387" s="356"/>
    </row>
    <row r="388">
      <c r="A388" s="353"/>
      <c r="B388" s="353"/>
      <c r="C388" s="354"/>
      <c r="D388" s="354"/>
      <c r="E388" s="353"/>
      <c r="F388" s="353"/>
      <c r="G388" s="353"/>
      <c r="H388" s="353"/>
      <c r="I388" s="355"/>
      <c r="J388" s="356"/>
    </row>
    <row r="389">
      <c r="A389" s="353"/>
      <c r="B389" s="353"/>
      <c r="C389" s="354"/>
      <c r="D389" s="354"/>
      <c r="E389" s="353"/>
      <c r="F389" s="353"/>
      <c r="G389" s="353"/>
      <c r="H389" s="353"/>
      <c r="I389" s="355"/>
      <c r="J389" s="356"/>
    </row>
    <row r="390">
      <c r="A390" s="353"/>
      <c r="B390" s="353"/>
      <c r="C390" s="354"/>
      <c r="D390" s="354"/>
      <c r="E390" s="353"/>
      <c r="F390" s="353"/>
      <c r="G390" s="353"/>
      <c r="H390" s="353"/>
      <c r="I390" s="355"/>
      <c r="J390" s="356"/>
    </row>
    <row r="391">
      <c r="A391" s="353"/>
      <c r="B391" s="353"/>
      <c r="C391" s="354"/>
      <c r="D391" s="354"/>
      <c r="E391" s="353"/>
      <c r="F391" s="353"/>
      <c r="G391" s="353"/>
      <c r="H391" s="353"/>
      <c r="I391" s="355"/>
      <c r="J391" s="356"/>
    </row>
    <row r="392">
      <c r="A392" s="353"/>
      <c r="B392" s="353"/>
      <c r="C392" s="354"/>
      <c r="D392" s="354"/>
      <c r="E392" s="353"/>
      <c r="F392" s="353"/>
      <c r="G392" s="353"/>
      <c r="H392" s="353"/>
      <c r="I392" s="355"/>
      <c r="J392" s="356"/>
    </row>
    <row r="393">
      <c r="A393" s="353"/>
      <c r="B393" s="353"/>
      <c r="C393" s="354"/>
      <c r="D393" s="354"/>
      <c r="E393" s="353"/>
      <c r="F393" s="353"/>
      <c r="G393" s="353"/>
      <c r="H393" s="353"/>
      <c r="I393" s="355"/>
      <c r="J393" s="356"/>
    </row>
    <row r="394">
      <c r="A394" s="353"/>
      <c r="B394" s="353"/>
      <c r="C394" s="354"/>
      <c r="D394" s="354"/>
      <c r="E394" s="353"/>
      <c r="F394" s="353"/>
      <c r="G394" s="353"/>
      <c r="H394" s="353"/>
      <c r="I394" s="355"/>
      <c r="J394" s="356"/>
    </row>
    <row r="395">
      <c r="A395" s="353"/>
      <c r="B395" s="353"/>
      <c r="C395" s="354"/>
      <c r="D395" s="354"/>
      <c r="E395" s="353"/>
      <c r="F395" s="353"/>
      <c r="G395" s="353"/>
      <c r="H395" s="353"/>
      <c r="I395" s="355"/>
      <c r="J395" s="356"/>
    </row>
    <row r="396">
      <c r="A396" s="353"/>
      <c r="B396" s="353"/>
      <c r="C396" s="354"/>
      <c r="D396" s="354"/>
      <c r="E396" s="353"/>
      <c r="F396" s="353"/>
      <c r="G396" s="353"/>
      <c r="H396" s="353"/>
      <c r="I396" s="355"/>
      <c r="J396" s="356"/>
    </row>
    <row r="397">
      <c r="A397" s="353"/>
      <c r="B397" s="353"/>
      <c r="C397" s="354"/>
      <c r="D397" s="354"/>
      <c r="E397" s="353"/>
      <c r="F397" s="353"/>
      <c r="G397" s="353"/>
      <c r="H397" s="353"/>
      <c r="I397" s="355"/>
      <c r="J397" s="356"/>
    </row>
    <row r="398">
      <c r="A398" s="353"/>
      <c r="B398" s="353"/>
      <c r="C398" s="354"/>
      <c r="D398" s="354"/>
      <c r="E398" s="353"/>
      <c r="F398" s="353"/>
      <c r="G398" s="353"/>
      <c r="H398" s="353"/>
      <c r="I398" s="355"/>
      <c r="J398" s="356"/>
    </row>
    <row r="399">
      <c r="A399" s="353"/>
      <c r="B399" s="353"/>
      <c r="C399" s="354"/>
      <c r="D399" s="354"/>
      <c r="E399" s="353"/>
      <c r="F399" s="353"/>
      <c r="G399" s="353"/>
      <c r="H399" s="353"/>
      <c r="I399" s="355"/>
      <c r="J399" s="356"/>
    </row>
    <row r="400">
      <c r="A400" s="353"/>
      <c r="B400" s="353"/>
      <c r="C400" s="354"/>
      <c r="D400" s="354"/>
      <c r="E400" s="353"/>
      <c r="F400" s="353"/>
      <c r="G400" s="353"/>
      <c r="H400" s="353"/>
      <c r="I400" s="355"/>
      <c r="J400" s="356"/>
    </row>
    <row r="401">
      <c r="A401" s="353"/>
      <c r="B401" s="353"/>
      <c r="C401" s="354"/>
      <c r="D401" s="354"/>
      <c r="E401" s="353"/>
      <c r="F401" s="353"/>
      <c r="G401" s="353"/>
      <c r="H401" s="353"/>
      <c r="I401" s="355"/>
      <c r="J401" s="356"/>
    </row>
    <row r="402">
      <c r="A402" s="353"/>
      <c r="B402" s="353"/>
      <c r="C402" s="354"/>
      <c r="D402" s="354"/>
      <c r="E402" s="353"/>
      <c r="F402" s="353"/>
      <c r="G402" s="353"/>
      <c r="H402" s="353"/>
      <c r="I402" s="355"/>
      <c r="J402" s="356"/>
    </row>
    <row r="403">
      <c r="A403" s="353"/>
      <c r="B403" s="353"/>
      <c r="C403" s="354"/>
      <c r="D403" s="354"/>
      <c r="E403" s="353"/>
      <c r="F403" s="353"/>
      <c r="G403" s="353"/>
      <c r="H403" s="353"/>
      <c r="I403" s="355"/>
      <c r="J403" s="356"/>
    </row>
    <row r="404">
      <c r="A404" s="353"/>
      <c r="B404" s="353"/>
      <c r="C404" s="354"/>
      <c r="D404" s="354"/>
      <c r="E404" s="353"/>
      <c r="F404" s="353"/>
      <c r="G404" s="353"/>
      <c r="H404" s="353"/>
      <c r="I404" s="355"/>
      <c r="J404" s="356"/>
    </row>
    <row r="405">
      <c r="A405" s="353"/>
      <c r="B405" s="353"/>
      <c r="C405" s="354"/>
      <c r="D405" s="354"/>
      <c r="E405" s="353"/>
      <c r="F405" s="353"/>
      <c r="G405" s="353"/>
      <c r="H405" s="353"/>
      <c r="I405" s="355"/>
      <c r="J405" s="356"/>
    </row>
    <row r="406">
      <c r="A406" s="353"/>
      <c r="B406" s="353"/>
      <c r="C406" s="354"/>
      <c r="D406" s="354"/>
      <c r="E406" s="353"/>
      <c r="F406" s="353"/>
      <c r="G406" s="353"/>
      <c r="H406" s="353"/>
      <c r="I406" s="355"/>
      <c r="J406" s="356"/>
    </row>
    <row r="407">
      <c r="A407" s="353"/>
      <c r="B407" s="353"/>
      <c r="C407" s="354"/>
      <c r="D407" s="354"/>
      <c r="E407" s="353"/>
      <c r="F407" s="353"/>
      <c r="G407" s="353"/>
      <c r="H407" s="353"/>
      <c r="I407" s="355"/>
      <c r="J407" s="356"/>
    </row>
    <row r="408">
      <c r="A408" s="353"/>
      <c r="B408" s="353"/>
      <c r="C408" s="354"/>
      <c r="D408" s="354"/>
      <c r="E408" s="353"/>
      <c r="F408" s="353"/>
      <c r="G408" s="353"/>
      <c r="H408" s="353"/>
      <c r="I408" s="355"/>
      <c r="J408" s="356"/>
    </row>
    <row r="409">
      <c r="A409" s="353"/>
      <c r="B409" s="353"/>
      <c r="C409" s="354"/>
      <c r="D409" s="354"/>
      <c r="E409" s="353"/>
      <c r="F409" s="353"/>
      <c r="G409" s="353"/>
      <c r="H409" s="353"/>
      <c r="I409" s="355"/>
      <c r="J409" s="356"/>
    </row>
    <row r="410">
      <c r="A410" s="353"/>
      <c r="B410" s="353"/>
      <c r="C410" s="354"/>
      <c r="D410" s="354"/>
      <c r="E410" s="353"/>
      <c r="F410" s="353"/>
      <c r="G410" s="353"/>
      <c r="H410" s="353"/>
      <c r="I410" s="355"/>
      <c r="J410" s="356"/>
    </row>
    <row r="411">
      <c r="A411" s="353"/>
      <c r="B411" s="353"/>
      <c r="C411" s="354"/>
      <c r="D411" s="354"/>
      <c r="E411" s="353"/>
      <c r="F411" s="353"/>
      <c r="G411" s="353"/>
      <c r="H411" s="353"/>
      <c r="I411" s="355"/>
      <c r="J411" s="356"/>
    </row>
    <row r="412">
      <c r="A412" s="353"/>
      <c r="B412" s="353"/>
      <c r="C412" s="354"/>
      <c r="D412" s="354"/>
      <c r="E412" s="353"/>
      <c r="F412" s="353"/>
      <c r="G412" s="353"/>
      <c r="H412" s="353"/>
      <c r="I412" s="355"/>
      <c r="J412" s="356"/>
    </row>
    <row r="413">
      <c r="A413" s="353"/>
      <c r="B413" s="353"/>
      <c r="C413" s="354"/>
      <c r="D413" s="354"/>
      <c r="E413" s="353"/>
      <c r="F413" s="353"/>
      <c r="G413" s="353"/>
      <c r="H413" s="353"/>
      <c r="I413" s="355"/>
      <c r="J413" s="356"/>
    </row>
    <row r="414">
      <c r="A414" s="353"/>
      <c r="B414" s="353"/>
      <c r="C414" s="354"/>
      <c r="D414" s="354"/>
      <c r="E414" s="353"/>
      <c r="F414" s="353"/>
      <c r="G414" s="353"/>
      <c r="H414" s="353"/>
      <c r="I414" s="355"/>
      <c r="J414" s="356"/>
    </row>
    <row r="415">
      <c r="A415" s="353"/>
      <c r="B415" s="353"/>
      <c r="C415" s="354"/>
      <c r="D415" s="354"/>
      <c r="E415" s="353"/>
      <c r="F415" s="353"/>
      <c r="G415" s="353"/>
      <c r="H415" s="353"/>
      <c r="I415" s="355"/>
      <c r="J415" s="356"/>
    </row>
    <row r="416">
      <c r="A416" s="353"/>
      <c r="B416" s="353"/>
      <c r="C416" s="354"/>
      <c r="D416" s="354"/>
      <c r="E416" s="353"/>
      <c r="F416" s="353"/>
      <c r="G416" s="353"/>
      <c r="H416" s="353"/>
      <c r="I416" s="355"/>
      <c r="J416" s="356"/>
    </row>
    <row r="417">
      <c r="A417" s="353"/>
      <c r="B417" s="353"/>
      <c r="C417" s="354"/>
      <c r="D417" s="354"/>
      <c r="E417" s="353"/>
      <c r="F417" s="353"/>
      <c r="G417" s="353"/>
      <c r="H417" s="353"/>
      <c r="I417" s="355"/>
      <c r="J417" s="356"/>
    </row>
    <row r="418">
      <c r="A418" s="353"/>
      <c r="B418" s="353"/>
      <c r="C418" s="354"/>
      <c r="D418" s="354"/>
      <c r="E418" s="353"/>
      <c r="F418" s="353"/>
      <c r="G418" s="353"/>
      <c r="H418" s="353"/>
      <c r="I418" s="355"/>
      <c r="J418" s="356"/>
    </row>
    <row r="419">
      <c r="A419" s="353"/>
      <c r="B419" s="353"/>
      <c r="C419" s="354"/>
      <c r="D419" s="354"/>
      <c r="E419" s="353"/>
      <c r="F419" s="353"/>
      <c r="G419" s="353"/>
      <c r="H419" s="353"/>
      <c r="I419" s="355"/>
      <c r="J419" s="356"/>
    </row>
    <row r="420">
      <c r="A420" s="353"/>
      <c r="B420" s="353"/>
      <c r="C420" s="354"/>
      <c r="D420" s="354"/>
      <c r="E420" s="353"/>
      <c r="F420" s="353"/>
      <c r="G420" s="353"/>
      <c r="H420" s="353"/>
      <c r="I420" s="355"/>
      <c r="J420" s="356"/>
    </row>
    <row r="421">
      <c r="A421" s="353"/>
      <c r="B421" s="353"/>
      <c r="C421" s="354"/>
      <c r="D421" s="354"/>
      <c r="E421" s="353"/>
      <c r="F421" s="353"/>
      <c r="G421" s="353"/>
      <c r="H421" s="353"/>
      <c r="I421" s="355"/>
      <c r="J421" s="356"/>
    </row>
    <row r="422">
      <c r="A422" s="353"/>
      <c r="B422" s="353"/>
      <c r="C422" s="354"/>
      <c r="D422" s="354"/>
      <c r="E422" s="353"/>
      <c r="F422" s="353"/>
      <c r="G422" s="353"/>
      <c r="H422" s="353"/>
      <c r="I422" s="355"/>
      <c r="J422" s="356"/>
    </row>
    <row r="423">
      <c r="A423" s="353"/>
      <c r="B423" s="353"/>
      <c r="C423" s="354"/>
      <c r="D423" s="354"/>
      <c r="E423" s="353"/>
      <c r="F423" s="353"/>
      <c r="G423" s="353"/>
      <c r="H423" s="353"/>
      <c r="I423" s="355"/>
      <c r="J423" s="356"/>
    </row>
    <row r="424">
      <c r="A424" s="353"/>
      <c r="B424" s="353"/>
      <c r="C424" s="354"/>
      <c r="D424" s="354"/>
      <c r="E424" s="353"/>
      <c r="F424" s="353"/>
      <c r="G424" s="353"/>
      <c r="H424" s="353"/>
      <c r="I424" s="355"/>
      <c r="J424" s="356"/>
    </row>
    <row r="425">
      <c r="A425" s="353"/>
      <c r="B425" s="353"/>
      <c r="C425" s="354"/>
      <c r="D425" s="354"/>
      <c r="E425" s="353"/>
      <c r="F425" s="353"/>
      <c r="G425" s="353"/>
      <c r="H425" s="353"/>
      <c r="I425" s="355"/>
      <c r="J425" s="356"/>
    </row>
    <row r="426">
      <c r="A426" s="353"/>
      <c r="B426" s="353"/>
      <c r="C426" s="354"/>
      <c r="D426" s="354"/>
      <c r="E426" s="353"/>
      <c r="F426" s="353"/>
      <c r="G426" s="353"/>
      <c r="H426" s="353"/>
      <c r="I426" s="355"/>
      <c r="J426" s="356"/>
    </row>
    <row r="427">
      <c r="A427" s="353"/>
      <c r="B427" s="353"/>
      <c r="C427" s="354"/>
      <c r="D427" s="354"/>
      <c r="E427" s="353"/>
      <c r="F427" s="353"/>
      <c r="G427" s="353"/>
      <c r="H427" s="353"/>
      <c r="I427" s="355"/>
      <c r="J427" s="356"/>
    </row>
    <row r="428">
      <c r="A428" s="353"/>
      <c r="B428" s="353"/>
      <c r="C428" s="354"/>
      <c r="D428" s="354"/>
      <c r="E428" s="353"/>
      <c r="F428" s="353"/>
      <c r="G428" s="353"/>
      <c r="H428" s="353"/>
      <c r="I428" s="355"/>
      <c r="J428" s="356"/>
    </row>
    <row r="429">
      <c r="A429" s="353"/>
      <c r="B429" s="353"/>
      <c r="C429" s="354"/>
      <c r="D429" s="354"/>
      <c r="E429" s="353"/>
      <c r="F429" s="353"/>
      <c r="G429" s="353"/>
      <c r="H429" s="353"/>
      <c r="I429" s="355"/>
      <c r="J429" s="356"/>
    </row>
    <row r="430">
      <c r="A430" s="353"/>
      <c r="B430" s="353"/>
      <c r="C430" s="354"/>
      <c r="D430" s="354"/>
      <c r="E430" s="353"/>
      <c r="F430" s="353"/>
      <c r="G430" s="353"/>
      <c r="H430" s="353"/>
      <c r="I430" s="355"/>
      <c r="J430" s="356"/>
    </row>
    <row r="431">
      <c r="A431" s="353"/>
      <c r="B431" s="353"/>
      <c r="C431" s="354"/>
      <c r="D431" s="354"/>
      <c r="E431" s="353"/>
      <c r="F431" s="353"/>
      <c r="G431" s="353"/>
      <c r="H431" s="353"/>
      <c r="I431" s="355"/>
      <c r="J431" s="356"/>
    </row>
    <row r="432">
      <c r="A432" s="353"/>
      <c r="B432" s="353"/>
      <c r="C432" s="354"/>
      <c r="D432" s="354"/>
      <c r="E432" s="353"/>
      <c r="F432" s="353"/>
      <c r="G432" s="353"/>
      <c r="H432" s="353"/>
      <c r="I432" s="355"/>
      <c r="J432" s="356"/>
    </row>
    <row r="433">
      <c r="A433" s="353"/>
      <c r="B433" s="353"/>
      <c r="C433" s="354"/>
      <c r="D433" s="354"/>
      <c r="E433" s="353"/>
      <c r="F433" s="353"/>
      <c r="G433" s="353"/>
      <c r="H433" s="353"/>
      <c r="I433" s="355"/>
      <c r="J433" s="356"/>
    </row>
    <row r="434">
      <c r="A434" s="353"/>
      <c r="B434" s="353"/>
      <c r="C434" s="354"/>
      <c r="D434" s="354"/>
      <c r="E434" s="353"/>
      <c r="F434" s="353"/>
      <c r="G434" s="353"/>
      <c r="H434" s="353"/>
      <c r="I434" s="355"/>
      <c r="J434" s="356"/>
    </row>
    <row r="435">
      <c r="A435" s="353"/>
      <c r="B435" s="353"/>
      <c r="C435" s="354"/>
      <c r="D435" s="354"/>
      <c r="E435" s="353"/>
      <c r="F435" s="353"/>
      <c r="G435" s="353"/>
      <c r="H435" s="353"/>
      <c r="I435" s="355"/>
      <c r="J435" s="356"/>
    </row>
    <row r="436">
      <c r="A436" s="353"/>
      <c r="B436" s="353"/>
      <c r="C436" s="354"/>
      <c r="D436" s="354"/>
      <c r="E436" s="353"/>
      <c r="F436" s="353"/>
      <c r="G436" s="353"/>
      <c r="H436" s="353"/>
      <c r="I436" s="355"/>
      <c r="J436" s="356"/>
    </row>
    <row r="437">
      <c r="A437" s="353"/>
      <c r="B437" s="353"/>
      <c r="C437" s="354"/>
      <c r="D437" s="354"/>
      <c r="E437" s="353"/>
      <c r="F437" s="353"/>
      <c r="G437" s="353"/>
      <c r="H437" s="353"/>
      <c r="I437" s="355"/>
      <c r="J437" s="356"/>
    </row>
    <row r="438">
      <c r="A438" s="353"/>
      <c r="B438" s="353"/>
      <c r="C438" s="354"/>
      <c r="D438" s="354"/>
      <c r="E438" s="353"/>
      <c r="F438" s="353"/>
      <c r="G438" s="353"/>
      <c r="H438" s="353"/>
      <c r="I438" s="355"/>
      <c r="J438" s="356"/>
    </row>
    <row r="439">
      <c r="A439" s="353"/>
      <c r="B439" s="353"/>
      <c r="C439" s="354"/>
      <c r="D439" s="354"/>
      <c r="E439" s="353"/>
      <c r="F439" s="353"/>
      <c r="G439" s="353"/>
      <c r="H439" s="353"/>
      <c r="I439" s="355"/>
      <c r="J439" s="356"/>
    </row>
    <row r="440">
      <c r="A440" s="353"/>
      <c r="B440" s="353"/>
      <c r="C440" s="354"/>
      <c r="D440" s="354"/>
      <c r="E440" s="353"/>
      <c r="F440" s="353"/>
      <c r="G440" s="353"/>
      <c r="H440" s="353"/>
      <c r="I440" s="355"/>
      <c r="J440" s="356"/>
    </row>
    <row r="441">
      <c r="A441" s="353"/>
      <c r="B441" s="353"/>
      <c r="C441" s="354"/>
      <c r="D441" s="354"/>
      <c r="E441" s="353"/>
      <c r="F441" s="353"/>
      <c r="G441" s="353"/>
      <c r="H441" s="353"/>
      <c r="I441" s="355"/>
      <c r="J441" s="356"/>
    </row>
    <row r="442">
      <c r="A442" s="353"/>
      <c r="B442" s="353"/>
      <c r="C442" s="354"/>
      <c r="D442" s="354"/>
      <c r="E442" s="353"/>
      <c r="F442" s="353"/>
      <c r="G442" s="353"/>
      <c r="H442" s="353"/>
      <c r="I442" s="355"/>
      <c r="J442" s="356"/>
    </row>
    <row r="443">
      <c r="A443" s="353"/>
      <c r="B443" s="353"/>
      <c r="C443" s="354"/>
      <c r="D443" s="354"/>
      <c r="E443" s="353"/>
      <c r="F443" s="353"/>
      <c r="G443" s="353"/>
      <c r="H443" s="353"/>
      <c r="I443" s="355"/>
      <c r="J443" s="356"/>
    </row>
    <row r="444">
      <c r="A444" s="353"/>
      <c r="B444" s="353"/>
      <c r="C444" s="354"/>
      <c r="D444" s="354"/>
      <c r="E444" s="353"/>
      <c r="F444" s="353"/>
      <c r="G444" s="353"/>
      <c r="H444" s="353"/>
      <c r="I444" s="355"/>
      <c r="J444" s="356"/>
    </row>
    <row r="445">
      <c r="A445" s="353"/>
      <c r="B445" s="353"/>
      <c r="C445" s="354"/>
      <c r="D445" s="354"/>
      <c r="E445" s="353"/>
      <c r="F445" s="353"/>
      <c r="G445" s="353"/>
      <c r="H445" s="353"/>
      <c r="I445" s="355"/>
      <c r="J445" s="356"/>
    </row>
    <row r="446">
      <c r="A446" s="353"/>
      <c r="B446" s="353"/>
      <c r="C446" s="354"/>
      <c r="D446" s="354"/>
      <c r="E446" s="353"/>
      <c r="F446" s="353"/>
      <c r="G446" s="353"/>
      <c r="H446" s="353"/>
      <c r="I446" s="355"/>
      <c r="J446" s="356"/>
    </row>
    <row r="447">
      <c r="A447" s="353"/>
      <c r="B447" s="353"/>
      <c r="C447" s="354"/>
      <c r="D447" s="354"/>
      <c r="E447" s="353"/>
      <c r="F447" s="353"/>
      <c r="G447" s="353"/>
      <c r="H447" s="353"/>
      <c r="I447" s="355"/>
      <c r="J447" s="356"/>
    </row>
    <row r="448">
      <c r="A448" s="353"/>
      <c r="B448" s="353"/>
      <c r="C448" s="354"/>
      <c r="D448" s="354"/>
      <c r="E448" s="353"/>
      <c r="F448" s="353"/>
      <c r="G448" s="353"/>
      <c r="H448" s="353"/>
      <c r="I448" s="355"/>
      <c r="J448" s="356"/>
    </row>
    <row r="449">
      <c r="A449" s="353"/>
      <c r="B449" s="353"/>
      <c r="C449" s="354"/>
      <c r="D449" s="354"/>
      <c r="E449" s="353"/>
      <c r="F449" s="353"/>
      <c r="G449" s="353"/>
      <c r="H449" s="353"/>
      <c r="I449" s="355"/>
      <c r="J449" s="356"/>
    </row>
    <row r="450">
      <c r="A450" s="353"/>
      <c r="B450" s="353"/>
      <c r="C450" s="354"/>
      <c r="D450" s="354"/>
      <c r="E450" s="353"/>
      <c r="F450" s="353"/>
      <c r="G450" s="353"/>
      <c r="H450" s="353"/>
      <c r="I450" s="355"/>
      <c r="J450" s="356"/>
    </row>
    <row r="451">
      <c r="A451" s="353"/>
      <c r="B451" s="353"/>
      <c r="C451" s="354"/>
      <c r="D451" s="354"/>
      <c r="E451" s="353"/>
      <c r="F451" s="353"/>
      <c r="G451" s="353"/>
      <c r="H451" s="353"/>
      <c r="I451" s="355"/>
      <c r="J451" s="356"/>
    </row>
    <row r="452">
      <c r="A452" s="353"/>
      <c r="B452" s="353"/>
      <c r="C452" s="354"/>
      <c r="D452" s="354"/>
      <c r="E452" s="353"/>
      <c r="F452" s="353"/>
      <c r="G452" s="353"/>
      <c r="H452" s="353"/>
      <c r="I452" s="355"/>
      <c r="J452" s="356"/>
    </row>
    <row r="453">
      <c r="A453" s="353"/>
      <c r="B453" s="353"/>
      <c r="C453" s="354"/>
      <c r="D453" s="354"/>
      <c r="E453" s="353"/>
      <c r="F453" s="353"/>
      <c r="G453" s="353"/>
      <c r="H453" s="353"/>
      <c r="I453" s="355"/>
      <c r="J453" s="356"/>
    </row>
    <row r="454">
      <c r="A454" s="353"/>
      <c r="B454" s="353"/>
      <c r="C454" s="354"/>
      <c r="D454" s="354"/>
      <c r="E454" s="353"/>
      <c r="F454" s="353"/>
      <c r="G454" s="353"/>
      <c r="H454" s="353"/>
      <c r="I454" s="355"/>
      <c r="J454" s="356"/>
    </row>
    <row r="455">
      <c r="A455" s="353"/>
      <c r="B455" s="353"/>
      <c r="C455" s="354"/>
      <c r="D455" s="354"/>
      <c r="E455" s="353"/>
      <c r="F455" s="353"/>
      <c r="G455" s="353"/>
      <c r="H455" s="353"/>
      <c r="I455" s="355"/>
      <c r="J455" s="356"/>
    </row>
    <row r="456">
      <c r="A456" s="353"/>
      <c r="B456" s="353"/>
      <c r="C456" s="354"/>
      <c r="D456" s="354"/>
      <c r="E456" s="353"/>
      <c r="F456" s="353"/>
      <c r="G456" s="353"/>
      <c r="H456" s="353"/>
      <c r="I456" s="355"/>
      <c r="J456" s="356"/>
    </row>
    <row r="457">
      <c r="A457" s="353"/>
      <c r="B457" s="353"/>
      <c r="C457" s="354"/>
      <c r="D457" s="354"/>
      <c r="E457" s="353"/>
      <c r="F457" s="353"/>
      <c r="G457" s="353"/>
      <c r="H457" s="353"/>
      <c r="I457" s="355"/>
      <c r="J457" s="356"/>
    </row>
    <row r="458">
      <c r="A458" s="353"/>
      <c r="B458" s="353"/>
      <c r="C458" s="354"/>
      <c r="D458" s="354"/>
      <c r="E458" s="353"/>
      <c r="F458" s="353"/>
      <c r="G458" s="353"/>
      <c r="H458" s="353"/>
      <c r="I458" s="355"/>
      <c r="J458" s="356"/>
    </row>
    <row r="459">
      <c r="A459" s="353"/>
      <c r="B459" s="353"/>
      <c r="C459" s="354"/>
      <c r="D459" s="354"/>
      <c r="E459" s="353"/>
      <c r="F459" s="353"/>
      <c r="G459" s="353"/>
      <c r="H459" s="353"/>
      <c r="I459" s="355"/>
      <c r="J459" s="356"/>
    </row>
    <row r="460">
      <c r="A460" s="353"/>
      <c r="B460" s="353"/>
      <c r="C460" s="354"/>
      <c r="D460" s="354"/>
      <c r="E460" s="353"/>
      <c r="F460" s="353"/>
      <c r="G460" s="353"/>
      <c r="H460" s="353"/>
      <c r="I460" s="355"/>
      <c r="J460" s="356"/>
    </row>
    <row r="461">
      <c r="A461" s="353"/>
      <c r="B461" s="353"/>
      <c r="C461" s="354"/>
      <c r="D461" s="354"/>
      <c r="E461" s="353"/>
      <c r="F461" s="353"/>
      <c r="G461" s="353"/>
      <c r="H461" s="353"/>
      <c r="I461" s="355"/>
      <c r="J461" s="356"/>
    </row>
    <row r="462">
      <c r="A462" s="353"/>
      <c r="B462" s="353"/>
      <c r="C462" s="354"/>
      <c r="D462" s="354"/>
      <c r="E462" s="353"/>
      <c r="F462" s="353"/>
      <c r="G462" s="353"/>
      <c r="H462" s="353"/>
      <c r="I462" s="355"/>
      <c r="J462" s="356"/>
    </row>
    <row r="463">
      <c r="A463" s="353"/>
      <c r="B463" s="353"/>
      <c r="C463" s="354"/>
      <c r="D463" s="354"/>
      <c r="E463" s="353"/>
      <c r="F463" s="353"/>
      <c r="G463" s="353"/>
      <c r="H463" s="353"/>
      <c r="I463" s="355"/>
      <c r="J463" s="356"/>
    </row>
    <row r="464">
      <c r="A464" s="353"/>
      <c r="B464" s="353"/>
      <c r="C464" s="354"/>
      <c r="D464" s="354"/>
      <c r="E464" s="353"/>
      <c r="F464" s="353"/>
      <c r="G464" s="353"/>
      <c r="H464" s="353"/>
      <c r="I464" s="355"/>
      <c r="J464" s="356"/>
    </row>
    <row r="465">
      <c r="A465" s="353"/>
      <c r="B465" s="353"/>
      <c r="C465" s="354"/>
      <c r="D465" s="354"/>
      <c r="E465" s="353"/>
      <c r="F465" s="353"/>
      <c r="G465" s="353"/>
      <c r="H465" s="353"/>
      <c r="I465" s="355"/>
      <c r="J465" s="356"/>
    </row>
    <row r="466">
      <c r="A466" s="353"/>
      <c r="B466" s="353"/>
      <c r="C466" s="354"/>
      <c r="D466" s="354"/>
      <c r="E466" s="353"/>
      <c r="F466" s="353"/>
      <c r="G466" s="353"/>
      <c r="H466" s="353"/>
      <c r="I466" s="355"/>
      <c r="J466" s="356"/>
    </row>
    <row r="467">
      <c r="A467" s="353"/>
      <c r="B467" s="353"/>
      <c r="C467" s="354"/>
      <c r="D467" s="354"/>
      <c r="E467" s="353"/>
      <c r="F467" s="353"/>
      <c r="G467" s="353"/>
      <c r="H467" s="353"/>
      <c r="I467" s="355"/>
      <c r="J467" s="356"/>
    </row>
    <row r="468">
      <c r="A468" s="353"/>
      <c r="B468" s="353"/>
      <c r="C468" s="354"/>
      <c r="D468" s="354"/>
      <c r="E468" s="353"/>
      <c r="F468" s="353"/>
      <c r="G468" s="353"/>
      <c r="H468" s="353"/>
      <c r="I468" s="355"/>
      <c r="J468" s="356"/>
    </row>
    <row r="469">
      <c r="A469" s="353"/>
      <c r="B469" s="353"/>
      <c r="C469" s="354"/>
      <c r="D469" s="354"/>
      <c r="E469" s="353"/>
      <c r="F469" s="353"/>
      <c r="G469" s="353"/>
      <c r="H469" s="353"/>
      <c r="I469" s="355"/>
      <c r="J469" s="356"/>
    </row>
    <row r="470">
      <c r="A470" s="353"/>
      <c r="B470" s="353"/>
      <c r="C470" s="354"/>
      <c r="D470" s="354"/>
      <c r="E470" s="353"/>
      <c r="F470" s="353"/>
      <c r="G470" s="353"/>
      <c r="H470" s="353"/>
      <c r="I470" s="355"/>
      <c r="J470" s="356"/>
    </row>
    <row r="471">
      <c r="A471" s="353"/>
      <c r="B471" s="353"/>
      <c r="C471" s="354"/>
      <c r="D471" s="354"/>
      <c r="E471" s="353"/>
      <c r="F471" s="353"/>
      <c r="G471" s="353"/>
      <c r="H471" s="353"/>
      <c r="I471" s="355"/>
      <c r="J471" s="356"/>
    </row>
    <row r="472">
      <c r="A472" s="353"/>
      <c r="B472" s="353"/>
      <c r="C472" s="354"/>
      <c r="D472" s="354"/>
      <c r="E472" s="353"/>
      <c r="F472" s="353"/>
      <c r="G472" s="353"/>
      <c r="H472" s="353"/>
      <c r="I472" s="355"/>
      <c r="J472" s="356"/>
    </row>
    <row r="473">
      <c r="A473" s="353"/>
      <c r="B473" s="353"/>
      <c r="C473" s="354"/>
      <c r="D473" s="354"/>
      <c r="E473" s="353"/>
      <c r="F473" s="353"/>
      <c r="G473" s="353"/>
      <c r="H473" s="353"/>
      <c r="I473" s="355"/>
      <c r="J473" s="356"/>
    </row>
    <row r="474">
      <c r="A474" s="353"/>
      <c r="B474" s="353"/>
      <c r="C474" s="354"/>
      <c r="D474" s="354"/>
      <c r="E474" s="353"/>
      <c r="F474" s="353"/>
      <c r="G474" s="353"/>
      <c r="H474" s="353"/>
      <c r="I474" s="355"/>
      <c r="J474" s="356"/>
    </row>
    <row r="475">
      <c r="A475" s="353"/>
      <c r="B475" s="353"/>
      <c r="C475" s="354"/>
      <c r="D475" s="354"/>
      <c r="E475" s="353"/>
      <c r="F475" s="353"/>
      <c r="G475" s="353"/>
      <c r="H475" s="353"/>
      <c r="I475" s="355"/>
      <c r="J475" s="356"/>
    </row>
    <row r="476">
      <c r="A476" s="353"/>
      <c r="B476" s="353"/>
      <c r="C476" s="354"/>
      <c r="D476" s="354"/>
      <c r="E476" s="353"/>
      <c r="F476" s="353"/>
      <c r="G476" s="353"/>
      <c r="H476" s="353"/>
      <c r="I476" s="355"/>
      <c r="J476" s="356"/>
    </row>
    <row r="477">
      <c r="A477" s="353"/>
      <c r="B477" s="353"/>
      <c r="C477" s="354"/>
      <c r="D477" s="354"/>
      <c r="E477" s="353"/>
      <c r="F477" s="353"/>
      <c r="G477" s="353"/>
      <c r="H477" s="353"/>
      <c r="I477" s="355"/>
      <c r="J477" s="356"/>
    </row>
    <row r="478">
      <c r="A478" s="353"/>
      <c r="B478" s="353"/>
      <c r="C478" s="354"/>
      <c r="D478" s="354"/>
      <c r="E478" s="353"/>
      <c r="F478" s="353"/>
      <c r="G478" s="353"/>
      <c r="H478" s="353"/>
      <c r="I478" s="355"/>
      <c r="J478" s="356"/>
    </row>
    <row r="479">
      <c r="A479" s="353"/>
      <c r="B479" s="353"/>
      <c r="C479" s="354"/>
      <c r="D479" s="354"/>
      <c r="E479" s="353"/>
      <c r="F479" s="353"/>
      <c r="G479" s="353"/>
      <c r="H479" s="353"/>
      <c r="I479" s="355"/>
      <c r="J479" s="356"/>
    </row>
    <row r="480">
      <c r="A480" s="353"/>
      <c r="B480" s="353"/>
      <c r="C480" s="354"/>
      <c r="D480" s="354"/>
      <c r="E480" s="353"/>
      <c r="F480" s="353"/>
      <c r="G480" s="353"/>
      <c r="H480" s="353"/>
      <c r="I480" s="355"/>
      <c r="J480" s="356"/>
    </row>
    <row r="481">
      <c r="A481" s="353"/>
      <c r="B481" s="353"/>
      <c r="C481" s="354"/>
      <c r="D481" s="354"/>
      <c r="E481" s="353"/>
      <c r="F481" s="353"/>
      <c r="G481" s="353"/>
      <c r="H481" s="353"/>
      <c r="I481" s="355"/>
      <c r="J481" s="356"/>
    </row>
    <row r="482">
      <c r="A482" s="353"/>
      <c r="B482" s="353"/>
      <c r="C482" s="354"/>
      <c r="D482" s="354"/>
      <c r="E482" s="353"/>
      <c r="F482" s="353"/>
      <c r="G482" s="353"/>
      <c r="H482" s="353"/>
      <c r="I482" s="355"/>
      <c r="J482" s="356"/>
    </row>
    <row r="483">
      <c r="A483" s="353"/>
      <c r="B483" s="353"/>
      <c r="C483" s="354"/>
      <c r="D483" s="354"/>
      <c r="E483" s="353"/>
      <c r="F483" s="353"/>
      <c r="G483" s="353"/>
      <c r="H483" s="353"/>
      <c r="I483" s="355"/>
      <c r="J483" s="356"/>
    </row>
    <row r="484">
      <c r="A484" s="353"/>
      <c r="B484" s="353"/>
      <c r="C484" s="354"/>
      <c r="D484" s="354"/>
      <c r="E484" s="353"/>
      <c r="F484" s="353"/>
      <c r="G484" s="353"/>
      <c r="H484" s="353"/>
      <c r="I484" s="355"/>
      <c r="J484" s="356"/>
    </row>
    <row r="485">
      <c r="A485" s="353"/>
      <c r="B485" s="353"/>
      <c r="C485" s="354"/>
      <c r="D485" s="354"/>
      <c r="E485" s="353"/>
      <c r="F485" s="353"/>
      <c r="G485" s="353"/>
      <c r="H485" s="353"/>
      <c r="I485" s="355"/>
      <c r="J485" s="356"/>
    </row>
    <row r="486">
      <c r="A486" s="353"/>
      <c r="B486" s="353"/>
      <c r="C486" s="354"/>
      <c r="D486" s="354"/>
      <c r="E486" s="353"/>
      <c r="F486" s="353"/>
      <c r="G486" s="353"/>
      <c r="H486" s="353"/>
      <c r="I486" s="355"/>
      <c r="J486" s="356"/>
    </row>
    <row r="487">
      <c r="A487" s="353"/>
      <c r="B487" s="353"/>
      <c r="C487" s="354"/>
      <c r="D487" s="354"/>
      <c r="E487" s="353"/>
      <c r="F487" s="353"/>
      <c r="G487" s="353"/>
      <c r="H487" s="353"/>
      <c r="I487" s="355"/>
      <c r="J487" s="356"/>
    </row>
    <row r="488">
      <c r="A488" s="353"/>
      <c r="B488" s="353"/>
      <c r="C488" s="354"/>
      <c r="D488" s="354"/>
      <c r="E488" s="353"/>
      <c r="F488" s="353"/>
      <c r="G488" s="353"/>
      <c r="H488" s="353"/>
      <c r="I488" s="355"/>
      <c r="J488" s="356"/>
    </row>
    <row r="489">
      <c r="A489" s="353"/>
      <c r="B489" s="353"/>
      <c r="C489" s="354"/>
      <c r="D489" s="354"/>
      <c r="E489" s="353"/>
      <c r="F489" s="353"/>
      <c r="G489" s="353"/>
      <c r="H489" s="353"/>
      <c r="I489" s="355"/>
      <c r="J489" s="356"/>
    </row>
    <row r="490">
      <c r="A490" s="353"/>
      <c r="B490" s="353"/>
      <c r="C490" s="354"/>
      <c r="D490" s="354"/>
      <c r="E490" s="353"/>
      <c r="F490" s="353"/>
      <c r="G490" s="353"/>
      <c r="H490" s="353"/>
      <c r="I490" s="355"/>
      <c r="J490" s="356"/>
    </row>
    <row r="491">
      <c r="A491" s="353"/>
      <c r="B491" s="353"/>
      <c r="C491" s="354"/>
      <c r="D491" s="354"/>
      <c r="E491" s="353"/>
      <c r="F491" s="353"/>
      <c r="G491" s="353"/>
      <c r="H491" s="353"/>
      <c r="I491" s="355"/>
      <c r="J491" s="356"/>
    </row>
    <row r="492">
      <c r="A492" s="353"/>
      <c r="B492" s="353"/>
      <c r="C492" s="354"/>
      <c r="D492" s="354"/>
      <c r="E492" s="353"/>
      <c r="F492" s="353"/>
      <c r="G492" s="353"/>
      <c r="H492" s="353"/>
      <c r="I492" s="355"/>
      <c r="J492" s="356"/>
    </row>
    <row r="493">
      <c r="A493" s="353"/>
      <c r="B493" s="353"/>
      <c r="C493" s="354"/>
      <c r="D493" s="354"/>
      <c r="E493" s="353"/>
      <c r="F493" s="353"/>
      <c r="G493" s="353"/>
      <c r="H493" s="353"/>
      <c r="I493" s="355"/>
      <c r="J493" s="356"/>
    </row>
    <row r="494">
      <c r="A494" s="353"/>
      <c r="B494" s="353"/>
      <c r="C494" s="354"/>
      <c r="D494" s="354"/>
      <c r="E494" s="353"/>
      <c r="F494" s="353"/>
      <c r="G494" s="353"/>
      <c r="H494" s="353"/>
      <c r="I494" s="355"/>
      <c r="J494" s="356"/>
    </row>
    <row r="495">
      <c r="A495" s="353"/>
      <c r="B495" s="353"/>
      <c r="C495" s="354"/>
      <c r="D495" s="354"/>
      <c r="E495" s="353"/>
      <c r="F495" s="353"/>
      <c r="G495" s="353"/>
      <c r="H495" s="353"/>
      <c r="I495" s="355"/>
      <c r="J495" s="356"/>
    </row>
    <row r="496">
      <c r="A496" s="353"/>
      <c r="B496" s="353"/>
      <c r="C496" s="354"/>
      <c r="D496" s="354"/>
      <c r="E496" s="353"/>
      <c r="F496" s="353"/>
      <c r="G496" s="353"/>
      <c r="H496" s="353"/>
      <c r="I496" s="355"/>
      <c r="J496" s="356"/>
    </row>
    <row r="497">
      <c r="A497" s="353"/>
      <c r="B497" s="353"/>
      <c r="C497" s="354"/>
      <c r="D497" s="354"/>
      <c r="E497" s="353"/>
      <c r="F497" s="353"/>
      <c r="G497" s="353"/>
      <c r="H497" s="353"/>
      <c r="I497" s="355"/>
      <c r="J497" s="356"/>
    </row>
    <row r="498">
      <c r="A498" s="353"/>
      <c r="B498" s="353"/>
      <c r="C498" s="354"/>
      <c r="D498" s="354"/>
      <c r="E498" s="353"/>
      <c r="F498" s="353"/>
      <c r="G498" s="353"/>
      <c r="H498" s="353"/>
      <c r="I498" s="355"/>
      <c r="J498" s="356"/>
    </row>
    <row r="499">
      <c r="A499" s="353"/>
      <c r="B499" s="353"/>
      <c r="C499" s="354"/>
      <c r="D499" s="354"/>
      <c r="E499" s="353"/>
      <c r="F499" s="353"/>
      <c r="G499" s="353"/>
      <c r="H499" s="353"/>
      <c r="I499" s="355"/>
      <c r="J499" s="356"/>
    </row>
    <row r="500">
      <c r="A500" s="353"/>
      <c r="B500" s="353"/>
      <c r="C500" s="354"/>
      <c r="D500" s="354"/>
      <c r="E500" s="353"/>
      <c r="F500" s="353"/>
      <c r="G500" s="353"/>
      <c r="H500" s="353"/>
      <c r="I500" s="355"/>
      <c r="J500" s="356"/>
    </row>
    <row r="501">
      <c r="A501" s="353"/>
      <c r="B501" s="353"/>
      <c r="C501" s="354"/>
      <c r="D501" s="354"/>
      <c r="E501" s="353"/>
      <c r="F501" s="353"/>
      <c r="G501" s="353"/>
      <c r="H501" s="353"/>
      <c r="I501" s="355"/>
      <c r="J501" s="356"/>
    </row>
    <row r="502">
      <c r="A502" s="353"/>
      <c r="B502" s="353"/>
      <c r="C502" s="354"/>
      <c r="D502" s="354"/>
      <c r="E502" s="353"/>
      <c r="F502" s="353"/>
      <c r="G502" s="353"/>
      <c r="H502" s="353"/>
      <c r="I502" s="355"/>
      <c r="J502" s="356"/>
    </row>
    <row r="503">
      <c r="A503" s="353"/>
      <c r="B503" s="353"/>
      <c r="C503" s="354"/>
      <c r="D503" s="354"/>
      <c r="E503" s="353"/>
      <c r="F503" s="353"/>
      <c r="G503" s="353"/>
      <c r="H503" s="353"/>
      <c r="I503" s="355"/>
      <c r="J503" s="356"/>
    </row>
    <row r="504">
      <c r="A504" s="353"/>
      <c r="B504" s="353"/>
      <c r="C504" s="354"/>
      <c r="D504" s="354"/>
      <c r="E504" s="353"/>
      <c r="F504" s="353"/>
      <c r="G504" s="353"/>
      <c r="H504" s="353"/>
      <c r="I504" s="355"/>
      <c r="J504" s="356"/>
    </row>
    <row r="505">
      <c r="A505" s="353"/>
      <c r="B505" s="353"/>
      <c r="C505" s="354"/>
      <c r="D505" s="354"/>
      <c r="E505" s="353"/>
      <c r="F505" s="353"/>
      <c r="G505" s="353"/>
      <c r="H505" s="353"/>
      <c r="I505" s="355"/>
      <c r="J505" s="356"/>
    </row>
    <row r="506">
      <c r="A506" s="353"/>
      <c r="B506" s="353"/>
      <c r="C506" s="354"/>
      <c r="D506" s="354"/>
      <c r="E506" s="353"/>
      <c r="F506" s="353"/>
      <c r="G506" s="353"/>
      <c r="H506" s="353"/>
      <c r="I506" s="355"/>
      <c r="J506" s="356"/>
    </row>
    <row r="507">
      <c r="A507" s="353"/>
      <c r="B507" s="353"/>
      <c r="C507" s="354"/>
      <c r="D507" s="354"/>
      <c r="E507" s="353"/>
      <c r="F507" s="353"/>
      <c r="G507" s="353"/>
      <c r="H507" s="353"/>
      <c r="I507" s="355"/>
      <c r="J507" s="356"/>
    </row>
    <row r="508">
      <c r="A508" s="353"/>
      <c r="B508" s="353"/>
      <c r="C508" s="354"/>
      <c r="D508" s="354"/>
      <c r="E508" s="353"/>
      <c r="F508" s="353"/>
      <c r="G508" s="353"/>
      <c r="H508" s="353"/>
      <c r="I508" s="355"/>
      <c r="J508" s="356"/>
    </row>
    <row r="509">
      <c r="A509" s="353"/>
      <c r="B509" s="353"/>
      <c r="C509" s="354"/>
      <c r="D509" s="354"/>
      <c r="E509" s="353"/>
      <c r="F509" s="353"/>
      <c r="G509" s="353"/>
      <c r="H509" s="353"/>
      <c r="I509" s="355"/>
      <c r="J509" s="356"/>
    </row>
    <row r="510">
      <c r="A510" s="353"/>
      <c r="B510" s="353"/>
      <c r="C510" s="354"/>
      <c r="D510" s="354"/>
      <c r="E510" s="353"/>
      <c r="F510" s="353"/>
      <c r="G510" s="353"/>
      <c r="H510" s="353"/>
      <c r="I510" s="355"/>
      <c r="J510" s="356"/>
    </row>
    <row r="511">
      <c r="A511" s="353"/>
      <c r="B511" s="353"/>
      <c r="C511" s="354"/>
      <c r="D511" s="354"/>
      <c r="E511" s="353"/>
      <c r="F511" s="353"/>
      <c r="G511" s="353"/>
      <c r="H511" s="353"/>
      <c r="I511" s="355"/>
      <c r="J511" s="356"/>
    </row>
    <row r="512">
      <c r="A512" s="353"/>
      <c r="B512" s="353"/>
      <c r="C512" s="354"/>
      <c r="D512" s="354"/>
      <c r="E512" s="353"/>
      <c r="F512" s="353"/>
      <c r="G512" s="353"/>
      <c r="H512" s="353"/>
      <c r="I512" s="355"/>
      <c r="J512" s="356"/>
    </row>
    <row r="513">
      <c r="A513" s="353"/>
      <c r="B513" s="353"/>
      <c r="C513" s="354"/>
      <c r="D513" s="354"/>
      <c r="E513" s="353"/>
      <c r="F513" s="353"/>
      <c r="G513" s="353"/>
      <c r="H513" s="353"/>
      <c r="I513" s="355"/>
      <c r="J513" s="356"/>
    </row>
    <row r="514">
      <c r="A514" s="353"/>
      <c r="B514" s="353"/>
      <c r="C514" s="354"/>
      <c r="D514" s="354"/>
      <c r="E514" s="353"/>
      <c r="F514" s="353"/>
      <c r="G514" s="353"/>
      <c r="H514" s="353"/>
      <c r="I514" s="355"/>
      <c r="J514" s="356"/>
    </row>
    <row r="515">
      <c r="A515" s="353"/>
      <c r="B515" s="353"/>
      <c r="C515" s="354"/>
      <c r="D515" s="354"/>
      <c r="E515" s="353"/>
      <c r="F515" s="353"/>
      <c r="G515" s="353"/>
      <c r="H515" s="353"/>
      <c r="I515" s="355"/>
      <c r="J515" s="356"/>
    </row>
    <row r="516">
      <c r="A516" s="353"/>
      <c r="B516" s="353"/>
      <c r="C516" s="354"/>
      <c r="D516" s="354"/>
      <c r="E516" s="353"/>
      <c r="F516" s="353"/>
      <c r="G516" s="353"/>
      <c r="H516" s="353"/>
      <c r="I516" s="355"/>
      <c r="J516" s="356"/>
    </row>
    <row r="517">
      <c r="A517" s="353"/>
      <c r="B517" s="353"/>
      <c r="C517" s="354"/>
      <c r="D517" s="354"/>
      <c r="E517" s="353"/>
      <c r="F517" s="353"/>
      <c r="G517" s="353"/>
      <c r="H517" s="353"/>
      <c r="I517" s="355"/>
      <c r="J517" s="356"/>
    </row>
    <row r="518">
      <c r="A518" s="353"/>
      <c r="B518" s="353"/>
      <c r="C518" s="354"/>
      <c r="D518" s="354"/>
      <c r="E518" s="353"/>
      <c r="F518" s="353"/>
      <c r="G518" s="353"/>
      <c r="H518" s="353"/>
      <c r="I518" s="355"/>
      <c r="J518" s="356"/>
    </row>
    <row r="519">
      <c r="A519" s="353"/>
      <c r="B519" s="353"/>
      <c r="C519" s="354"/>
      <c r="D519" s="354"/>
      <c r="E519" s="353"/>
      <c r="F519" s="353"/>
      <c r="G519" s="353"/>
      <c r="H519" s="353"/>
      <c r="I519" s="355"/>
      <c r="J519" s="356"/>
    </row>
    <row r="520">
      <c r="A520" s="353"/>
      <c r="B520" s="353"/>
      <c r="C520" s="354"/>
      <c r="D520" s="354"/>
      <c r="E520" s="353"/>
      <c r="F520" s="353"/>
      <c r="G520" s="353"/>
      <c r="H520" s="353"/>
      <c r="I520" s="355"/>
      <c r="J520" s="356"/>
    </row>
    <row r="521">
      <c r="A521" s="353"/>
      <c r="B521" s="353"/>
      <c r="C521" s="354"/>
      <c r="D521" s="354"/>
      <c r="E521" s="353"/>
      <c r="F521" s="353"/>
      <c r="G521" s="353"/>
      <c r="H521" s="353"/>
      <c r="I521" s="355"/>
      <c r="J521" s="356"/>
    </row>
    <row r="522">
      <c r="A522" s="353"/>
      <c r="B522" s="353"/>
      <c r="C522" s="354"/>
      <c r="D522" s="354"/>
      <c r="E522" s="353"/>
      <c r="F522" s="353"/>
      <c r="G522" s="353"/>
      <c r="H522" s="353"/>
      <c r="I522" s="355"/>
      <c r="J522" s="356"/>
    </row>
    <row r="523">
      <c r="A523" s="353"/>
      <c r="B523" s="353"/>
      <c r="C523" s="354"/>
      <c r="D523" s="354"/>
      <c r="E523" s="353"/>
      <c r="F523" s="353"/>
      <c r="G523" s="353"/>
      <c r="H523" s="353"/>
      <c r="I523" s="355"/>
      <c r="J523" s="356"/>
    </row>
    <row r="524">
      <c r="A524" s="353"/>
      <c r="B524" s="353"/>
      <c r="C524" s="354"/>
      <c r="D524" s="354"/>
      <c r="E524" s="353"/>
      <c r="F524" s="353"/>
      <c r="G524" s="353"/>
      <c r="H524" s="353"/>
      <c r="I524" s="355"/>
      <c r="J524" s="356"/>
    </row>
    <row r="525">
      <c r="A525" s="353"/>
      <c r="B525" s="353"/>
      <c r="C525" s="354"/>
      <c r="D525" s="354"/>
      <c r="E525" s="353"/>
      <c r="F525" s="353"/>
      <c r="G525" s="353"/>
      <c r="H525" s="353"/>
      <c r="I525" s="355"/>
      <c r="J525" s="356"/>
    </row>
    <row r="526">
      <c r="A526" s="353"/>
      <c r="B526" s="353"/>
      <c r="C526" s="354"/>
      <c r="D526" s="354"/>
      <c r="E526" s="353"/>
      <c r="F526" s="353"/>
      <c r="G526" s="353"/>
      <c r="H526" s="353"/>
      <c r="I526" s="355"/>
      <c r="J526" s="356"/>
    </row>
    <row r="527">
      <c r="A527" s="353"/>
      <c r="B527" s="353"/>
      <c r="C527" s="354"/>
      <c r="D527" s="354"/>
      <c r="E527" s="353"/>
      <c r="F527" s="353"/>
      <c r="G527" s="353"/>
      <c r="H527" s="353"/>
      <c r="I527" s="355"/>
      <c r="J527" s="356"/>
    </row>
    <row r="528">
      <c r="A528" s="353"/>
      <c r="B528" s="353"/>
      <c r="C528" s="354"/>
      <c r="D528" s="354"/>
      <c r="E528" s="353"/>
      <c r="F528" s="353"/>
      <c r="G528" s="353"/>
      <c r="H528" s="353"/>
      <c r="I528" s="355"/>
      <c r="J528" s="356"/>
    </row>
    <row r="529">
      <c r="A529" s="353"/>
      <c r="B529" s="353"/>
      <c r="C529" s="354"/>
      <c r="D529" s="354"/>
      <c r="E529" s="353"/>
      <c r="F529" s="353"/>
      <c r="G529" s="353"/>
      <c r="H529" s="353"/>
      <c r="I529" s="355"/>
      <c r="J529" s="356"/>
    </row>
    <row r="530">
      <c r="A530" s="353"/>
      <c r="B530" s="353"/>
      <c r="C530" s="354"/>
      <c r="D530" s="354"/>
      <c r="E530" s="353"/>
      <c r="F530" s="353"/>
      <c r="G530" s="353"/>
      <c r="H530" s="353"/>
      <c r="I530" s="355"/>
      <c r="J530" s="356"/>
    </row>
    <row r="531">
      <c r="A531" s="353"/>
      <c r="B531" s="353"/>
      <c r="C531" s="354"/>
      <c r="D531" s="354"/>
      <c r="E531" s="353"/>
      <c r="F531" s="353"/>
      <c r="G531" s="353"/>
      <c r="H531" s="353"/>
      <c r="I531" s="355"/>
      <c r="J531" s="356"/>
    </row>
    <row r="532">
      <c r="A532" s="353"/>
      <c r="B532" s="353"/>
      <c r="C532" s="354"/>
      <c r="D532" s="354"/>
      <c r="E532" s="353"/>
      <c r="F532" s="353"/>
      <c r="G532" s="353"/>
      <c r="H532" s="353"/>
      <c r="I532" s="355"/>
      <c r="J532" s="356"/>
    </row>
    <row r="533">
      <c r="A533" s="353"/>
      <c r="B533" s="353"/>
      <c r="C533" s="354"/>
      <c r="D533" s="354"/>
      <c r="E533" s="353"/>
      <c r="F533" s="353"/>
      <c r="G533" s="353"/>
      <c r="H533" s="353"/>
      <c r="I533" s="355"/>
      <c r="J533" s="356"/>
    </row>
    <row r="534">
      <c r="A534" s="353"/>
      <c r="B534" s="353"/>
      <c r="C534" s="354"/>
      <c r="D534" s="354"/>
      <c r="E534" s="353"/>
      <c r="F534" s="353"/>
      <c r="G534" s="353"/>
      <c r="H534" s="353"/>
      <c r="I534" s="355"/>
      <c r="J534" s="356"/>
    </row>
    <row r="535">
      <c r="A535" s="353"/>
      <c r="B535" s="353"/>
      <c r="C535" s="354"/>
      <c r="D535" s="354"/>
      <c r="E535" s="353"/>
      <c r="F535" s="353"/>
      <c r="G535" s="353"/>
      <c r="H535" s="353"/>
      <c r="I535" s="355"/>
      <c r="J535" s="356"/>
    </row>
    <row r="536">
      <c r="A536" s="353"/>
      <c r="B536" s="353"/>
      <c r="C536" s="354"/>
      <c r="D536" s="354"/>
      <c r="E536" s="353"/>
      <c r="F536" s="353"/>
      <c r="G536" s="353"/>
      <c r="H536" s="353"/>
      <c r="I536" s="355"/>
      <c r="J536" s="356"/>
    </row>
    <row r="537">
      <c r="A537" s="353"/>
      <c r="B537" s="353"/>
      <c r="C537" s="354"/>
      <c r="D537" s="354"/>
      <c r="E537" s="353"/>
      <c r="F537" s="353"/>
      <c r="G537" s="353"/>
      <c r="H537" s="353"/>
      <c r="I537" s="355"/>
      <c r="J537" s="356"/>
    </row>
    <row r="538">
      <c r="A538" s="353"/>
      <c r="B538" s="353"/>
      <c r="C538" s="354"/>
      <c r="D538" s="354"/>
      <c r="E538" s="353"/>
      <c r="F538" s="353"/>
      <c r="G538" s="353"/>
      <c r="H538" s="353"/>
      <c r="I538" s="355"/>
      <c r="J538" s="356"/>
    </row>
    <row r="539">
      <c r="A539" s="353"/>
      <c r="B539" s="353"/>
      <c r="C539" s="354"/>
      <c r="D539" s="354"/>
      <c r="E539" s="353"/>
      <c r="F539" s="353"/>
      <c r="G539" s="353"/>
      <c r="H539" s="353"/>
      <c r="I539" s="355"/>
      <c r="J539" s="356"/>
    </row>
    <row r="540">
      <c r="A540" s="353"/>
      <c r="B540" s="353"/>
      <c r="C540" s="354"/>
      <c r="D540" s="354"/>
      <c r="E540" s="353"/>
      <c r="F540" s="353"/>
      <c r="G540" s="353"/>
      <c r="H540" s="353"/>
      <c r="I540" s="355"/>
      <c r="J540" s="356"/>
    </row>
    <row r="541">
      <c r="A541" s="353"/>
      <c r="B541" s="353"/>
      <c r="C541" s="354"/>
      <c r="D541" s="354"/>
      <c r="E541" s="353"/>
      <c r="F541" s="353"/>
      <c r="G541" s="353"/>
      <c r="H541" s="353"/>
      <c r="I541" s="355"/>
      <c r="J541" s="356"/>
    </row>
    <row r="542">
      <c r="A542" s="353"/>
      <c r="B542" s="353"/>
      <c r="C542" s="354"/>
      <c r="D542" s="354"/>
      <c r="E542" s="353"/>
      <c r="F542" s="353"/>
      <c r="G542" s="353"/>
      <c r="H542" s="353"/>
      <c r="I542" s="355"/>
      <c r="J542" s="356"/>
    </row>
    <row r="543">
      <c r="A543" s="353"/>
      <c r="B543" s="353"/>
      <c r="C543" s="354"/>
      <c r="D543" s="354"/>
      <c r="E543" s="353"/>
      <c r="F543" s="353"/>
      <c r="G543" s="353"/>
      <c r="H543" s="353"/>
      <c r="I543" s="355"/>
      <c r="J543" s="356"/>
    </row>
    <row r="544">
      <c r="A544" s="353"/>
      <c r="B544" s="353"/>
      <c r="C544" s="354"/>
      <c r="D544" s="354"/>
      <c r="E544" s="353"/>
      <c r="F544" s="353"/>
      <c r="G544" s="353"/>
      <c r="H544" s="353"/>
      <c r="I544" s="355"/>
      <c r="J544" s="356"/>
    </row>
    <row r="545">
      <c r="A545" s="353"/>
      <c r="B545" s="353"/>
      <c r="C545" s="354"/>
      <c r="D545" s="354"/>
      <c r="E545" s="353"/>
      <c r="F545" s="353"/>
      <c r="G545" s="353"/>
      <c r="H545" s="353"/>
      <c r="I545" s="355"/>
      <c r="J545" s="356"/>
    </row>
    <row r="546">
      <c r="A546" s="353"/>
      <c r="B546" s="353"/>
      <c r="C546" s="354"/>
      <c r="D546" s="354"/>
      <c r="E546" s="353"/>
      <c r="F546" s="353"/>
      <c r="G546" s="353"/>
      <c r="H546" s="353"/>
      <c r="I546" s="355"/>
      <c r="J546" s="356"/>
    </row>
    <row r="547">
      <c r="A547" s="353"/>
      <c r="B547" s="353"/>
      <c r="C547" s="354"/>
      <c r="D547" s="354"/>
      <c r="E547" s="353"/>
      <c r="F547" s="353"/>
      <c r="G547" s="353"/>
      <c r="H547" s="353"/>
      <c r="I547" s="355"/>
      <c r="J547" s="356"/>
    </row>
    <row r="548">
      <c r="A548" s="353"/>
      <c r="B548" s="353"/>
      <c r="C548" s="354"/>
      <c r="D548" s="354"/>
      <c r="E548" s="353"/>
      <c r="F548" s="353"/>
      <c r="G548" s="353"/>
      <c r="H548" s="353"/>
      <c r="I548" s="355"/>
      <c r="J548" s="356"/>
    </row>
    <row r="549">
      <c r="A549" s="353"/>
      <c r="B549" s="353"/>
      <c r="C549" s="354"/>
      <c r="D549" s="354"/>
      <c r="E549" s="353"/>
      <c r="F549" s="353"/>
      <c r="G549" s="353"/>
      <c r="H549" s="353"/>
      <c r="I549" s="355"/>
      <c r="J549" s="356"/>
    </row>
    <row r="550">
      <c r="A550" s="353"/>
      <c r="B550" s="353"/>
      <c r="C550" s="354"/>
      <c r="D550" s="354"/>
      <c r="E550" s="353"/>
      <c r="F550" s="353"/>
      <c r="G550" s="353"/>
      <c r="H550" s="353"/>
      <c r="I550" s="355"/>
      <c r="J550" s="356"/>
    </row>
    <row r="551">
      <c r="A551" s="353"/>
      <c r="B551" s="353"/>
      <c r="C551" s="354"/>
      <c r="D551" s="354"/>
      <c r="E551" s="353"/>
      <c r="F551" s="353"/>
      <c r="G551" s="353"/>
      <c r="H551" s="353"/>
      <c r="I551" s="355"/>
      <c r="J551" s="356"/>
    </row>
    <row r="552">
      <c r="A552" s="353"/>
      <c r="B552" s="353"/>
      <c r="C552" s="354"/>
      <c r="D552" s="354"/>
      <c r="E552" s="353"/>
      <c r="F552" s="353"/>
      <c r="G552" s="353"/>
      <c r="H552" s="353"/>
      <c r="I552" s="355"/>
      <c r="J552" s="356"/>
    </row>
    <row r="553">
      <c r="A553" s="353"/>
      <c r="B553" s="353"/>
      <c r="C553" s="354"/>
      <c r="D553" s="354"/>
      <c r="E553" s="353"/>
      <c r="F553" s="353"/>
      <c r="G553" s="353"/>
      <c r="H553" s="353"/>
      <c r="I553" s="355"/>
      <c r="J553" s="356"/>
    </row>
    <row r="554">
      <c r="A554" s="353"/>
      <c r="B554" s="353"/>
      <c r="C554" s="354"/>
      <c r="D554" s="354"/>
      <c r="E554" s="353"/>
      <c r="F554" s="353"/>
      <c r="G554" s="353"/>
      <c r="H554" s="353"/>
      <c r="I554" s="355"/>
      <c r="J554" s="356"/>
    </row>
    <row r="555">
      <c r="A555" s="353"/>
      <c r="B555" s="353"/>
      <c r="C555" s="354"/>
      <c r="D555" s="354"/>
      <c r="E555" s="353"/>
      <c r="F555" s="353"/>
      <c r="G555" s="353"/>
      <c r="H555" s="353"/>
      <c r="I555" s="355"/>
      <c r="J555" s="356"/>
    </row>
    <row r="556">
      <c r="A556" s="353"/>
      <c r="B556" s="353"/>
      <c r="C556" s="354"/>
      <c r="D556" s="354"/>
      <c r="E556" s="353"/>
      <c r="F556" s="353"/>
      <c r="G556" s="353"/>
      <c r="H556" s="353"/>
      <c r="I556" s="355"/>
      <c r="J556" s="356"/>
    </row>
    <row r="557">
      <c r="A557" s="353"/>
      <c r="B557" s="353"/>
      <c r="C557" s="354"/>
      <c r="D557" s="354"/>
      <c r="E557" s="353"/>
      <c r="F557" s="353"/>
      <c r="G557" s="353"/>
      <c r="H557" s="353"/>
      <c r="I557" s="355"/>
      <c r="J557" s="356"/>
    </row>
    <row r="558">
      <c r="A558" s="353"/>
      <c r="B558" s="353"/>
      <c r="C558" s="354"/>
      <c r="D558" s="354"/>
      <c r="E558" s="353"/>
      <c r="F558" s="353"/>
      <c r="G558" s="353"/>
      <c r="H558" s="353"/>
      <c r="I558" s="355"/>
      <c r="J558" s="356"/>
    </row>
  </sheetData>
  <mergeCells count="1">
    <mergeCell ref="A8:J8"/>
  </mergeCells>
  <dataValidations>
    <dataValidation type="list" allowBlank="1" sqref="D2">
      <formula1>Tablas!$B:$B</formula1>
    </dataValidation>
    <dataValidation type="list" allowBlank="1" sqref="G2">
      <formula1>Tablas!$A:$A</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2" max="2" width="56.75"/>
    <col customWidth="1" min="3" max="3" width="17.13"/>
    <col customWidth="1" min="4" max="4" width="14.13"/>
    <col customWidth="1" min="5" max="5" width="12.75"/>
    <col customWidth="1" min="6" max="6" width="12.63"/>
    <col customWidth="1" min="7" max="7" width="9.13"/>
    <col customWidth="1" min="8" max="8" width="11.13"/>
    <col customWidth="1" min="9" max="9" width="10.5"/>
    <col customWidth="1" min="10" max="10" width="16.75"/>
    <col customWidth="1" min="11" max="11" width="11.5"/>
    <col customWidth="1" min="12" max="12" width="11.13"/>
    <col customWidth="1" min="13" max="13" width="12.13"/>
  </cols>
  <sheetData>
    <row r="1">
      <c r="A1" s="357" t="s">
        <v>24</v>
      </c>
      <c r="B1" s="357" t="s">
        <v>25</v>
      </c>
      <c r="C1" s="357" t="s">
        <v>4285</v>
      </c>
      <c r="D1" s="357" t="s">
        <v>4286</v>
      </c>
      <c r="E1" s="357" t="s">
        <v>4287</v>
      </c>
      <c r="F1" s="358" t="s">
        <v>4288</v>
      </c>
      <c r="G1" s="175"/>
      <c r="H1" s="175"/>
      <c r="I1" s="176"/>
      <c r="J1" s="359" t="s">
        <v>4289</v>
      </c>
      <c r="K1" s="360"/>
      <c r="L1" s="360"/>
      <c r="M1" s="360"/>
    </row>
    <row r="2">
      <c r="A2" s="179"/>
      <c r="B2" s="179"/>
      <c r="C2" s="179"/>
      <c r="D2" s="179"/>
      <c r="E2" s="179"/>
      <c r="F2" s="361" t="s">
        <v>4290</v>
      </c>
      <c r="G2" s="362" t="s">
        <v>4291</v>
      </c>
      <c r="H2" s="362" t="s">
        <v>4292</v>
      </c>
      <c r="I2" s="362" t="s">
        <v>4293</v>
      </c>
      <c r="J2" s="363" t="s">
        <v>4294</v>
      </c>
      <c r="K2" s="364" t="s">
        <v>4291</v>
      </c>
      <c r="L2" s="364" t="s">
        <v>4292</v>
      </c>
      <c r="M2" s="364" t="s">
        <v>4293</v>
      </c>
    </row>
    <row r="3">
      <c r="A3" s="3"/>
      <c r="C3" s="365"/>
      <c r="D3" s="3"/>
      <c r="E3" t="str">
        <f t="shared" ref="E3:E1000" si="1">If(D3,C3/D3,"")</f>
        <v/>
      </c>
      <c r="F3" s="366"/>
      <c r="G3" s="367"/>
      <c r="H3" s="320">
        <f>F3+G3</f>
        <v>0</v>
      </c>
      <c r="I3" s="320">
        <f t="shared" ref="I3:I1010" si="2">+ABS(E3-H3)</f>
        <v>0</v>
      </c>
      <c r="J3" s="368">
        <f>F3*D3</f>
        <v>0</v>
      </c>
      <c r="K3">
        <f>G3*D3</f>
        <v>0</v>
      </c>
      <c r="L3">
        <f>H3*D3</f>
        <v>0</v>
      </c>
      <c r="M3">
        <f>I3*D3</f>
        <v>0</v>
      </c>
    </row>
    <row r="4">
      <c r="A4" s="3"/>
      <c r="B4" t="str">
        <f>if(   iserror(offset(PADRON!B$2,match(A:A,PADRON!A$2:A1010,0)-1,0,1,1) )  ,  ,    offset(PADRON!B$2,match(A:A,PADRON!A$2:A1010,0)-1,0,1,1))</f>
        <v/>
      </c>
      <c r="C4" s="368"/>
      <c r="E4" t="str">
        <f t="shared" si="1"/>
        <v/>
      </c>
      <c r="F4" s="369"/>
      <c r="G4" s="320"/>
      <c r="H4" s="320"/>
      <c r="I4" s="320">
        <f t="shared" si="2"/>
        <v>0</v>
      </c>
      <c r="J4" s="368"/>
    </row>
    <row r="5">
      <c r="A5" s="3"/>
      <c r="B5" t="str">
        <f>if(   iserror(offset(PADRON!B$2,match(A:A,PADRON!A$2:A1010,0)-1,0,1,1) )  ,  ,    offset(PADRON!B$2,match(A:A,PADRON!A$2:A1010,0)-1,0,1,1))</f>
        <v/>
      </c>
      <c r="C5" s="368"/>
      <c r="E5" t="str">
        <f t="shared" si="1"/>
        <v/>
      </c>
      <c r="F5" s="369"/>
      <c r="G5" s="320"/>
      <c r="H5" s="320"/>
      <c r="I5" s="320">
        <f t="shared" si="2"/>
        <v>0</v>
      </c>
      <c r="J5" s="368"/>
    </row>
    <row r="6">
      <c r="A6" s="3"/>
      <c r="B6" t="str">
        <f>if(   iserror(offset(PADRON!B$2,match(A:A,PADRON!A$2:A1010,0)-1,0,1,1) )  ,  ,    offset(PADRON!B$2,match(A:A,PADRON!A$2:A1010,0)-1,0,1,1))</f>
        <v/>
      </c>
      <c r="C6" s="368"/>
      <c r="E6" t="str">
        <f t="shared" si="1"/>
        <v/>
      </c>
      <c r="F6" s="369"/>
      <c r="G6" s="320"/>
      <c r="H6" s="320"/>
      <c r="I6" s="320">
        <f t="shared" si="2"/>
        <v>0</v>
      </c>
      <c r="J6" s="368"/>
    </row>
    <row r="7">
      <c r="B7" t="str">
        <f>if(   iserror(offset(PADRON!B$2,match(A:A,PADRON!A$2:A1010,0)-1,0,1,1) )  ,  ,    offset(PADRON!B$2,match(A:A,PADRON!A$2:A1010,0)-1,0,1,1))</f>
        <v/>
      </c>
      <c r="C7" s="368"/>
      <c r="E7" t="str">
        <f t="shared" si="1"/>
        <v/>
      </c>
      <c r="F7" s="369"/>
      <c r="G7" s="320"/>
      <c r="H7" s="320"/>
      <c r="I7" s="320">
        <f t="shared" si="2"/>
        <v>0</v>
      </c>
      <c r="J7" s="368"/>
    </row>
    <row r="8">
      <c r="B8" t="str">
        <f>if(   iserror(offset(PADRON!B$2,match(A:A,PADRON!A$2:A1010,0)-1,0,1,1) )  ,  ,    offset(PADRON!B$2,match(A:A,PADRON!A$2:A1010,0)-1,0,1,1))</f>
        <v/>
      </c>
      <c r="C8" s="368"/>
      <c r="E8" t="str">
        <f t="shared" si="1"/>
        <v/>
      </c>
      <c r="F8" s="369"/>
      <c r="G8" s="320"/>
      <c r="H8" s="320"/>
      <c r="I8" s="320">
        <f t="shared" si="2"/>
        <v>0</v>
      </c>
      <c r="J8" s="368"/>
    </row>
    <row r="9">
      <c r="B9" t="str">
        <f>if(   iserror(offset(PADRON!B$2,match(A:A,PADRON!A$2:A1010,0)-1,0,1,1) )  ,  ,    offset(PADRON!B$2,match(A:A,PADRON!A$2:A1010,0)-1,0,1,1))</f>
        <v/>
      </c>
      <c r="C9" s="368"/>
      <c r="E9" t="str">
        <f t="shared" si="1"/>
        <v/>
      </c>
      <c r="F9" s="369"/>
      <c r="G9" s="320"/>
      <c r="H9" s="320"/>
      <c r="I9" s="320">
        <f t="shared" si="2"/>
        <v>0</v>
      </c>
      <c r="J9" s="368"/>
    </row>
    <row r="10">
      <c r="B10" t="str">
        <f>if(   iserror(offset(PADRON!B$2,match(A:A,PADRON!A$2:A1010,0)-1,0,1,1) )  ,  ,    offset(PADRON!B$2,match(A:A,PADRON!A$2:A1010,0)-1,0,1,1))</f>
        <v/>
      </c>
      <c r="C10" s="368"/>
      <c r="E10" t="str">
        <f t="shared" si="1"/>
        <v/>
      </c>
      <c r="F10" s="369"/>
      <c r="G10" s="320"/>
      <c r="H10" s="320"/>
      <c r="I10" s="320">
        <f t="shared" si="2"/>
        <v>0</v>
      </c>
      <c r="J10" s="368"/>
    </row>
    <row r="11">
      <c r="B11" t="str">
        <f>if(   iserror(offset(PADRON!B$2,match(A:A,PADRON!A$2:A1010,0)-1,0,1,1) )  ,  ,    offset(PADRON!B$2,match(A:A,PADRON!A$2:A1010,0)-1,0,1,1))</f>
        <v/>
      </c>
      <c r="C11" s="365"/>
      <c r="E11" t="str">
        <f t="shared" si="1"/>
        <v/>
      </c>
      <c r="F11" s="369"/>
      <c r="G11" s="320"/>
      <c r="H11" s="320"/>
      <c r="I11" s="320">
        <f t="shared" si="2"/>
        <v>0</v>
      </c>
      <c r="J11" s="368"/>
    </row>
    <row r="12">
      <c r="B12" t="str">
        <f>if(   iserror(offset(PADRON!B$2,match(A:A,PADRON!A$2:A1010,0)-1,0,1,1) )  ,  ,    offset(PADRON!B$2,match(A:A,PADRON!A$2:A1010,0)-1,0,1,1))</f>
        <v/>
      </c>
      <c r="C12" s="368"/>
      <c r="E12" t="str">
        <f t="shared" si="1"/>
        <v/>
      </c>
      <c r="F12" s="369"/>
      <c r="G12" s="320"/>
      <c r="H12" s="320"/>
      <c r="I12" s="320">
        <f t="shared" si="2"/>
        <v>0</v>
      </c>
      <c r="J12" s="368"/>
    </row>
    <row r="13">
      <c r="B13" t="str">
        <f>if(   iserror(offset(PADRON!B$2,match(A:A,PADRON!A$2:A1010,0)-1,0,1,1) )  ,  ,    offset(PADRON!B$2,match(A:A,PADRON!A$2:A1010,0)-1,0,1,1))</f>
        <v/>
      </c>
      <c r="C13" s="368"/>
      <c r="E13" t="str">
        <f t="shared" si="1"/>
        <v/>
      </c>
      <c r="F13" s="369"/>
      <c r="G13" s="320"/>
      <c r="H13" s="320"/>
      <c r="I13" s="320">
        <f t="shared" si="2"/>
        <v>0</v>
      </c>
      <c r="J13" s="368"/>
    </row>
    <row r="14">
      <c r="B14" t="str">
        <f>if(   iserror(offset(PADRON!B$2,match(A:A,PADRON!A$2:A1010,0)-1,0,1,1) )  ,  ,    offset(PADRON!B$2,match(A:A,PADRON!A$2:A1010,0)-1,0,1,1))</f>
        <v/>
      </c>
      <c r="C14" s="368"/>
      <c r="E14" t="str">
        <f t="shared" si="1"/>
        <v/>
      </c>
      <c r="F14" s="369"/>
      <c r="G14" s="320"/>
      <c r="H14" s="320"/>
      <c r="I14" s="320">
        <f t="shared" si="2"/>
        <v>0</v>
      </c>
      <c r="J14" s="368"/>
      <c r="K14" s="3"/>
    </row>
    <row r="15">
      <c r="B15" t="str">
        <f>if(   iserror(offset(PADRON!B$2,match(A:A,PADRON!A$2:A1010,0)-1,0,1,1) )  ,  ,    offset(PADRON!B$2,match(A:A,PADRON!A$2:A1010,0)-1,0,1,1))</f>
        <v/>
      </c>
      <c r="C15" s="368"/>
      <c r="E15" t="str">
        <f t="shared" si="1"/>
        <v/>
      </c>
      <c r="F15" s="369"/>
      <c r="G15" s="320"/>
      <c r="H15" s="320"/>
      <c r="I15" s="320">
        <f t="shared" si="2"/>
        <v>0</v>
      </c>
      <c r="J15" s="368"/>
    </row>
    <row r="16">
      <c r="B16" t="str">
        <f>if(   iserror(offset(PADRON!B$2,match(A:A,PADRON!A$2:A1010,0)-1,0,1,1) )  ,  ,    offset(PADRON!B$2,match(A:A,PADRON!A$2:A1010,0)-1,0,1,1))</f>
        <v/>
      </c>
      <c r="C16" s="368"/>
      <c r="E16" t="str">
        <f t="shared" si="1"/>
        <v/>
      </c>
      <c r="F16" s="369"/>
      <c r="G16" s="320"/>
      <c r="H16" s="320"/>
      <c r="I16" s="320">
        <f t="shared" si="2"/>
        <v>0</v>
      </c>
      <c r="J16" s="368"/>
    </row>
    <row r="17">
      <c r="B17" t="str">
        <f>if(   iserror(offset(PADRON!B$2,match(A:A,PADRON!A$2:A1010,0)-1,0,1,1) )  ,  ,    offset(PADRON!B$2,match(A:A,PADRON!A$2:A1010,0)-1,0,1,1))</f>
        <v/>
      </c>
      <c r="C17" s="368"/>
      <c r="E17" t="str">
        <f t="shared" si="1"/>
        <v/>
      </c>
      <c r="F17" s="369"/>
      <c r="G17" s="320"/>
      <c r="H17" s="320"/>
      <c r="I17" s="320">
        <f t="shared" si="2"/>
        <v>0</v>
      </c>
      <c r="J17" s="368"/>
    </row>
    <row r="18">
      <c r="B18" t="str">
        <f>if(   iserror(offset(PADRON!B$2,match(A:A,PADRON!A$2:A1010,0)-1,0,1,1) )  ,  ,    offset(PADRON!B$2,match(A:A,PADRON!A$2:A1010,0)-1,0,1,1))</f>
        <v/>
      </c>
      <c r="C18" s="368"/>
      <c r="E18" t="str">
        <f t="shared" si="1"/>
        <v/>
      </c>
      <c r="F18" s="369"/>
      <c r="G18" s="320"/>
      <c r="H18" s="320"/>
      <c r="I18" s="320">
        <f t="shared" si="2"/>
        <v>0</v>
      </c>
      <c r="J18" s="368"/>
    </row>
    <row r="19">
      <c r="B19" t="str">
        <f>if(   iserror(offset(PADRON!B$2,match(A:A,PADRON!A$2:A1010,0)-1,0,1,1) )  ,  ,    offset(PADRON!B$2,match(A:A,PADRON!A$2:A1010,0)-1,0,1,1))</f>
        <v/>
      </c>
      <c r="C19" s="368"/>
      <c r="E19" t="str">
        <f t="shared" si="1"/>
        <v/>
      </c>
      <c r="F19" s="369"/>
      <c r="G19" s="320"/>
      <c r="H19" s="320"/>
      <c r="I19" s="320">
        <f t="shared" si="2"/>
        <v>0</v>
      </c>
      <c r="J19" s="368"/>
    </row>
    <row r="20">
      <c r="B20" t="str">
        <f>if(   iserror(offset(PADRON!B$2,match(A:A,PADRON!A$2:A1010,0)-1,0,1,1) )  ,  ,    offset(PADRON!B$2,match(A:A,PADRON!A$2:A1010,0)-1,0,1,1))</f>
        <v/>
      </c>
      <c r="C20" s="368"/>
      <c r="E20" t="str">
        <f t="shared" si="1"/>
        <v/>
      </c>
      <c r="F20" s="369"/>
      <c r="G20" s="320"/>
      <c r="H20" s="320"/>
      <c r="I20" s="320">
        <f t="shared" si="2"/>
        <v>0</v>
      </c>
      <c r="J20" s="368"/>
    </row>
    <row r="21">
      <c r="B21" t="str">
        <f>if(   iserror(offset(PADRON!B$2,match(A:A,PADRON!A$2:A1010,0)-1,0,1,1) )  ,  ,    offset(PADRON!B$2,match(A:A,PADRON!A$2:A1010,0)-1,0,1,1))</f>
        <v/>
      </c>
      <c r="C21" s="368"/>
      <c r="E21" t="str">
        <f t="shared" si="1"/>
        <v/>
      </c>
      <c r="F21" s="369"/>
      <c r="G21" s="320"/>
      <c r="H21" s="320"/>
      <c r="I21" s="320">
        <f t="shared" si="2"/>
        <v>0</v>
      </c>
      <c r="J21" s="368"/>
    </row>
    <row r="22">
      <c r="B22" t="str">
        <f>if(   iserror(offset(PADRON!B$2,match(A:A,PADRON!A$2:A1010,0)-1,0,1,1) )  ,  ,    offset(PADRON!B$2,match(A:A,PADRON!A$2:A1010,0)-1,0,1,1))</f>
        <v/>
      </c>
      <c r="C22" s="368"/>
      <c r="E22" t="str">
        <f t="shared" si="1"/>
        <v/>
      </c>
      <c r="F22" s="369"/>
      <c r="G22" s="320"/>
      <c r="H22" s="320"/>
      <c r="I22" s="320">
        <f t="shared" si="2"/>
        <v>0</v>
      </c>
      <c r="J22" s="368"/>
    </row>
    <row r="23">
      <c r="B23" t="str">
        <f>if(   iserror(offset(PADRON!B$2,match(A:A,PADRON!A$2:A1010,0)-1,0,1,1) )  ,  ,    offset(PADRON!B$2,match(A:A,PADRON!A$2:A1010,0)-1,0,1,1))</f>
        <v/>
      </c>
      <c r="C23" s="368"/>
      <c r="E23" t="str">
        <f t="shared" si="1"/>
        <v/>
      </c>
      <c r="F23" s="369"/>
      <c r="G23" s="320"/>
      <c r="H23" s="320"/>
      <c r="I23" s="320">
        <f t="shared" si="2"/>
        <v>0</v>
      </c>
      <c r="J23" s="368"/>
    </row>
    <row r="24">
      <c r="B24" t="str">
        <f>if(   iserror(offset(PADRON!B$2,match(A:A,PADRON!A$2:A1010,0)-1,0,1,1) )  ,  ,    offset(PADRON!B$2,match(A:A,PADRON!A$2:A1010,0)-1,0,1,1))</f>
        <v/>
      </c>
      <c r="C24" s="368"/>
      <c r="E24" t="str">
        <f t="shared" si="1"/>
        <v/>
      </c>
      <c r="F24" s="369"/>
      <c r="G24" s="320"/>
      <c r="H24" s="320"/>
      <c r="I24" s="320">
        <f t="shared" si="2"/>
        <v>0</v>
      </c>
      <c r="J24" s="368"/>
    </row>
    <row r="25">
      <c r="B25" t="str">
        <f>if(   iserror(offset(PADRON!B$2,match(A:A,PADRON!A$2:A1010,0)-1,0,1,1) )  ,  ,    offset(PADRON!B$2,match(A:A,PADRON!A$2:A1010,0)-1,0,1,1))</f>
        <v/>
      </c>
      <c r="C25" s="368"/>
      <c r="E25" t="str">
        <f t="shared" si="1"/>
        <v/>
      </c>
      <c r="F25" s="369"/>
      <c r="G25" s="320"/>
      <c r="H25" s="320"/>
      <c r="I25" s="320">
        <f t="shared" si="2"/>
        <v>0</v>
      </c>
      <c r="J25" s="368"/>
    </row>
    <row r="26">
      <c r="B26" t="str">
        <f>if(   iserror(offset(PADRON!B$2,match(A:A,PADRON!A$2:A1010,0)-1,0,1,1) )  ,  ,    offset(PADRON!B$2,match(A:A,PADRON!A$2:A1010,0)-1,0,1,1))</f>
        <v/>
      </c>
      <c r="C26" s="368"/>
      <c r="E26" t="str">
        <f t="shared" si="1"/>
        <v/>
      </c>
      <c r="F26" s="369"/>
      <c r="G26" s="320"/>
      <c r="H26" s="320"/>
      <c r="I26" s="320">
        <f t="shared" si="2"/>
        <v>0</v>
      </c>
      <c r="J26" s="368"/>
    </row>
    <row r="27">
      <c r="B27" t="str">
        <f>if(   iserror(offset(PADRON!B$2,match(A:A,PADRON!A$2:A1010,0)-1,0,1,1) )  ,  ,    offset(PADRON!B$2,match(A:A,PADRON!A$2:A1010,0)-1,0,1,1))</f>
        <v/>
      </c>
      <c r="C27" s="368"/>
      <c r="E27" t="str">
        <f t="shared" si="1"/>
        <v/>
      </c>
      <c r="F27" s="369"/>
      <c r="G27" s="320"/>
      <c r="H27" s="320"/>
      <c r="I27" s="320">
        <f t="shared" si="2"/>
        <v>0</v>
      </c>
      <c r="J27" s="368"/>
    </row>
    <row r="28">
      <c r="B28" t="str">
        <f>if(   iserror(offset(PADRON!B$2,match(A:A,PADRON!A$2:A1010,0)-1,0,1,1) )  ,  ,    offset(PADRON!B$2,match(A:A,PADRON!A$2:A1010,0)-1,0,1,1))</f>
        <v/>
      </c>
      <c r="C28" s="368"/>
      <c r="E28" t="str">
        <f t="shared" si="1"/>
        <v/>
      </c>
      <c r="F28" s="369"/>
      <c r="G28" s="320"/>
      <c r="H28" s="320"/>
      <c r="I28" s="320">
        <f t="shared" si="2"/>
        <v>0</v>
      </c>
      <c r="J28" s="368"/>
    </row>
    <row r="29">
      <c r="B29" t="str">
        <f>if(   iserror(offset(PADRON!B$2,match(A:A,PADRON!A$2:A1010,0)-1,0,1,1) )  ,  ,    offset(PADRON!B$2,match(A:A,PADRON!A$2:A1010,0)-1,0,1,1))</f>
        <v/>
      </c>
      <c r="C29" s="368"/>
      <c r="E29" t="str">
        <f t="shared" si="1"/>
        <v/>
      </c>
      <c r="F29" s="369"/>
      <c r="G29" s="320"/>
      <c r="H29" s="320"/>
      <c r="I29" s="320">
        <f t="shared" si="2"/>
        <v>0</v>
      </c>
      <c r="J29" s="368"/>
    </row>
    <row r="30">
      <c r="B30" t="str">
        <f>if(   iserror(offset(PADRON!B$2,match(A:A,PADRON!A$2:A1010,0)-1,0,1,1) )  ,  ,    offset(PADRON!B$2,match(A:A,PADRON!A$2:A1010,0)-1,0,1,1))</f>
        <v/>
      </c>
      <c r="C30" s="368"/>
      <c r="E30" t="str">
        <f t="shared" si="1"/>
        <v/>
      </c>
      <c r="F30" s="369"/>
      <c r="G30" s="320"/>
      <c r="H30" s="320"/>
      <c r="I30" s="320">
        <f t="shared" si="2"/>
        <v>0</v>
      </c>
      <c r="J30" s="368"/>
    </row>
    <row r="31">
      <c r="B31" t="str">
        <f>if(   iserror(offset(PADRON!B$2,match(A:A,PADRON!A$2:A1010,0)-1,0,1,1) )  ,  ,    offset(PADRON!B$2,match(A:A,PADRON!A$2:A1010,0)-1,0,1,1))</f>
        <v/>
      </c>
      <c r="C31" s="368"/>
      <c r="E31" t="str">
        <f t="shared" si="1"/>
        <v/>
      </c>
      <c r="F31" s="369"/>
      <c r="G31" s="320"/>
      <c r="H31" s="320"/>
      <c r="I31" s="320">
        <f t="shared" si="2"/>
        <v>0</v>
      </c>
      <c r="J31" s="368"/>
    </row>
    <row r="32">
      <c r="B32" t="str">
        <f>if(   iserror(offset(PADRON!B$2,match(A:A,PADRON!A$2:A1010,0)-1,0,1,1) )  ,  ,    offset(PADRON!B$2,match(A:A,PADRON!A$2:A1010,0)-1,0,1,1))</f>
        <v/>
      </c>
      <c r="C32" s="368"/>
      <c r="E32" t="str">
        <f t="shared" si="1"/>
        <v/>
      </c>
      <c r="F32" s="369"/>
      <c r="G32" s="320"/>
      <c r="H32" s="320"/>
      <c r="I32" s="320">
        <f t="shared" si="2"/>
        <v>0</v>
      </c>
      <c r="J32" s="368"/>
    </row>
    <row r="33">
      <c r="B33" t="str">
        <f>if(   iserror(offset(PADRON!B$2,match(A:A,PADRON!A$2:A1010,0)-1,0,1,1) )  ,  ,    offset(PADRON!B$2,match(A:A,PADRON!A$2:A1010,0)-1,0,1,1))</f>
        <v/>
      </c>
      <c r="C33" s="368"/>
      <c r="E33" t="str">
        <f t="shared" si="1"/>
        <v/>
      </c>
      <c r="F33" s="369"/>
      <c r="G33" s="320"/>
      <c r="H33" s="320"/>
      <c r="I33" s="320">
        <f t="shared" si="2"/>
        <v>0</v>
      </c>
      <c r="J33" s="368"/>
    </row>
    <row r="34">
      <c r="B34" t="str">
        <f>if(   iserror(offset(PADRON!B$2,match(A:A,PADRON!A$2:A1010,0)-1,0,1,1) )  ,  ,    offset(PADRON!B$2,match(A:A,PADRON!A$2:A1010,0)-1,0,1,1))</f>
        <v/>
      </c>
      <c r="C34" s="368"/>
      <c r="E34" t="str">
        <f t="shared" si="1"/>
        <v/>
      </c>
      <c r="F34" s="369"/>
      <c r="G34" s="320"/>
      <c r="H34" s="320"/>
      <c r="I34" s="320">
        <f t="shared" si="2"/>
        <v>0</v>
      </c>
      <c r="J34" s="368"/>
    </row>
    <row r="35">
      <c r="B35" t="str">
        <f>if(   iserror(offset(PADRON!B$2,match(A:A,PADRON!A$2:A1010,0)-1,0,1,1) )  ,  ,    offset(PADRON!B$2,match(A:A,PADRON!A$2:A1010,0)-1,0,1,1))</f>
        <v/>
      </c>
      <c r="C35" s="368"/>
      <c r="E35" t="str">
        <f t="shared" si="1"/>
        <v/>
      </c>
      <c r="F35" s="369"/>
      <c r="G35" s="320"/>
      <c r="H35" s="320"/>
      <c r="I35" s="320">
        <f t="shared" si="2"/>
        <v>0</v>
      </c>
      <c r="J35" s="368"/>
    </row>
    <row r="36">
      <c r="B36" t="str">
        <f>if(   iserror(offset(PADRON!B$2,match(A:A,PADRON!A$2:A1010,0)-1,0,1,1) )  ,  ,    offset(PADRON!B$2,match(A:A,PADRON!A$2:A1010,0)-1,0,1,1))</f>
        <v/>
      </c>
      <c r="C36" s="368"/>
      <c r="E36" t="str">
        <f t="shared" si="1"/>
        <v/>
      </c>
      <c r="F36" s="369"/>
      <c r="G36" s="320"/>
      <c r="H36" s="320"/>
      <c r="I36" s="320">
        <f t="shared" si="2"/>
        <v>0</v>
      </c>
      <c r="J36" s="368"/>
    </row>
    <row r="37">
      <c r="B37" t="str">
        <f>if(   iserror(offset(PADRON!B$2,match(A:A,PADRON!A$2:A1010,0)-1,0,1,1) )  ,  ,    offset(PADRON!B$2,match(A:A,PADRON!A$2:A1010,0)-1,0,1,1))</f>
        <v/>
      </c>
      <c r="C37" s="368"/>
      <c r="E37" t="str">
        <f t="shared" si="1"/>
        <v/>
      </c>
      <c r="F37" s="369"/>
      <c r="G37" s="320"/>
      <c r="H37" s="320"/>
      <c r="I37" s="320">
        <f t="shared" si="2"/>
        <v>0</v>
      </c>
      <c r="J37" s="368"/>
    </row>
    <row r="38">
      <c r="B38" t="str">
        <f>if(   iserror(offset(PADRON!B$2,match(A:A,PADRON!A$2:A1010,0)-1,0,1,1) )  ,  ,    offset(PADRON!B$2,match(A:A,PADRON!A$2:A1010,0)-1,0,1,1))</f>
        <v/>
      </c>
      <c r="C38" s="368"/>
      <c r="E38" t="str">
        <f t="shared" si="1"/>
        <v/>
      </c>
      <c r="F38" s="369"/>
      <c r="G38" s="320"/>
      <c r="H38" s="320"/>
      <c r="I38" s="320">
        <f t="shared" si="2"/>
        <v>0</v>
      </c>
      <c r="J38" s="368"/>
    </row>
    <row r="39">
      <c r="B39" t="str">
        <f>if(   iserror(offset(PADRON!B$2,match(A:A,PADRON!A$2:A1010,0)-1,0,1,1) )  ,  ,    offset(PADRON!B$2,match(A:A,PADRON!A$2:A1010,0)-1,0,1,1))</f>
        <v/>
      </c>
      <c r="C39" s="368"/>
      <c r="E39" t="str">
        <f t="shared" si="1"/>
        <v/>
      </c>
      <c r="F39" s="369"/>
      <c r="G39" s="320"/>
      <c r="H39" s="320"/>
      <c r="I39" s="320">
        <f t="shared" si="2"/>
        <v>0</v>
      </c>
      <c r="J39" s="368"/>
    </row>
    <row r="40">
      <c r="B40" t="str">
        <f>if(   iserror(offset(PADRON!B$2,match(A:A,PADRON!A$2:A1010,0)-1,0,1,1) )  ,  ,    offset(PADRON!B$2,match(A:A,PADRON!A$2:A1010,0)-1,0,1,1))</f>
        <v/>
      </c>
      <c r="C40" s="368"/>
      <c r="E40" t="str">
        <f t="shared" si="1"/>
        <v/>
      </c>
      <c r="F40" s="369"/>
      <c r="G40" s="320"/>
      <c r="H40" s="320"/>
      <c r="I40" s="320">
        <f t="shared" si="2"/>
        <v>0</v>
      </c>
      <c r="J40" s="368"/>
    </row>
    <row r="41">
      <c r="B41" t="str">
        <f>if(   iserror(offset(PADRON!B$2,match(A:A,PADRON!A$2:A1010,0)-1,0,1,1) )  ,  ,    offset(PADRON!B$2,match(A:A,PADRON!A$2:A1010,0)-1,0,1,1))</f>
        <v/>
      </c>
      <c r="C41" s="368"/>
      <c r="E41" t="str">
        <f t="shared" si="1"/>
        <v/>
      </c>
      <c r="F41" s="369"/>
      <c r="G41" s="320"/>
      <c r="H41" s="320"/>
      <c r="I41" s="320">
        <f t="shared" si="2"/>
        <v>0</v>
      </c>
      <c r="J41" s="368"/>
    </row>
    <row r="42">
      <c r="B42" t="str">
        <f>if(   iserror(offset(PADRON!B$2,match(A:A,PADRON!A$2:A1010,0)-1,0,1,1) )  ,  ,    offset(PADRON!B$2,match(A:A,PADRON!A$2:A1010,0)-1,0,1,1))</f>
        <v/>
      </c>
      <c r="C42" s="368"/>
      <c r="E42" t="str">
        <f t="shared" si="1"/>
        <v/>
      </c>
      <c r="F42" s="369"/>
      <c r="G42" s="320"/>
      <c r="H42" s="320"/>
      <c r="I42" s="320">
        <f t="shared" si="2"/>
        <v>0</v>
      </c>
      <c r="J42" s="368"/>
    </row>
    <row r="43">
      <c r="B43" t="str">
        <f>if(   iserror(offset(PADRON!B$2,match(A:A,PADRON!A$2:A1010,0)-1,0,1,1) )  ,  ,    offset(PADRON!B$2,match(A:A,PADRON!A$2:A1010,0)-1,0,1,1))</f>
        <v/>
      </c>
      <c r="C43" s="368"/>
      <c r="E43" t="str">
        <f t="shared" si="1"/>
        <v/>
      </c>
      <c r="F43" s="369"/>
      <c r="G43" s="320"/>
      <c r="H43" s="320"/>
      <c r="I43" s="320">
        <f t="shared" si="2"/>
        <v>0</v>
      </c>
      <c r="J43" s="368"/>
    </row>
    <row r="44">
      <c r="B44" t="str">
        <f>if(   iserror(offset(PADRON!B$2,match(A:A,PADRON!A$2:A1010,0)-1,0,1,1) )  ,  ,    offset(PADRON!B$2,match(A:A,PADRON!A$2:A1010,0)-1,0,1,1))</f>
        <v/>
      </c>
      <c r="C44" s="368"/>
      <c r="E44" t="str">
        <f t="shared" si="1"/>
        <v/>
      </c>
      <c r="F44" s="369"/>
      <c r="G44" s="320"/>
      <c r="H44" s="320"/>
      <c r="I44" s="320">
        <f t="shared" si="2"/>
        <v>0</v>
      </c>
      <c r="J44" s="368"/>
    </row>
    <row r="45">
      <c r="B45" t="str">
        <f>if(   iserror(offset(PADRON!B$2,match(A:A,PADRON!A$2:A1010,0)-1,0,1,1) )  ,  ,    offset(PADRON!B$2,match(A:A,PADRON!A$2:A1010,0)-1,0,1,1))</f>
        <v/>
      </c>
      <c r="C45" s="368"/>
      <c r="E45" t="str">
        <f t="shared" si="1"/>
        <v/>
      </c>
      <c r="F45" s="369"/>
      <c r="G45" s="320"/>
      <c r="H45" s="320"/>
      <c r="I45" s="320">
        <f t="shared" si="2"/>
        <v>0</v>
      </c>
      <c r="J45" s="368"/>
    </row>
    <row r="46">
      <c r="B46" t="str">
        <f>if(   iserror(offset(PADRON!B$2,match(A:A,PADRON!A$2:A1010,0)-1,0,1,1) )  ,  ,    offset(PADRON!B$2,match(A:A,PADRON!A$2:A1010,0)-1,0,1,1))</f>
        <v/>
      </c>
      <c r="C46" s="368"/>
      <c r="E46" t="str">
        <f t="shared" si="1"/>
        <v/>
      </c>
      <c r="F46" s="369"/>
      <c r="G46" s="320"/>
      <c r="H46" s="320"/>
      <c r="I46" s="320">
        <f t="shared" si="2"/>
        <v>0</v>
      </c>
      <c r="J46" s="368"/>
    </row>
    <row r="47">
      <c r="B47" t="str">
        <f>if(   iserror(offset(PADRON!B$2,match(A:A,PADRON!A$2:A1010,0)-1,0,1,1) )  ,  ,    offset(PADRON!B$2,match(A:A,PADRON!A$2:A1010,0)-1,0,1,1))</f>
        <v/>
      </c>
      <c r="C47" s="368"/>
      <c r="E47" t="str">
        <f t="shared" si="1"/>
        <v/>
      </c>
      <c r="F47" s="369"/>
      <c r="G47" s="320"/>
      <c r="H47" s="320"/>
      <c r="I47" s="320">
        <f t="shared" si="2"/>
        <v>0</v>
      </c>
      <c r="J47" s="368"/>
    </row>
    <row r="48">
      <c r="B48" t="str">
        <f>if(   iserror(offset(PADRON!B$2,match(A:A,PADRON!A$2:A1010,0)-1,0,1,1) )  ,  ,    offset(PADRON!B$2,match(A:A,PADRON!A$2:A1010,0)-1,0,1,1))</f>
        <v/>
      </c>
      <c r="C48" s="368"/>
      <c r="E48" t="str">
        <f t="shared" si="1"/>
        <v/>
      </c>
      <c r="F48" s="369"/>
      <c r="G48" s="320"/>
      <c r="H48" s="320"/>
      <c r="I48" s="320">
        <f t="shared" si="2"/>
        <v>0</v>
      </c>
      <c r="J48" s="368"/>
    </row>
    <row r="49">
      <c r="B49" t="str">
        <f>if(   iserror(offset(PADRON!B$2,match(A:A,PADRON!A$2:A1010,0)-1,0,1,1) )  ,  ,    offset(PADRON!B$2,match(A:A,PADRON!A$2:A1010,0)-1,0,1,1))</f>
        <v/>
      </c>
      <c r="C49" s="368"/>
      <c r="E49" t="str">
        <f t="shared" si="1"/>
        <v/>
      </c>
      <c r="F49" s="369"/>
      <c r="G49" s="320"/>
      <c r="H49" s="320"/>
      <c r="I49" s="320">
        <f t="shared" si="2"/>
        <v>0</v>
      </c>
      <c r="J49" s="368"/>
    </row>
    <row r="50">
      <c r="B50" t="str">
        <f>if(   iserror(offset(PADRON!B$2,match(A:A,PADRON!A$2:A1010,0)-1,0,1,1) )  ,  ,    offset(PADRON!B$2,match(A:A,PADRON!A$2:A1010,0)-1,0,1,1))</f>
        <v/>
      </c>
      <c r="C50" s="368"/>
      <c r="E50" t="str">
        <f t="shared" si="1"/>
        <v/>
      </c>
      <c r="F50" s="369"/>
      <c r="G50" s="320"/>
      <c r="H50" s="320"/>
      <c r="I50" s="320">
        <f t="shared" si="2"/>
        <v>0</v>
      </c>
      <c r="J50" s="368"/>
    </row>
    <row r="51">
      <c r="B51" t="str">
        <f>if(   iserror(offset(PADRON!B$2,match(A:A,PADRON!A$2:A1010,0)-1,0,1,1) )  ,  ,    offset(PADRON!B$2,match(A:A,PADRON!A$2:A1010,0)-1,0,1,1))</f>
        <v/>
      </c>
      <c r="C51" s="368"/>
      <c r="E51" t="str">
        <f t="shared" si="1"/>
        <v/>
      </c>
      <c r="F51" s="369"/>
      <c r="G51" s="320"/>
      <c r="H51" s="320"/>
      <c r="I51" s="320">
        <f t="shared" si="2"/>
        <v>0</v>
      </c>
      <c r="J51" s="368"/>
    </row>
    <row r="52">
      <c r="B52" t="str">
        <f>if(   iserror(offset(PADRON!B$2,match(A:A,PADRON!A$2:A1010,0)-1,0,1,1) )  ,  ,    offset(PADRON!B$2,match(A:A,PADRON!A$2:A1010,0)-1,0,1,1))</f>
        <v/>
      </c>
      <c r="C52" s="368"/>
      <c r="E52" t="str">
        <f t="shared" si="1"/>
        <v/>
      </c>
      <c r="F52" s="369"/>
      <c r="G52" s="320"/>
      <c r="H52" s="320"/>
      <c r="I52" s="320">
        <f t="shared" si="2"/>
        <v>0</v>
      </c>
      <c r="J52" s="368"/>
    </row>
    <row r="53">
      <c r="B53" t="str">
        <f>if(   iserror(offset(PADRON!B$2,match(A:A,PADRON!A$2:A1010,0)-1,0,1,1) )  ,  ,    offset(PADRON!B$2,match(A:A,PADRON!A$2:A1010,0)-1,0,1,1))</f>
        <v/>
      </c>
      <c r="C53" s="368"/>
      <c r="E53" t="str">
        <f t="shared" si="1"/>
        <v/>
      </c>
      <c r="F53" s="369"/>
      <c r="G53" s="320"/>
      <c r="H53" s="320"/>
      <c r="I53" s="320">
        <f t="shared" si="2"/>
        <v>0</v>
      </c>
      <c r="J53" s="368"/>
    </row>
    <row r="54">
      <c r="B54" t="str">
        <f>if(   iserror(offset(PADRON!B$2,match(A:A,PADRON!A$2:A1010,0)-1,0,1,1) )  ,  ,    offset(PADRON!B$2,match(A:A,PADRON!A$2:A1010,0)-1,0,1,1))</f>
        <v/>
      </c>
      <c r="C54" s="368"/>
      <c r="E54" t="str">
        <f t="shared" si="1"/>
        <v/>
      </c>
      <c r="F54" s="369"/>
      <c r="G54" s="320"/>
      <c r="H54" s="320"/>
      <c r="I54" s="320">
        <f t="shared" si="2"/>
        <v>0</v>
      </c>
      <c r="J54" s="368"/>
    </row>
    <row r="55">
      <c r="B55" t="str">
        <f>if(   iserror(offset(PADRON!B$2,match(A:A,PADRON!A$2:A1010,0)-1,0,1,1) )  ,  ,    offset(PADRON!B$2,match(A:A,PADRON!A$2:A1010,0)-1,0,1,1))</f>
        <v/>
      </c>
      <c r="C55" s="368"/>
      <c r="E55" t="str">
        <f t="shared" si="1"/>
        <v/>
      </c>
      <c r="F55" s="369"/>
      <c r="G55" s="320"/>
      <c r="H55" s="320"/>
      <c r="I55" s="320">
        <f t="shared" si="2"/>
        <v>0</v>
      </c>
      <c r="J55" s="368"/>
    </row>
    <row r="56">
      <c r="B56" t="str">
        <f>if(   iserror(offset(PADRON!B$2,match(A:A,PADRON!A$2:A1010,0)-1,0,1,1) )  ,  ,    offset(PADRON!B$2,match(A:A,PADRON!A$2:A1010,0)-1,0,1,1))</f>
        <v/>
      </c>
      <c r="C56" s="368"/>
      <c r="E56" t="str">
        <f t="shared" si="1"/>
        <v/>
      </c>
      <c r="F56" s="369"/>
      <c r="G56" s="320"/>
      <c r="H56" s="320"/>
      <c r="I56" s="320">
        <f t="shared" si="2"/>
        <v>0</v>
      </c>
      <c r="J56" s="368"/>
    </row>
    <row r="57">
      <c r="B57" t="str">
        <f>if(   iserror(offset(PADRON!B$2,match(A:A,PADRON!A$2:A1010,0)-1,0,1,1) )  ,  ,    offset(PADRON!B$2,match(A:A,PADRON!A$2:A1010,0)-1,0,1,1))</f>
        <v/>
      </c>
      <c r="C57" s="368"/>
      <c r="E57" t="str">
        <f t="shared" si="1"/>
        <v/>
      </c>
      <c r="F57" s="369"/>
      <c r="G57" s="320"/>
      <c r="H57" s="320"/>
      <c r="I57" s="320">
        <f t="shared" si="2"/>
        <v>0</v>
      </c>
      <c r="J57" s="368"/>
    </row>
    <row r="58">
      <c r="B58" t="str">
        <f>if(   iserror(offset(PADRON!B$2,match(A:A,PADRON!A$2:A1010,0)-1,0,1,1) )  ,  ,    offset(PADRON!B$2,match(A:A,PADRON!A$2:A1010,0)-1,0,1,1))</f>
        <v/>
      </c>
      <c r="C58" s="368"/>
      <c r="E58" t="str">
        <f t="shared" si="1"/>
        <v/>
      </c>
      <c r="F58" s="369"/>
      <c r="G58" s="320"/>
      <c r="H58" s="320"/>
      <c r="I58" s="320">
        <f t="shared" si="2"/>
        <v>0</v>
      </c>
      <c r="J58" s="368"/>
    </row>
    <row r="59">
      <c r="B59" t="str">
        <f>if(   iserror(offset(PADRON!B$2,match(A:A,PADRON!A$2:A1010,0)-1,0,1,1) )  ,  ,    offset(PADRON!B$2,match(A:A,PADRON!A$2:A1010,0)-1,0,1,1))</f>
        <v/>
      </c>
      <c r="C59" s="368"/>
      <c r="E59" t="str">
        <f t="shared" si="1"/>
        <v/>
      </c>
      <c r="F59" s="369"/>
      <c r="G59" s="320"/>
      <c r="H59" s="320"/>
      <c r="I59" s="320">
        <f t="shared" si="2"/>
        <v>0</v>
      </c>
      <c r="J59" s="368"/>
    </row>
    <row r="60">
      <c r="B60" t="str">
        <f>if(   iserror(offset(PADRON!B$2,match(A:A,PADRON!A$2:A1010,0)-1,0,1,1) )  ,  ,    offset(PADRON!B$2,match(A:A,PADRON!A$2:A1010,0)-1,0,1,1))</f>
        <v/>
      </c>
      <c r="C60" s="368"/>
      <c r="E60" t="str">
        <f t="shared" si="1"/>
        <v/>
      </c>
      <c r="F60" s="369"/>
      <c r="G60" s="320"/>
      <c r="H60" s="320"/>
      <c r="I60" s="320">
        <f t="shared" si="2"/>
        <v>0</v>
      </c>
      <c r="J60" s="368"/>
    </row>
    <row r="61">
      <c r="B61" t="str">
        <f>if(   iserror(offset(PADRON!B$2,match(A:A,PADRON!A$2:A1010,0)-1,0,1,1) )  ,  ,    offset(PADRON!B$2,match(A:A,PADRON!A$2:A1010,0)-1,0,1,1))</f>
        <v/>
      </c>
      <c r="C61" s="368"/>
      <c r="E61" t="str">
        <f t="shared" si="1"/>
        <v/>
      </c>
      <c r="F61" s="369"/>
      <c r="G61" s="320"/>
      <c r="H61" s="320"/>
      <c r="I61" s="320">
        <f t="shared" si="2"/>
        <v>0</v>
      </c>
      <c r="J61" s="368"/>
    </row>
    <row r="62">
      <c r="B62" t="str">
        <f>if(   iserror(offset(PADRON!B$2,match(A:A,PADRON!A$2:A1010,0)-1,0,1,1) )  ,  ,    offset(PADRON!B$2,match(A:A,PADRON!A$2:A1010,0)-1,0,1,1))</f>
        <v/>
      </c>
      <c r="C62" s="368"/>
      <c r="E62" t="str">
        <f t="shared" si="1"/>
        <v/>
      </c>
      <c r="F62" s="369"/>
      <c r="G62" s="320"/>
      <c r="H62" s="320"/>
      <c r="I62" s="320">
        <f t="shared" si="2"/>
        <v>0</v>
      </c>
      <c r="J62" s="368"/>
    </row>
    <row r="63">
      <c r="B63" t="str">
        <f>if(   iserror(offset(PADRON!B$2,match(A:A,PADRON!A$2:A1010,0)-1,0,1,1) )  ,  ,    offset(PADRON!B$2,match(A:A,PADRON!A$2:A1010,0)-1,0,1,1))</f>
        <v/>
      </c>
      <c r="C63" s="368"/>
      <c r="E63" t="str">
        <f t="shared" si="1"/>
        <v/>
      </c>
      <c r="F63" s="369"/>
      <c r="G63" s="320"/>
      <c r="H63" s="320"/>
      <c r="I63" s="320">
        <f t="shared" si="2"/>
        <v>0</v>
      </c>
      <c r="J63" s="368"/>
    </row>
    <row r="64">
      <c r="B64" t="str">
        <f>if(   iserror(offset(PADRON!B$2,match(A:A,PADRON!A$2:A1010,0)-1,0,1,1) )  ,  ,    offset(PADRON!B$2,match(A:A,PADRON!A$2:A1010,0)-1,0,1,1))</f>
        <v/>
      </c>
      <c r="C64" s="368"/>
      <c r="E64" t="str">
        <f t="shared" si="1"/>
        <v/>
      </c>
      <c r="F64" s="369"/>
      <c r="G64" s="320"/>
      <c r="H64" s="320"/>
      <c r="I64" s="320">
        <f t="shared" si="2"/>
        <v>0</v>
      </c>
      <c r="J64" s="368"/>
    </row>
    <row r="65">
      <c r="B65" t="str">
        <f>if(   iserror(offset(PADRON!B$2,match(A:A,PADRON!A$2:A1010,0)-1,0,1,1) )  ,  ,    offset(PADRON!B$2,match(A:A,PADRON!A$2:A1010,0)-1,0,1,1))</f>
        <v/>
      </c>
      <c r="C65" s="368"/>
      <c r="E65" t="str">
        <f t="shared" si="1"/>
        <v/>
      </c>
      <c r="F65" s="369"/>
      <c r="G65" s="320"/>
      <c r="H65" s="320"/>
      <c r="I65" s="320">
        <f t="shared" si="2"/>
        <v>0</v>
      </c>
      <c r="J65" s="368"/>
    </row>
    <row r="66">
      <c r="B66" t="str">
        <f>if(   iserror(offset(PADRON!B$2,match(A:A,PADRON!A$2:A1010,0)-1,0,1,1) )  ,  ,    offset(PADRON!B$2,match(A:A,PADRON!A$2:A1010,0)-1,0,1,1))</f>
        <v/>
      </c>
      <c r="C66" s="368"/>
      <c r="E66" t="str">
        <f t="shared" si="1"/>
        <v/>
      </c>
      <c r="F66" s="369"/>
      <c r="G66" s="320"/>
      <c r="H66" s="320"/>
      <c r="I66" s="320">
        <f t="shared" si="2"/>
        <v>0</v>
      </c>
      <c r="J66" s="368"/>
    </row>
    <row r="67">
      <c r="B67" t="str">
        <f>if(   iserror(offset(PADRON!B$2,match(A:A,PADRON!A$2:A1010,0)-1,0,1,1) )  ,  ,    offset(PADRON!B$2,match(A:A,PADRON!A$2:A1010,0)-1,0,1,1))</f>
        <v/>
      </c>
      <c r="C67" s="368"/>
      <c r="E67" t="str">
        <f t="shared" si="1"/>
        <v/>
      </c>
      <c r="F67" s="369"/>
      <c r="G67" s="320"/>
      <c r="H67" s="320"/>
      <c r="I67" s="320">
        <f t="shared" si="2"/>
        <v>0</v>
      </c>
      <c r="J67" s="368"/>
    </row>
    <row r="68">
      <c r="B68" t="str">
        <f>if(   iserror(offset(PADRON!B$2,match(A:A,PADRON!A$2:A1010,0)-1,0,1,1) )  ,  ,    offset(PADRON!B$2,match(A:A,PADRON!A$2:A1010,0)-1,0,1,1))</f>
        <v/>
      </c>
      <c r="C68" s="368"/>
      <c r="E68" t="str">
        <f t="shared" si="1"/>
        <v/>
      </c>
      <c r="F68" s="369"/>
      <c r="G68" s="320"/>
      <c r="H68" s="320"/>
      <c r="I68" s="320">
        <f t="shared" si="2"/>
        <v>0</v>
      </c>
      <c r="J68" s="368"/>
    </row>
    <row r="69">
      <c r="B69" t="str">
        <f>if(   iserror(offset(PADRON!B$2,match(A:A,PADRON!A$2:A1010,0)-1,0,1,1) )  ,  ,    offset(PADRON!B$2,match(A:A,PADRON!A$2:A1010,0)-1,0,1,1))</f>
        <v/>
      </c>
      <c r="C69" s="368"/>
      <c r="E69" t="str">
        <f t="shared" si="1"/>
        <v/>
      </c>
      <c r="F69" s="369"/>
      <c r="G69" s="320"/>
      <c r="H69" s="320"/>
      <c r="I69" s="320">
        <f t="shared" si="2"/>
        <v>0</v>
      </c>
      <c r="J69" s="368"/>
    </row>
    <row r="70">
      <c r="B70" t="str">
        <f>if(   iserror(offset(PADRON!B$2,match(A:A,PADRON!A$2:A1010,0)-1,0,1,1) )  ,  ,    offset(PADRON!B$2,match(A:A,PADRON!A$2:A1010,0)-1,0,1,1))</f>
        <v/>
      </c>
      <c r="C70" s="368"/>
      <c r="E70" t="str">
        <f t="shared" si="1"/>
        <v/>
      </c>
      <c r="F70" s="369"/>
      <c r="G70" s="320"/>
      <c r="H70" s="320"/>
      <c r="I70" s="320">
        <f t="shared" si="2"/>
        <v>0</v>
      </c>
      <c r="J70" s="368"/>
    </row>
    <row r="71">
      <c r="B71" t="str">
        <f>if(   iserror(offset(PADRON!B$2,match(A:A,PADRON!A$2:A1010,0)-1,0,1,1) )  ,  ,    offset(PADRON!B$2,match(A:A,PADRON!A$2:A1010,0)-1,0,1,1))</f>
        <v/>
      </c>
      <c r="C71" s="368"/>
      <c r="E71" t="str">
        <f t="shared" si="1"/>
        <v/>
      </c>
      <c r="F71" s="369"/>
      <c r="G71" s="320"/>
      <c r="H71" s="320"/>
      <c r="I71" s="320">
        <f t="shared" si="2"/>
        <v>0</v>
      </c>
      <c r="J71" s="368"/>
    </row>
    <row r="72">
      <c r="B72" t="str">
        <f>if(   iserror(offset(PADRON!B$2,match(A:A,PADRON!A$2:A1010,0)-1,0,1,1) )  ,  ,    offset(PADRON!B$2,match(A:A,PADRON!A$2:A1010,0)-1,0,1,1))</f>
        <v/>
      </c>
      <c r="C72" s="368"/>
      <c r="E72" t="str">
        <f t="shared" si="1"/>
        <v/>
      </c>
      <c r="F72" s="369"/>
      <c r="G72" s="320"/>
      <c r="H72" s="320"/>
      <c r="I72" s="320">
        <f t="shared" si="2"/>
        <v>0</v>
      </c>
      <c r="J72" s="368"/>
    </row>
    <row r="73">
      <c r="B73" t="str">
        <f>if(   iserror(offset(PADRON!B$2,match(A:A,PADRON!A$2:A1010,0)-1,0,1,1) )  ,  ,    offset(PADRON!B$2,match(A:A,PADRON!A$2:A1010,0)-1,0,1,1))</f>
        <v/>
      </c>
      <c r="C73" s="368"/>
      <c r="E73" t="str">
        <f t="shared" si="1"/>
        <v/>
      </c>
      <c r="F73" s="369"/>
      <c r="G73" s="320"/>
      <c r="H73" s="320"/>
      <c r="I73" s="320">
        <f t="shared" si="2"/>
        <v>0</v>
      </c>
      <c r="J73" s="368"/>
    </row>
    <row r="74">
      <c r="B74" t="str">
        <f>if(   iserror(offset(PADRON!B$2,match(A:A,PADRON!A$2:A1010,0)-1,0,1,1) )  ,  ,    offset(PADRON!B$2,match(A:A,PADRON!A$2:A1010,0)-1,0,1,1))</f>
        <v/>
      </c>
      <c r="C74" s="368"/>
      <c r="E74" t="str">
        <f t="shared" si="1"/>
        <v/>
      </c>
      <c r="F74" s="369"/>
      <c r="G74" s="320"/>
      <c r="H74" s="320"/>
      <c r="I74" s="320">
        <f t="shared" si="2"/>
        <v>0</v>
      </c>
      <c r="J74" s="368"/>
    </row>
    <row r="75">
      <c r="B75" t="str">
        <f>if(   iserror(offset(PADRON!B$2,match(A:A,PADRON!A$2:A1010,0)-1,0,1,1) )  ,  ,    offset(PADRON!B$2,match(A:A,PADRON!A$2:A1010,0)-1,0,1,1))</f>
        <v/>
      </c>
      <c r="C75" s="368"/>
      <c r="E75" t="str">
        <f t="shared" si="1"/>
        <v/>
      </c>
      <c r="F75" s="369"/>
      <c r="G75" s="320"/>
      <c r="H75" s="320"/>
      <c r="I75" s="320">
        <f t="shared" si="2"/>
        <v>0</v>
      </c>
      <c r="J75" s="368"/>
    </row>
    <row r="76">
      <c r="B76" t="str">
        <f>if(   iserror(offset(PADRON!B$2,match(A:A,PADRON!A$2:A1010,0)-1,0,1,1) )  ,  ,    offset(PADRON!B$2,match(A:A,PADRON!A$2:A1010,0)-1,0,1,1))</f>
        <v/>
      </c>
      <c r="C76" s="368"/>
      <c r="E76" t="str">
        <f t="shared" si="1"/>
        <v/>
      </c>
      <c r="F76" s="369"/>
      <c r="G76" s="320"/>
      <c r="H76" s="320"/>
      <c r="I76" s="320">
        <f t="shared" si="2"/>
        <v>0</v>
      </c>
      <c r="J76" s="368"/>
    </row>
    <row r="77">
      <c r="B77" t="str">
        <f>if(   iserror(offset(PADRON!B$2,match(A:A,PADRON!A$2:A1010,0)-1,0,1,1) )  ,  ,    offset(PADRON!B$2,match(A:A,PADRON!A$2:A1010,0)-1,0,1,1))</f>
        <v/>
      </c>
      <c r="C77" s="368"/>
      <c r="E77" t="str">
        <f t="shared" si="1"/>
        <v/>
      </c>
      <c r="F77" s="369"/>
      <c r="G77" s="320"/>
      <c r="H77" s="320"/>
      <c r="I77" s="320">
        <f t="shared" si="2"/>
        <v>0</v>
      </c>
      <c r="J77" s="368"/>
    </row>
    <row r="78">
      <c r="B78" t="str">
        <f>if(   iserror(offset(PADRON!B$2,match(A:A,PADRON!A$2:A1010,0)-1,0,1,1) )  ,  ,    offset(PADRON!B$2,match(A:A,PADRON!A$2:A1010,0)-1,0,1,1))</f>
        <v/>
      </c>
      <c r="C78" s="368"/>
      <c r="E78" t="str">
        <f t="shared" si="1"/>
        <v/>
      </c>
      <c r="F78" s="369"/>
      <c r="G78" s="320"/>
      <c r="H78" s="320"/>
      <c r="I78" s="320">
        <f t="shared" si="2"/>
        <v>0</v>
      </c>
      <c r="J78" s="368"/>
    </row>
    <row r="79">
      <c r="B79" t="str">
        <f>if(   iserror(offset(PADRON!B$2,match(A:A,PADRON!A$2:A1010,0)-1,0,1,1) )  ,  ,    offset(PADRON!B$2,match(A:A,PADRON!A$2:A1010,0)-1,0,1,1))</f>
        <v/>
      </c>
      <c r="C79" s="368"/>
      <c r="E79" t="str">
        <f t="shared" si="1"/>
        <v/>
      </c>
      <c r="F79" s="369"/>
      <c r="G79" s="320"/>
      <c r="H79" s="320"/>
      <c r="I79" s="320">
        <f t="shared" si="2"/>
        <v>0</v>
      </c>
      <c r="J79" s="368"/>
    </row>
    <row r="80">
      <c r="B80" t="str">
        <f>if(   iserror(offset(PADRON!B$2,match(A:A,PADRON!A$2:A1010,0)-1,0,1,1) )  ,  ,    offset(PADRON!B$2,match(A:A,PADRON!A$2:A1010,0)-1,0,1,1))</f>
        <v/>
      </c>
      <c r="C80" s="368"/>
      <c r="E80" t="str">
        <f t="shared" si="1"/>
        <v/>
      </c>
      <c r="F80" s="369"/>
      <c r="G80" s="320"/>
      <c r="H80" s="320"/>
      <c r="I80" s="320">
        <f t="shared" si="2"/>
        <v>0</v>
      </c>
      <c r="J80" s="368"/>
    </row>
    <row r="81">
      <c r="B81" t="str">
        <f>if(   iserror(offset(PADRON!B$2,match(A:A,PADRON!A$2:A1010,0)-1,0,1,1) )  ,  ,    offset(PADRON!B$2,match(A:A,PADRON!A$2:A1010,0)-1,0,1,1))</f>
        <v/>
      </c>
      <c r="C81" s="368"/>
      <c r="E81" t="str">
        <f t="shared" si="1"/>
        <v/>
      </c>
      <c r="F81" s="369"/>
      <c r="G81" s="320"/>
      <c r="H81" s="320"/>
      <c r="I81" s="320">
        <f t="shared" si="2"/>
        <v>0</v>
      </c>
      <c r="J81" s="368"/>
    </row>
    <row r="82">
      <c r="B82" t="str">
        <f>if(   iserror(offset(PADRON!B$2,match(A:A,PADRON!A$2:A1010,0)-1,0,1,1) )  ,  ,    offset(PADRON!B$2,match(A:A,PADRON!A$2:A1010,0)-1,0,1,1))</f>
        <v/>
      </c>
      <c r="C82" s="368"/>
      <c r="E82" t="str">
        <f t="shared" si="1"/>
        <v/>
      </c>
      <c r="F82" s="369"/>
      <c r="G82" s="320"/>
      <c r="H82" s="320"/>
      <c r="I82" s="320">
        <f t="shared" si="2"/>
        <v>0</v>
      </c>
      <c r="J82" s="368"/>
    </row>
    <row r="83">
      <c r="B83" t="str">
        <f>if(   iserror(offset(PADRON!B$2,match(A:A,PADRON!A$2:A1010,0)-1,0,1,1) )  ,  ,    offset(PADRON!B$2,match(A:A,PADRON!A$2:A1010,0)-1,0,1,1))</f>
        <v/>
      </c>
      <c r="C83" s="368"/>
      <c r="E83" t="str">
        <f t="shared" si="1"/>
        <v/>
      </c>
      <c r="F83" s="369"/>
      <c r="G83" s="320"/>
      <c r="H83" s="320"/>
      <c r="I83" s="320">
        <f t="shared" si="2"/>
        <v>0</v>
      </c>
      <c r="J83" s="368"/>
    </row>
    <row r="84">
      <c r="B84" t="str">
        <f>if(   iserror(offset(PADRON!B$2,match(A:A,PADRON!A$2:A1010,0)-1,0,1,1) )  ,  ,    offset(PADRON!B$2,match(A:A,PADRON!A$2:A1010,0)-1,0,1,1))</f>
        <v/>
      </c>
      <c r="C84" s="368"/>
      <c r="E84" t="str">
        <f t="shared" si="1"/>
        <v/>
      </c>
      <c r="F84" s="369"/>
      <c r="G84" s="320"/>
      <c r="H84" s="320"/>
      <c r="I84" s="320">
        <f t="shared" si="2"/>
        <v>0</v>
      </c>
      <c r="J84" s="368"/>
    </row>
    <row r="85">
      <c r="B85" t="str">
        <f>if(   iserror(offset(PADRON!B$2,match(A:A,PADRON!A$2:A1010,0)-1,0,1,1) )  ,  ,    offset(PADRON!B$2,match(A:A,PADRON!A$2:A1010,0)-1,0,1,1))</f>
        <v/>
      </c>
      <c r="C85" s="368"/>
      <c r="E85" t="str">
        <f t="shared" si="1"/>
        <v/>
      </c>
      <c r="F85" s="369"/>
      <c r="G85" s="320"/>
      <c r="H85" s="320"/>
      <c r="I85" s="320">
        <f t="shared" si="2"/>
        <v>0</v>
      </c>
      <c r="J85" s="368"/>
    </row>
    <row r="86">
      <c r="B86" t="str">
        <f>if(   iserror(offset(PADRON!B$2,match(A:A,PADRON!A$2:A1010,0)-1,0,1,1) )  ,  ,    offset(PADRON!B$2,match(A:A,PADRON!A$2:A1010,0)-1,0,1,1))</f>
        <v/>
      </c>
      <c r="C86" s="368"/>
      <c r="E86" t="str">
        <f t="shared" si="1"/>
        <v/>
      </c>
      <c r="F86" s="369"/>
      <c r="G86" s="320"/>
      <c r="H86" s="320"/>
      <c r="I86" s="320">
        <f t="shared" si="2"/>
        <v>0</v>
      </c>
      <c r="J86" s="368"/>
    </row>
    <row r="87">
      <c r="B87" t="str">
        <f>if(   iserror(offset(PADRON!B$2,match(A:A,PADRON!A$2:A1010,0)-1,0,1,1) )  ,  ,    offset(PADRON!B$2,match(A:A,PADRON!A$2:A1010,0)-1,0,1,1))</f>
        <v/>
      </c>
      <c r="C87" s="368"/>
      <c r="E87" t="str">
        <f t="shared" si="1"/>
        <v/>
      </c>
      <c r="F87" s="369"/>
      <c r="G87" s="320"/>
      <c r="H87" s="320"/>
      <c r="I87" s="320">
        <f t="shared" si="2"/>
        <v>0</v>
      </c>
      <c r="J87" s="368"/>
    </row>
    <row r="88">
      <c r="B88" t="str">
        <f>if(   iserror(offset(PADRON!B$2,match(A:A,PADRON!A$2:A1010,0)-1,0,1,1) )  ,  ,    offset(PADRON!B$2,match(A:A,PADRON!A$2:A1010,0)-1,0,1,1))</f>
        <v/>
      </c>
      <c r="C88" s="368"/>
      <c r="E88" t="str">
        <f t="shared" si="1"/>
        <v/>
      </c>
      <c r="F88" s="369"/>
      <c r="G88" s="320"/>
      <c r="H88" s="320"/>
      <c r="I88" s="320">
        <f t="shared" si="2"/>
        <v>0</v>
      </c>
      <c r="J88" s="368"/>
    </row>
    <row r="89">
      <c r="B89" t="str">
        <f>if(   iserror(offset(PADRON!B$2,match(A:A,PADRON!A$2:A1010,0)-1,0,1,1) )  ,  ,    offset(PADRON!B$2,match(A:A,PADRON!A$2:A1010,0)-1,0,1,1))</f>
        <v/>
      </c>
      <c r="C89" s="368"/>
      <c r="E89" t="str">
        <f t="shared" si="1"/>
        <v/>
      </c>
      <c r="F89" s="369"/>
      <c r="G89" s="320"/>
      <c r="H89" s="320"/>
      <c r="I89" s="320">
        <f t="shared" si="2"/>
        <v>0</v>
      </c>
      <c r="J89" s="368"/>
    </row>
    <row r="90">
      <c r="B90" t="str">
        <f>if(   iserror(offset(PADRON!B$2,match(A:A,PADRON!A$2:A1010,0)-1,0,1,1) )  ,  ,    offset(PADRON!B$2,match(A:A,PADRON!A$2:A1010,0)-1,0,1,1))</f>
        <v/>
      </c>
      <c r="C90" s="368"/>
      <c r="E90" t="str">
        <f t="shared" si="1"/>
        <v/>
      </c>
      <c r="F90" s="369"/>
      <c r="G90" s="320"/>
      <c r="H90" s="320"/>
      <c r="I90" s="320">
        <f t="shared" si="2"/>
        <v>0</v>
      </c>
      <c r="J90" s="368"/>
    </row>
    <row r="91">
      <c r="B91" t="str">
        <f>if(   iserror(offset(PADRON!B$2,match(A:A,PADRON!A$2:A1010,0)-1,0,1,1) )  ,  ,    offset(PADRON!B$2,match(A:A,PADRON!A$2:A1010,0)-1,0,1,1))</f>
        <v/>
      </c>
      <c r="C91" s="368"/>
      <c r="E91" t="str">
        <f t="shared" si="1"/>
        <v/>
      </c>
      <c r="F91" s="369"/>
      <c r="G91" s="320"/>
      <c r="H91" s="320"/>
      <c r="I91" s="320">
        <f t="shared" si="2"/>
        <v>0</v>
      </c>
      <c r="J91" s="368"/>
    </row>
    <row r="92">
      <c r="B92" t="str">
        <f>if(   iserror(offset(PADRON!B$2,match(A:A,PADRON!A$2:A1010,0)-1,0,1,1) )  ,  ,    offset(PADRON!B$2,match(A:A,PADRON!A$2:A1010,0)-1,0,1,1))</f>
        <v/>
      </c>
      <c r="C92" s="368"/>
      <c r="E92" t="str">
        <f t="shared" si="1"/>
        <v/>
      </c>
      <c r="F92" s="369"/>
      <c r="G92" s="320"/>
      <c r="H92" s="320"/>
      <c r="I92" s="320">
        <f t="shared" si="2"/>
        <v>0</v>
      </c>
      <c r="J92" s="368"/>
    </row>
    <row r="93">
      <c r="B93" t="str">
        <f>if(   iserror(offset(PADRON!B$2,match(A:A,PADRON!A$2:A1010,0)-1,0,1,1) )  ,  ,    offset(PADRON!B$2,match(A:A,PADRON!A$2:A1010,0)-1,0,1,1))</f>
        <v/>
      </c>
      <c r="C93" s="368"/>
      <c r="E93" t="str">
        <f t="shared" si="1"/>
        <v/>
      </c>
      <c r="F93" s="369"/>
      <c r="G93" s="320"/>
      <c r="H93" s="320"/>
      <c r="I93" s="320">
        <f t="shared" si="2"/>
        <v>0</v>
      </c>
      <c r="J93" s="368"/>
    </row>
    <row r="94">
      <c r="B94" t="str">
        <f>if(   iserror(offset(PADRON!B$2,match(A:A,PADRON!A$2:A1010,0)-1,0,1,1) )  ,  ,    offset(PADRON!B$2,match(A:A,PADRON!A$2:A1010,0)-1,0,1,1))</f>
        <v/>
      </c>
      <c r="C94" s="368"/>
      <c r="E94" t="str">
        <f t="shared" si="1"/>
        <v/>
      </c>
      <c r="F94" s="369"/>
      <c r="G94" s="320"/>
      <c r="H94" s="320"/>
      <c r="I94" s="320">
        <f t="shared" si="2"/>
        <v>0</v>
      </c>
      <c r="J94" s="368"/>
    </row>
    <row r="95">
      <c r="B95" t="str">
        <f>if(   iserror(offset(PADRON!B$2,match(A:A,PADRON!A$2:A1010,0)-1,0,1,1) )  ,  ,    offset(PADRON!B$2,match(A:A,PADRON!A$2:A1010,0)-1,0,1,1))</f>
        <v/>
      </c>
      <c r="C95" s="368"/>
      <c r="E95" t="str">
        <f t="shared" si="1"/>
        <v/>
      </c>
      <c r="F95" s="369"/>
      <c r="G95" s="320"/>
      <c r="H95" s="320"/>
      <c r="I95" s="320">
        <f t="shared" si="2"/>
        <v>0</v>
      </c>
      <c r="J95" s="368"/>
    </row>
    <row r="96">
      <c r="B96" t="str">
        <f>if(   iserror(offset(PADRON!B$2,match(A:A,PADRON!A$2:A1010,0)-1,0,1,1) )  ,  ,    offset(PADRON!B$2,match(A:A,PADRON!A$2:A1010,0)-1,0,1,1))</f>
        <v/>
      </c>
      <c r="C96" s="368"/>
      <c r="E96" t="str">
        <f t="shared" si="1"/>
        <v/>
      </c>
      <c r="F96" s="369"/>
      <c r="G96" s="320"/>
      <c r="H96" s="320"/>
      <c r="I96" s="320">
        <f t="shared" si="2"/>
        <v>0</v>
      </c>
      <c r="J96" s="368"/>
    </row>
    <row r="97">
      <c r="B97" t="str">
        <f>if(   iserror(offset(PADRON!B$2,match(A:A,PADRON!A$2:A1010,0)-1,0,1,1) )  ,  ,    offset(PADRON!B$2,match(A:A,PADRON!A$2:A1010,0)-1,0,1,1))</f>
        <v/>
      </c>
      <c r="C97" s="368"/>
      <c r="E97" t="str">
        <f t="shared" si="1"/>
        <v/>
      </c>
      <c r="F97" s="369"/>
      <c r="G97" s="320"/>
      <c r="H97" s="320"/>
      <c r="I97" s="320">
        <f t="shared" si="2"/>
        <v>0</v>
      </c>
      <c r="J97" s="368"/>
    </row>
    <row r="98">
      <c r="B98" t="str">
        <f>if(   iserror(offset(PADRON!B$2,match(A:A,PADRON!A$2:A1010,0)-1,0,1,1) )  ,  ,    offset(PADRON!B$2,match(A:A,PADRON!A$2:A1010,0)-1,0,1,1))</f>
        <v/>
      </c>
      <c r="C98" s="368"/>
      <c r="E98" t="str">
        <f t="shared" si="1"/>
        <v/>
      </c>
      <c r="F98" s="369"/>
      <c r="G98" s="320"/>
      <c r="H98" s="320"/>
      <c r="I98" s="320">
        <f t="shared" si="2"/>
        <v>0</v>
      </c>
      <c r="J98" s="368"/>
    </row>
    <row r="99">
      <c r="B99" t="str">
        <f>if(   iserror(offset(PADRON!B$2,match(A:A,PADRON!A$2:A1010,0)-1,0,1,1) )  ,  ,    offset(PADRON!B$2,match(A:A,PADRON!A$2:A1010,0)-1,0,1,1))</f>
        <v/>
      </c>
      <c r="C99" s="368"/>
      <c r="E99" t="str">
        <f t="shared" si="1"/>
        <v/>
      </c>
      <c r="F99" s="369"/>
      <c r="G99" s="320"/>
      <c r="H99" s="320"/>
      <c r="I99" s="320">
        <f t="shared" si="2"/>
        <v>0</v>
      </c>
      <c r="J99" s="368"/>
    </row>
    <row r="100">
      <c r="B100" t="str">
        <f>if(   iserror(offset(PADRON!B$2,match(A:A,PADRON!A$2:A1010,0)-1,0,1,1) )  ,  ,    offset(PADRON!B$2,match(A:A,PADRON!A$2:A1010,0)-1,0,1,1))</f>
        <v/>
      </c>
      <c r="C100" s="368"/>
      <c r="E100" t="str">
        <f t="shared" si="1"/>
        <v/>
      </c>
      <c r="F100" s="369"/>
      <c r="G100" s="320"/>
      <c r="H100" s="320"/>
      <c r="I100" s="320">
        <f t="shared" si="2"/>
        <v>0</v>
      </c>
      <c r="J100" s="368"/>
    </row>
    <row r="101">
      <c r="B101" t="str">
        <f>if(   iserror(offset(PADRON!B$2,match(A:A,PADRON!A$2:A1010,0)-1,0,1,1) )  ,  ,    offset(PADRON!B$2,match(A:A,PADRON!A$2:A1010,0)-1,0,1,1))</f>
        <v/>
      </c>
      <c r="C101" s="368"/>
      <c r="E101" t="str">
        <f t="shared" si="1"/>
        <v/>
      </c>
      <c r="F101" s="369"/>
      <c r="G101" s="320"/>
      <c r="H101" s="320"/>
      <c r="I101" s="320">
        <f t="shared" si="2"/>
        <v>0</v>
      </c>
      <c r="J101" s="368"/>
    </row>
    <row r="102">
      <c r="B102" t="str">
        <f>if(   iserror(offset(PADRON!B$2,match(A:A,PADRON!A$2:A1010,0)-1,0,1,1) )  ,  ,    offset(PADRON!B$2,match(A:A,PADRON!A$2:A1010,0)-1,0,1,1))</f>
        <v/>
      </c>
      <c r="C102" s="368"/>
      <c r="E102" t="str">
        <f t="shared" si="1"/>
        <v/>
      </c>
      <c r="F102" s="369"/>
      <c r="G102" s="320"/>
      <c r="H102" s="320"/>
      <c r="I102" s="320">
        <f t="shared" si="2"/>
        <v>0</v>
      </c>
      <c r="J102" s="368"/>
    </row>
    <row r="103">
      <c r="B103" t="str">
        <f>if(   iserror(offset(PADRON!B$2,match(A:A,PADRON!A$2:A1010,0)-1,0,1,1) )  ,  ,    offset(PADRON!B$2,match(A:A,PADRON!A$2:A1010,0)-1,0,1,1))</f>
        <v/>
      </c>
      <c r="C103" s="368"/>
      <c r="E103" t="str">
        <f t="shared" si="1"/>
        <v/>
      </c>
      <c r="F103" s="369"/>
      <c r="G103" s="320"/>
      <c r="H103" s="320"/>
      <c r="I103" s="320">
        <f t="shared" si="2"/>
        <v>0</v>
      </c>
      <c r="J103" s="368"/>
    </row>
    <row r="104">
      <c r="B104" t="str">
        <f>if(   iserror(offset(PADRON!B$2,match(A:A,PADRON!A$2:A1010,0)-1,0,1,1) )  ,  ,    offset(PADRON!B$2,match(A:A,PADRON!A$2:A1010,0)-1,0,1,1))</f>
        <v/>
      </c>
      <c r="C104" s="368"/>
      <c r="E104" t="str">
        <f t="shared" si="1"/>
        <v/>
      </c>
      <c r="F104" s="369"/>
      <c r="G104" s="320"/>
      <c r="H104" s="320"/>
      <c r="I104" s="320">
        <f t="shared" si="2"/>
        <v>0</v>
      </c>
      <c r="J104" s="368"/>
    </row>
    <row r="105">
      <c r="B105" t="str">
        <f>if(   iserror(offset(PADRON!B$2,match(A:A,PADRON!A$2:A1010,0)-1,0,1,1) )  ,  ,    offset(PADRON!B$2,match(A:A,PADRON!A$2:A1010,0)-1,0,1,1))</f>
        <v/>
      </c>
      <c r="C105" s="368"/>
      <c r="E105" t="str">
        <f t="shared" si="1"/>
        <v/>
      </c>
      <c r="F105" s="369"/>
      <c r="G105" s="320"/>
      <c r="H105" s="320"/>
      <c r="I105" s="320">
        <f t="shared" si="2"/>
        <v>0</v>
      </c>
      <c r="J105" s="368"/>
    </row>
    <row r="106">
      <c r="B106" t="str">
        <f>if(   iserror(offset(PADRON!B$2,match(A:A,PADRON!A$2:A1010,0)-1,0,1,1) )  ,  ,    offset(PADRON!B$2,match(A:A,PADRON!A$2:A1010,0)-1,0,1,1))</f>
        <v/>
      </c>
      <c r="C106" s="368"/>
      <c r="E106" t="str">
        <f t="shared" si="1"/>
        <v/>
      </c>
      <c r="F106" s="369"/>
      <c r="G106" s="320"/>
      <c r="H106" s="320"/>
      <c r="I106" s="320">
        <f t="shared" si="2"/>
        <v>0</v>
      </c>
      <c r="J106" s="368"/>
    </row>
    <row r="107">
      <c r="B107" t="str">
        <f>if(   iserror(offset(PADRON!B$2,match(A:A,PADRON!A$2:A1010,0)-1,0,1,1) )  ,  ,    offset(PADRON!B$2,match(A:A,PADRON!A$2:A1010,0)-1,0,1,1))</f>
        <v/>
      </c>
      <c r="C107" s="368"/>
      <c r="E107" t="str">
        <f t="shared" si="1"/>
        <v/>
      </c>
      <c r="F107" s="369"/>
      <c r="G107" s="320"/>
      <c r="H107" s="320"/>
      <c r="I107" s="320">
        <f t="shared" si="2"/>
        <v>0</v>
      </c>
      <c r="J107" s="368"/>
    </row>
    <row r="108">
      <c r="B108" t="str">
        <f>if(   iserror(offset(PADRON!B$2,match(A:A,PADRON!A$2:A1010,0)-1,0,1,1) )  ,  ,    offset(PADRON!B$2,match(A:A,PADRON!A$2:A1010,0)-1,0,1,1))</f>
        <v/>
      </c>
      <c r="C108" s="368"/>
      <c r="E108" t="str">
        <f t="shared" si="1"/>
        <v/>
      </c>
      <c r="F108" s="369"/>
      <c r="G108" s="320"/>
      <c r="H108" s="320"/>
      <c r="I108" s="320">
        <f t="shared" si="2"/>
        <v>0</v>
      </c>
      <c r="J108" s="368"/>
    </row>
    <row r="109">
      <c r="B109" t="str">
        <f>if(   iserror(offset(PADRON!B$2,match(A:A,PADRON!A$2:A1010,0)-1,0,1,1) )  ,  ,    offset(PADRON!B$2,match(A:A,PADRON!A$2:A1010,0)-1,0,1,1))</f>
        <v/>
      </c>
      <c r="C109" s="368"/>
      <c r="E109" t="str">
        <f t="shared" si="1"/>
        <v/>
      </c>
      <c r="F109" s="369"/>
      <c r="G109" s="320"/>
      <c r="H109" s="320"/>
      <c r="I109" s="320">
        <f t="shared" si="2"/>
        <v>0</v>
      </c>
      <c r="J109" s="368"/>
    </row>
    <row r="110">
      <c r="B110" t="str">
        <f>if(   iserror(offset(PADRON!B$2,match(A:A,PADRON!A$2:A1010,0)-1,0,1,1) )  ,  ,    offset(PADRON!B$2,match(A:A,PADRON!A$2:A1010,0)-1,0,1,1))</f>
        <v/>
      </c>
      <c r="C110" s="368"/>
      <c r="E110" t="str">
        <f t="shared" si="1"/>
        <v/>
      </c>
      <c r="F110" s="369"/>
      <c r="G110" s="320"/>
      <c r="H110" s="320"/>
      <c r="I110" s="320">
        <f t="shared" si="2"/>
        <v>0</v>
      </c>
      <c r="J110" s="368"/>
    </row>
    <row r="111">
      <c r="B111" t="str">
        <f>if(   iserror(offset(PADRON!B$2,match(A:A,PADRON!A$2:A1010,0)-1,0,1,1) )  ,  ,    offset(PADRON!B$2,match(A:A,PADRON!A$2:A1010,0)-1,0,1,1))</f>
        <v/>
      </c>
      <c r="C111" s="368"/>
      <c r="E111" t="str">
        <f t="shared" si="1"/>
        <v/>
      </c>
      <c r="F111" s="369"/>
      <c r="G111" s="320"/>
      <c r="H111" s="320"/>
      <c r="I111" s="320">
        <f t="shared" si="2"/>
        <v>0</v>
      </c>
      <c r="J111" s="368"/>
    </row>
    <row r="112">
      <c r="B112" t="str">
        <f>if(   iserror(offset(PADRON!B$2,match(A:A,PADRON!A$2:A1010,0)-1,0,1,1) )  ,  ,    offset(PADRON!B$2,match(A:A,PADRON!A$2:A1010,0)-1,0,1,1))</f>
        <v/>
      </c>
      <c r="C112" s="368"/>
      <c r="E112" t="str">
        <f t="shared" si="1"/>
        <v/>
      </c>
      <c r="F112" s="369"/>
      <c r="G112" s="320"/>
      <c r="H112" s="320"/>
      <c r="I112" s="320">
        <f t="shared" si="2"/>
        <v>0</v>
      </c>
      <c r="J112" s="368"/>
    </row>
    <row r="113">
      <c r="B113" t="str">
        <f>if(   iserror(offset(PADRON!B$2,match(A:A,PADRON!A$2:A1010,0)-1,0,1,1) )  ,  ,    offset(PADRON!B$2,match(A:A,PADRON!A$2:A1010,0)-1,0,1,1))</f>
        <v/>
      </c>
      <c r="C113" s="368"/>
      <c r="E113" t="str">
        <f t="shared" si="1"/>
        <v/>
      </c>
      <c r="F113" s="369"/>
      <c r="G113" s="320"/>
      <c r="H113" s="320"/>
      <c r="I113" s="320">
        <f t="shared" si="2"/>
        <v>0</v>
      </c>
      <c r="J113" s="368"/>
    </row>
    <row r="114">
      <c r="B114" t="str">
        <f>if(   iserror(offset(PADRON!B$2,match(A:A,PADRON!A$2:A1010,0)-1,0,1,1) )  ,  ,    offset(PADRON!B$2,match(A:A,PADRON!A$2:A1010,0)-1,0,1,1))</f>
        <v/>
      </c>
      <c r="C114" s="368"/>
      <c r="E114" t="str">
        <f t="shared" si="1"/>
        <v/>
      </c>
      <c r="F114" s="369"/>
      <c r="G114" s="320"/>
      <c r="H114" s="320"/>
      <c r="I114" s="320">
        <f t="shared" si="2"/>
        <v>0</v>
      </c>
      <c r="J114" s="368"/>
    </row>
    <row r="115">
      <c r="B115" t="str">
        <f>if(   iserror(offset(PADRON!B$2,match(A:A,PADRON!A$2:A1010,0)-1,0,1,1) )  ,  ,    offset(PADRON!B$2,match(A:A,PADRON!A$2:A1010,0)-1,0,1,1))</f>
        <v/>
      </c>
      <c r="C115" s="368"/>
      <c r="E115" t="str">
        <f t="shared" si="1"/>
        <v/>
      </c>
      <c r="F115" s="369"/>
      <c r="G115" s="320"/>
      <c r="H115" s="320"/>
      <c r="I115" s="320">
        <f t="shared" si="2"/>
        <v>0</v>
      </c>
      <c r="J115" s="368"/>
    </row>
    <row r="116">
      <c r="B116" t="str">
        <f>if(   iserror(offset(PADRON!B$2,match(A:A,PADRON!A$2:A1010,0)-1,0,1,1) )  ,  ,    offset(PADRON!B$2,match(A:A,PADRON!A$2:A1010,0)-1,0,1,1))</f>
        <v/>
      </c>
      <c r="C116" s="368"/>
      <c r="E116" t="str">
        <f t="shared" si="1"/>
        <v/>
      </c>
      <c r="F116" s="369"/>
      <c r="G116" s="320"/>
      <c r="H116" s="320"/>
      <c r="I116" s="320">
        <f t="shared" si="2"/>
        <v>0</v>
      </c>
      <c r="J116" s="368"/>
    </row>
    <row r="117">
      <c r="B117" t="str">
        <f>if(   iserror(offset(PADRON!B$2,match(A:A,PADRON!A$2:A1010,0)-1,0,1,1) )  ,  ,    offset(PADRON!B$2,match(A:A,PADRON!A$2:A1010,0)-1,0,1,1))</f>
        <v/>
      </c>
      <c r="C117" s="368"/>
      <c r="E117" t="str">
        <f t="shared" si="1"/>
        <v/>
      </c>
      <c r="F117" s="369"/>
      <c r="G117" s="320"/>
      <c r="H117" s="320"/>
      <c r="I117" s="320">
        <f t="shared" si="2"/>
        <v>0</v>
      </c>
      <c r="J117" s="368"/>
    </row>
    <row r="118">
      <c r="B118" t="str">
        <f>if(   iserror(offset(PADRON!B$2,match(A:A,PADRON!A$2:A1010,0)-1,0,1,1) )  ,  ,    offset(PADRON!B$2,match(A:A,PADRON!A$2:A1010,0)-1,0,1,1))</f>
        <v/>
      </c>
      <c r="C118" s="368"/>
      <c r="E118" t="str">
        <f t="shared" si="1"/>
        <v/>
      </c>
      <c r="F118" s="369"/>
      <c r="G118" s="320"/>
      <c r="H118" s="320"/>
      <c r="I118" s="320">
        <f t="shared" si="2"/>
        <v>0</v>
      </c>
      <c r="J118" s="368"/>
    </row>
    <row r="119">
      <c r="B119" t="str">
        <f>if(   iserror(offset(PADRON!B$2,match(A:A,PADRON!A$2:A1010,0)-1,0,1,1) )  ,  ,    offset(PADRON!B$2,match(A:A,PADRON!A$2:A1010,0)-1,0,1,1))</f>
        <v/>
      </c>
      <c r="C119" s="368"/>
      <c r="E119" t="str">
        <f t="shared" si="1"/>
        <v/>
      </c>
      <c r="F119" s="369"/>
      <c r="G119" s="320"/>
      <c r="H119" s="320"/>
      <c r="I119" s="320">
        <f t="shared" si="2"/>
        <v>0</v>
      </c>
      <c r="J119" s="368"/>
    </row>
    <row r="120">
      <c r="B120" t="str">
        <f>if(   iserror(offset(PADRON!B$2,match(A:A,PADRON!A$2:A1010,0)-1,0,1,1) )  ,  ,    offset(PADRON!B$2,match(A:A,PADRON!A$2:A1010,0)-1,0,1,1))</f>
        <v/>
      </c>
      <c r="C120" s="368"/>
      <c r="E120" t="str">
        <f t="shared" si="1"/>
        <v/>
      </c>
      <c r="F120" s="369"/>
      <c r="G120" s="320"/>
      <c r="H120" s="320"/>
      <c r="I120" s="320">
        <f t="shared" si="2"/>
        <v>0</v>
      </c>
      <c r="J120" s="368"/>
    </row>
    <row r="121">
      <c r="B121" t="str">
        <f>if(   iserror(offset(PADRON!B$2,match(A:A,PADRON!A$2:A1010,0)-1,0,1,1) )  ,  ,    offset(PADRON!B$2,match(A:A,PADRON!A$2:A1010,0)-1,0,1,1))</f>
        <v/>
      </c>
      <c r="C121" s="368"/>
      <c r="E121" t="str">
        <f t="shared" si="1"/>
        <v/>
      </c>
      <c r="F121" s="369"/>
      <c r="G121" s="320"/>
      <c r="H121" s="320"/>
      <c r="I121" s="320">
        <f t="shared" si="2"/>
        <v>0</v>
      </c>
      <c r="J121" s="368"/>
    </row>
    <row r="122">
      <c r="B122" t="str">
        <f>if(   iserror(offset(PADRON!B$2,match(A:A,PADRON!A$2:A1010,0)-1,0,1,1) )  ,  ,    offset(PADRON!B$2,match(A:A,PADRON!A$2:A1010,0)-1,0,1,1))</f>
        <v/>
      </c>
      <c r="C122" s="368"/>
      <c r="E122" t="str">
        <f t="shared" si="1"/>
        <v/>
      </c>
      <c r="F122" s="369"/>
      <c r="G122" s="320"/>
      <c r="H122" s="320"/>
      <c r="I122" s="320">
        <f t="shared" si="2"/>
        <v>0</v>
      </c>
      <c r="J122" s="368"/>
    </row>
    <row r="123">
      <c r="B123" t="str">
        <f>if(   iserror(offset(PADRON!B$2,match(A:A,PADRON!A$2:A1010,0)-1,0,1,1) )  ,  ,    offset(PADRON!B$2,match(A:A,PADRON!A$2:A1010,0)-1,0,1,1))</f>
        <v/>
      </c>
      <c r="C123" s="368"/>
      <c r="E123" t="str">
        <f t="shared" si="1"/>
        <v/>
      </c>
      <c r="F123" s="369"/>
      <c r="G123" s="320"/>
      <c r="H123" s="320"/>
      <c r="I123" s="320">
        <f t="shared" si="2"/>
        <v>0</v>
      </c>
      <c r="J123" s="368"/>
    </row>
    <row r="124">
      <c r="B124" t="str">
        <f>if(   iserror(offset(PADRON!B$2,match(A:A,PADRON!A$2:A1010,0)-1,0,1,1) )  ,  ,    offset(PADRON!B$2,match(A:A,PADRON!A$2:A1010,0)-1,0,1,1))</f>
        <v/>
      </c>
      <c r="C124" s="368"/>
      <c r="E124" t="str">
        <f t="shared" si="1"/>
        <v/>
      </c>
      <c r="F124" s="369"/>
      <c r="G124" s="320"/>
      <c r="H124" s="320"/>
      <c r="I124" s="320">
        <f t="shared" si="2"/>
        <v>0</v>
      </c>
      <c r="J124" s="368"/>
    </row>
    <row r="125">
      <c r="B125" t="str">
        <f>if(   iserror(offset(PADRON!B$2,match(A:A,PADRON!A$2:A1010,0)-1,0,1,1) )  ,  ,    offset(PADRON!B$2,match(A:A,PADRON!A$2:A1010,0)-1,0,1,1))</f>
        <v/>
      </c>
      <c r="C125" s="368"/>
      <c r="E125" t="str">
        <f t="shared" si="1"/>
        <v/>
      </c>
      <c r="F125" s="369"/>
      <c r="G125" s="320"/>
      <c r="H125" s="320"/>
      <c r="I125" s="320">
        <f t="shared" si="2"/>
        <v>0</v>
      </c>
      <c r="J125" s="368"/>
    </row>
    <row r="126">
      <c r="B126" t="str">
        <f>if(   iserror(offset(PADRON!B$2,match(A:A,PADRON!A$2:A1010,0)-1,0,1,1) )  ,  ,    offset(PADRON!B$2,match(A:A,PADRON!A$2:A1010,0)-1,0,1,1))</f>
        <v/>
      </c>
      <c r="C126" s="368"/>
      <c r="E126" t="str">
        <f t="shared" si="1"/>
        <v/>
      </c>
      <c r="F126" s="369"/>
      <c r="G126" s="320"/>
      <c r="H126" s="320"/>
      <c r="I126" s="320">
        <f t="shared" si="2"/>
        <v>0</v>
      </c>
      <c r="J126" s="368"/>
    </row>
    <row r="127">
      <c r="B127" t="str">
        <f>if(   iserror(offset(PADRON!B$2,match(A:A,PADRON!A$2:A1010,0)-1,0,1,1) )  ,  ,    offset(PADRON!B$2,match(A:A,PADRON!A$2:A1010,0)-1,0,1,1))</f>
        <v/>
      </c>
      <c r="C127" s="368"/>
      <c r="E127" t="str">
        <f t="shared" si="1"/>
        <v/>
      </c>
      <c r="F127" s="369"/>
      <c r="G127" s="320"/>
      <c r="H127" s="320"/>
      <c r="I127" s="320">
        <f t="shared" si="2"/>
        <v>0</v>
      </c>
      <c r="J127" s="368"/>
    </row>
    <row r="128">
      <c r="B128" t="str">
        <f>if(   iserror(offset(PADRON!B$2,match(A:A,PADRON!A$2:A1010,0)-1,0,1,1) )  ,  ,    offset(PADRON!B$2,match(A:A,PADRON!A$2:A1010,0)-1,0,1,1))</f>
        <v/>
      </c>
      <c r="C128" s="368"/>
      <c r="E128" t="str">
        <f t="shared" si="1"/>
        <v/>
      </c>
      <c r="F128" s="369"/>
      <c r="G128" s="320"/>
      <c r="H128" s="320"/>
      <c r="I128" s="320">
        <f t="shared" si="2"/>
        <v>0</v>
      </c>
      <c r="J128" s="368"/>
    </row>
    <row r="129">
      <c r="B129" t="str">
        <f>if(   iserror(offset(PADRON!B$2,match(A:A,PADRON!A$2:A1010,0)-1,0,1,1) )  ,  ,    offset(PADRON!B$2,match(A:A,PADRON!A$2:A1010,0)-1,0,1,1))</f>
        <v/>
      </c>
      <c r="C129" s="368"/>
      <c r="E129" t="str">
        <f t="shared" si="1"/>
        <v/>
      </c>
      <c r="F129" s="369"/>
      <c r="G129" s="320"/>
      <c r="H129" s="320"/>
      <c r="I129" s="320">
        <f t="shared" si="2"/>
        <v>0</v>
      </c>
      <c r="J129" s="368"/>
    </row>
    <row r="130">
      <c r="B130" t="str">
        <f>if(   iserror(offset(PADRON!B$2,match(A:A,PADRON!A$2:A1010,0)-1,0,1,1) )  ,  ,    offset(PADRON!B$2,match(A:A,PADRON!A$2:A1010,0)-1,0,1,1))</f>
        <v/>
      </c>
      <c r="C130" s="368"/>
      <c r="E130" t="str">
        <f t="shared" si="1"/>
        <v/>
      </c>
      <c r="F130" s="369"/>
      <c r="G130" s="320"/>
      <c r="H130" s="320"/>
      <c r="I130" s="320">
        <f t="shared" si="2"/>
        <v>0</v>
      </c>
      <c r="J130" s="368"/>
    </row>
    <row r="131">
      <c r="B131" t="str">
        <f>if(   iserror(offset(PADRON!B$2,match(A:A,PADRON!A$2:A1010,0)-1,0,1,1) )  ,  ,    offset(PADRON!B$2,match(A:A,PADRON!A$2:A1010,0)-1,0,1,1))</f>
        <v/>
      </c>
      <c r="C131" s="368"/>
      <c r="E131" t="str">
        <f t="shared" si="1"/>
        <v/>
      </c>
      <c r="F131" s="369"/>
      <c r="G131" s="320"/>
      <c r="H131" s="320"/>
      <c r="I131" s="320">
        <f t="shared" si="2"/>
        <v>0</v>
      </c>
      <c r="J131" s="368"/>
    </row>
    <row r="132">
      <c r="B132" t="str">
        <f>if(   iserror(offset(PADRON!B$2,match(A:A,PADRON!A$2:A1010,0)-1,0,1,1) )  ,  ,    offset(PADRON!B$2,match(A:A,PADRON!A$2:A1010,0)-1,0,1,1))</f>
        <v/>
      </c>
      <c r="C132" s="368"/>
      <c r="E132" t="str">
        <f t="shared" si="1"/>
        <v/>
      </c>
      <c r="F132" s="369"/>
      <c r="G132" s="320"/>
      <c r="H132" s="320"/>
      <c r="I132" s="320">
        <f t="shared" si="2"/>
        <v>0</v>
      </c>
      <c r="J132" s="368"/>
    </row>
    <row r="133">
      <c r="B133" t="str">
        <f>if(   iserror(offset(PADRON!B$2,match(A:A,PADRON!A$2:A1010,0)-1,0,1,1) )  ,  ,    offset(PADRON!B$2,match(A:A,PADRON!A$2:A1010,0)-1,0,1,1))</f>
        <v/>
      </c>
      <c r="C133" s="368"/>
      <c r="E133" t="str">
        <f t="shared" si="1"/>
        <v/>
      </c>
      <c r="F133" s="369"/>
      <c r="G133" s="320"/>
      <c r="H133" s="320"/>
      <c r="I133" s="320">
        <f t="shared" si="2"/>
        <v>0</v>
      </c>
      <c r="J133" s="368"/>
    </row>
    <row r="134">
      <c r="B134" t="str">
        <f>if(   iserror(offset(PADRON!B$2,match(A:A,PADRON!A$2:A1010,0)-1,0,1,1) )  ,  ,    offset(PADRON!B$2,match(A:A,PADRON!A$2:A1010,0)-1,0,1,1))</f>
        <v/>
      </c>
      <c r="C134" s="368"/>
      <c r="E134" t="str">
        <f t="shared" si="1"/>
        <v/>
      </c>
      <c r="F134" s="369"/>
      <c r="G134" s="320"/>
      <c r="H134" s="320"/>
      <c r="I134" s="320">
        <f t="shared" si="2"/>
        <v>0</v>
      </c>
      <c r="J134" s="368"/>
    </row>
    <row r="135">
      <c r="B135" t="str">
        <f>if(   iserror(offset(PADRON!B$2,match(A:A,PADRON!A$2:A1010,0)-1,0,1,1) )  ,  ,    offset(PADRON!B$2,match(A:A,PADRON!A$2:A1010,0)-1,0,1,1))</f>
        <v/>
      </c>
      <c r="C135" s="368"/>
      <c r="E135" t="str">
        <f t="shared" si="1"/>
        <v/>
      </c>
      <c r="F135" s="369"/>
      <c r="G135" s="320"/>
      <c r="H135" s="320"/>
      <c r="I135" s="320">
        <f t="shared" si="2"/>
        <v>0</v>
      </c>
      <c r="J135" s="368"/>
    </row>
    <row r="136">
      <c r="B136" t="str">
        <f>if(   iserror(offset(PADRON!B$2,match(A:A,PADRON!A$2:A1010,0)-1,0,1,1) )  ,  ,    offset(PADRON!B$2,match(A:A,PADRON!A$2:A1010,0)-1,0,1,1))</f>
        <v/>
      </c>
      <c r="C136" s="368"/>
      <c r="E136" t="str">
        <f t="shared" si="1"/>
        <v/>
      </c>
      <c r="F136" s="369"/>
      <c r="G136" s="320"/>
      <c r="H136" s="320"/>
      <c r="I136" s="320">
        <f t="shared" si="2"/>
        <v>0</v>
      </c>
      <c r="J136" s="368"/>
    </row>
    <row r="137">
      <c r="B137" t="str">
        <f>if(   iserror(offset(PADRON!B$2,match(A:A,PADRON!A$2:A1010,0)-1,0,1,1) )  ,  ,    offset(PADRON!B$2,match(A:A,PADRON!A$2:A1010,0)-1,0,1,1))</f>
        <v/>
      </c>
      <c r="C137" s="368"/>
      <c r="E137" t="str">
        <f t="shared" si="1"/>
        <v/>
      </c>
      <c r="F137" s="369"/>
      <c r="G137" s="320"/>
      <c r="H137" s="320"/>
      <c r="I137" s="320">
        <f t="shared" si="2"/>
        <v>0</v>
      </c>
      <c r="J137" s="368"/>
    </row>
    <row r="138">
      <c r="B138" t="str">
        <f>if(   iserror(offset(PADRON!B$2,match(A:A,PADRON!A$2:A1010,0)-1,0,1,1) )  ,  ,    offset(PADRON!B$2,match(A:A,PADRON!A$2:A1010,0)-1,0,1,1))</f>
        <v/>
      </c>
      <c r="C138" s="368"/>
      <c r="E138" t="str">
        <f t="shared" si="1"/>
        <v/>
      </c>
      <c r="F138" s="369"/>
      <c r="G138" s="320"/>
      <c r="H138" s="320"/>
      <c r="I138" s="320">
        <f t="shared" si="2"/>
        <v>0</v>
      </c>
      <c r="J138" s="368"/>
    </row>
    <row r="139">
      <c r="B139" t="str">
        <f>if(   iserror(offset(PADRON!B$2,match(A:A,PADRON!A$2:A1010,0)-1,0,1,1) )  ,  ,    offset(PADRON!B$2,match(A:A,PADRON!A$2:A1010,0)-1,0,1,1))</f>
        <v/>
      </c>
      <c r="C139" s="368"/>
      <c r="E139" t="str">
        <f t="shared" si="1"/>
        <v/>
      </c>
      <c r="F139" s="369"/>
      <c r="G139" s="320"/>
      <c r="H139" s="320"/>
      <c r="I139" s="320">
        <f t="shared" si="2"/>
        <v>0</v>
      </c>
      <c r="J139" s="368"/>
    </row>
    <row r="140">
      <c r="B140" t="str">
        <f>if(   iserror(offset(PADRON!B$2,match(A:A,PADRON!A$2:A1010,0)-1,0,1,1) )  ,  ,    offset(PADRON!B$2,match(A:A,PADRON!A$2:A1010,0)-1,0,1,1))</f>
        <v/>
      </c>
      <c r="C140" s="368"/>
      <c r="E140" t="str">
        <f t="shared" si="1"/>
        <v/>
      </c>
      <c r="F140" s="369"/>
      <c r="G140" s="320"/>
      <c r="H140" s="320"/>
      <c r="I140" s="320">
        <f t="shared" si="2"/>
        <v>0</v>
      </c>
      <c r="J140" s="368"/>
    </row>
    <row r="141">
      <c r="B141" t="str">
        <f>if(   iserror(offset(PADRON!B$2,match(A:A,PADRON!A$2:A1010,0)-1,0,1,1) )  ,  ,    offset(PADRON!B$2,match(A:A,PADRON!A$2:A1010,0)-1,0,1,1))</f>
        <v/>
      </c>
      <c r="C141" s="368"/>
      <c r="E141" t="str">
        <f t="shared" si="1"/>
        <v/>
      </c>
      <c r="F141" s="369"/>
      <c r="G141" s="320"/>
      <c r="H141" s="320"/>
      <c r="I141" s="320">
        <f t="shared" si="2"/>
        <v>0</v>
      </c>
      <c r="J141" s="368"/>
    </row>
    <row r="142">
      <c r="B142" t="str">
        <f>if(   iserror(offset(PADRON!B$2,match(A:A,PADRON!A$2:A1010,0)-1,0,1,1) )  ,  ,    offset(PADRON!B$2,match(A:A,PADRON!A$2:A1010,0)-1,0,1,1))</f>
        <v/>
      </c>
      <c r="C142" s="368"/>
      <c r="E142" t="str">
        <f t="shared" si="1"/>
        <v/>
      </c>
      <c r="F142" s="369"/>
      <c r="G142" s="320"/>
      <c r="H142" s="320"/>
      <c r="I142" s="320">
        <f t="shared" si="2"/>
        <v>0</v>
      </c>
      <c r="J142" s="368"/>
    </row>
    <row r="143">
      <c r="B143" t="str">
        <f>if(   iserror(offset(PADRON!B$2,match(A:A,PADRON!A$2:A1010,0)-1,0,1,1) )  ,  ,    offset(PADRON!B$2,match(A:A,PADRON!A$2:A1010,0)-1,0,1,1))</f>
        <v/>
      </c>
      <c r="C143" s="368"/>
      <c r="E143" t="str">
        <f t="shared" si="1"/>
        <v/>
      </c>
      <c r="F143" s="369"/>
      <c r="G143" s="320"/>
      <c r="H143" s="320"/>
      <c r="I143" s="320">
        <f t="shared" si="2"/>
        <v>0</v>
      </c>
      <c r="J143" s="368"/>
    </row>
    <row r="144">
      <c r="B144" t="str">
        <f>if(   iserror(offset(PADRON!B$2,match(A:A,PADRON!A$2:A1010,0)-1,0,1,1) )  ,  ,    offset(PADRON!B$2,match(A:A,PADRON!A$2:A1010,0)-1,0,1,1))</f>
        <v/>
      </c>
      <c r="C144" s="368"/>
      <c r="E144" t="str">
        <f t="shared" si="1"/>
        <v/>
      </c>
      <c r="F144" s="369"/>
      <c r="G144" s="320"/>
      <c r="H144" s="320"/>
      <c r="I144" s="320">
        <f t="shared" si="2"/>
        <v>0</v>
      </c>
      <c r="J144" s="368"/>
    </row>
    <row r="145">
      <c r="B145" t="str">
        <f>if(   iserror(offset(PADRON!B$2,match(A:A,PADRON!A$2:A1010,0)-1,0,1,1) )  ,  ,    offset(PADRON!B$2,match(A:A,PADRON!A$2:A1010,0)-1,0,1,1))</f>
        <v/>
      </c>
      <c r="C145" s="368"/>
      <c r="E145" t="str">
        <f t="shared" si="1"/>
        <v/>
      </c>
      <c r="F145" s="369"/>
      <c r="G145" s="320"/>
      <c r="H145" s="320"/>
      <c r="I145" s="320">
        <f t="shared" si="2"/>
        <v>0</v>
      </c>
      <c r="J145" s="368"/>
    </row>
    <row r="146">
      <c r="B146" t="str">
        <f>if(   iserror(offset(PADRON!B$2,match(A:A,PADRON!A$2:A1010,0)-1,0,1,1) )  ,  ,    offset(PADRON!B$2,match(A:A,PADRON!A$2:A1010,0)-1,0,1,1))</f>
        <v/>
      </c>
      <c r="C146" s="368"/>
      <c r="E146" t="str">
        <f t="shared" si="1"/>
        <v/>
      </c>
      <c r="F146" s="369"/>
      <c r="G146" s="320"/>
      <c r="H146" s="320"/>
      <c r="I146" s="320">
        <f t="shared" si="2"/>
        <v>0</v>
      </c>
      <c r="J146" s="368"/>
    </row>
    <row r="147">
      <c r="B147" t="str">
        <f>if(   iserror(offset(PADRON!B$2,match(A:A,PADRON!A$2:A1010,0)-1,0,1,1) )  ,  ,    offset(PADRON!B$2,match(A:A,PADRON!A$2:A1010,0)-1,0,1,1))</f>
        <v/>
      </c>
      <c r="C147" s="368"/>
      <c r="E147" t="str">
        <f t="shared" si="1"/>
        <v/>
      </c>
      <c r="F147" s="369"/>
      <c r="G147" s="320"/>
      <c r="H147" s="320"/>
      <c r="I147" s="320">
        <f t="shared" si="2"/>
        <v>0</v>
      </c>
      <c r="J147" s="368"/>
    </row>
    <row r="148">
      <c r="B148" t="str">
        <f>if(   iserror(offset(PADRON!B$2,match(A:A,PADRON!A$2:A1010,0)-1,0,1,1) )  ,  ,    offset(PADRON!B$2,match(A:A,PADRON!A$2:A1010,0)-1,0,1,1))</f>
        <v/>
      </c>
      <c r="C148" s="368"/>
      <c r="E148" t="str">
        <f t="shared" si="1"/>
        <v/>
      </c>
      <c r="F148" s="369"/>
      <c r="G148" s="320"/>
      <c r="H148" s="320"/>
      <c r="I148" s="320">
        <f t="shared" si="2"/>
        <v>0</v>
      </c>
      <c r="J148" s="368"/>
    </row>
    <row r="149">
      <c r="B149" t="str">
        <f>if(   iserror(offset(PADRON!B$2,match(A:A,PADRON!A$2:A1010,0)-1,0,1,1) )  ,  ,    offset(PADRON!B$2,match(A:A,PADRON!A$2:A1010,0)-1,0,1,1))</f>
        <v/>
      </c>
      <c r="C149" s="368"/>
      <c r="E149" t="str">
        <f t="shared" si="1"/>
        <v/>
      </c>
      <c r="F149" s="369"/>
      <c r="G149" s="320"/>
      <c r="H149" s="320"/>
      <c r="I149" s="320">
        <f t="shared" si="2"/>
        <v>0</v>
      </c>
      <c r="J149" s="368"/>
    </row>
    <row r="150">
      <c r="B150" t="str">
        <f>if(   iserror(offset(PADRON!B$2,match(A:A,PADRON!A$2:A1010,0)-1,0,1,1) )  ,  ,    offset(PADRON!B$2,match(A:A,PADRON!A$2:A1010,0)-1,0,1,1))</f>
        <v/>
      </c>
      <c r="C150" s="368"/>
      <c r="E150" t="str">
        <f t="shared" si="1"/>
        <v/>
      </c>
      <c r="F150" s="369"/>
      <c r="G150" s="320"/>
      <c r="H150" s="320"/>
      <c r="I150" s="320">
        <f t="shared" si="2"/>
        <v>0</v>
      </c>
      <c r="J150" s="368"/>
    </row>
    <row r="151">
      <c r="B151" t="str">
        <f>if(   iserror(offset(PADRON!B$2,match(A:A,PADRON!A$2:A1010,0)-1,0,1,1) )  ,  ,    offset(PADRON!B$2,match(A:A,PADRON!A$2:A1010,0)-1,0,1,1))</f>
        <v/>
      </c>
      <c r="C151" s="368"/>
      <c r="E151" t="str">
        <f t="shared" si="1"/>
        <v/>
      </c>
      <c r="F151" s="369"/>
      <c r="G151" s="320"/>
      <c r="H151" s="320"/>
      <c r="I151" s="320">
        <f t="shared" si="2"/>
        <v>0</v>
      </c>
      <c r="J151" s="368"/>
    </row>
    <row r="152">
      <c r="B152" t="str">
        <f>if(   iserror(offset(PADRON!B$2,match(A:A,PADRON!A$2:A1010,0)-1,0,1,1) )  ,  ,    offset(PADRON!B$2,match(A:A,PADRON!A$2:A1010,0)-1,0,1,1))</f>
        <v/>
      </c>
      <c r="C152" s="368"/>
      <c r="E152" t="str">
        <f t="shared" si="1"/>
        <v/>
      </c>
      <c r="F152" s="369"/>
      <c r="G152" s="320"/>
      <c r="H152" s="320"/>
      <c r="I152" s="320">
        <f t="shared" si="2"/>
        <v>0</v>
      </c>
      <c r="J152" s="368"/>
    </row>
    <row r="153">
      <c r="B153" t="str">
        <f>if(   iserror(offset(PADRON!B$2,match(A:A,PADRON!A$2:A1010,0)-1,0,1,1) )  ,  ,    offset(PADRON!B$2,match(A:A,PADRON!A$2:A1010,0)-1,0,1,1))</f>
        <v/>
      </c>
      <c r="C153" s="368"/>
      <c r="E153" t="str">
        <f t="shared" si="1"/>
        <v/>
      </c>
      <c r="F153" s="369"/>
      <c r="G153" s="320"/>
      <c r="H153" s="320"/>
      <c r="I153" s="320">
        <f t="shared" si="2"/>
        <v>0</v>
      </c>
      <c r="J153" s="368"/>
    </row>
    <row r="154">
      <c r="B154" t="str">
        <f>if(   iserror(offset(PADRON!B$2,match(A:A,PADRON!A$2:A1010,0)-1,0,1,1) )  ,  ,    offset(PADRON!B$2,match(A:A,PADRON!A$2:A1010,0)-1,0,1,1))</f>
        <v/>
      </c>
      <c r="C154" s="368"/>
      <c r="E154" t="str">
        <f t="shared" si="1"/>
        <v/>
      </c>
      <c r="F154" s="369"/>
      <c r="G154" s="320"/>
      <c r="H154" s="320"/>
      <c r="I154" s="320">
        <f t="shared" si="2"/>
        <v>0</v>
      </c>
      <c r="J154" s="368"/>
    </row>
    <row r="155">
      <c r="B155" t="str">
        <f>if(   iserror(offset(PADRON!B$2,match(A:A,PADRON!A$2:A1010,0)-1,0,1,1) )  ,  ,    offset(PADRON!B$2,match(A:A,PADRON!A$2:A1010,0)-1,0,1,1))</f>
        <v/>
      </c>
      <c r="C155" s="368"/>
      <c r="E155" t="str">
        <f t="shared" si="1"/>
        <v/>
      </c>
      <c r="F155" s="369"/>
      <c r="G155" s="320"/>
      <c r="H155" s="320"/>
      <c r="I155" s="320">
        <f t="shared" si="2"/>
        <v>0</v>
      </c>
      <c r="J155" s="368"/>
    </row>
    <row r="156">
      <c r="B156" t="str">
        <f>if(   iserror(offset(PADRON!B$2,match(A:A,PADRON!A$2:A1010,0)-1,0,1,1) )  ,  ,    offset(PADRON!B$2,match(A:A,PADRON!A$2:A1010,0)-1,0,1,1))</f>
        <v/>
      </c>
      <c r="C156" s="368"/>
      <c r="E156" t="str">
        <f t="shared" si="1"/>
        <v/>
      </c>
      <c r="F156" s="369"/>
      <c r="G156" s="320"/>
      <c r="H156" s="320"/>
      <c r="I156" s="320">
        <f t="shared" si="2"/>
        <v>0</v>
      </c>
      <c r="J156" s="368"/>
    </row>
    <row r="157">
      <c r="B157" t="str">
        <f>if(   iserror(offset(PADRON!B$2,match(A:A,PADRON!A$2:A1010,0)-1,0,1,1) )  ,  ,    offset(PADRON!B$2,match(A:A,PADRON!A$2:A1010,0)-1,0,1,1))</f>
        <v/>
      </c>
      <c r="C157" s="368"/>
      <c r="E157" t="str">
        <f t="shared" si="1"/>
        <v/>
      </c>
      <c r="F157" s="369"/>
      <c r="G157" s="320"/>
      <c r="H157" s="320"/>
      <c r="I157" s="320">
        <f t="shared" si="2"/>
        <v>0</v>
      </c>
      <c r="J157" s="368"/>
    </row>
    <row r="158">
      <c r="B158" t="str">
        <f>if(   iserror(offset(PADRON!B$2,match(A:A,PADRON!A$2:A1010,0)-1,0,1,1) )  ,  ,    offset(PADRON!B$2,match(A:A,PADRON!A$2:A1010,0)-1,0,1,1))</f>
        <v/>
      </c>
      <c r="C158" s="368"/>
      <c r="E158" t="str">
        <f t="shared" si="1"/>
        <v/>
      </c>
      <c r="F158" s="369"/>
      <c r="G158" s="320"/>
      <c r="H158" s="320"/>
      <c r="I158" s="320">
        <f t="shared" si="2"/>
        <v>0</v>
      </c>
      <c r="J158" s="368"/>
    </row>
    <row r="159">
      <c r="B159" t="str">
        <f>if(   iserror(offset(PADRON!B$2,match(A:A,PADRON!A$2:A1010,0)-1,0,1,1) )  ,  ,    offset(PADRON!B$2,match(A:A,PADRON!A$2:A1010,0)-1,0,1,1))</f>
        <v/>
      </c>
      <c r="C159" s="368"/>
      <c r="E159" t="str">
        <f t="shared" si="1"/>
        <v/>
      </c>
      <c r="F159" s="369"/>
      <c r="G159" s="320"/>
      <c r="H159" s="320"/>
      <c r="I159" s="320">
        <f t="shared" si="2"/>
        <v>0</v>
      </c>
      <c r="J159" s="368"/>
    </row>
    <row r="160">
      <c r="B160" t="str">
        <f>if(   iserror(offset(PADRON!B$2,match(A:A,PADRON!A$2:A1010,0)-1,0,1,1) )  ,  ,    offset(PADRON!B$2,match(A:A,PADRON!A$2:A1010,0)-1,0,1,1))</f>
        <v/>
      </c>
      <c r="C160" s="368"/>
      <c r="E160" t="str">
        <f t="shared" si="1"/>
        <v/>
      </c>
      <c r="F160" s="369"/>
      <c r="G160" s="320"/>
      <c r="H160" s="320"/>
      <c r="I160" s="320">
        <f t="shared" si="2"/>
        <v>0</v>
      </c>
      <c r="J160" s="368"/>
    </row>
    <row r="161">
      <c r="B161" t="str">
        <f>if(   iserror(offset(PADRON!B$2,match(A:A,PADRON!A$2:A1010,0)-1,0,1,1) )  ,  ,    offset(PADRON!B$2,match(A:A,PADRON!A$2:A1010,0)-1,0,1,1))</f>
        <v/>
      </c>
      <c r="C161" s="368"/>
      <c r="E161" t="str">
        <f t="shared" si="1"/>
        <v/>
      </c>
      <c r="F161" s="369"/>
      <c r="G161" s="320"/>
      <c r="H161" s="320"/>
      <c r="I161" s="320">
        <f t="shared" si="2"/>
        <v>0</v>
      </c>
      <c r="J161" s="368"/>
    </row>
    <row r="162">
      <c r="B162" t="str">
        <f>if(   iserror(offset(PADRON!B$2,match(A:A,PADRON!A$2:A1010,0)-1,0,1,1) )  ,  ,    offset(PADRON!B$2,match(A:A,PADRON!A$2:A1010,0)-1,0,1,1))</f>
        <v/>
      </c>
      <c r="C162" s="368"/>
      <c r="E162" t="str">
        <f t="shared" si="1"/>
        <v/>
      </c>
      <c r="F162" s="369"/>
      <c r="G162" s="320"/>
      <c r="H162" s="320"/>
      <c r="I162" s="320">
        <f t="shared" si="2"/>
        <v>0</v>
      </c>
      <c r="J162" s="368"/>
    </row>
    <row r="163">
      <c r="B163" t="str">
        <f>if(   iserror(offset(PADRON!B$2,match(A:A,PADRON!A$2:A1010,0)-1,0,1,1) )  ,  ,    offset(PADRON!B$2,match(A:A,PADRON!A$2:A1010,0)-1,0,1,1))</f>
        <v/>
      </c>
      <c r="C163" s="368"/>
      <c r="E163" t="str">
        <f t="shared" si="1"/>
        <v/>
      </c>
      <c r="F163" s="369"/>
      <c r="G163" s="320"/>
      <c r="H163" s="320"/>
      <c r="I163" s="320">
        <f t="shared" si="2"/>
        <v>0</v>
      </c>
      <c r="J163" s="368"/>
    </row>
    <row r="164">
      <c r="B164" t="str">
        <f>if(   iserror(offset(PADRON!B$2,match(A:A,PADRON!A$2:A1010,0)-1,0,1,1) )  ,  ,    offset(PADRON!B$2,match(A:A,PADRON!A$2:A1010,0)-1,0,1,1))</f>
        <v/>
      </c>
      <c r="C164" s="368"/>
      <c r="E164" t="str">
        <f t="shared" si="1"/>
        <v/>
      </c>
      <c r="F164" s="369"/>
      <c r="G164" s="320"/>
      <c r="H164" s="320"/>
      <c r="I164" s="320">
        <f t="shared" si="2"/>
        <v>0</v>
      </c>
      <c r="J164" s="368"/>
    </row>
    <row r="165">
      <c r="B165" t="str">
        <f>if(   iserror(offset(PADRON!B$2,match(A:A,PADRON!A$2:A1010,0)-1,0,1,1) )  ,  ,    offset(PADRON!B$2,match(A:A,PADRON!A$2:A1010,0)-1,0,1,1))</f>
        <v/>
      </c>
      <c r="C165" s="368"/>
      <c r="E165" t="str">
        <f t="shared" si="1"/>
        <v/>
      </c>
      <c r="F165" s="369"/>
      <c r="G165" s="320"/>
      <c r="H165" s="320"/>
      <c r="I165" s="320">
        <f t="shared" si="2"/>
        <v>0</v>
      </c>
      <c r="J165" s="368"/>
    </row>
    <row r="166">
      <c r="B166" t="str">
        <f>if(   iserror(offset(PADRON!B$2,match(A:A,PADRON!A$2:A1010,0)-1,0,1,1) )  ,  ,    offset(PADRON!B$2,match(A:A,PADRON!A$2:A1010,0)-1,0,1,1))</f>
        <v/>
      </c>
      <c r="C166" s="368"/>
      <c r="E166" t="str">
        <f t="shared" si="1"/>
        <v/>
      </c>
      <c r="F166" s="369"/>
      <c r="G166" s="320"/>
      <c r="H166" s="320"/>
      <c r="I166" s="320">
        <f t="shared" si="2"/>
        <v>0</v>
      </c>
      <c r="J166" s="368"/>
    </row>
    <row r="167">
      <c r="B167" t="str">
        <f>if(   iserror(offset(PADRON!B$2,match(A:A,PADRON!A$2:A1010,0)-1,0,1,1) )  ,  ,    offset(PADRON!B$2,match(A:A,PADRON!A$2:A1010,0)-1,0,1,1))</f>
        <v/>
      </c>
      <c r="C167" s="368"/>
      <c r="E167" t="str">
        <f t="shared" si="1"/>
        <v/>
      </c>
      <c r="F167" s="369"/>
      <c r="G167" s="320"/>
      <c r="H167" s="320"/>
      <c r="I167" s="320">
        <f t="shared" si="2"/>
        <v>0</v>
      </c>
      <c r="J167" s="368"/>
    </row>
    <row r="168">
      <c r="B168" t="str">
        <f>if(   iserror(offset(PADRON!B$2,match(A:A,PADRON!A$2:A1010,0)-1,0,1,1) )  ,  ,    offset(PADRON!B$2,match(A:A,PADRON!A$2:A1010,0)-1,0,1,1))</f>
        <v/>
      </c>
      <c r="C168" s="368"/>
      <c r="E168" t="str">
        <f t="shared" si="1"/>
        <v/>
      </c>
      <c r="F168" s="369"/>
      <c r="G168" s="320"/>
      <c r="H168" s="320"/>
      <c r="I168" s="320">
        <f t="shared" si="2"/>
        <v>0</v>
      </c>
      <c r="J168" s="368"/>
    </row>
    <row r="169">
      <c r="B169" t="str">
        <f>if(   iserror(offset(PADRON!B$2,match(A:A,PADRON!A$2:A1010,0)-1,0,1,1) )  ,  ,    offset(PADRON!B$2,match(A:A,PADRON!A$2:A1010,0)-1,0,1,1))</f>
        <v/>
      </c>
      <c r="C169" s="368"/>
      <c r="E169" t="str">
        <f t="shared" si="1"/>
        <v/>
      </c>
      <c r="F169" s="369"/>
      <c r="G169" s="320"/>
      <c r="H169" s="320"/>
      <c r="I169" s="320">
        <f t="shared" si="2"/>
        <v>0</v>
      </c>
      <c r="J169" s="368"/>
    </row>
    <row r="170">
      <c r="B170" t="str">
        <f>if(   iserror(offset(PADRON!B$2,match(A:A,PADRON!A$2:A1010,0)-1,0,1,1) )  ,  ,    offset(PADRON!B$2,match(A:A,PADRON!A$2:A1010,0)-1,0,1,1))</f>
        <v/>
      </c>
      <c r="C170" s="368"/>
      <c r="E170" t="str">
        <f t="shared" si="1"/>
        <v/>
      </c>
      <c r="F170" s="369"/>
      <c r="G170" s="320"/>
      <c r="H170" s="320"/>
      <c r="I170" s="320">
        <f t="shared" si="2"/>
        <v>0</v>
      </c>
      <c r="J170" s="368"/>
    </row>
    <row r="171">
      <c r="B171" t="str">
        <f>if(   iserror(offset(PADRON!B$2,match(A:A,PADRON!A$2:A1010,0)-1,0,1,1) )  ,  ,    offset(PADRON!B$2,match(A:A,PADRON!A$2:A1010,0)-1,0,1,1))</f>
        <v/>
      </c>
      <c r="C171" s="368"/>
      <c r="E171" t="str">
        <f t="shared" si="1"/>
        <v/>
      </c>
      <c r="F171" s="369"/>
      <c r="G171" s="320"/>
      <c r="H171" s="320"/>
      <c r="I171" s="320">
        <f t="shared" si="2"/>
        <v>0</v>
      </c>
      <c r="J171" s="368"/>
    </row>
    <row r="172">
      <c r="B172" t="str">
        <f>if(   iserror(offset(PADRON!B$2,match(A:A,PADRON!A$2:A1010,0)-1,0,1,1) )  ,  ,    offset(PADRON!B$2,match(A:A,PADRON!A$2:A1010,0)-1,0,1,1))</f>
        <v/>
      </c>
      <c r="C172" s="368"/>
      <c r="E172" t="str">
        <f t="shared" si="1"/>
        <v/>
      </c>
      <c r="F172" s="369"/>
      <c r="G172" s="320"/>
      <c r="H172" s="320"/>
      <c r="I172" s="320">
        <f t="shared" si="2"/>
        <v>0</v>
      </c>
      <c r="J172" s="368"/>
    </row>
    <row r="173">
      <c r="B173" t="str">
        <f>if(   iserror(offset(PADRON!B$2,match(A:A,PADRON!A$2:A1010,0)-1,0,1,1) )  ,  ,    offset(PADRON!B$2,match(A:A,PADRON!A$2:A1010,0)-1,0,1,1))</f>
        <v/>
      </c>
      <c r="C173" s="368"/>
      <c r="E173" t="str">
        <f t="shared" si="1"/>
        <v/>
      </c>
      <c r="F173" s="369"/>
      <c r="G173" s="320"/>
      <c r="H173" s="320"/>
      <c r="I173" s="320">
        <f t="shared" si="2"/>
        <v>0</v>
      </c>
      <c r="J173" s="368"/>
    </row>
    <row r="174">
      <c r="B174" t="str">
        <f>if(   iserror(offset(PADRON!B$2,match(A:A,PADRON!A$2:A1010,0)-1,0,1,1) )  ,  ,    offset(PADRON!B$2,match(A:A,PADRON!A$2:A1010,0)-1,0,1,1))</f>
        <v/>
      </c>
      <c r="C174" s="368"/>
      <c r="E174" t="str">
        <f t="shared" si="1"/>
        <v/>
      </c>
      <c r="F174" s="369"/>
      <c r="G174" s="320"/>
      <c r="H174" s="320"/>
      <c r="I174" s="320">
        <f t="shared" si="2"/>
        <v>0</v>
      </c>
      <c r="J174" s="368"/>
    </row>
    <row r="175">
      <c r="B175" t="str">
        <f>if(   iserror(offset(PADRON!B$2,match(A:A,PADRON!A$2:A1010,0)-1,0,1,1) )  ,  ,    offset(PADRON!B$2,match(A:A,PADRON!A$2:A1010,0)-1,0,1,1))</f>
        <v/>
      </c>
      <c r="C175" s="368"/>
      <c r="E175" t="str">
        <f t="shared" si="1"/>
        <v/>
      </c>
      <c r="F175" s="369"/>
      <c r="G175" s="320"/>
      <c r="H175" s="320"/>
      <c r="I175" s="320">
        <f t="shared" si="2"/>
        <v>0</v>
      </c>
      <c r="J175" s="368"/>
    </row>
    <row r="176">
      <c r="B176" t="str">
        <f>if(   iserror(offset(PADRON!B$2,match(A:A,PADRON!A$2:A1010,0)-1,0,1,1) )  ,  ,    offset(PADRON!B$2,match(A:A,PADRON!A$2:A1010,0)-1,0,1,1))</f>
        <v/>
      </c>
      <c r="C176" s="368"/>
      <c r="E176" t="str">
        <f t="shared" si="1"/>
        <v/>
      </c>
      <c r="F176" s="369"/>
      <c r="G176" s="320"/>
      <c r="H176" s="320"/>
      <c r="I176" s="320">
        <f t="shared" si="2"/>
        <v>0</v>
      </c>
      <c r="J176" s="368"/>
    </row>
    <row r="177">
      <c r="B177" t="str">
        <f>if(   iserror(offset(PADRON!B$2,match(A:A,PADRON!A$2:A1010,0)-1,0,1,1) )  ,  ,    offset(PADRON!B$2,match(A:A,PADRON!A$2:A1010,0)-1,0,1,1))</f>
        <v/>
      </c>
      <c r="C177" s="368"/>
      <c r="E177" t="str">
        <f t="shared" si="1"/>
        <v/>
      </c>
      <c r="F177" s="369"/>
      <c r="G177" s="320"/>
      <c r="H177" s="320"/>
      <c r="I177" s="320">
        <f t="shared" si="2"/>
        <v>0</v>
      </c>
      <c r="J177" s="368"/>
    </row>
    <row r="178">
      <c r="B178" t="str">
        <f>if(   iserror(offset(PADRON!B$2,match(A:A,PADRON!A$2:A1010,0)-1,0,1,1) )  ,  ,    offset(PADRON!B$2,match(A:A,PADRON!A$2:A1010,0)-1,0,1,1))</f>
        <v/>
      </c>
      <c r="C178" s="368"/>
      <c r="E178" t="str">
        <f t="shared" si="1"/>
        <v/>
      </c>
      <c r="F178" s="369"/>
      <c r="G178" s="320"/>
      <c r="H178" s="320"/>
      <c r="I178" s="320">
        <f t="shared" si="2"/>
        <v>0</v>
      </c>
      <c r="J178" s="368"/>
    </row>
    <row r="179">
      <c r="B179" t="str">
        <f>if(   iserror(offset(PADRON!B$2,match(A:A,PADRON!A$2:A1010,0)-1,0,1,1) )  ,  ,    offset(PADRON!B$2,match(A:A,PADRON!A$2:A1010,0)-1,0,1,1))</f>
        <v/>
      </c>
      <c r="C179" s="368"/>
      <c r="E179" t="str">
        <f t="shared" si="1"/>
        <v/>
      </c>
      <c r="F179" s="369"/>
      <c r="G179" s="320"/>
      <c r="H179" s="320"/>
      <c r="I179" s="320">
        <f t="shared" si="2"/>
        <v>0</v>
      </c>
      <c r="J179" s="368"/>
    </row>
    <row r="180">
      <c r="B180" t="str">
        <f>if(   iserror(offset(PADRON!B$2,match(A:A,PADRON!A$2:A1010,0)-1,0,1,1) )  ,  ,    offset(PADRON!B$2,match(A:A,PADRON!A$2:A1010,0)-1,0,1,1))</f>
        <v/>
      </c>
      <c r="C180" s="368"/>
      <c r="E180" t="str">
        <f t="shared" si="1"/>
        <v/>
      </c>
      <c r="F180" s="369"/>
      <c r="G180" s="320"/>
      <c r="H180" s="320"/>
      <c r="I180" s="320">
        <f t="shared" si="2"/>
        <v>0</v>
      </c>
      <c r="J180" s="368"/>
    </row>
    <row r="181">
      <c r="B181" t="str">
        <f>if(   iserror(offset(PADRON!B$2,match(A:A,PADRON!A$2:A1010,0)-1,0,1,1) )  ,  ,    offset(PADRON!B$2,match(A:A,PADRON!A$2:A1010,0)-1,0,1,1))</f>
        <v/>
      </c>
      <c r="C181" s="368"/>
      <c r="E181" t="str">
        <f t="shared" si="1"/>
        <v/>
      </c>
      <c r="F181" s="369"/>
      <c r="G181" s="320"/>
      <c r="H181" s="320"/>
      <c r="I181" s="320">
        <f t="shared" si="2"/>
        <v>0</v>
      </c>
      <c r="J181" s="368"/>
    </row>
    <row r="182">
      <c r="B182" t="str">
        <f>if(   iserror(offset(PADRON!B$2,match(A:A,PADRON!A$2:A1010,0)-1,0,1,1) )  ,  ,    offset(PADRON!B$2,match(A:A,PADRON!A$2:A1010,0)-1,0,1,1))</f>
        <v/>
      </c>
      <c r="C182" s="368"/>
      <c r="E182" t="str">
        <f t="shared" si="1"/>
        <v/>
      </c>
      <c r="F182" s="369"/>
      <c r="G182" s="320"/>
      <c r="H182" s="320"/>
      <c r="I182" s="320">
        <f t="shared" si="2"/>
        <v>0</v>
      </c>
      <c r="J182" s="368"/>
    </row>
    <row r="183">
      <c r="B183" t="str">
        <f>if(   iserror(offset(PADRON!B$2,match(A:A,PADRON!A$2:A1010,0)-1,0,1,1) )  ,  ,    offset(PADRON!B$2,match(A:A,PADRON!A$2:A1010,0)-1,0,1,1))</f>
        <v/>
      </c>
      <c r="C183" s="368"/>
      <c r="E183" t="str">
        <f t="shared" si="1"/>
        <v/>
      </c>
      <c r="F183" s="369"/>
      <c r="G183" s="320"/>
      <c r="H183" s="320"/>
      <c r="I183" s="320">
        <f t="shared" si="2"/>
        <v>0</v>
      </c>
      <c r="J183" s="368"/>
    </row>
    <row r="184">
      <c r="B184" t="str">
        <f>if(   iserror(offset(PADRON!B$2,match(A:A,PADRON!A$2:A1010,0)-1,0,1,1) )  ,  ,    offset(PADRON!B$2,match(A:A,PADRON!A$2:A1010,0)-1,0,1,1))</f>
        <v/>
      </c>
      <c r="C184" s="368"/>
      <c r="E184" t="str">
        <f t="shared" si="1"/>
        <v/>
      </c>
      <c r="F184" s="369"/>
      <c r="G184" s="320"/>
      <c r="H184" s="320"/>
      <c r="I184" s="320">
        <f t="shared" si="2"/>
        <v>0</v>
      </c>
      <c r="J184" s="368"/>
    </row>
    <row r="185">
      <c r="B185" t="str">
        <f>if(   iserror(offset(PADRON!B$2,match(A:A,PADRON!A$2:A1010,0)-1,0,1,1) )  ,  ,    offset(PADRON!B$2,match(A:A,PADRON!A$2:A1010,0)-1,0,1,1))</f>
        <v/>
      </c>
      <c r="C185" s="368"/>
      <c r="E185" t="str">
        <f t="shared" si="1"/>
        <v/>
      </c>
      <c r="F185" s="369"/>
      <c r="G185" s="320"/>
      <c r="H185" s="320"/>
      <c r="I185" s="320">
        <f t="shared" si="2"/>
        <v>0</v>
      </c>
      <c r="J185" s="368"/>
    </row>
    <row r="186">
      <c r="B186" t="str">
        <f>if(   iserror(offset(PADRON!B$2,match(A:A,PADRON!A$2:A1010,0)-1,0,1,1) )  ,  ,    offset(PADRON!B$2,match(A:A,PADRON!A$2:A1010,0)-1,0,1,1))</f>
        <v/>
      </c>
      <c r="C186" s="368"/>
      <c r="E186" t="str">
        <f t="shared" si="1"/>
        <v/>
      </c>
      <c r="F186" s="369"/>
      <c r="G186" s="320"/>
      <c r="H186" s="320"/>
      <c r="I186" s="320">
        <f t="shared" si="2"/>
        <v>0</v>
      </c>
      <c r="J186" s="368"/>
    </row>
    <row r="187">
      <c r="B187" t="str">
        <f>if(   iserror(offset(PADRON!B$2,match(A:A,PADRON!A$2:A1010,0)-1,0,1,1) )  ,  ,    offset(PADRON!B$2,match(A:A,PADRON!A$2:A1010,0)-1,0,1,1))</f>
        <v/>
      </c>
      <c r="C187" s="368"/>
      <c r="E187" t="str">
        <f t="shared" si="1"/>
        <v/>
      </c>
      <c r="F187" s="369"/>
      <c r="G187" s="320"/>
      <c r="H187" s="320"/>
      <c r="I187" s="320">
        <f t="shared" si="2"/>
        <v>0</v>
      </c>
      <c r="J187" s="368"/>
    </row>
    <row r="188">
      <c r="B188" t="str">
        <f>if(   iserror(offset(PADRON!B$2,match(A:A,PADRON!A$2:A1010,0)-1,0,1,1) )  ,  ,    offset(PADRON!B$2,match(A:A,PADRON!A$2:A1010,0)-1,0,1,1))</f>
        <v/>
      </c>
      <c r="C188" s="368"/>
      <c r="E188" t="str">
        <f t="shared" si="1"/>
        <v/>
      </c>
      <c r="F188" s="369"/>
      <c r="G188" s="320"/>
      <c r="H188" s="320"/>
      <c r="I188" s="320">
        <f t="shared" si="2"/>
        <v>0</v>
      </c>
      <c r="J188" s="368"/>
    </row>
    <row r="189">
      <c r="B189" t="str">
        <f>if(   iserror(offset(PADRON!B$2,match(A:A,PADRON!A$2:A1010,0)-1,0,1,1) )  ,  ,    offset(PADRON!B$2,match(A:A,PADRON!A$2:A1010,0)-1,0,1,1))</f>
        <v/>
      </c>
      <c r="C189" s="368"/>
      <c r="E189" t="str">
        <f t="shared" si="1"/>
        <v/>
      </c>
      <c r="F189" s="369"/>
      <c r="G189" s="320"/>
      <c r="H189" s="320"/>
      <c r="I189" s="320">
        <f t="shared" si="2"/>
        <v>0</v>
      </c>
      <c r="J189" s="368"/>
    </row>
    <row r="190">
      <c r="B190" t="str">
        <f>if(   iserror(offset(PADRON!B$2,match(A:A,PADRON!A$2:A1010,0)-1,0,1,1) )  ,  ,    offset(PADRON!B$2,match(A:A,PADRON!A$2:A1010,0)-1,0,1,1))</f>
        <v/>
      </c>
      <c r="C190" s="368"/>
      <c r="E190" t="str">
        <f t="shared" si="1"/>
        <v/>
      </c>
      <c r="F190" s="369"/>
      <c r="G190" s="320"/>
      <c r="H190" s="320"/>
      <c r="I190" s="320">
        <f t="shared" si="2"/>
        <v>0</v>
      </c>
      <c r="J190" s="368"/>
    </row>
    <row r="191">
      <c r="B191" t="str">
        <f>if(   iserror(offset(PADRON!B$2,match(A:A,PADRON!A$2:A1010,0)-1,0,1,1) )  ,  ,    offset(PADRON!B$2,match(A:A,PADRON!A$2:A1010,0)-1,0,1,1))</f>
        <v/>
      </c>
      <c r="C191" s="368"/>
      <c r="E191" t="str">
        <f t="shared" si="1"/>
        <v/>
      </c>
      <c r="F191" s="369"/>
      <c r="G191" s="320"/>
      <c r="H191" s="320"/>
      <c r="I191" s="320">
        <f t="shared" si="2"/>
        <v>0</v>
      </c>
      <c r="J191" s="368"/>
    </row>
    <row r="192">
      <c r="B192" t="str">
        <f>if(   iserror(offset(PADRON!B$2,match(A:A,PADRON!A$2:A1010,0)-1,0,1,1) )  ,  ,    offset(PADRON!B$2,match(A:A,PADRON!A$2:A1010,0)-1,0,1,1))</f>
        <v/>
      </c>
      <c r="C192" s="368"/>
      <c r="E192" t="str">
        <f t="shared" si="1"/>
        <v/>
      </c>
      <c r="F192" s="369"/>
      <c r="G192" s="320"/>
      <c r="H192" s="320"/>
      <c r="I192" s="320">
        <f t="shared" si="2"/>
        <v>0</v>
      </c>
      <c r="J192" s="368"/>
    </row>
    <row r="193">
      <c r="B193" t="str">
        <f>if(   iserror(offset(PADRON!B$2,match(A:A,PADRON!A$2:A1010,0)-1,0,1,1) )  ,  ,    offset(PADRON!B$2,match(A:A,PADRON!A$2:A1010,0)-1,0,1,1))</f>
        <v/>
      </c>
      <c r="C193" s="368"/>
      <c r="E193" t="str">
        <f t="shared" si="1"/>
        <v/>
      </c>
      <c r="F193" s="369"/>
      <c r="G193" s="320"/>
      <c r="H193" s="320"/>
      <c r="I193" s="320">
        <f t="shared" si="2"/>
        <v>0</v>
      </c>
      <c r="J193" s="368"/>
    </row>
    <row r="194">
      <c r="B194" t="str">
        <f>if(   iserror(offset(PADRON!B$2,match(A:A,PADRON!A$2:A1010,0)-1,0,1,1) )  ,  ,    offset(PADRON!B$2,match(A:A,PADRON!A$2:A1010,0)-1,0,1,1))</f>
        <v/>
      </c>
      <c r="C194" s="368"/>
      <c r="E194" t="str">
        <f t="shared" si="1"/>
        <v/>
      </c>
      <c r="F194" s="369"/>
      <c r="G194" s="320"/>
      <c r="H194" s="320"/>
      <c r="I194" s="320">
        <f t="shared" si="2"/>
        <v>0</v>
      </c>
      <c r="J194" s="368"/>
    </row>
    <row r="195">
      <c r="B195" t="str">
        <f>if(   iserror(offset(PADRON!B$2,match(A:A,PADRON!A$2:A1010,0)-1,0,1,1) )  ,  ,    offset(PADRON!B$2,match(A:A,PADRON!A$2:A1010,0)-1,0,1,1))</f>
        <v/>
      </c>
      <c r="C195" s="368"/>
      <c r="E195" t="str">
        <f t="shared" si="1"/>
        <v/>
      </c>
      <c r="F195" s="369"/>
      <c r="G195" s="320"/>
      <c r="H195" s="320"/>
      <c r="I195" s="320">
        <f t="shared" si="2"/>
        <v>0</v>
      </c>
      <c r="J195" s="368"/>
    </row>
    <row r="196">
      <c r="B196" t="str">
        <f>if(   iserror(offset(PADRON!B$2,match(A:A,PADRON!A$2:A1010,0)-1,0,1,1) )  ,  ,    offset(PADRON!B$2,match(A:A,PADRON!A$2:A1010,0)-1,0,1,1))</f>
        <v/>
      </c>
      <c r="C196" s="368"/>
      <c r="E196" t="str">
        <f t="shared" si="1"/>
        <v/>
      </c>
      <c r="F196" s="369"/>
      <c r="G196" s="320"/>
      <c r="H196" s="320"/>
      <c r="I196" s="320">
        <f t="shared" si="2"/>
        <v>0</v>
      </c>
      <c r="J196" s="368"/>
    </row>
    <row r="197">
      <c r="B197" t="str">
        <f>if(   iserror(offset(PADRON!B$2,match(A:A,PADRON!A$2:A1010,0)-1,0,1,1) )  ,  ,    offset(PADRON!B$2,match(A:A,PADRON!A$2:A1010,0)-1,0,1,1))</f>
        <v/>
      </c>
      <c r="C197" s="368"/>
      <c r="E197" t="str">
        <f t="shared" si="1"/>
        <v/>
      </c>
      <c r="F197" s="369"/>
      <c r="G197" s="320"/>
      <c r="H197" s="320"/>
      <c r="I197" s="320">
        <f t="shared" si="2"/>
        <v>0</v>
      </c>
      <c r="J197" s="368"/>
    </row>
    <row r="198">
      <c r="B198" t="str">
        <f>if(   iserror(offset(PADRON!B$2,match(A:A,PADRON!A$2:A1010,0)-1,0,1,1) )  ,  ,    offset(PADRON!B$2,match(A:A,PADRON!A$2:A1010,0)-1,0,1,1))</f>
        <v/>
      </c>
      <c r="C198" s="368"/>
      <c r="E198" t="str">
        <f t="shared" si="1"/>
        <v/>
      </c>
      <c r="F198" s="369"/>
      <c r="G198" s="320"/>
      <c r="H198" s="320"/>
      <c r="I198" s="320">
        <f t="shared" si="2"/>
        <v>0</v>
      </c>
      <c r="J198" s="368"/>
    </row>
    <row r="199">
      <c r="B199" t="str">
        <f>if(   iserror(offset(PADRON!B$2,match(A:A,PADRON!A$2:A1010,0)-1,0,1,1) )  ,  ,    offset(PADRON!B$2,match(A:A,PADRON!A$2:A1010,0)-1,0,1,1))</f>
        <v/>
      </c>
      <c r="C199" s="368"/>
      <c r="E199" t="str">
        <f t="shared" si="1"/>
        <v/>
      </c>
      <c r="F199" s="369"/>
      <c r="G199" s="320"/>
      <c r="H199" s="320"/>
      <c r="I199" s="320">
        <f t="shared" si="2"/>
        <v>0</v>
      </c>
      <c r="J199" s="368"/>
    </row>
    <row r="200">
      <c r="B200" t="str">
        <f>if(   iserror(offset(PADRON!B$2,match(A:A,PADRON!A$2:A1010,0)-1,0,1,1) )  ,  ,    offset(PADRON!B$2,match(A:A,PADRON!A$2:A1010,0)-1,0,1,1))</f>
        <v/>
      </c>
      <c r="C200" s="368"/>
      <c r="E200" t="str">
        <f t="shared" si="1"/>
        <v/>
      </c>
      <c r="F200" s="369"/>
      <c r="G200" s="320"/>
      <c r="H200" s="320"/>
      <c r="I200" s="320">
        <f t="shared" si="2"/>
        <v>0</v>
      </c>
      <c r="J200" s="368"/>
    </row>
    <row r="201">
      <c r="B201" t="str">
        <f>if(   iserror(offset(PADRON!B$2,match(A:A,PADRON!A$2:A1010,0)-1,0,1,1) )  ,  ,    offset(PADRON!B$2,match(A:A,PADRON!A$2:A1010,0)-1,0,1,1))</f>
        <v/>
      </c>
      <c r="C201" s="368"/>
      <c r="E201" t="str">
        <f t="shared" si="1"/>
        <v/>
      </c>
      <c r="F201" s="369"/>
      <c r="G201" s="320"/>
      <c r="H201" s="320"/>
      <c r="I201" s="320">
        <f t="shared" si="2"/>
        <v>0</v>
      </c>
      <c r="J201" s="368"/>
    </row>
    <row r="202">
      <c r="B202" t="str">
        <f>if(   iserror(offset(PADRON!B$2,match(A:A,PADRON!A$2:A1010,0)-1,0,1,1) )  ,  ,    offset(PADRON!B$2,match(A:A,PADRON!A$2:A1010,0)-1,0,1,1))</f>
        <v/>
      </c>
      <c r="C202" s="368"/>
      <c r="E202" t="str">
        <f t="shared" si="1"/>
        <v/>
      </c>
      <c r="F202" s="369"/>
      <c r="G202" s="320"/>
      <c r="H202" s="320"/>
      <c r="I202" s="320">
        <f t="shared" si="2"/>
        <v>0</v>
      </c>
      <c r="J202" s="368"/>
    </row>
    <row r="203">
      <c r="B203" t="str">
        <f>if(   iserror(offset(PADRON!B$2,match(A:A,PADRON!A$2:A1010,0)-1,0,1,1) )  ,  ,    offset(PADRON!B$2,match(A:A,PADRON!A$2:A1010,0)-1,0,1,1))</f>
        <v/>
      </c>
      <c r="C203" s="368"/>
      <c r="E203" t="str">
        <f t="shared" si="1"/>
        <v/>
      </c>
      <c r="F203" s="369"/>
      <c r="G203" s="320"/>
      <c r="H203" s="320"/>
      <c r="I203" s="320">
        <f t="shared" si="2"/>
        <v>0</v>
      </c>
      <c r="J203" s="368"/>
    </row>
    <row r="204">
      <c r="B204" t="str">
        <f>if(   iserror(offset(PADRON!B$2,match(A:A,PADRON!A$2:A1010,0)-1,0,1,1) )  ,  ,    offset(PADRON!B$2,match(A:A,PADRON!A$2:A1010,0)-1,0,1,1))</f>
        <v/>
      </c>
      <c r="C204" s="368"/>
      <c r="E204" t="str">
        <f t="shared" si="1"/>
        <v/>
      </c>
      <c r="F204" s="369"/>
      <c r="G204" s="320"/>
      <c r="H204" s="320"/>
      <c r="I204" s="320">
        <f t="shared" si="2"/>
        <v>0</v>
      </c>
      <c r="J204" s="368"/>
    </row>
    <row r="205">
      <c r="B205" t="str">
        <f>if(   iserror(offset(PADRON!B$2,match(A:A,PADRON!A$2:A1010,0)-1,0,1,1) )  ,  ,    offset(PADRON!B$2,match(A:A,PADRON!A$2:A1010,0)-1,0,1,1))</f>
        <v/>
      </c>
      <c r="C205" s="368"/>
      <c r="E205" t="str">
        <f t="shared" si="1"/>
        <v/>
      </c>
      <c r="F205" s="369"/>
      <c r="G205" s="320"/>
      <c r="H205" s="320"/>
      <c r="I205" s="320">
        <f t="shared" si="2"/>
        <v>0</v>
      </c>
      <c r="J205" s="368"/>
    </row>
    <row r="206">
      <c r="B206" t="str">
        <f>if(   iserror(offset(PADRON!B$2,match(A:A,PADRON!A$2:A1010,0)-1,0,1,1) )  ,  ,    offset(PADRON!B$2,match(A:A,PADRON!A$2:A1010,0)-1,0,1,1))</f>
        <v/>
      </c>
      <c r="C206" s="368"/>
      <c r="E206" t="str">
        <f t="shared" si="1"/>
        <v/>
      </c>
      <c r="F206" s="369"/>
      <c r="G206" s="320"/>
      <c r="H206" s="320"/>
      <c r="I206" s="320">
        <f t="shared" si="2"/>
        <v>0</v>
      </c>
      <c r="J206" s="368"/>
    </row>
    <row r="207">
      <c r="B207" t="str">
        <f>if(   iserror(offset(PADRON!B$2,match(A:A,PADRON!A$2:A1010,0)-1,0,1,1) )  ,  ,    offset(PADRON!B$2,match(A:A,PADRON!A$2:A1010,0)-1,0,1,1))</f>
        <v/>
      </c>
      <c r="C207" s="368"/>
      <c r="E207" t="str">
        <f t="shared" si="1"/>
        <v/>
      </c>
      <c r="F207" s="369"/>
      <c r="G207" s="320"/>
      <c r="H207" s="320"/>
      <c r="I207" s="320">
        <f t="shared" si="2"/>
        <v>0</v>
      </c>
      <c r="J207" s="368"/>
    </row>
    <row r="208">
      <c r="B208" t="str">
        <f>if(   iserror(offset(PADRON!B$2,match(A:A,PADRON!A$2:A1010,0)-1,0,1,1) )  ,  ,    offset(PADRON!B$2,match(A:A,PADRON!A$2:A1010,0)-1,0,1,1))</f>
        <v/>
      </c>
      <c r="C208" s="368"/>
      <c r="E208" t="str">
        <f t="shared" si="1"/>
        <v/>
      </c>
      <c r="F208" s="369"/>
      <c r="G208" s="320"/>
      <c r="H208" s="320"/>
      <c r="I208" s="320">
        <f t="shared" si="2"/>
        <v>0</v>
      </c>
      <c r="J208" s="368"/>
    </row>
    <row r="209">
      <c r="B209" t="str">
        <f>if(   iserror(offset(PADRON!B$2,match(A:A,PADRON!A$2:A1010,0)-1,0,1,1) )  ,  ,    offset(PADRON!B$2,match(A:A,PADRON!A$2:A1010,0)-1,0,1,1))</f>
        <v/>
      </c>
      <c r="C209" s="368"/>
      <c r="E209" t="str">
        <f t="shared" si="1"/>
        <v/>
      </c>
      <c r="F209" s="369"/>
      <c r="G209" s="320"/>
      <c r="H209" s="320"/>
      <c r="I209" s="320">
        <f t="shared" si="2"/>
        <v>0</v>
      </c>
      <c r="J209" s="368"/>
    </row>
    <row r="210">
      <c r="B210" t="str">
        <f>if(   iserror(offset(PADRON!B$2,match(A:A,PADRON!A$2:A1010,0)-1,0,1,1) )  ,  ,    offset(PADRON!B$2,match(A:A,PADRON!A$2:A1010,0)-1,0,1,1))</f>
        <v/>
      </c>
      <c r="C210" s="368"/>
      <c r="E210" t="str">
        <f t="shared" si="1"/>
        <v/>
      </c>
      <c r="F210" s="369"/>
      <c r="G210" s="320"/>
      <c r="H210" s="320"/>
      <c r="I210" s="320">
        <f t="shared" si="2"/>
        <v>0</v>
      </c>
      <c r="J210" s="368"/>
    </row>
    <row r="211">
      <c r="B211" t="str">
        <f>if(   iserror(offset(PADRON!B$2,match(A:A,PADRON!A$2:A1010,0)-1,0,1,1) )  ,  ,    offset(PADRON!B$2,match(A:A,PADRON!A$2:A1010,0)-1,0,1,1))</f>
        <v/>
      </c>
      <c r="C211" s="368"/>
      <c r="E211" t="str">
        <f t="shared" si="1"/>
        <v/>
      </c>
      <c r="F211" s="369"/>
      <c r="G211" s="320"/>
      <c r="H211" s="320"/>
      <c r="I211" s="320">
        <f t="shared" si="2"/>
        <v>0</v>
      </c>
      <c r="J211" s="368"/>
    </row>
    <row r="212">
      <c r="B212" t="str">
        <f>if(   iserror(offset(PADRON!B$2,match(A:A,PADRON!A$2:A1010,0)-1,0,1,1) )  ,  ,    offset(PADRON!B$2,match(A:A,PADRON!A$2:A1010,0)-1,0,1,1))</f>
        <v/>
      </c>
      <c r="C212" s="368"/>
      <c r="E212" t="str">
        <f t="shared" si="1"/>
        <v/>
      </c>
      <c r="F212" s="369"/>
      <c r="G212" s="320"/>
      <c r="H212" s="320"/>
      <c r="I212" s="320">
        <f t="shared" si="2"/>
        <v>0</v>
      </c>
      <c r="J212" s="368"/>
    </row>
    <row r="213">
      <c r="B213" t="str">
        <f>if(   iserror(offset(PADRON!B$2,match(A:A,PADRON!A$2:A1010,0)-1,0,1,1) )  ,  ,    offset(PADRON!B$2,match(A:A,PADRON!A$2:A1010,0)-1,0,1,1))</f>
        <v/>
      </c>
      <c r="C213" s="368"/>
      <c r="E213" t="str">
        <f t="shared" si="1"/>
        <v/>
      </c>
      <c r="F213" s="369"/>
      <c r="G213" s="320"/>
      <c r="H213" s="320"/>
      <c r="I213" s="320">
        <f t="shared" si="2"/>
        <v>0</v>
      </c>
      <c r="J213" s="368"/>
    </row>
    <row r="214">
      <c r="B214" t="str">
        <f>if(   iserror(offset(PADRON!B$2,match(A:A,PADRON!A$2:A1010,0)-1,0,1,1) )  ,  ,    offset(PADRON!B$2,match(A:A,PADRON!A$2:A1010,0)-1,0,1,1))</f>
        <v/>
      </c>
      <c r="C214" s="368"/>
      <c r="E214" t="str">
        <f t="shared" si="1"/>
        <v/>
      </c>
      <c r="F214" s="369"/>
      <c r="G214" s="320"/>
      <c r="H214" s="320"/>
      <c r="I214" s="320">
        <f t="shared" si="2"/>
        <v>0</v>
      </c>
      <c r="J214" s="368"/>
    </row>
    <row r="215">
      <c r="B215" t="str">
        <f>if(   iserror(offset(PADRON!B$2,match(A:A,PADRON!A$2:A1010,0)-1,0,1,1) )  ,  ,    offset(PADRON!B$2,match(A:A,PADRON!A$2:A1010,0)-1,0,1,1))</f>
        <v/>
      </c>
      <c r="C215" s="368"/>
      <c r="E215" t="str">
        <f t="shared" si="1"/>
        <v/>
      </c>
      <c r="F215" s="369"/>
      <c r="G215" s="320"/>
      <c r="H215" s="320"/>
      <c r="I215" s="320">
        <f t="shared" si="2"/>
        <v>0</v>
      </c>
      <c r="J215" s="368"/>
    </row>
    <row r="216">
      <c r="B216" t="str">
        <f>if(   iserror(offset(PADRON!B$2,match(A:A,PADRON!A$2:A1010,0)-1,0,1,1) )  ,  ,    offset(PADRON!B$2,match(A:A,PADRON!A$2:A1010,0)-1,0,1,1))</f>
        <v/>
      </c>
      <c r="C216" s="368"/>
      <c r="E216" t="str">
        <f t="shared" si="1"/>
        <v/>
      </c>
      <c r="F216" s="369"/>
      <c r="G216" s="320"/>
      <c r="H216" s="320"/>
      <c r="I216" s="320">
        <f t="shared" si="2"/>
        <v>0</v>
      </c>
      <c r="J216" s="368"/>
    </row>
    <row r="217">
      <c r="B217" t="str">
        <f>if(   iserror(offset(PADRON!B$2,match(A:A,PADRON!A$2:A1010,0)-1,0,1,1) )  ,  ,    offset(PADRON!B$2,match(A:A,PADRON!A$2:A1010,0)-1,0,1,1))</f>
        <v/>
      </c>
      <c r="C217" s="368"/>
      <c r="E217" t="str">
        <f t="shared" si="1"/>
        <v/>
      </c>
      <c r="F217" s="369"/>
      <c r="G217" s="320"/>
      <c r="H217" s="320"/>
      <c r="I217" s="320">
        <f t="shared" si="2"/>
        <v>0</v>
      </c>
      <c r="J217" s="368"/>
    </row>
    <row r="218">
      <c r="B218" t="str">
        <f>if(   iserror(offset(PADRON!B$2,match(A:A,PADRON!A$2:A1010,0)-1,0,1,1) )  ,  ,    offset(PADRON!B$2,match(A:A,PADRON!A$2:A1010,0)-1,0,1,1))</f>
        <v/>
      </c>
      <c r="C218" s="368"/>
      <c r="E218" t="str">
        <f t="shared" si="1"/>
        <v/>
      </c>
      <c r="F218" s="369"/>
      <c r="G218" s="320"/>
      <c r="H218" s="320"/>
      <c r="I218" s="320">
        <f t="shared" si="2"/>
        <v>0</v>
      </c>
      <c r="J218" s="368"/>
    </row>
    <row r="219">
      <c r="B219" t="str">
        <f>if(   iserror(offset(PADRON!B$2,match(A:A,PADRON!A$2:A1010,0)-1,0,1,1) )  ,  ,    offset(PADRON!B$2,match(A:A,PADRON!A$2:A1010,0)-1,0,1,1))</f>
        <v/>
      </c>
      <c r="C219" s="368"/>
      <c r="E219" t="str">
        <f t="shared" si="1"/>
        <v/>
      </c>
      <c r="F219" s="369"/>
      <c r="G219" s="320"/>
      <c r="H219" s="320"/>
      <c r="I219" s="320">
        <f t="shared" si="2"/>
        <v>0</v>
      </c>
      <c r="J219" s="368"/>
    </row>
    <row r="220">
      <c r="B220" t="str">
        <f>if(   iserror(offset(PADRON!B$2,match(A:A,PADRON!A$2:A1010,0)-1,0,1,1) )  ,  ,    offset(PADRON!B$2,match(A:A,PADRON!A$2:A1010,0)-1,0,1,1))</f>
        <v/>
      </c>
      <c r="C220" s="368"/>
      <c r="E220" t="str">
        <f t="shared" si="1"/>
        <v/>
      </c>
      <c r="F220" s="369"/>
      <c r="G220" s="320"/>
      <c r="H220" s="320"/>
      <c r="I220" s="320">
        <f t="shared" si="2"/>
        <v>0</v>
      </c>
      <c r="J220" s="368"/>
    </row>
    <row r="221">
      <c r="B221" t="str">
        <f>if(   iserror(offset(PADRON!B$2,match(A:A,PADRON!A$2:A1010,0)-1,0,1,1) )  ,  ,    offset(PADRON!B$2,match(A:A,PADRON!A$2:A1010,0)-1,0,1,1))</f>
        <v/>
      </c>
      <c r="C221" s="368"/>
      <c r="E221" t="str">
        <f t="shared" si="1"/>
        <v/>
      </c>
      <c r="F221" s="369"/>
      <c r="G221" s="320"/>
      <c r="H221" s="320"/>
      <c r="I221" s="320">
        <f t="shared" si="2"/>
        <v>0</v>
      </c>
      <c r="J221" s="368"/>
    </row>
    <row r="222">
      <c r="B222" t="str">
        <f>if(   iserror(offset(PADRON!B$2,match(A:A,PADRON!A$2:A1010,0)-1,0,1,1) )  ,  ,    offset(PADRON!B$2,match(A:A,PADRON!A$2:A1010,0)-1,0,1,1))</f>
        <v/>
      </c>
      <c r="C222" s="368"/>
      <c r="E222" t="str">
        <f t="shared" si="1"/>
        <v/>
      </c>
      <c r="F222" s="369"/>
      <c r="G222" s="320"/>
      <c r="H222" s="320"/>
      <c r="I222" s="320">
        <f t="shared" si="2"/>
        <v>0</v>
      </c>
      <c r="J222" s="368"/>
    </row>
    <row r="223">
      <c r="B223" t="str">
        <f>if(   iserror(offset(PADRON!B$2,match(A:A,PADRON!A$2:A1010,0)-1,0,1,1) )  ,  ,    offset(PADRON!B$2,match(A:A,PADRON!A$2:A1010,0)-1,0,1,1))</f>
        <v/>
      </c>
      <c r="C223" s="368"/>
      <c r="E223" t="str">
        <f t="shared" si="1"/>
        <v/>
      </c>
      <c r="F223" s="369"/>
      <c r="G223" s="320"/>
      <c r="H223" s="320"/>
      <c r="I223" s="320">
        <f t="shared" si="2"/>
        <v>0</v>
      </c>
      <c r="J223" s="368"/>
    </row>
    <row r="224">
      <c r="B224" t="str">
        <f>if(   iserror(offset(PADRON!B$2,match(A:A,PADRON!A$2:A1010,0)-1,0,1,1) )  ,  ,    offset(PADRON!B$2,match(A:A,PADRON!A$2:A1010,0)-1,0,1,1))</f>
        <v/>
      </c>
      <c r="C224" s="368"/>
      <c r="E224" t="str">
        <f t="shared" si="1"/>
        <v/>
      </c>
      <c r="F224" s="369"/>
      <c r="G224" s="320"/>
      <c r="H224" s="320"/>
      <c r="I224" s="320">
        <f t="shared" si="2"/>
        <v>0</v>
      </c>
      <c r="J224" s="368"/>
    </row>
    <row r="225">
      <c r="B225" t="str">
        <f>if(   iserror(offset(PADRON!B$2,match(A:A,PADRON!A$2:A1010,0)-1,0,1,1) )  ,  ,    offset(PADRON!B$2,match(A:A,PADRON!A$2:A1010,0)-1,0,1,1))</f>
        <v/>
      </c>
      <c r="C225" s="368"/>
      <c r="E225" t="str">
        <f t="shared" si="1"/>
        <v/>
      </c>
      <c r="F225" s="369"/>
      <c r="G225" s="320"/>
      <c r="H225" s="320"/>
      <c r="I225" s="320">
        <f t="shared" si="2"/>
        <v>0</v>
      </c>
      <c r="J225" s="368"/>
    </row>
    <row r="226">
      <c r="B226" t="str">
        <f>if(   iserror(offset(PADRON!B$2,match(A:A,PADRON!A$2:A1010,0)-1,0,1,1) )  ,  ,    offset(PADRON!B$2,match(A:A,PADRON!A$2:A1010,0)-1,0,1,1))</f>
        <v/>
      </c>
      <c r="C226" s="368"/>
      <c r="E226" t="str">
        <f t="shared" si="1"/>
        <v/>
      </c>
      <c r="F226" s="369"/>
      <c r="G226" s="320"/>
      <c r="H226" s="320"/>
      <c r="I226" s="320">
        <f t="shared" si="2"/>
        <v>0</v>
      </c>
      <c r="J226" s="368"/>
    </row>
    <row r="227">
      <c r="B227" t="str">
        <f>if(   iserror(offset(PADRON!B$2,match(A:A,PADRON!A$2:A1010,0)-1,0,1,1) )  ,  ,    offset(PADRON!B$2,match(A:A,PADRON!A$2:A1010,0)-1,0,1,1))</f>
        <v/>
      </c>
      <c r="C227" s="368"/>
      <c r="E227" t="str">
        <f t="shared" si="1"/>
        <v/>
      </c>
      <c r="F227" s="369"/>
      <c r="G227" s="320"/>
      <c r="H227" s="320"/>
      <c r="I227" s="320">
        <f t="shared" si="2"/>
        <v>0</v>
      </c>
      <c r="J227" s="368"/>
    </row>
    <row r="228">
      <c r="B228" t="str">
        <f>if(   iserror(offset(PADRON!B$2,match(A:A,PADRON!A$2:A1010,0)-1,0,1,1) )  ,  ,    offset(PADRON!B$2,match(A:A,PADRON!A$2:A1010,0)-1,0,1,1))</f>
        <v/>
      </c>
      <c r="C228" s="368"/>
      <c r="E228" t="str">
        <f t="shared" si="1"/>
        <v/>
      </c>
      <c r="F228" s="369"/>
      <c r="G228" s="320"/>
      <c r="H228" s="320"/>
      <c r="I228" s="320">
        <f t="shared" si="2"/>
        <v>0</v>
      </c>
      <c r="J228" s="368"/>
    </row>
    <row r="229">
      <c r="B229" t="str">
        <f>if(   iserror(offset(PADRON!B$2,match(A:A,PADRON!A$2:A1010,0)-1,0,1,1) )  ,  ,    offset(PADRON!B$2,match(A:A,PADRON!A$2:A1010,0)-1,0,1,1))</f>
        <v/>
      </c>
      <c r="C229" s="368"/>
      <c r="E229" t="str">
        <f t="shared" si="1"/>
        <v/>
      </c>
      <c r="F229" s="369"/>
      <c r="G229" s="320"/>
      <c r="H229" s="320"/>
      <c r="I229" s="320">
        <f t="shared" si="2"/>
        <v>0</v>
      </c>
      <c r="J229" s="368"/>
    </row>
    <row r="230">
      <c r="B230" t="str">
        <f>if(   iserror(offset(PADRON!B$2,match(A:A,PADRON!A$2:A1010,0)-1,0,1,1) )  ,  ,    offset(PADRON!B$2,match(A:A,PADRON!A$2:A1010,0)-1,0,1,1))</f>
        <v/>
      </c>
      <c r="C230" s="368"/>
      <c r="E230" t="str">
        <f t="shared" si="1"/>
        <v/>
      </c>
      <c r="F230" s="369"/>
      <c r="G230" s="320"/>
      <c r="H230" s="320"/>
      <c r="I230" s="320">
        <f t="shared" si="2"/>
        <v>0</v>
      </c>
      <c r="J230" s="368"/>
    </row>
    <row r="231">
      <c r="B231" t="str">
        <f>if(   iserror(offset(PADRON!B$2,match(A:A,PADRON!A$2:A1010,0)-1,0,1,1) )  ,  ,    offset(PADRON!B$2,match(A:A,PADRON!A$2:A1010,0)-1,0,1,1))</f>
        <v/>
      </c>
      <c r="C231" s="368"/>
      <c r="E231" t="str">
        <f t="shared" si="1"/>
        <v/>
      </c>
      <c r="F231" s="369"/>
      <c r="G231" s="320"/>
      <c r="H231" s="320"/>
      <c r="I231" s="320">
        <f t="shared" si="2"/>
        <v>0</v>
      </c>
      <c r="J231" s="368"/>
    </row>
    <row r="232">
      <c r="B232" t="str">
        <f>if(   iserror(offset(PADRON!B$2,match(A:A,PADRON!A$2:A1010,0)-1,0,1,1) )  ,  ,    offset(PADRON!B$2,match(A:A,PADRON!A$2:A1010,0)-1,0,1,1))</f>
        <v/>
      </c>
      <c r="C232" s="368"/>
      <c r="E232" t="str">
        <f t="shared" si="1"/>
        <v/>
      </c>
      <c r="F232" s="369"/>
      <c r="G232" s="320"/>
      <c r="H232" s="320"/>
      <c r="I232" s="320">
        <f t="shared" si="2"/>
        <v>0</v>
      </c>
      <c r="J232" s="368"/>
    </row>
    <row r="233">
      <c r="B233" t="str">
        <f>if(   iserror(offset(PADRON!B$2,match(A:A,PADRON!A$2:A1010,0)-1,0,1,1) )  ,  ,    offset(PADRON!B$2,match(A:A,PADRON!A$2:A1010,0)-1,0,1,1))</f>
        <v/>
      </c>
      <c r="C233" s="368"/>
      <c r="E233" t="str">
        <f t="shared" si="1"/>
        <v/>
      </c>
      <c r="F233" s="369"/>
      <c r="G233" s="320"/>
      <c r="H233" s="320"/>
      <c r="I233" s="320">
        <f t="shared" si="2"/>
        <v>0</v>
      </c>
      <c r="J233" s="368"/>
    </row>
    <row r="234">
      <c r="B234" t="str">
        <f>if(   iserror(offset(PADRON!B$2,match(A:A,PADRON!A$2:A1010,0)-1,0,1,1) )  ,  ,    offset(PADRON!B$2,match(A:A,PADRON!A$2:A1010,0)-1,0,1,1))</f>
        <v/>
      </c>
      <c r="C234" s="368"/>
      <c r="E234" t="str">
        <f t="shared" si="1"/>
        <v/>
      </c>
      <c r="F234" s="369"/>
      <c r="G234" s="320"/>
      <c r="H234" s="320"/>
      <c r="I234" s="320">
        <f t="shared" si="2"/>
        <v>0</v>
      </c>
      <c r="J234" s="368"/>
    </row>
    <row r="235">
      <c r="B235" t="str">
        <f>if(   iserror(offset(PADRON!B$2,match(A:A,PADRON!A$2:A1010,0)-1,0,1,1) )  ,  ,    offset(PADRON!B$2,match(A:A,PADRON!A$2:A1010,0)-1,0,1,1))</f>
        <v/>
      </c>
      <c r="C235" s="368"/>
      <c r="E235" t="str">
        <f t="shared" si="1"/>
        <v/>
      </c>
      <c r="F235" s="369"/>
      <c r="G235" s="320"/>
      <c r="H235" s="320"/>
      <c r="I235" s="320">
        <f t="shared" si="2"/>
        <v>0</v>
      </c>
      <c r="J235" s="368"/>
    </row>
    <row r="236">
      <c r="B236" t="str">
        <f>if(   iserror(offset(PADRON!B$2,match(A:A,PADRON!A$2:A1010,0)-1,0,1,1) )  ,  ,    offset(PADRON!B$2,match(A:A,PADRON!A$2:A1010,0)-1,0,1,1))</f>
        <v/>
      </c>
      <c r="C236" s="368"/>
      <c r="E236" t="str">
        <f t="shared" si="1"/>
        <v/>
      </c>
      <c r="F236" s="369"/>
      <c r="G236" s="320"/>
      <c r="H236" s="320"/>
      <c r="I236" s="320">
        <f t="shared" si="2"/>
        <v>0</v>
      </c>
      <c r="J236" s="368"/>
    </row>
    <row r="237">
      <c r="B237" t="str">
        <f>if(   iserror(offset(PADRON!B$2,match(A:A,PADRON!A$2:A1010,0)-1,0,1,1) )  ,  ,    offset(PADRON!B$2,match(A:A,PADRON!A$2:A1010,0)-1,0,1,1))</f>
        <v/>
      </c>
      <c r="C237" s="368"/>
      <c r="E237" t="str">
        <f t="shared" si="1"/>
        <v/>
      </c>
      <c r="F237" s="369"/>
      <c r="G237" s="320"/>
      <c r="H237" s="320"/>
      <c r="I237" s="320">
        <f t="shared" si="2"/>
        <v>0</v>
      </c>
      <c r="J237" s="368"/>
    </row>
    <row r="238">
      <c r="B238" t="str">
        <f>if(   iserror(offset(PADRON!B$2,match(A:A,PADRON!A$2:A1010,0)-1,0,1,1) )  ,  ,    offset(PADRON!B$2,match(A:A,PADRON!A$2:A1010,0)-1,0,1,1))</f>
        <v/>
      </c>
      <c r="C238" s="368"/>
      <c r="E238" t="str">
        <f t="shared" si="1"/>
        <v/>
      </c>
      <c r="F238" s="369"/>
      <c r="G238" s="320"/>
      <c r="H238" s="320"/>
      <c r="I238" s="320">
        <f t="shared" si="2"/>
        <v>0</v>
      </c>
      <c r="J238" s="368"/>
    </row>
    <row r="239">
      <c r="B239" t="str">
        <f>if(   iserror(offset(PADRON!B$2,match(A:A,PADRON!A$2:A1010,0)-1,0,1,1) )  ,  ,    offset(PADRON!B$2,match(A:A,PADRON!A$2:A1010,0)-1,0,1,1))</f>
        <v/>
      </c>
      <c r="C239" s="368"/>
      <c r="E239" t="str">
        <f t="shared" si="1"/>
        <v/>
      </c>
      <c r="F239" s="369"/>
      <c r="G239" s="320"/>
      <c r="H239" s="320"/>
      <c r="I239" s="320">
        <f t="shared" si="2"/>
        <v>0</v>
      </c>
      <c r="J239" s="368"/>
    </row>
    <row r="240">
      <c r="B240" t="str">
        <f>if(   iserror(offset(PADRON!B$2,match(A:A,PADRON!A$2:A1010,0)-1,0,1,1) )  ,  ,    offset(PADRON!B$2,match(A:A,PADRON!A$2:A1010,0)-1,0,1,1))</f>
        <v/>
      </c>
      <c r="C240" s="368"/>
      <c r="E240" t="str">
        <f t="shared" si="1"/>
        <v/>
      </c>
      <c r="F240" s="369"/>
      <c r="G240" s="320"/>
      <c r="H240" s="320"/>
      <c r="I240" s="320">
        <f t="shared" si="2"/>
        <v>0</v>
      </c>
      <c r="J240" s="368"/>
    </row>
    <row r="241">
      <c r="B241" t="str">
        <f>if(   iserror(offset(PADRON!B$2,match(A:A,PADRON!A$2:A1010,0)-1,0,1,1) )  ,  ,    offset(PADRON!B$2,match(A:A,PADRON!A$2:A1010,0)-1,0,1,1))</f>
        <v/>
      </c>
      <c r="C241" s="368"/>
      <c r="E241" t="str">
        <f t="shared" si="1"/>
        <v/>
      </c>
      <c r="F241" s="369"/>
      <c r="G241" s="320"/>
      <c r="H241" s="320"/>
      <c r="I241" s="320">
        <f t="shared" si="2"/>
        <v>0</v>
      </c>
      <c r="J241" s="368"/>
    </row>
    <row r="242">
      <c r="B242" t="str">
        <f>if(   iserror(offset(PADRON!B$2,match(A:A,PADRON!A$2:A1010,0)-1,0,1,1) )  ,  ,    offset(PADRON!B$2,match(A:A,PADRON!A$2:A1010,0)-1,0,1,1))</f>
        <v/>
      </c>
      <c r="C242" s="368"/>
      <c r="E242" t="str">
        <f t="shared" si="1"/>
        <v/>
      </c>
      <c r="F242" s="369"/>
      <c r="G242" s="320"/>
      <c r="H242" s="320"/>
      <c r="I242" s="320">
        <f t="shared" si="2"/>
        <v>0</v>
      </c>
      <c r="J242" s="368"/>
    </row>
    <row r="243">
      <c r="B243" t="str">
        <f>if(   iserror(offset(PADRON!B$2,match(A:A,PADRON!A$2:A1010,0)-1,0,1,1) )  ,  ,    offset(PADRON!B$2,match(A:A,PADRON!A$2:A1010,0)-1,0,1,1))</f>
        <v/>
      </c>
      <c r="C243" s="368"/>
      <c r="E243" t="str">
        <f t="shared" si="1"/>
        <v/>
      </c>
      <c r="F243" s="369"/>
      <c r="G243" s="320"/>
      <c r="H243" s="320"/>
      <c r="I243" s="320">
        <f t="shared" si="2"/>
        <v>0</v>
      </c>
      <c r="J243" s="368"/>
    </row>
    <row r="244">
      <c r="B244" t="str">
        <f>if(   iserror(offset(PADRON!B$2,match(A:A,PADRON!A$2:A1010,0)-1,0,1,1) )  ,  ,    offset(PADRON!B$2,match(A:A,PADRON!A$2:A1010,0)-1,0,1,1))</f>
        <v/>
      </c>
      <c r="C244" s="368"/>
      <c r="E244" t="str">
        <f t="shared" si="1"/>
        <v/>
      </c>
      <c r="F244" s="369"/>
      <c r="G244" s="320"/>
      <c r="H244" s="320"/>
      <c r="I244" s="320">
        <f t="shared" si="2"/>
        <v>0</v>
      </c>
      <c r="J244" s="368"/>
    </row>
    <row r="245">
      <c r="B245" t="str">
        <f>if(   iserror(offset(PADRON!B$2,match(A:A,PADRON!A$2:A1010,0)-1,0,1,1) )  ,  ,    offset(PADRON!B$2,match(A:A,PADRON!A$2:A1010,0)-1,0,1,1))</f>
        <v/>
      </c>
      <c r="C245" s="368"/>
      <c r="E245" t="str">
        <f t="shared" si="1"/>
        <v/>
      </c>
      <c r="F245" s="369"/>
      <c r="G245" s="320"/>
      <c r="H245" s="320"/>
      <c r="I245" s="320">
        <f t="shared" si="2"/>
        <v>0</v>
      </c>
      <c r="J245" s="368"/>
    </row>
    <row r="246">
      <c r="B246" t="str">
        <f>if(   iserror(offset(PADRON!B$2,match(A:A,PADRON!A$2:A1010,0)-1,0,1,1) )  ,  ,    offset(PADRON!B$2,match(A:A,PADRON!A$2:A1010,0)-1,0,1,1))</f>
        <v/>
      </c>
      <c r="C246" s="368"/>
      <c r="E246" t="str">
        <f t="shared" si="1"/>
        <v/>
      </c>
      <c r="F246" s="369"/>
      <c r="G246" s="320"/>
      <c r="H246" s="320"/>
      <c r="I246" s="320">
        <f t="shared" si="2"/>
        <v>0</v>
      </c>
      <c r="J246" s="368"/>
    </row>
    <row r="247">
      <c r="B247" t="str">
        <f>if(   iserror(offset(PADRON!B$2,match(A:A,PADRON!A$2:A1010,0)-1,0,1,1) )  ,  ,    offset(PADRON!B$2,match(A:A,PADRON!A$2:A1010,0)-1,0,1,1))</f>
        <v/>
      </c>
      <c r="C247" s="368"/>
      <c r="E247" t="str">
        <f t="shared" si="1"/>
        <v/>
      </c>
      <c r="F247" s="369"/>
      <c r="G247" s="320"/>
      <c r="H247" s="320"/>
      <c r="I247" s="320">
        <f t="shared" si="2"/>
        <v>0</v>
      </c>
      <c r="J247" s="368"/>
    </row>
    <row r="248">
      <c r="B248" t="str">
        <f>if(   iserror(offset(PADRON!B$2,match(A:A,PADRON!A$2:A1010,0)-1,0,1,1) )  ,  ,    offset(PADRON!B$2,match(A:A,PADRON!A$2:A1010,0)-1,0,1,1))</f>
        <v/>
      </c>
      <c r="C248" s="368"/>
      <c r="E248" t="str">
        <f t="shared" si="1"/>
        <v/>
      </c>
      <c r="F248" s="369"/>
      <c r="G248" s="320"/>
      <c r="H248" s="320"/>
      <c r="I248" s="320">
        <f t="shared" si="2"/>
        <v>0</v>
      </c>
      <c r="J248" s="368"/>
    </row>
    <row r="249">
      <c r="B249" t="str">
        <f>if(   iserror(offset(PADRON!B$2,match(A:A,PADRON!A$2:A1010,0)-1,0,1,1) )  ,  ,    offset(PADRON!B$2,match(A:A,PADRON!A$2:A1010,0)-1,0,1,1))</f>
        <v/>
      </c>
      <c r="C249" s="368"/>
      <c r="E249" t="str">
        <f t="shared" si="1"/>
        <v/>
      </c>
      <c r="F249" s="369"/>
      <c r="G249" s="320"/>
      <c r="H249" s="320"/>
      <c r="I249" s="320">
        <f t="shared" si="2"/>
        <v>0</v>
      </c>
      <c r="J249" s="368"/>
    </row>
    <row r="250">
      <c r="B250" t="str">
        <f>if(   iserror(offset(PADRON!B$2,match(A:A,PADRON!A$2:A1010,0)-1,0,1,1) )  ,  ,    offset(PADRON!B$2,match(A:A,PADRON!A$2:A1010,0)-1,0,1,1))</f>
        <v/>
      </c>
      <c r="C250" s="368"/>
      <c r="E250" t="str">
        <f t="shared" si="1"/>
        <v/>
      </c>
      <c r="F250" s="369"/>
      <c r="G250" s="320"/>
      <c r="H250" s="320"/>
      <c r="I250" s="320">
        <f t="shared" si="2"/>
        <v>0</v>
      </c>
      <c r="J250" s="368"/>
    </row>
    <row r="251">
      <c r="B251" t="str">
        <f>if(   iserror(offset(PADRON!B$2,match(A:A,PADRON!A$2:A1010,0)-1,0,1,1) )  ,  ,    offset(PADRON!B$2,match(A:A,PADRON!A$2:A1010,0)-1,0,1,1))</f>
        <v/>
      </c>
      <c r="C251" s="368"/>
      <c r="E251" t="str">
        <f t="shared" si="1"/>
        <v/>
      </c>
      <c r="F251" s="369"/>
      <c r="G251" s="320"/>
      <c r="H251" s="320"/>
      <c r="I251" s="320">
        <f t="shared" si="2"/>
        <v>0</v>
      </c>
      <c r="J251" s="368"/>
    </row>
    <row r="252">
      <c r="B252" t="str">
        <f>if(   iserror(offset(PADRON!B$2,match(A:A,PADRON!A$2:A1010,0)-1,0,1,1) )  ,  ,    offset(PADRON!B$2,match(A:A,PADRON!A$2:A1010,0)-1,0,1,1))</f>
        <v/>
      </c>
      <c r="C252" s="368"/>
      <c r="E252" t="str">
        <f t="shared" si="1"/>
        <v/>
      </c>
      <c r="F252" s="369"/>
      <c r="G252" s="320"/>
      <c r="H252" s="320"/>
      <c r="I252" s="320">
        <f t="shared" si="2"/>
        <v>0</v>
      </c>
      <c r="J252" s="368"/>
    </row>
    <row r="253">
      <c r="B253" t="str">
        <f>if(   iserror(offset(PADRON!B$2,match(A:A,PADRON!A$2:A1010,0)-1,0,1,1) )  ,  ,    offset(PADRON!B$2,match(A:A,PADRON!A$2:A1010,0)-1,0,1,1))</f>
        <v/>
      </c>
      <c r="C253" s="368"/>
      <c r="E253" t="str">
        <f t="shared" si="1"/>
        <v/>
      </c>
      <c r="F253" s="369"/>
      <c r="G253" s="320"/>
      <c r="H253" s="320"/>
      <c r="I253" s="320">
        <f t="shared" si="2"/>
        <v>0</v>
      </c>
      <c r="J253" s="368"/>
    </row>
    <row r="254">
      <c r="B254" t="str">
        <f>if(   iserror(offset(PADRON!B$2,match(A:A,PADRON!A$2:A1010,0)-1,0,1,1) )  ,  ,    offset(PADRON!B$2,match(A:A,PADRON!A$2:A1010,0)-1,0,1,1))</f>
        <v/>
      </c>
      <c r="C254" s="368"/>
      <c r="E254" t="str">
        <f t="shared" si="1"/>
        <v/>
      </c>
      <c r="F254" s="369"/>
      <c r="G254" s="320"/>
      <c r="H254" s="320"/>
      <c r="I254" s="320">
        <f t="shared" si="2"/>
        <v>0</v>
      </c>
      <c r="J254" s="368"/>
    </row>
    <row r="255">
      <c r="B255" t="str">
        <f>if(   iserror(offset(PADRON!B$2,match(A:A,PADRON!A$2:A1010,0)-1,0,1,1) )  ,  ,    offset(PADRON!B$2,match(A:A,PADRON!A$2:A1010,0)-1,0,1,1))</f>
        <v/>
      </c>
      <c r="C255" s="368"/>
      <c r="E255" t="str">
        <f t="shared" si="1"/>
        <v/>
      </c>
      <c r="F255" s="369"/>
      <c r="G255" s="320"/>
      <c r="H255" s="320"/>
      <c r="I255" s="320">
        <f t="shared" si="2"/>
        <v>0</v>
      </c>
      <c r="J255" s="368"/>
    </row>
    <row r="256">
      <c r="B256" t="str">
        <f>if(   iserror(offset(PADRON!B$2,match(A:A,PADRON!A$2:A1010,0)-1,0,1,1) )  ,  ,    offset(PADRON!B$2,match(A:A,PADRON!A$2:A1010,0)-1,0,1,1))</f>
        <v/>
      </c>
      <c r="C256" s="368"/>
      <c r="E256" t="str">
        <f t="shared" si="1"/>
        <v/>
      </c>
      <c r="F256" s="369"/>
      <c r="G256" s="320"/>
      <c r="H256" s="320"/>
      <c r="I256" s="320">
        <f t="shared" si="2"/>
        <v>0</v>
      </c>
      <c r="J256" s="368"/>
    </row>
    <row r="257">
      <c r="B257" t="str">
        <f>if(   iserror(offset(PADRON!B$2,match(A:A,PADRON!A$2:A1010,0)-1,0,1,1) )  ,  ,    offset(PADRON!B$2,match(A:A,PADRON!A$2:A1010,0)-1,0,1,1))</f>
        <v/>
      </c>
      <c r="C257" s="368"/>
      <c r="E257" t="str">
        <f t="shared" si="1"/>
        <v/>
      </c>
      <c r="F257" s="369"/>
      <c r="G257" s="320"/>
      <c r="H257" s="320"/>
      <c r="I257" s="320">
        <f t="shared" si="2"/>
        <v>0</v>
      </c>
      <c r="J257" s="368"/>
    </row>
    <row r="258">
      <c r="B258" t="str">
        <f>if(   iserror(offset(PADRON!B$2,match(A:A,PADRON!A$2:A1010,0)-1,0,1,1) )  ,  ,    offset(PADRON!B$2,match(A:A,PADRON!A$2:A1010,0)-1,0,1,1))</f>
        <v/>
      </c>
      <c r="C258" s="368"/>
      <c r="E258" t="str">
        <f t="shared" si="1"/>
        <v/>
      </c>
      <c r="F258" s="369"/>
      <c r="G258" s="320"/>
      <c r="H258" s="320"/>
      <c r="I258" s="320">
        <f t="shared" si="2"/>
        <v>0</v>
      </c>
      <c r="J258" s="368"/>
    </row>
    <row r="259">
      <c r="B259" t="str">
        <f>if(   iserror(offset(PADRON!B$2,match(A:A,PADRON!A$2:A1010,0)-1,0,1,1) )  ,  ,    offset(PADRON!B$2,match(A:A,PADRON!A$2:A1010,0)-1,0,1,1))</f>
        <v/>
      </c>
      <c r="C259" s="368"/>
      <c r="E259" t="str">
        <f t="shared" si="1"/>
        <v/>
      </c>
      <c r="F259" s="369"/>
      <c r="G259" s="320"/>
      <c r="H259" s="320"/>
      <c r="I259" s="320">
        <f t="shared" si="2"/>
        <v>0</v>
      </c>
      <c r="J259" s="368"/>
    </row>
    <row r="260">
      <c r="B260" t="str">
        <f>if(   iserror(offset(PADRON!B$2,match(A:A,PADRON!A$2:A1010,0)-1,0,1,1) )  ,  ,    offset(PADRON!B$2,match(A:A,PADRON!A$2:A1010,0)-1,0,1,1))</f>
        <v/>
      </c>
      <c r="C260" s="368"/>
      <c r="E260" t="str">
        <f t="shared" si="1"/>
        <v/>
      </c>
      <c r="F260" s="369"/>
      <c r="G260" s="320"/>
      <c r="H260" s="320"/>
      <c r="I260" s="320">
        <f t="shared" si="2"/>
        <v>0</v>
      </c>
      <c r="J260" s="368"/>
    </row>
    <row r="261">
      <c r="B261" t="str">
        <f>if(   iserror(offset(PADRON!B$2,match(A:A,PADRON!A$2:A1010,0)-1,0,1,1) )  ,  ,    offset(PADRON!B$2,match(A:A,PADRON!A$2:A1010,0)-1,0,1,1))</f>
        <v/>
      </c>
      <c r="C261" s="368"/>
      <c r="E261" t="str">
        <f t="shared" si="1"/>
        <v/>
      </c>
      <c r="F261" s="369"/>
      <c r="G261" s="320"/>
      <c r="H261" s="320"/>
      <c r="I261" s="320">
        <f t="shared" si="2"/>
        <v>0</v>
      </c>
      <c r="J261" s="368"/>
    </row>
    <row r="262">
      <c r="B262" t="str">
        <f>if(   iserror(offset(PADRON!B$2,match(A:A,PADRON!A$2:A1010,0)-1,0,1,1) )  ,  ,    offset(PADRON!B$2,match(A:A,PADRON!A$2:A1010,0)-1,0,1,1))</f>
        <v/>
      </c>
      <c r="C262" s="368"/>
      <c r="E262" t="str">
        <f t="shared" si="1"/>
        <v/>
      </c>
      <c r="F262" s="369"/>
      <c r="G262" s="320"/>
      <c r="H262" s="320"/>
      <c r="I262" s="320">
        <f t="shared" si="2"/>
        <v>0</v>
      </c>
      <c r="J262" s="368"/>
    </row>
    <row r="263">
      <c r="B263" t="str">
        <f>if(   iserror(offset(PADRON!B$2,match(A:A,PADRON!A$2:A1010,0)-1,0,1,1) )  ,  ,    offset(PADRON!B$2,match(A:A,PADRON!A$2:A1010,0)-1,0,1,1))</f>
        <v/>
      </c>
      <c r="C263" s="368"/>
      <c r="E263" t="str">
        <f t="shared" si="1"/>
        <v/>
      </c>
      <c r="F263" s="369"/>
      <c r="G263" s="320"/>
      <c r="H263" s="320"/>
      <c r="I263" s="320">
        <f t="shared" si="2"/>
        <v>0</v>
      </c>
      <c r="J263" s="368"/>
    </row>
    <row r="264">
      <c r="B264" t="str">
        <f>if(   iserror(offset(PADRON!B$2,match(A:A,PADRON!A$2:A1010,0)-1,0,1,1) )  ,  ,    offset(PADRON!B$2,match(A:A,PADRON!A$2:A1010,0)-1,0,1,1))</f>
        <v/>
      </c>
      <c r="C264" s="368"/>
      <c r="E264" t="str">
        <f t="shared" si="1"/>
        <v/>
      </c>
      <c r="F264" s="369"/>
      <c r="G264" s="320"/>
      <c r="H264" s="320"/>
      <c r="I264" s="320">
        <f t="shared" si="2"/>
        <v>0</v>
      </c>
      <c r="J264" s="368"/>
    </row>
    <row r="265">
      <c r="B265" t="str">
        <f>if(   iserror(offset(PADRON!B$2,match(A:A,PADRON!A$2:A1010,0)-1,0,1,1) )  ,  ,    offset(PADRON!B$2,match(A:A,PADRON!A$2:A1010,0)-1,0,1,1))</f>
        <v/>
      </c>
      <c r="C265" s="368"/>
      <c r="E265" t="str">
        <f t="shared" si="1"/>
        <v/>
      </c>
      <c r="F265" s="369"/>
      <c r="G265" s="320"/>
      <c r="H265" s="320"/>
      <c r="I265" s="320">
        <f t="shared" si="2"/>
        <v>0</v>
      </c>
      <c r="J265" s="368"/>
    </row>
    <row r="266">
      <c r="B266" t="str">
        <f>if(   iserror(offset(PADRON!B$2,match(A:A,PADRON!A$2:A1010,0)-1,0,1,1) )  ,  ,    offset(PADRON!B$2,match(A:A,PADRON!A$2:A1010,0)-1,0,1,1))</f>
        <v/>
      </c>
      <c r="C266" s="368"/>
      <c r="E266" t="str">
        <f t="shared" si="1"/>
        <v/>
      </c>
      <c r="F266" s="369"/>
      <c r="G266" s="320"/>
      <c r="H266" s="320"/>
      <c r="I266" s="320">
        <f t="shared" si="2"/>
        <v>0</v>
      </c>
      <c r="J266" s="368"/>
    </row>
    <row r="267">
      <c r="B267" t="str">
        <f>if(   iserror(offset(PADRON!B$2,match(A:A,PADRON!A$2:A1010,0)-1,0,1,1) )  ,  ,    offset(PADRON!B$2,match(A:A,PADRON!A$2:A1010,0)-1,0,1,1))</f>
        <v/>
      </c>
      <c r="C267" s="368"/>
      <c r="E267" t="str">
        <f t="shared" si="1"/>
        <v/>
      </c>
      <c r="F267" s="369"/>
      <c r="G267" s="320"/>
      <c r="H267" s="320"/>
      <c r="I267" s="320">
        <f t="shared" si="2"/>
        <v>0</v>
      </c>
      <c r="J267" s="368"/>
    </row>
    <row r="268">
      <c r="B268" t="str">
        <f>if(   iserror(offset(PADRON!B$2,match(A:A,PADRON!A$2:A1010,0)-1,0,1,1) )  ,  ,    offset(PADRON!B$2,match(A:A,PADRON!A$2:A1010,0)-1,0,1,1))</f>
        <v/>
      </c>
      <c r="C268" s="368"/>
      <c r="E268" t="str">
        <f t="shared" si="1"/>
        <v/>
      </c>
      <c r="F268" s="369"/>
      <c r="G268" s="320"/>
      <c r="H268" s="320"/>
      <c r="I268" s="320">
        <f t="shared" si="2"/>
        <v>0</v>
      </c>
      <c r="J268" s="368"/>
    </row>
    <row r="269">
      <c r="B269" t="str">
        <f>if(   iserror(offset(PADRON!B$2,match(A:A,PADRON!A$2:A1010,0)-1,0,1,1) )  ,  ,    offset(PADRON!B$2,match(A:A,PADRON!A$2:A1010,0)-1,0,1,1))</f>
        <v/>
      </c>
      <c r="C269" s="368"/>
      <c r="E269" t="str">
        <f t="shared" si="1"/>
        <v/>
      </c>
      <c r="F269" s="369"/>
      <c r="G269" s="320"/>
      <c r="H269" s="320"/>
      <c r="I269" s="320">
        <f t="shared" si="2"/>
        <v>0</v>
      </c>
      <c r="J269" s="368"/>
    </row>
    <row r="270">
      <c r="B270" t="str">
        <f>if(   iserror(offset(PADRON!B$2,match(A:A,PADRON!A$2:A1010,0)-1,0,1,1) )  ,  ,    offset(PADRON!B$2,match(A:A,PADRON!A$2:A1010,0)-1,0,1,1))</f>
        <v/>
      </c>
      <c r="C270" s="368"/>
      <c r="E270" t="str">
        <f t="shared" si="1"/>
        <v/>
      </c>
      <c r="F270" s="369"/>
      <c r="G270" s="320"/>
      <c r="H270" s="320"/>
      <c r="I270" s="320">
        <f t="shared" si="2"/>
        <v>0</v>
      </c>
      <c r="J270" s="368"/>
    </row>
    <row r="271">
      <c r="B271" t="str">
        <f>if(   iserror(offset(PADRON!B$2,match(A:A,PADRON!A$2:A1010,0)-1,0,1,1) )  ,  ,    offset(PADRON!B$2,match(A:A,PADRON!A$2:A1010,0)-1,0,1,1))</f>
        <v/>
      </c>
      <c r="C271" s="368"/>
      <c r="E271" t="str">
        <f t="shared" si="1"/>
        <v/>
      </c>
      <c r="F271" s="369"/>
      <c r="G271" s="320"/>
      <c r="H271" s="320"/>
      <c r="I271" s="320">
        <f t="shared" si="2"/>
        <v>0</v>
      </c>
      <c r="J271" s="368"/>
    </row>
    <row r="272">
      <c r="B272" t="str">
        <f>if(   iserror(offset(PADRON!B$2,match(A:A,PADRON!A$2:A1010,0)-1,0,1,1) )  ,  ,    offset(PADRON!B$2,match(A:A,PADRON!A$2:A1010,0)-1,0,1,1))</f>
        <v/>
      </c>
      <c r="C272" s="368"/>
      <c r="E272" t="str">
        <f t="shared" si="1"/>
        <v/>
      </c>
      <c r="F272" s="369"/>
      <c r="G272" s="320"/>
      <c r="H272" s="320"/>
      <c r="I272" s="320">
        <f t="shared" si="2"/>
        <v>0</v>
      </c>
      <c r="J272" s="368"/>
    </row>
    <row r="273">
      <c r="B273" t="str">
        <f>if(   iserror(offset(PADRON!B$2,match(A:A,PADRON!A$2:A1010,0)-1,0,1,1) )  ,  ,    offset(PADRON!B$2,match(A:A,PADRON!A$2:A1010,0)-1,0,1,1))</f>
        <v/>
      </c>
      <c r="C273" s="368"/>
      <c r="E273" t="str">
        <f t="shared" si="1"/>
        <v/>
      </c>
      <c r="F273" s="369"/>
      <c r="G273" s="320"/>
      <c r="H273" s="320"/>
      <c r="I273" s="320">
        <f t="shared" si="2"/>
        <v>0</v>
      </c>
      <c r="J273" s="368"/>
    </row>
    <row r="274">
      <c r="B274" t="str">
        <f>if(   iserror(offset(PADRON!B$2,match(A:A,PADRON!A$2:A1010,0)-1,0,1,1) )  ,  ,    offset(PADRON!B$2,match(A:A,PADRON!A$2:A1010,0)-1,0,1,1))</f>
        <v/>
      </c>
      <c r="C274" s="368"/>
      <c r="E274" t="str">
        <f t="shared" si="1"/>
        <v/>
      </c>
      <c r="F274" s="369"/>
      <c r="G274" s="320"/>
      <c r="H274" s="320"/>
      <c r="I274" s="320">
        <f t="shared" si="2"/>
        <v>0</v>
      </c>
      <c r="J274" s="368"/>
    </row>
    <row r="275">
      <c r="B275" t="str">
        <f>if(   iserror(offset(PADRON!B$2,match(A:A,PADRON!A$2:A1010,0)-1,0,1,1) )  ,  ,    offset(PADRON!B$2,match(A:A,PADRON!A$2:A1010,0)-1,0,1,1))</f>
        <v/>
      </c>
      <c r="C275" s="368"/>
      <c r="E275" t="str">
        <f t="shared" si="1"/>
        <v/>
      </c>
      <c r="F275" s="369"/>
      <c r="G275" s="320"/>
      <c r="H275" s="320"/>
      <c r="I275" s="320">
        <f t="shared" si="2"/>
        <v>0</v>
      </c>
      <c r="J275" s="368"/>
    </row>
    <row r="276">
      <c r="B276" t="str">
        <f>if(   iserror(offset(PADRON!B$2,match(A:A,PADRON!A$2:A1010,0)-1,0,1,1) )  ,  ,    offset(PADRON!B$2,match(A:A,PADRON!A$2:A1010,0)-1,0,1,1))</f>
        <v/>
      </c>
      <c r="C276" s="368"/>
      <c r="E276" t="str">
        <f t="shared" si="1"/>
        <v/>
      </c>
      <c r="F276" s="369"/>
      <c r="G276" s="320"/>
      <c r="H276" s="320"/>
      <c r="I276" s="320">
        <f t="shared" si="2"/>
        <v>0</v>
      </c>
      <c r="J276" s="368"/>
    </row>
    <row r="277">
      <c r="B277" t="str">
        <f>if(   iserror(offset(PADRON!B$2,match(A:A,PADRON!A$2:A1010,0)-1,0,1,1) )  ,  ,    offset(PADRON!B$2,match(A:A,PADRON!A$2:A1010,0)-1,0,1,1))</f>
        <v/>
      </c>
      <c r="C277" s="368"/>
      <c r="E277" t="str">
        <f t="shared" si="1"/>
        <v/>
      </c>
      <c r="F277" s="369"/>
      <c r="G277" s="320"/>
      <c r="H277" s="320"/>
      <c r="I277" s="320">
        <f t="shared" si="2"/>
        <v>0</v>
      </c>
      <c r="J277" s="368"/>
    </row>
    <row r="278">
      <c r="B278" t="str">
        <f>if(   iserror(offset(PADRON!B$2,match(A:A,PADRON!A$2:A1010,0)-1,0,1,1) )  ,  ,    offset(PADRON!B$2,match(A:A,PADRON!A$2:A1010,0)-1,0,1,1))</f>
        <v/>
      </c>
      <c r="C278" s="368"/>
      <c r="E278" t="str">
        <f t="shared" si="1"/>
        <v/>
      </c>
      <c r="F278" s="369"/>
      <c r="G278" s="320"/>
      <c r="H278" s="320"/>
      <c r="I278" s="320">
        <f t="shared" si="2"/>
        <v>0</v>
      </c>
      <c r="J278" s="368"/>
    </row>
    <row r="279">
      <c r="B279" t="str">
        <f>if(   iserror(offset(PADRON!B$2,match(A:A,PADRON!A$2:A1010,0)-1,0,1,1) )  ,  ,    offset(PADRON!B$2,match(A:A,PADRON!A$2:A1010,0)-1,0,1,1))</f>
        <v/>
      </c>
      <c r="C279" s="368"/>
      <c r="E279" t="str">
        <f t="shared" si="1"/>
        <v/>
      </c>
      <c r="F279" s="369"/>
      <c r="G279" s="320"/>
      <c r="H279" s="320"/>
      <c r="I279" s="320">
        <f t="shared" si="2"/>
        <v>0</v>
      </c>
      <c r="J279" s="368"/>
    </row>
    <row r="280">
      <c r="B280" t="str">
        <f>if(   iserror(offset(PADRON!B$2,match(A:A,PADRON!A$2:A1010,0)-1,0,1,1) )  ,  ,    offset(PADRON!B$2,match(A:A,PADRON!A$2:A1010,0)-1,0,1,1))</f>
        <v/>
      </c>
      <c r="C280" s="368"/>
      <c r="E280" t="str">
        <f t="shared" si="1"/>
        <v/>
      </c>
      <c r="F280" s="369"/>
      <c r="G280" s="320"/>
      <c r="H280" s="320"/>
      <c r="I280" s="320">
        <f t="shared" si="2"/>
        <v>0</v>
      </c>
      <c r="J280" s="368"/>
    </row>
    <row r="281">
      <c r="B281" t="str">
        <f>if(   iserror(offset(PADRON!B$2,match(A:A,PADRON!A$2:A1010,0)-1,0,1,1) )  ,  ,    offset(PADRON!B$2,match(A:A,PADRON!A$2:A1010,0)-1,0,1,1))</f>
        <v/>
      </c>
      <c r="C281" s="368"/>
      <c r="E281" t="str">
        <f t="shared" si="1"/>
        <v/>
      </c>
      <c r="F281" s="369"/>
      <c r="G281" s="320"/>
      <c r="H281" s="320"/>
      <c r="I281" s="320">
        <f t="shared" si="2"/>
        <v>0</v>
      </c>
      <c r="J281" s="368"/>
    </row>
    <row r="282">
      <c r="B282" t="str">
        <f>if(   iserror(offset(PADRON!B$2,match(A:A,PADRON!A$2:A1010,0)-1,0,1,1) )  ,  ,    offset(PADRON!B$2,match(A:A,PADRON!A$2:A1010,0)-1,0,1,1))</f>
        <v/>
      </c>
      <c r="C282" s="368"/>
      <c r="E282" t="str">
        <f t="shared" si="1"/>
        <v/>
      </c>
      <c r="F282" s="369"/>
      <c r="G282" s="320"/>
      <c r="H282" s="320"/>
      <c r="I282" s="320">
        <f t="shared" si="2"/>
        <v>0</v>
      </c>
      <c r="J282" s="368"/>
    </row>
    <row r="283">
      <c r="B283" t="str">
        <f>if(   iserror(offset(PADRON!B$2,match(A:A,PADRON!A$2:A1010,0)-1,0,1,1) )  ,  ,    offset(PADRON!B$2,match(A:A,PADRON!A$2:A1010,0)-1,0,1,1))</f>
        <v/>
      </c>
      <c r="C283" s="368"/>
      <c r="E283" t="str">
        <f t="shared" si="1"/>
        <v/>
      </c>
      <c r="F283" s="369"/>
      <c r="G283" s="320"/>
      <c r="H283" s="320"/>
      <c r="I283" s="320">
        <f t="shared" si="2"/>
        <v>0</v>
      </c>
      <c r="J283" s="368"/>
    </row>
    <row r="284">
      <c r="B284" t="str">
        <f>if(   iserror(offset(PADRON!B$2,match(A:A,PADRON!A$2:A1010,0)-1,0,1,1) )  ,  ,    offset(PADRON!B$2,match(A:A,PADRON!A$2:A1010,0)-1,0,1,1))</f>
        <v/>
      </c>
      <c r="C284" s="368"/>
      <c r="E284" t="str">
        <f t="shared" si="1"/>
        <v/>
      </c>
      <c r="F284" s="369"/>
      <c r="G284" s="320"/>
      <c r="H284" s="320"/>
      <c r="I284" s="320">
        <f t="shared" si="2"/>
        <v>0</v>
      </c>
      <c r="J284" s="368"/>
    </row>
    <row r="285">
      <c r="B285" t="str">
        <f>if(   iserror(offset(PADRON!B$2,match(A:A,PADRON!A$2:A1010,0)-1,0,1,1) )  ,  ,    offset(PADRON!B$2,match(A:A,PADRON!A$2:A1010,0)-1,0,1,1))</f>
        <v/>
      </c>
      <c r="C285" s="368"/>
      <c r="E285" t="str">
        <f t="shared" si="1"/>
        <v/>
      </c>
      <c r="F285" s="369"/>
      <c r="G285" s="320"/>
      <c r="H285" s="320"/>
      <c r="I285" s="320">
        <f t="shared" si="2"/>
        <v>0</v>
      </c>
      <c r="J285" s="368"/>
    </row>
    <row r="286">
      <c r="B286" t="str">
        <f>if(   iserror(offset(PADRON!B$2,match(A:A,PADRON!A$2:A1010,0)-1,0,1,1) )  ,  ,    offset(PADRON!B$2,match(A:A,PADRON!A$2:A1010,0)-1,0,1,1))</f>
        <v/>
      </c>
      <c r="C286" s="368"/>
      <c r="E286" t="str">
        <f t="shared" si="1"/>
        <v/>
      </c>
      <c r="F286" s="369"/>
      <c r="G286" s="320"/>
      <c r="H286" s="320"/>
      <c r="I286" s="320">
        <f t="shared" si="2"/>
        <v>0</v>
      </c>
      <c r="J286" s="368"/>
    </row>
    <row r="287">
      <c r="B287" t="str">
        <f>if(   iserror(offset(PADRON!B$2,match(A:A,PADRON!A$2:A1010,0)-1,0,1,1) )  ,  ,    offset(PADRON!B$2,match(A:A,PADRON!A$2:A1010,0)-1,0,1,1))</f>
        <v/>
      </c>
      <c r="C287" s="368"/>
      <c r="E287" t="str">
        <f t="shared" si="1"/>
        <v/>
      </c>
      <c r="F287" s="369"/>
      <c r="G287" s="320"/>
      <c r="H287" s="320"/>
      <c r="I287" s="320">
        <f t="shared" si="2"/>
        <v>0</v>
      </c>
      <c r="J287" s="368"/>
    </row>
    <row r="288">
      <c r="B288" t="str">
        <f>if(   iserror(offset(PADRON!B$2,match(A:A,PADRON!A$2:A1010,0)-1,0,1,1) )  ,  ,    offset(PADRON!B$2,match(A:A,PADRON!A$2:A1010,0)-1,0,1,1))</f>
        <v/>
      </c>
      <c r="C288" s="368"/>
      <c r="E288" t="str">
        <f t="shared" si="1"/>
        <v/>
      </c>
      <c r="F288" s="369"/>
      <c r="G288" s="320"/>
      <c r="H288" s="320"/>
      <c r="I288" s="320">
        <f t="shared" si="2"/>
        <v>0</v>
      </c>
      <c r="J288" s="368"/>
    </row>
    <row r="289">
      <c r="B289" t="str">
        <f>if(   iserror(offset(PADRON!B$2,match(A:A,PADRON!A$2:A1010,0)-1,0,1,1) )  ,  ,    offset(PADRON!B$2,match(A:A,PADRON!A$2:A1010,0)-1,0,1,1))</f>
        <v/>
      </c>
      <c r="C289" s="368"/>
      <c r="E289" t="str">
        <f t="shared" si="1"/>
        <v/>
      </c>
      <c r="F289" s="369"/>
      <c r="G289" s="320"/>
      <c r="H289" s="320"/>
      <c r="I289" s="320">
        <f t="shared" si="2"/>
        <v>0</v>
      </c>
      <c r="J289" s="368"/>
    </row>
    <row r="290">
      <c r="B290" t="str">
        <f>if(   iserror(offset(PADRON!B$2,match(A:A,PADRON!A$2:A1010,0)-1,0,1,1) )  ,  ,    offset(PADRON!B$2,match(A:A,PADRON!A$2:A1010,0)-1,0,1,1))</f>
        <v/>
      </c>
      <c r="C290" s="368"/>
      <c r="E290" t="str">
        <f t="shared" si="1"/>
        <v/>
      </c>
      <c r="F290" s="369"/>
      <c r="G290" s="320"/>
      <c r="H290" s="320"/>
      <c r="I290" s="320">
        <f t="shared" si="2"/>
        <v>0</v>
      </c>
      <c r="J290" s="368"/>
    </row>
    <row r="291">
      <c r="B291" t="str">
        <f>if(   iserror(offset(PADRON!B$2,match(A:A,PADRON!A$2:A1010,0)-1,0,1,1) )  ,  ,    offset(PADRON!B$2,match(A:A,PADRON!A$2:A1010,0)-1,0,1,1))</f>
        <v/>
      </c>
      <c r="C291" s="368"/>
      <c r="E291" t="str">
        <f t="shared" si="1"/>
        <v/>
      </c>
      <c r="F291" s="369"/>
      <c r="G291" s="320"/>
      <c r="H291" s="320"/>
      <c r="I291" s="320">
        <f t="shared" si="2"/>
        <v>0</v>
      </c>
      <c r="J291" s="368"/>
    </row>
    <row r="292">
      <c r="B292" t="str">
        <f>if(   iserror(offset(PADRON!B$2,match(A:A,PADRON!A$2:A1010,0)-1,0,1,1) )  ,  ,    offset(PADRON!B$2,match(A:A,PADRON!A$2:A1010,0)-1,0,1,1))</f>
        <v/>
      </c>
      <c r="C292" s="368"/>
      <c r="E292" t="str">
        <f t="shared" si="1"/>
        <v/>
      </c>
      <c r="F292" s="369"/>
      <c r="G292" s="320"/>
      <c r="H292" s="320"/>
      <c r="I292" s="320">
        <f t="shared" si="2"/>
        <v>0</v>
      </c>
      <c r="J292" s="368"/>
    </row>
    <row r="293">
      <c r="B293" t="str">
        <f>if(   iserror(offset(PADRON!B$2,match(A:A,PADRON!A$2:A1010,0)-1,0,1,1) )  ,  ,    offset(PADRON!B$2,match(A:A,PADRON!A$2:A1010,0)-1,0,1,1))</f>
        <v/>
      </c>
      <c r="C293" s="368"/>
      <c r="E293" t="str">
        <f t="shared" si="1"/>
        <v/>
      </c>
      <c r="F293" s="369"/>
      <c r="G293" s="320"/>
      <c r="H293" s="320"/>
      <c r="I293" s="320">
        <f t="shared" si="2"/>
        <v>0</v>
      </c>
      <c r="J293" s="368"/>
    </row>
    <row r="294">
      <c r="B294" t="str">
        <f>if(   iserror(offset(PADRON!B$2,match(A:A,PADRON!A$2:A1010,0)-1,0,1,1) )  ,  ,    offset(PADRON!B$2,match(A:A,PADRON!A$2:A1010,0)-1,0,1,1))</f>
        <v/>
      </c>
      <c r="C294" s="368"/>
      <c r="E294" t="str">
        <f t="shared" si="1"/>
        <v/>
      </c>
      <c r="F294" s="369"/>
      <c r="G294" s="320"/>
      <c r="H294" s="320"/>
      <c r="I294" s="320">
        <f t="shared" si="2"/>
        <v>0</v>
      </c>
      <c r="J294" s="368"/>
    </row>
    <row r="295">
      <c r="B295" t="str">
        <f>if(   iserror(offset(PADRON!B$2,match(A:A,PADRON!A$2:A1010,0)-1,0,1,1) )  ,  ,    offset(PADRON!B$2,match(A:A,PADRON!A$2:A1010,0)-1,0,1,1))</f>
        <v/>
      </c>
      <c r="C295" s="368"/>
      <c r="E295" t="str">
        <f t="shared" si="1"/>
        <v/>
      </c>
      <c r="F295" s="369"/>
      <c r="G295" s="320"/>
      <c r="H295" s="320"/>
      <c r="I295" s="320">
        <f t="shared" si="2"/>
        <v>0</v>
      </c>
      <c r="J295" s="368"/>
    </row>
    <row r="296">
      <c r="B296" t="str">
        <f>if(   iserror(offset(PADRON!B$2,match(A:A,PADRON!A$2:A1010,0)-1,0,1,1) )  ,  ,    offset(PADRON!B$2,match(A:A,PADRON!A$2:A1010,0)-1,0,1,1))</f>
        <v/>
      </c>
      <c r="C296" s="368"/>
      <c r="E296" t="str">
        <f t="shared" si="1"/>
        <v/>
      </c>
      <c r="F296" s="369"/>
      <c r="G296" s="320"/>
      <c r="H296" s="320"/>
      <c r="I296" s="320">
        <f t="shared" si="2"/>
        <v>0</v>
      </c>
      <c r="J296" s="368"/>
    </row>
    <row r="297">
      <c r="B297" t="str">
        <f>if(   iserror(offset(PADRON!B$2,match(A:A,PADRON!A$2:A1010,0)-1,0,1,1) )  ,  ,    offset(PADRON!B$2,match(A:A,PADRON!A$2:A1010,0)-1,0,1,1))</f>
        <v/>
      </c>
      <c r="C297" s="368"/>
      <c r="E297" t="str">
        <f t="shared" si="1"/>
        <v/>
      </c>
      <c r="F297" s="369"/>
      <c r="G297" s="320"/>
      <c r="H297" s="320"/>
      <c r="I297" s="320">
        <f t="shared" si="2"/>
        <v>0</v>
      </c>
      <c r="J297" s="368"/>
    </row>
    <row r="298">
      <c r="B298" t="str">
        <f>if(   iserror(offset(PADRON!B$2,match(A:A,PADRON!A$2:A1010,0)-1,0,1,1) )  ,  ,    offset(PADRON!B$2,match(A:A,PADRON!A$2:A1010,0)-1,0,1,1))</f>
        <v/>
      </c>
      <c r="C298" s="368"/>
      <c r="E298" t="str">
        <f t="shared" si="1"/>
        <v/>
      </c>
      <c r="F298" s="369"/>
      <c r="G298" s="320"/>
      <c r="H298" s="320"/>
      <c r="I298" s="320">
        <f t="shared" si="2"/>
        <v>0</v>
      </c>
      <c r="J298" s="368"/>
    </row>
    <row r="299">
      <c r="B299" t="str">
        <f>if(   iserror(offset(PADRON!B$2,match(A:A,PADRON!A$2:A1010,0)-1,0,1,1) )  ,  ,    offset(PADRON!B$2,match(A:A,PADRON!A$2:A1010,0)-1,0,1,1))</f>
        <v/>
      </c>
      <c r="C299" s="368"/>
      <c r="E299" t="str">
        <f t="shared" si="1"/>
        <v/>
      </c>
      <c r="F299" s="369"/>
      <c r="G299" s="320"/>
      <c r="H299" s="320"/>
      <c r="I299" s="320">
        <f t="shared" si="2"/>
        <v>0</v>
      </c>
      <c r="J299" s="368"/>
    </row>
    <row r="300">
      <c r="B300" t="str">
        <f>if(   iserror(offset(PADRON!B$2,match(A:A,PADRON!A$2:A1010,0)-1,0,1,1) )  ,  ,    offset(PADRON!B$2,match(A:A,PADRON!A$2:A1010,0)-1,0,1,1))</f>
        <v/>
      </c>
      <c r="C300" s="368"/>
      <c r="E300" t="str">
        <f t="shared" si="1"/>
        <v/>
      </c>
      <c r="F300" s="369"/>
      <c r="G300" s="320"/>
      <c r="H300" s="320"/>
      <c r="I300" s="320">
        <f t="shared" si="2"/>
        <v>0</v>
      </c>
      <c r="J300" s="368"/>
    </row>
    <row r="301">
      <c r="B301" t="str">
        <f>if(   iserror(offset(PADRON!B$2,match(A:A,PADRON!A$2:A1010,0)-1,0,1,1) )  ,  ,    offset(PADRON!B$2,match(A:A,PADRON!A$2:A1010,0)-1,0,1,1))</f>
        <v/>
      </c>
      <c r="C301" s="368"/>
      <c r="E301" t="str">
        <f t="shared" si="1"/>
        <v/>
      </c>
      <c r="F301" s="369"/>
      <c r="G301" s="320"/>
      <c r="H301" s="320"/>
      <c r="I301" s="320">
        <f t="shared" si="2"/>
        <v>0</v>
      </c>
      <c r="J301" s="368"/>
    </row>
    <row r="302">
      <c r="B302" t="str">
        <f>if(   iserror(offset(PADRON!B$2,match(A:A,PADRON!A$2:A1010,0)-1,0,1,1) )  ,  ,    offset(PADRON!B$2,match(A:A,PADRON!A$2:A1010,0)-1,0,1,1))</f>
        <v/>
      </c>
      <c r="C302" s="368"/>
      <c r="E302" t="str">
        <f t="shared" si="1"/>
        <v/>
      </c>
      <c r="F302" s="369"/>
      <c r="G302" s="320"/>
      <c r="H302" s="320"/>
      <c r="I302" s="320">
        <f t="shared" si="2"/>
        <v>0</v>
      </c>
      <c r="J302" s="368"/>
    </row>
    <row r="303">
      <c r="B303" t="str">
        <f>if(   iserror(offset(PADRON!B$2,match(A:A,PADRON!A$2:A1010,0)-1,0,1,1) )  ,  ,    offset(PADRON!B$2,match(A:A,PADRON!A$2:A1010,0)-1,0,1,1))</f>
        <v/>
      </c>
      <c r="C303" s="368"/>
      <c r="E303" t="str">
        <f t="shared" si="1"/>
        <v/>
      </c>
      <c r="F303" s="369"/>
      <c r="G303" s="320"/>
      <c r="H303" s="320"/>
      <c r="I303" s="320">
        <f t="shared" si="2"/>
        <v>0</v>
      </c>
      <c r="J303" s="368"/>
    </row>
    <row r="304">
      <c r="B304" t="str">
        <f>if(   iserror(offset(PADRON!B$2,match(A:A,PADRON!A$2:A1010,0)-1,0,1,1) )  ,  ,    offset(PADRON!B$2,match(A:A,PADRON!A$2:A1010,0)-1,0,1,1))</f>
        <v/>
      </c>
      <c r="C304" s="368"/>
      <c r="E304" t="str">
        <f t="shared" si="1"/>
        <v/>
      </c>
      <c r="F304" s="369"/>
      <c r="G304" s="320"/>
      <c r="H304" s="320"/>
      <c r="I304" s="320">
        <f t="shared" si="2"/>
        <v>0</v>
      </c>
      <c r="J304" s="368"/>
    </row>
    <row r="305">
      <c r="B305" t="str">
        <f>if(   iserror(offset(PADRON!B$2,match(A:A,PADRON!A$2:A1010,0)-1,0,1,1) )  ,  ,    offset(PADRON!B$2,match(A:A,PADRON!A$2:A1010,0)-1,0,1,1))</f>
        <v/>
      </c>
      <c r="C305" s="368"/>
      <c r="E305" t="str">
        <f t="shared" si="1"/>
        <v/>
      </c>
      <c r="F305" s="369"/>
      <c r="G305" s="320"/>
      <c r="H305" s="320"/>
      <c r="I305" s="320">
        <f t="shared" si="2"/>
        <v>0</v>
      </c>
      <c r="J305" s="368"/>
    </row>
    <row r="306">
      <c r="B306" t="str">
        <f>if(   iserror(offset(PADRON!B$2,match(A:A,PADRON!A$2:A1010,0)-1,0,1,1) )  ,  ,    offset(PADRON!B$2,match(A:A,PADRON!A$2:A1010,0)-1,0,1,1))</f>
        <v/>
      </c>
      <c r="C306" s="368"/>
      <c r="E306" t="str">
        <f t="shared" si="1"/>
        <v/>
      </c>
      <c r="F306" s="369"/>
      <c r="G306" s="320"/>
      <c r="H306" s="320"/>
      <c r="I306" s="320">
        <f t="shared" si="2"/>
        <v>0</v>
      </c>
      <c r="J306" s="368"/>
    </row>
    <row r="307">
      <c r="B307" t="str">
        <f>if(   iserror(offset(PADRON!B$2,match(A:A,PADRON!A$2:A1010,0)-1,0,1,1) )  ,  ,    offset(PADRON!B$2,match(A:A,PADRON!A$2:A1010,0)-1,0,1,1))</f>
        <v/>
      </c>
      <c r="C307" s="368"/>
      <c r="E307" t="str">
        <f t="shared" si="1"/>
        <v/>
      </c>
      <c r="F307" s="369"/>
      <c r="G307" s="320"/>
      <c r="H307" s="320"/>
      <c r="I307" s="320">
        <f t="shared" si="2"/>
        <v>0</v>
      </c>
      <c r="J307" s="368"/>
    </row>
    <row r="308">
      <c r="B308" t="str">
        <f>if(   iserror(offset(PADRON!B$2,match(A:A,PADRON!A$2:A1010,0)-1,0,1,1) )  ,  ,    offset(PADRON!B$2,match(A:A,PADRON!A$2:A1010,0)-1,0,1,1))</f>
        <v/>
      </c>
      <c r="C308" s="368"/>
      <c r="E308" t="str">
        <f t="shared" si="1"/>
        <v/>
      </c>
      <c r="F308" s="369"/>
      <c r="G308" s="320"/>
      <c r="H308" s="320"/>
      <c r="I308" s="320">
        <f t="shared" si="2"/>
        <v>0</v>
      </c>
      <c r="J308" s="368"/>
    </row>
    <row r="309">
      <c r="B309" t="str">
        <f>if(   iserror(offset(PADRON!B$2,match(A:A,PADRON!A$2:A1010,0)-1,0,1,1) )  ,  ,    offset(PADRON!B$2,match(A:A,PADRON!A$2:A1010,0)-1,0,1,1))</f>
        <v/>
      </c>
      <c r="C309" s="368"/>
      <c r="E309" t="str">
        <f t="shared" si="1"/>
        <v/>
      </c>
      <c r="F309" s="369"/>
      <c r="G309" s="320"/>
      <c r="H309" s="320"/>
      <c r="I309" s="320">
        <f t="shared" si="2"/>
        <v>0</v>
      </c>
      <c r="J309" s="368"/>
    </row>
    <row r="310">
      <c r="B310" t="str">
        <f>if(   iserror(offset(PADRON!B$2,match(A:A,PADRON!A$2:A1010,0)-1,0,1,1) )  ,  ,    offset(PADRON!B$2,match(A:A,PADRON!A$2:A1010,0)-1,0,1,1))</f>
        <v/>
      </c>
      <c r="C310" s="368"/>
      <c r="E310" t="str">
        <f t="shared" si="1"/>
        <v/>
      </c>
      <c r="F310" s="369"/>
      <c r="G310" s="320"/>
      <c r="H310" s="320"/>
      <c r="I310" s="320">
        <f t="shared" si="2"/>
        <v>0</v>
      </c>
      <c r="J310" s="368"/>
    </row>
    <row r="311">
      <c r="B311" t="str">
        <f>if(   iserror(offset(PADRON!B$2,match(A:A,PADRON!A$2:A1010,0)-1,0,1,1) )  ,  ,    offset(PADRON!B$2,match(A:A,PADRON!A$2:A1010,0)-1,0,1,1))</f>
        <v/>
      </c>
      <c r="C311" s="368"/>
      <c r="E311" t="str">
        <f t="shared" si="1"/>
        <v/>
      </c>
      <c r="F311" s="369"/>
      <c r="G311" s="320"/>
      <c r="H311" s="320"/>
      <c r="I311" s="320">
        <f t="shared" si="2"/>
        <v>0</v>
      </c>
      <c r="J311" s="368"/>
    </row>
    <row r="312">
      <c r="B312" t="str">
        <f>if(   iserror(offset(PADRON!B$2,match(A:A,PADRON!A$2:A1010,0)-1,0,1,1) )  ,  ,    offset(PADRON!B$2,match(A:A,PADRON!A$2:A1010,0)-1,0,1,1))</f>
        <v/>
      </c>
      <c r="C312" s="368"/>
      <c r="E312" t="str">
        <f t="shared" si="1"/>
        <v/>
      </c>
      <c r="F312" s="369"/>
      <c r="G312" s="320"/>
      <c r="H312" s="320"/>
      <c r="I312" s="320">
        <f t="shared" si="2"/>
        <v>0</v>
      </c>
      <c r="J312" s="368"/>
    </row>
    <row r="313">
      <c r="B313" t="str">
        <f>if(   iserror(offset(PADRON!B$2,match(A:A,PADRON!A$2:A1010,0)-1,0,1,1) )  ,  ,    offset(PADRON!B$2,match(A:A,PADRON!A$2:A1010,0)-1,0,1,1))</f>
        <v/>
      </c>
      <c r="C313" s="368"/>
      <c r="E313" t="str">
        <f t="shared" si="1"/>
        <v/>
      </c>
      <c r="F313" s="369"/>
      <c r="G313" s="320"/>
      <c r="H313" s="320"/>
      <c r="I313" s="320">
        <f t="shared" si="2"/>
        <v>0</v>
      </c>
      <c r="J313" s="368"/>
    </row>
    <row r="314">
      <c r="B314" t="str">
        <f>if(   iserror(offset(PADRON!B$2,match(A:A,PADRON!A$2:A1010,0)-1,0,1,1) )  ,  ,    offset(PADRON!B$2,match(A:A,PADRON!A$2:A1010,0)-1,0,1,1))</f>
        <v/>
      </c>
      <c r="C314" s="368"/>
      <c r="E314" t="str">
        <f t="shared" si="1"/>
        <v/>
      </c>
      <c r="F314" s="369"/>
      <c r="G314" s="320"/>
      <c r="H314" s="320"/>
      <c r="I314" s="320">
        <f t="shared" si="2"/>
        <v>0</v>
      </c>
      <c r="J314" s="368"/>
    </row>
    <row r="315">
      <c r="B315" t="str">
        <f>if(   iserror(offset(PADRON!B$2,match(A:A,PADRON!A$2:A1010,0)-1,0,1,1) )  ,  ,    offset(PADRON!B$2,match(A:A,PADRON!A$2:A1010,0)-1,0,1,1))</f>
        <v/>
      </c>
      <c r="C315" s="368"/>
      <c r="E315" t="str">
        <f t="shared" si="1"/>
        <v/>
      </c>
      <c r="F315" s="369"/>
      <c r="G315" s="320"/>
      <c r="H315" s="320"/>
      <c r="I315" s="320">
        <f t="shared" si="2"/>
        <v>0</v>
      </c>
      <c r="J315" s="368"/>
    </row>
    <row r="316">
      <c r="B316" t="str">
        <f>if(   iserror(offset(PADRON!B$2,match(A:A,PADRON!A$2:A1010,0)-1,0,1,1) )  ,  ,    offset(PADRON!B$2,match(A:A,PADRON!A$2:A1010,0)-1,0,1,1))</f>
        <v/>
      </c>
      <c r="C316" s="368"/>
      <c r="E316" t="str">
        <f t="shared" si="1"/>
        <v/>
      </c>
      <c r="F316" s="369"/>
      <c r="G316" s="320"/>
      <c r="H316" s="320"/>
      <c r="I316" s="320">
        <f t="shared" si="2"/>
        <v>0</v>
      </c>
      <c r="J316" s="368"/>
    </row>
    <row r="317">
      <c r="B317" t="str">
        <f>if(   iserror(offset(PADRON!B$2,match(A:A,PADRON!A$2:A1010,0)-1,0,1,1) )  ,  ,    offset(PADRON!B$2,match(A:A,PADRON!A$2:A1010,0)-1,0,1,1))</f>
        <v/>
      </c>
      <c r="C317" s="368"/>
      <c r="E317" t="str">
        <f t="shared" si="1"/>
        <v/>
      </c>
      <c r="F317" s="369"/>
      <c r="G317" s="320"/>
      <c r="H317" s="320"/>
      <c r="I317" s="320">
        <f t="shared" si="2"/>
        <v>0</v>
      </c>
      <c r="J317" s="368"/>
    </row>
    <row r="318">
      <c r="B318" t="str">
        <f>if(   iserror(offset(PADRON!B$2,match(A:A,PADRON!A$2:A1010,0)-1,0,1,1) )  ,  ,    offset(PADRON!B$2,match(A:A,PADRON!A$2:A1010,0)-1,0,1,1))</f>
        <v/>
      </c>
      <c r="C318" s="368"/>
      <c r="E318" t="str">
        <f t="shared" si="1"/>
        <v/>
      </c>
      <c r="F318" s="369"/>
      <c r="G318" s="320"/>
      <c r="H318" s="320"/>
      <c r="I318" s="320">
        <f t="shared" si="2"/>
        <v>0</v>
      </c>
      <c r="J318" s="368"/>
    </row>
    <row r="319">
      <c r="B319" t="str">
        <f>if(   iserror(offset(PADRON!B$2,match(A:A,PADRON!A$2:A1010,0)-1,0,1,1) )  ,  ,    offset(PADRON!B$2,match(A:A,PADRON!A$2:A1010,0)-1,0,1,1))</f>
        <v/>
      </c>
      <c r="C319" s="368"/>
      <c r="E319" t="str">
        <f t="shared" si="1"/>
        <v/>
      </c>
      <c r="F319" s="369"/>
      <c r="G319" s="320"/>
      <c r="H319" s="320"/>
      <c r="I319" s="320">
        <f t="shared" si="2"/>
        <v>0</v>
      </c>
      <c r="J319" s="368"/>
    </row>
    <row r="320">
      <c r="B320" t="str">
        <f>if(   iserror(offset(PADRON!B$2,match(A:A,PADRON!A$2:A1010,0)-1,0,1,1) )  ,  ,    offset(PADRON!B$2,match(A:A,PADRON!A$2:A1010,0)-1,0,1,1))</f>
        <v/>
      </c>
      <c r="C320" s="368"/>
      <c r="E320" t="str">
        <f t="shared" si="1"/>
        <v/>
      </c>
      <c r="F320" s="369"/>
      <c r="G320" s="320"/>
      <c r="H320" s="320"/>
      <c r="I320" s="320">
        <f t="shared" si="2"/>
        <v>0</v>
      </c>
      <c r="J320" s="368"/>
    </row>
    <row r="321">
      <c r="B321" t="str">
        <f>if(   iserror(offset(PADRON!B$2,match(A:A,PADRON!A$2:A1010,0)-1,0,1,1) )  ,  ,    offset(PADRON!B$2,match(A:A,PADRON!A$2:A1010,0)-1,0,1,1))</f>
        <v/>
      </c>
      <c r="C321" s="368"/>
      <c r="E321" t="str">
        <f t="shared" si="1"/>
        <v/>
      </c>
      <c r="F321" s="369"/>
      <c r="G321" s="320"/>
      <c r="H321" s="320"/>
      <c r="I321" s="320">
        <f t="shared" si="2"/>
        <v>0</v>
      </c>
      <c r="J321" s="368"/>
    </row>
    <row r="322">
      <c r="B322" t="str">
        <f>if(   iserror(offset(PADRON!B$2,match(A:A,PADRON!A$2:A1010,0)-1,0,1,1) )  ,  ,    offset(PADRON!B$2,match(A:A,PADRON!A$2:A1010,0)-1,0,1,1))</f>
        <v/>
      </c>
      <c r="C322" s="368"/>
      <c r="E322" t="str">
        <f t="shared" si="1"/>
        <v/>
      </c>
      <c r="F322" s="369"/>
      <c r="G322" s="320"/>
      <c r="H322" s="320"/>
      <c r="I322" s="320">
        <f t="shared" si="2"/>
        <v>0</v>
      </c>
      <c r="J322" s="368"/>
    </row>
    <row r="323">
      <c r="B323" t="str">
        <f>if(   iserror(offset(PADRON!B$2,match(A:A,PADRON!A$2:A1010,0)-1,0,1,1) )  ,  ,    offset(PADRON!B$2,match(A:A,PADRON!A$2:A1010,0)-1,0,1,1))</f>
        <v/>
      </c>
      <c r="C323" s="368"/>
      <c r="E323" t="str">
        <f t="shared" si="1"/>
        <v/>
      </c>
      <c r="F323" s="369"/>
      <c r="G323" s="320"/>
      <c r="H323" s="320"/>
      <c r="I323" s="320">
        <f t="shared" si="2"/>
        <v>0</v>
      </c>
      <c r="J323" s="368"/>
    </row>
    <row r="324">
      <c r="B324" t="str">
        <f>if(   iserror(offset(PADRON!B$2,match(A:A,PADRON!A$2:A1010,0)-1,0,1,1) )  ,  ,    offset(PADRON!B$2,match(A:A,PADRON!A$2:A1010,0)-1,0,1,1))</f>
        <v/>
      </c>
      <c r="C324" s="368"/>
      <c r="E324" t="str">
        <f t="shared" si="1"/>
        <v/>
      </c>
      <c r="F324" s="369"/>
      <c r="G324" s="320"/>
      <c r="H324" s="320"/>
      <c r="I324" s="320">
        <f t="shared" si="2"/>
        <v>0</v>
      </c>
      <c r="J324" s="368"/>
    </row>
    <row r="325">
      <c r="B325" t="str">
        <f>if(   iserror(offset(PADRON!B$2,match(A:A,PADRON!A$2:A1010,0)-1,0,1,1) )  ,  ,    offset(PADRON!B$2,match(A:A,PADRON!A$2:A1010,0)-1,0,1,1))</f>
        <v/>
      </c>
      <c r="C325" s="368"/>
      <c r="E325" t="str">
        <f t="shared" si="1"/>
        <v/>
      </c>
      <c r="F325" s="369"/>
      <c r="G325" s="320"/>
      <c r="H325" s="320"/>
      <c r="I325" s="320">
        <f t="shared" si="2"/>
        <v>0</v>
      </c>
      <c r="J325" s="368"/>
    </row>
    <row r="326">
      <c r="B326" t="str">
        <f>if(   iserror(offset(PADRON!B$2,match(A:A,PADRON!A$2:A1010,0)-1,0,1,1) )  ,  ,    offset(PADRON!B$2,match(A:A,PADRON!A$2:A1010,0)-1,0,1,1))</f>
        <v/>
      </c>
      <c r="C326" s="368"/>
      <c r="E326" t="str">
        <f t="shared" si="1"/>
        <v/>
      </c>
      <c r="F326" s="369"/>
      <c r="G326" s="320"/>
      <c r="H326" s="320"/>
      <c r="I326" s="320">
        <f t="shared" si="2"/>
        <v>0</v>
      </c>
      <c r="J326" s="368"/>
    </row>
    <row r="327">
      <c r="B327" t="str">
        <f>if(   iserror(offset(PADRON!B$2,match(A:A,PADRON!A$2:A1010,0)-1,0,1,1) )  ,  ,    offset(PADRON!B$2,match(A:A,PADRON!A$2:A1010,0)-1,0,1,1))</f>
        <v/>
      </c>
      <c r="C327" s="368"/>
      <c r="E327" t="str">
        <f t="shared" si="1"/>
        <v/>
      </c>
      <c r="F327" s="369"/>
      <c r="G327" s="320"/>
      <c r="H327" s="320"/>
      <c r="I327" s="320">
        <f t="shared" si="2"/>
        <v>0</v>
      </c>
      <c r="J327" s="368"/>
    </row>
    <row r="328">
      <c r="B328" t="str">
        <f>if(   iserror(offset(PADRON!B$2,match(A:A,PADRON!A$2:A1010,0)-1,0,1,1) )  ,  ,    offset(PADRON!B$2,match(A:A,PADRON!A$2:A1010,0)-1,0,1,1))</f>
        <v/>
      </c>
      <c r="C328" s="368"/>
      <c r="E328" t="str">
        <f t="shared" si="1"/>
        <v/>
      </c>
      <c r="F328" s="369"/>
      <c r="G328" s="320"/>
      <c r="H328" s="320"/>
      <c r="I328" s="320">
        <f t="shared" si="2"/>
        <v>0</v>
      </c>
      <c r="J328" s="368"/>
    </row>
    <row r="329">
      <c r="B329" t="str">
        <f>if(   iserror(offset(PADRON!B$2,match(A:A,PADRON!A$2:A1010,0)-1,0,1,1) )  ,  ,    offset(PADRON!B$2,match(A:A,PADRON!A$2:A1010,0)-1,0,1,1))</f>
        <v/>
      </c>
      <c r="C329" s="368"/>
      <c r="E329" t="str">
        <f t="shared" si="1"/>
        <v/>
      </c>
      <c r="F329" s="369"/>
      <c r="G329" s="320"/>
      <c r="H329" s="320"/>
      <c r="I329" s="320">
        <f t="shared" si="2"/>
        <v>0</v>
      </c>
      <c r="J329" s="368"/>
    </row>
    <row r="330">
      <c r="B330" t="str">
        <f>if(   iserror(offset(PADRON!B$2,match(A:A,PADRON!A$2:A1010,0)-1,0,1,1) )  ,  ,    offset(PADRON!B$2,match(A:A,PADRON!A$2:A1010,0)-1,0,1,1))</f>
        <v/>
      </c>
      <c r="C330" s="368"/>
      <c r="E330" t="str">
        <f t="shared" si="1"/>
        <v/>
      </c>
      <c r="F330" s="369"/>
      <c r="G330" s="320"/>
      <c r="H330" s="320"/>
      <c r="I330" s="320">
        <f t="shared" si="2"/>
        <v>0</v>
      </c>
      <c r="J330" s="368"/>
    </row>
    <row r="331">
      <c r="B331" t="str">
        <f>if(   iserror(offset(PADRON!B$2,match(A:A,PADRON!A$2:A1010,0)-1,0,1,1) )  ,  ,    offset(PADRON!B$2,match(A:A,PADRON!A$2:A1010,0)-1,0,1,1))</f>
        <v/>
      </c>
      <c r="C331" s="368"/>
      <c r="E331" t="str">
        <f t="shared" si="1"/>
        <v/>
      </c>
      <c r="F331" s="369"/>
      <c r="G331" s="320"/>
      <c r="H331" s="320"/>
      <c r="I331" s="320">
        <f t="shared" si="2"/>
        <v>0</v>
      </c>
      <c r="J331" s="368"/>
    </row>
    <row r="332">
      <c r="B332" t="str">
        <f>if(   iserror(offset(PADRON!B$2,match(A:A,PADRON!A$2:A1010,0)-1,0,1,1) )  ,  ,    offset(PADRON!B$2,match(A:A,PADRON!A$2:A1010,0)-1,0,1,1))</f>
        <v/>
      </c>
      <c r="C332" s="368"/>
      <c r="E332" t="str">
        <f t="shared" si="1"/>
        <v/>
      </c>
      <c r="F332" s="369"/>
      <c r="G332" s="320"/>
      <c r="H332" s="320"/>
      <c r="I332" s="320">
        <f t="shared" si="2"/>
        <v>0</v>
      </c>
      <c r="J332" s="368"/>
    </row>
    <row r="333">
      <c r="B333" t="str">
        <f>if(   iserror(offset(PADRON!B$2,match(A:A,PADRON!A$2:A1010,0)-1,0,1,1) )  ,  ,    offset(PADRON!B$2,match(A:A,PADRON!A$2:A1010,0)-1,0,1,1))</f>
        <v/>
      </c>
      <c r="C333" s="368"/>
      <c r="E333" t="str">
        <f t="shared" si="1"/>
        <v/>
      </c>
      <c r="F333" s="369"/>
      <c r="G333" s="320"/>
      <c r="H333" s="320"/>
      <c r="I333" s="320">
        <f t="shared" si="2"/>
        <v>0</v>
      </c>
      <c r="J333" s="368"/>
    </row>
    <row r="334">
      <c r="B334" t="str">
        <f>if(   iserror(offset(PADRON!B$2,match(A:A,PADRON!A$2:A1010,0)-1,0,1,1) )  ,  ,    offset(PADRON!B$2,match(A:A,PADRON!A$2:A1010,0)-1,0,1,1))</f>
        <v/>
      </c>
      <c r="C334" s="368"/>
      <c r="E334" t="str">
        <f t="shared" si="1"/>
        <v/>
      </c>
      <c r="F334" s="369"/>
      <c r="G334" s="320"/>
      <c r="H334" s="320"/>
      <c r="I334" s="320">
        <f t="shared" si="2"/>
        <v>0</v>
      </c>
      <c r="J334" s="368"/>
    </row>
    <row r="335">
      <c r="B335" t="str">
        <f>if(   iserror(offset(PADRON!B$2,match(A:A,PADRON!A$2:A1010,0)-1,0,1,1) )  ,  ,    offset(PADRON!B$2,match(A:A,PADRON!A$2:A1010,0)-1,0,1,1))</f>
        <v/>
      </c>
      <c r="C335" s="368"/>
      <c r="E335" t="str">
        <f t="shared" si="1"/>
        <v/>
      </c>
      <c r="F335" s="369"/>
      <c r="G335" s="320"/>
      <c r="H335" s="320"/>
      <c r="I335" s="320">
        <f t="shared" si="2"/>
        <v>0</v>
      </c>
      <c r="J335" s="368"/>
    </row>
    <row r="336">
      <c r="B336" t="str">
        <f>if(   iserror(offset(PADRON!B$2,match(A:A,PADRON!A$2:A1010,0)-1,0,1,1) )  ,  ,    offset(PADRON!B$2,match(A:A,PADRON!A$2:A1010,0)-1,0,1,1))</f>
        <v/>
      </c>
      <c r="C336" s="368"/>
      <c r="E336" t="str">
        <f t="shared" si="1"/>
        <v/>
      </c>
      <c r="F336" s="369"/>
      <c r="G336" s="320"/>
      <c r="H336" s="320"/>
      <c r="I336" s="320">
        <f t="shared" si="2"/>
        <v>0</v>
      </c>
      <c r="J336" s="368"/>
    </row>
    <row r="337">
      <c r="B337" t="str">
        <f>if(   iserror(offset(PADRON!B$2,match(A:A,PADRON!A$2:A1010,0)-1,0,1,1) )  ,  ,    offset(PADRON!B$2,match(A:A,PADRON!A$2:A1010,0)-1,0,1,1))</f>
        <v/>
      </c>
      <c r="C337" s="368"/>
      <c r="E337" t="str">
        <f t="shared" si="1"/>
        <v/>
      </c>
      <c r="F337" s="369"/>
      <c r="G337" s="320"/>
      <c r="H337" s="320"/>
      <c r="I337" s="320">
        <f t="shared" si="2"/>
        <v>0</v>
      </c>
      <c r="J337" s="368"/>
    </row>
    <row r="338">
      <c r="B338" t="str">
        <f>if(   iserror(offset(PADRON!B$2,match(A:A,PADRON!A$2:A1010,0)-1,0,1,1) )  ,  ,    offset(PADRON!B$2,match(A:A,PADRON!A$2:A1010,0)-1,0,1,1))</f>
        <v/>
      </c>
      <c r="C338" s="368"/>
      <c r="E338" t="str">
        <f t="shared" si="1"/>
        <v/>
      </c>
      <c r="F338" s="369"/>
      <c r="G338" s="320"/>
      <c r="H338" s="320"/>
      <c r="I338" s="320">
        <f t="shared" si="2"/>
        <v>0</v>
      </c>
      <c r="J338" s="368"/>
    </row>
    <row r="339">
      <c r="B339" t="str">
        <f>if(   iserror(offset(PADRON!B$2,match(A:A,PADRON!A$2:A1010,0)-1,0,1,1) )  ,  ,    offset(PADRON!B$2,match(A:A,PADRON!A$2:A1010,0)-1,0,1,1))</f>
        <v/>
      </c>
      <c r="C339" s="368"/>
      <c r="E339" t="str">
        <f t="shared" si="1"/>
        <v/>
      </c>
      <c r="F339" s="369"/>
      <c r="G339" s="320"/>
      <c r="H339" s="320"/>
      <c r="I339" s="320">
        <f t="shared" si="2"/>
        <v>0</v>
      </c>
      <c r="J339" s="368"/>
    </row>
    <row r="340">
      <c r="B340" t="str">
        <f>if(   iserror(offset(PADRON!B$2,match(A:A,PADRON!A$2:A1010,0)-1,0,1,1) )  ,  ,    offset(PADRON!B$2,match(A:A,PADRON!A$2:A1010,0)-1,0,1,1))</f>
        <v/>
      </c>
      <c r="C340" s="368"/>
      <c r="E340" t="str">
        <f t="shared" si="1"/>
        <v/>
      </c>
      <c r="F340" s="369"/>
      <c r="G340" s="320"/>
      <c r="H340" s="320"/>
      <c r="I340" s="320">
        <f t="shared" si="2"/>
        <v>0</v>
      </c>
      <c r="J340" s="368"/>
    </row>
    <row r="341">
      <c r="B341" t="str">
        <f>if(   iserror(offset(PADRON!B$2,match(A:A,PADRON!A$2:A1010,0)-1,0,1,1) )  ,  ,    offset(PADRON!B$2,match(A:A,PADRON!A$2:A1010,0)-1,0,1,1))</f>
        <v/>
      </c>
      <c r="C341" s="368"/>
      <c r="E341" t="str">
        <f t="shared" si="1"/>
        <v/>
      </c>
      <c r="F341" s="369"/>
      <c r="G341" s="320"/>
      <c r="H341" s="320"/>
      <c r="I341" s="320">
        <f t="shared" si="2"/>
        <v>0</v>
      </c>
      <c r="J341" s="368"/>
    </row>
    <row r="342">
      <c r="B342" t="str">
        <f>if(   iserror(offset(PADRON!B$2,match(A:A,PADRON!A$2:A1010,0)-1,0,1,1) )  ,  ,    offset(PADRON!B$2,match(A:A,PADRON!A$2:A1010,0)-1,0,1,1))</f>
        <v/>
      </c>
      <c r="C342" s="368"/>
      <c r="E342" t="str">
        <f t="shared" si="1"/>
        <v/>
      </c>
      <c r="F342" s="369"/>
      <c r="G342" s="320"/>
      <c r="H342" s="320"/>
      <c r="I342" s="320">
        <f t="shared" si="2"/>
        <v>0</v>
      </c>
      <c r="J342" s="368"/>
    </row>
    <row r="343">
      <c r="B343" t="str">
        <f>if(   iserror(offset(PADRON!B$2,match(A:A,PADRON!A$2:A1010,0)-1,0,1,1) )  ,  ,    offset(PADRON!B$2,match(A:A,PADRON!A$2:A1010,0)-1,0,1,1))</f>
        <v/>
      </c>
      <c r="C343" s="368"/>
      <c r="E343" t="str">
        <f t="shared" si="1"/>
        <v/>
      </c>
      <c r="F343" s="369"/>
      <c r="G343" s="320"/>
      <c r="H343" s="320"/>
      <c r="I343" s="320">
        <f t="shared" si="2"/>
        <v>0</v>
      </c>
      <c r="J343" s="368"/>
    </row>
    <row r="344">
      <c r="B344" t="str">
        <f>if(   iserror(offset(PADRON!B$2,match(A:A,PADRON!A$2:A1010,0)-1,0,1,1) )  ,  ,    offset(PADRON!B$2,match(A:A,PADRON!A$2:A1010,0)-1,0,1,1))</f>
        <v/>
      </c>
      <c r="C344" s="368"/>
      <c r="E344" t="str">
        <f t="shared" si="1"/>
        <v/>
      </c>
      <c r="F344" s="369"/>
      <c r="G344" s="320"/>
      <c r="H344" s="320"/>
      <c r="I344" s="320">
        <f t="shared" si="2"/>
        <v>0</v>
      </c>
      <c r="J344" s="368"/>
    </row>
    <row r="345">
      <c r="B345" t="str">
        <f>if(   iserror(offset(PADRON!B$2,match(A:A,PADRON!A$2:A1010,0)-1,0,1,1) )  ,  ,    offset(PADRON!B$2,match(A:A,PADRON!A$2:A1010,0)-1,0,1,1))</f>
        <v/>
      </c>
      <c r="C345" s="368"/>
      <c r="E345" t="str">
        <f t="shared" si="1"/>
        <v/>
      </c>
      <c r="F345" s="369"/>
      <c r="G345" s="320"/>
      <c r="H345" s="320"/>
      <c r="I345" s="320">
        <f t="shared" si="2"/>
        <v>0</v>
      </c>
      <c r="J345" s="368"/>
    </row>
    <row r="346">
      <c r="B346" t="str">
        <f>if(   iserror(offset(PADRON!B$2,match(A:A,PADRON!A$2:A1010,0)-1,0,1,1) )  ,  ,    offset(PADRON!B$2,match(A:A,PADRON!A$2:A1010,0)-1,0,1,1))</f>
        <v/>
      </c>
      <c r="C346" s="368"/>
      <c r="E346" t="str">
        <f t="shared" si="1"/>
        <v/>
      </c>
      <c r="F346" s="369"/>
      <c r="G346" s="320"/>
      <c r="H346" s="320"/>
      <c r="I346" s="320">
        <f t="shared" si="2"/>
        <v>0</v>
      </c>
      <c r="J346" s="368"/>
    </row>
    <row r="347">
      <c r="B347" t="str">
        <f>if(   iserror(offset(PADRON!B$2,match(A:A,PADRON!A$2:A1010,0)-1,0,1,1) )  ,  ,    offset(PADRON!B$2,match(A:A,PADRON!A$2:A1010,0)-1,0,1,1))</f>
        <v/>
      </c>
      <c r="C347" s="368"/>
      <c r="E347" t="str">
        <f t="shared" si="1"/>
        <v/>
      </c>
      <c r="F347" s="369"/>
      <c r="G347" s="320"/>
      <c r="H347" s="320"/>
      <c r="I347" s="320">
        <f t="shared" si="2"/>
        <v>0</v>
      </c>
      <c r="J347" s="368"/>
    </row>
    <row r="348">
      <c r="B348" t="str">
        <f>if(   iserror(offset(PADRON!B$2,match(A:A,PADRON!A$2:A1010,0)-1,0,1,1) )  ,  ,    offset(PADRON!B$2,match(A:A,PADRON!A$2:A1010,0)-1,0,1,1))</f>
        <v/>
      </c>
      <c r="C348" s="368"/>
      <c r="E348" t="str">
        <f t="shared" si="1"/>
        <v/>
      </c>
      <c r="F348" s="369"/>
      <c r="G348" s="320"/>
      <c r="H348" s="320"/>
      <c r="I348" s="320">
        <f t="shared" si="2"/>
        <v>0</v>
      </c>
      <c r="J348" s="368"/>
    </row>
    <row r="349">
      <c r="B349" t="str">
        <f>if(   iserror(offset(PADRON!B$2,match(A:A,PADRON!A$2:A1010,0)-1,0,1,1) )  ,  ,    offset(PADRON!B$2,match(A:A,PADRON!A$2:A1010,0)-1,0,1,1))</f>
        <v/>
      </c>
      <c r="C349" s="368"/>
      <c r="E349" t="str">
        <f t="shared" si="1"/>
        <v/>
      </c>
      <c r="F349" s="369"/>
      <c r="G349" s="320"/>
      <c r="H349" s="320"/>
      <c r="I349" s="320">
        <f t="shared" si="2"/>
        <v>0</v>
      </c>
      <c r="J349" s="368"/>
    </row>
    <row r="350">
      <c r="B350" t="str">
        <f>if(   iserror(offset(PADRON!B$2,match(A:A,PADRON!A$2:A1010,0)-1,0,1,1) )  ,  ,    offset(PADRON!B$2,match(A:A,PADRON!A$2:A1010,0)-1,0,1,1))</f>
        <v/>
      </c>
      <c r="C350" s="368"/>
      <c r="E350" t="str">
        <f t="shared" si="1"/>
        <v/>
      </c>
      <c r="F350" s="369"/>
      <c r="G350" s="320"/>
      <c r="H350" s="320"/>
      <c r="I350" s="320">
        <f t="shared" si="2"/>
        <v>0</v>
      </c>
      <c r="J350" s="368"/>
    </row>
    <row r="351">
      <c r="B351" t="str">
        <f>if(   iserror(offset(PADRON!B$2,match(A:A,PADRON!A$2:A1010,0)-1,0,1,1) )  ,  ,    offset(PADRON!B$2,match(A:A,PADRON!A$2:A1010,0)-1,0,1,1))</f>
        <v/>
      </c>
      <c r="C351" s="368"/>
      <c r="E351" t="str">
        <f t="shared" si="1"/>
        <v/>
      </c>
      <c r="F351" s="369"/>
      <c r="G351" s="320"/>
      <c r="H351" s="320"/>
      <c r="I351" s="320">
        <f t="shared" si="2"/>
        <v>0</v>
      </c>
      <c r="J351" s="368"/>
    </row>
    <row r="352">
      <c r="B352" t="str">
        <f>if(   iserror(offset(PADRON!B$2,match(A:A,PADRON!A$2:A1010,0)-1,0,1,1) )  ,  ,    offset(PADRON!B$2,match(A:A,PADRON!A$2:A1010,0)-1,0,1,1))</f>
        <v/>
      </c>
      <c r="C352" s="368"/>
      <c r="E352" t="str">
        <f t="shared" si="1"/>
        <v/>
      </c>
      <c r="F352" s="369"/>
      <c r="G352" s="320"/>
      <c r="H352" s="320"/>
      <c r="I352" s="320">
        <f t="shared" si="2"/>
        <v>0</v>
      </c>
      <c r="J352" s="368"/>
    </row>
    <row r="353">
      <c r="B353" t="str">
        <f>if(   iserror(offset(PADRON!B$2,match(A:A,PADRON!A$2:A1010,0)-1,0,1,1) )  ,  ,    offset(PADRON!B$2,match(A:A,PADRON!A$2:A1010,0)-1,0,1,1))</f>
        <v/>
      </c>
      <c r="C353" s="368"/>
      <c r="E353" t="str">
        <f t="shared" si="1"/>
        <v/>
      </c>
      <c r="F353" s="369"/>
      <c r="G353" s="320"/>
      <c r="H353" s="320"/>
      <c r="I353" s="320">
        <f t="shared" si="2"/>
        <v>0</v>
      </c>
      <c r="J353" s="368"/>
    </row>
    <row r="354">
      <c r="B354" t="str">
        <f>if(   iserror(offset(PADRON!B$2,match(A:A,PADRON!A$2:A1010,0)-1,0,1,1) )  ,  ,    offset(PADRON!B$2,match(A:A,PADRON!A$2:A1010,0)-1,0,1,1))</f>
        <v/>
      </c>
      <c r="C354" s="368"/>
      <c r="E354" t="str">
        <f t="shared" si="1"/>
        <v/>
      </c>
      <c r="F354" s="369"/>
      <c r="G354" s="320"/>
      <c r="H354" s="320"/>
      <c r="I354" s="320">
        <f t="shared" si="2"/>
        <v>0</v>
      </c>
      <c r="J354" s="368"/>
    </row>
    <row r="355">
      <c r="B355" t="str">
        <f>if(   iserror(offset(PADRON!B$2,match(A:A,PADRON!A$2:A1010,0)-1,0,1,1) )  ,  ,    offset(PADRON!B$2,match(A:A,PADRON!A$2:A1010,0)-1,0,1,1))</f>
        <v/>
      </c>
      <c r="C355" s="368"/>
      <c r="E355" t="str">
        <f t="shared" si="1"/>
        <v/>
      </c>
      <c r="F355" s="369"/>
      <c r="G355" s="320"/>
      <c r="H355" s="320"/>
      <c r="I355" s="320">
        <f t="shared" si="2"/>
        <v>0</v>
      </c>
      <c r="J355" s="368"/>
    </row>
    <row r="356">
      <c r="B356" t="str">
        <f>if(   iserror(offset(PADRON!B$2,match(A:A,PADRON!A$2:A1010,0)-1,0,1,1) )  ,  ,    offset(PADRON!B$2,match(A:A,PADRON!A$2:A1010,0)-1,0,1,1))</f>
        <v/>
      </c>
      <c r="C356" s="368"/>
      <c r="E356" t="str">
        <f t="shared" si="1"/>
        <v/>
      </c>
      <c r="F356" s="369"/>
      <c r="G356" s="320"/>
      <c r="H356" s="320"/>
      <c r="I356" s="320">
        <f t="shared" si="2"/>
        <v>0</v>
      </c>
      <c r="J356" s="368"/>
    </row>
    <row r="357">
      <c r="B357" t="str">
        <f>if(   iserror(offset(PADRON!B$2,match(A:A,PADRON!A$2:A1010,0)-1,0,1,1) )  ,  ,    offset(PADRON!B$2,match(A:A,PADRON!A$2:A1010,0)-1,0,1,1))</f>
        <v/>
      </c>
      <c r="C357" s="368"/>
      <c r="E357" t="str">
        <f t="shared" si="1"/>
        <v/>
      </c>
      <c r="F357" s="369"/>
      <c r="G357" s="320"/>
      <c r="H357" s="320"/>
      <c r="I357" s="320">
        <f t="shared" si="2"/>
        <v>0</v>
      </c>
      <c r="J357" s="368"/>
    </row>
    <row r="358">
      <c r="B358" t="str">
        <f>if(   iserror(offset(PADRON!B$2,match(A:A,PADRON!A$2:A1010,0)-1,0,1,1) )  ,  ,    offset(PADRON!B$2,match(A:A,PADRON!A$2:A1010,0)-1,0,1,1))</f>
        <v/>
      </c>
      <c r="C358" s="368"/>
      <c r="E358" t="str">
        <f t="shared" si="1"/>
        <v/>
      </c>
      <c r="F358" s="369"/>
      <c r="G358" s="320"/>
      <c r="H358" s="320"/>
      <c r="I358" s="320">
        <f t="shared" si="2"/>
        <v>0</v>
      </c>
      <c r="J358" s="368"/>
    </row>
    <row r="359">
      <c r="B359" t="str">
        <f>if(   iserror(offset(PADRON!B$2,match(A:A,PADRON!A$2:A1010,0)-1,0,1,1) )  ,  ,    offset(PADRON!B$2,match(A:A,PADRON!A$2:A1010,0)-1,0,1,1))</f>
        <v/>
      </c>
      <c r="C359" s="368"/>
      <c r="E359" t="str">
        <f t="shared" si="1"/>
        <v/>
      </c>
      <c r="F359" s="369"/>
      <c r="G359" s="320"/>
      <c r="H359" s="320"/>
      <c r="I359" s="320">
        <f t="shared" si="2"/>
        <v>0</v>
      </c>
      <c r="J359" s="368"/>
    </row>
    <row r="360">
      <c r="B360" t="str">
        <f>if(   iserror(offset(PADRON!B$2,match(A:A,PADRON!A$2:A1010,0)-1,0,1,1) )  ,  ,    offset(PADRON!B$2,match(A:A,PADRON!A$2:A1010,0)-1,0,1,1))</f>
        <v/>
      </c>
      <c r="C360" s="368"/>
      <c r="E360" t="str">
        <f t="shared" si="1"/>
        <v/>
      </c>
      <c r="F360" s="369"/>
      <c r="G360" s="320"/>
      <c r="H360" s="320"/>
      <c r="I360" s="320">
        <f t="shared" si="2"/>
        <v>0</v>
      </c>
      <c r="J360" s="368"/>
    </row>
    <row r="361">
      <c r="B361" t="str">
        <f>if(   iserror(offset(PADRON!B$2,match(A:A,PADRON!A$2:A1010,0)-1,0,1,1) )  ,  ,    offset(PADRON!B$2,match(A:A,PADRON!A$2:A1010,0)-1,0,1,1))</f>
        <v/>
      </c>
      <c r="C361" s="368"/>
      <c r="E361" t="str">
        <f t="shared" si="1"/>
        <v/>
      </c>
      <c r="F361" s="369"/>
      <c r="G361" s="320"/>
      <c r="H361" s="320"/>
      <c r="I361" s="320">
        <f t="shared" si="2"/>
        <v>0</v>
      </c>
      <c r="J361" s="368"/>
    </row>
    <row r="362">
      <c r="B362" t="str">
        <f>if(   iserror(offset(PADRON!B$2,match(A:A,PADRON!A$2:A1010,0)-1,0,1,1) )  ,  ,    offset(PADRON!B$2,match(A:A,PADRON!A$2:A1010,0)-1,0,1,1))</f>
        <v/>
      </c>
      <c r="C362" s="368"/>
      <c r="E362" t="str">
        <f t="shared" si="1"/>
        <v/>
      </c>
      <c r="F362" s="369"/>
      <c r="G362" s="320"/>
      <c r="H362" s="320"/>
      <c r="I362" s="320">
        <f t="shared" si="2"/>
        <v>0</v>
      </c>
      <c r="J362" s="368"/>
    </row>
    <row r="363">
      <c r="B363" t="str">
        <f>if(   iserror(offset(PADRON!B$2,match(A:A,PADRON!A$2:A1010,0)-1,0,1,1) )  ,  ,    offset(PADRON!B$2,match(A:A,PADRON!A$2:A1010,0)-1,0,1,1))</f>
        <v/>
      </c>
      <c r="C363" s="368"/>
      <c r="E363" t="str">
        <f t="shared" si="1"/>
        <v/>
      </c>
      <c r="F363" s="369"/>
      <c r="G363" s="320"/>
      <c r="H363" s="320"/>
      <c r="I363" s="320">
        <f t="shared" si="2"/>
        <v>0</v>
      </c>
      <c r="J363" s="368"/>
    </row>
    <row r="364">
      <c r="B364" t="str">
        <f>if(   iserror(offset(PADRON!B$2,match(A:A,PADRON!A$2:A1010,0)-1,0,1,1) )  ,  ,    offset(PADRON!B$2,match(A:A,PADRON!A$2:A1010,0)-1,0,1,1))</f>
        <v/>
      </c>
      <c r="C364" s="368"/>
      <c r="E364" t="str">
        <f t="shared" si="1"/>
        <v/>
      </c>
      <c r="F364" s="369"/>
      <c r="G364" s="320"/>
      <c r="H364" s="320"/>
      <c r="I364" s="320">
        <f t="shared" si="2"/>
        <v>0</v>
      </c>
      <c r="J364" s="368"/>
    </row>
    <row r="365">
      <c r="B365" t="str">
        <f>if(   iserror(offset(PADRON!B$2,match(A:A,PADRON!A$2:A1010,0)-1,0,1,1) )  ,  ,    offset(PADRON!B$2,match(A:A,PADRON!A$2:A1010,0)-1,0,1,1))</f>
        <v/>
      </c>
      <c r="C365" s="368"/>
      <c r="E365" t="str">
        <f t="shared" si="1"/>
        <v/>
      </c>
      <c r="F365" s="369"/>
      <c r="G365" s="320"/>
      <c r="H365" s="320"/>
      <c r="I365" s="320">
        <f t="shared" si="2"/>
        <v>0</v>
      </c>
      <c r="J365" s="368"/>
    </row>
    <row r="366">
      <c r="B366" t="str">
        <f>if(   iserror(offset(PADRON!B$2,match(A:A,PADRON!A$2:A1010,0)-1,0,1,1) )  ,  ,    offset(PADRON!B$2,match(A:A,PADRON!A$2:A1010,0)-1,0,1,1))</f>
        <v/>
      </c>
      <c r="C366" s="368"/>
      <c r="E366" t="str">
        <f t="shared" si="1"/>
        <v/>
      </c>
      <c r="F366" s="369"/>
      <c r="G366" s="320"/>
      <c r="H366" s="320"/>
      <c r="I366" s="320">
        <f t="shared" si="2"/>
        <v>0</v>
      </c>
      <c r="J366" s="368"/>
    </row>
    <row r="367">
      <c r="B367" t="str">
        <f>if(   iserror(offset(PADRON!B$2,match(A:A,PADRON!A$2:A1010,0)-1,0,1,1) )  ,  ,    offset(PADRON!B$2,match(A:A,PADRON!A$2:A1010,0)-1,0,1,1))</f>
        <v/>
      </c>
      <c r="C367" s="368"/>
      <c r="E367" t="str">
        <f t="shared" si="1"/>
        <v/>
      </c>
      <c r="F367" s="369"/>
      <c r="G367" s="320"/>
      <c r="H367" s="320"/>
      <c r="I367" s="320">
        <f t="shared" si="2"/>
        <v>0</v>
      </c>
      <c r="J367" s="368"/>
    </row>
    <row r="368">
      <c r="B368" t="str">
        <f>if(   iserror(offset(PADRON!B$2,match(A:A,PADRON!A$2:A1010,0)-1,0,1,1) )  ,  ,    offset(PADRON!B$2,match(A:A,PADRON!A$2:A1010,0)-1,0,1,1))</f>
        <v/>
      </c>
      <c r="C368" s="368"/>
      <c r="E368" t="str">
        <f t="shared" si="1"/>
        <v/>
      </c>
      <c r="F368" s="369"/>
      <c r="G368" s="320"/>
      <c r="H368" s="320"/>
      <c r="I368" s="320">
        <f t="shared" si="2"/>
        <v>0</v>
      </c>
      <c r="J368" s="368"/>
    </row>
    <row r="369">
      <c r="B369" t="str">
        <f>if(   iserror(offset(PADRON!B$2,match(A:A,PADRON!A$2:A1010,0)-1,0,1,1) )  ,  ,    offset(PADRON!B$2,match(A:A,PADRON!A$2:A1010,0)-1,0,1,1))</f>
        <v/>
      </c>
      <c r="C369" s="368"/>
      <c r="E369" t="str">
        <f t="shared" si="1"/>
        <v/>
      </c>
      <c r="F369" s="369"/>
      <c r="G369" s="320"/>
      <c r="H369" s="320"/>
      <c r="I369" s="320">
        <f t="shared" si="2"/>
        <v>0</v>
      </c>
      <c r="J369" s="368"/>
    </row>
    <row r="370">
      <c r="B370" t="str">
        <f>if(   iserror(offset(PADRON!B$2,match(A:A,PADRON!A$2:A1010,0)-1,0,1,1) )  ,  ,    offset(PADRON!B$2,match(A:A,PADRON!A$2:A1010,0)-1,0,1,1))</f>
        <v/>
      </c>
      <c r="C370" s="368"/>
      <c r="E370" t="str">
        <f t="shared" si="1"/>
        <v/>
      </c>
      <c r="F370" s="369"/>
      <c r="G370" s="320"/>
      <c r="H370" s="320"/>
      <c r="I370" s="320">
        <f t="shared" si="2"/>
        <v>0</v>
      </c>
      <c r="J370" s="368"/>
    </row>
    <row r="371">
      <c r="B371" t="str">
        <f>if(   iserror(offset(PADRON!B$2,match(A:A,PADRON!A$2:A1010,0)-1,0,1,1) )  ,  ,    offset(PADRON!B$2,match(A:A,PADRON!A$2:A1010,0)-1,0,1,1))</f>
        <v/>
      </c>
      <c r="C371" s="368"/>
      <c r="E371" t="str">
        <f t="shared" si="1"/>
        <v/>
      </c>
      <c r="F371" s="369"/>
      <c r="G371" s="320"/>
      <c r="H371" s="320"/>
      <c r="I371" s="320">
        <f t="shared" si="2"/>
        <v>0</v>
      </c>
      <c r="J371" s="368"/>
    </row>
    <row r="372">
      <c r="B372" t="str">
        <f>if(   iserror(offset(PADRON!B$2,match(A:A,PADRON!A$2:A1010,0)-1,0,1,1) )  ,  ,    offset(PADRON!B$2,match(A:A,PADRON!A$2:A1010,0)-1,0,1,1))</f>
        <v/>
      </c>
      <c r="C372" s="368"/>
      <c r="E372" t="str">
        <f t="shared" si="1"/>
        <v/>
      </c>
      <c r="F372" s="369"/>
      <c r="G372" s="320"/>
      <c r="H372" s="320"/>
      <c r="I372" s="320">
        <f t="shared" si="2"/>
        <v>0</v>
      </c>
      <c r="J372" s="368"/>
    </row>
    <row r="373">
      <c r="B373" t="str">
        <f>if(   iserror(offset(PADRON!B$2,match(A:A,PADRON!A$2:A1010,0)-1,0,1,1) )  ,  ,    offset(PADRON!B$2,match(A:A,PADRON!A$2:A1010,0)-1,0,1,1))</f>
        <v/>
      </c>
      <c r="C373" s="368"/>
      <c r="E373" t="str">
        <f t="shared" si="1"/>
        <v/>
      </c>
      <c r="F373" s="369"/>
      <c r="G373" s="320"/>
      <c r="H373" s="320"/>
      <c r="I373" s="320">
        <f t="shared" si="2"/>
        <v>0</v>
      </c>
      <c r="J373" s="368"/>
    </row>
    <row r="374">
      <c r="B374" t="str">
        <f>if(   iserror(offset(PADRON!B$2,match(A:A,PADRON!A$2:A1010,0)-1,0,1,1) )  ,  ,    offset(PADRON!B$2,match(A:A,PADRON!A$2:A1010,0)-1,0,1,1))</f>
        <v/>
      </c>
      <c r="C374" s="368"/>
      <c r="E374" t="str">
        <f t="shared" si="1"/>
        <v/>
      </c>
      <c r="F374" s="369"/>
      <c r="G374" s="320"/>
      <c r="H374" s="320"/>
      <c r="I374" s="320">
        <f t="shared" si="2"/>
        <v>0</v>
      </c>
      <c r="J374" s="368"/>
    </row>
    <row r="375">
      <c r="B375" t="str">
        <f>if(   iserror(offset(PADRON!B$2,match(A:A,PADRON!A$2:A1010,0)-1,0,1,1) )  ,  ,    offset(PADRON!B$2,match(A:A,PADRON!A$2:A1010,0)-1,0,1,1))</f>
        <v/>
      </c>
      <c r="C375" s="368"/>
      <c r="E375" t="str">
        <f t="shared" si="1"/>
        <v/>
      </c>
      <c r="F375" s="369"/>
      <c r="G375" s="320"/>
      <c r="H375" s="320"/>
      <c r="I375" s="320">
        <f t="shared" si="2"/>
        <v>0</v>
      </c>
      <c r="J375" s="368"/>
    </row>
    <row r="376">
      <c r="B376" t="str">
        <f>if(   iserror(offset(PADRON!B$2,match(A:A,PADRON!A$2:A1010,0)-1,0,1,1) )  ,  ,    offset(PADRON!B$2,match(A:A,PADRON!A$2:A1010,0)-1,0,1,1))</f>
        <v/>
      </c>
      <c r="C376" s="368"/>
      <c r="E376" t="str">
        <f t="shared" si="1"/>
        <v/>
      </c>
      <c r="F376" s="369"/>
      <c r="G376" s="320"/>
      <c r="H376" s="320"/>
      <c r="I376" s="320">
        <f t="shared" si="2"/>
        <v>0</v>
      </c>
      <c r="J376" s="368"/>
    </row>
    <row r="377">
      <c r="B377" t="str">
        <f>if(   iserror(offset(PADRON!B$2,match(A:A,PADRON!A$2:A1010,0)-1,0,1,1) )  ,  ,    offset(PADRON!B$2,match(A:A,PADRON!A$2:A1010,0)-1,0,1,1))</f>
        <v/>
      </c>
      <c r="C377" s="368"/>
      <c r="E377" t="str">
        <f t="shared" si="1"/>
        <v/>
      </c>
      <c r="F377" s="369"/>
      <c r="G377" s="320"/>
      <c r="H377" s="320"/>
      <c r="I377" s="320">
        <f t="shared" si="2"/>
        <v>0</v>
      </c>
      <c r="J377" s="368"/>
    </row>
    <row r="378">
      <c r="B378" t="str">
        <f>if(   iserror(offset(PADRON!B$2,match(A:A,PADRON!A$2:A1010,0)-1,0,1,1) )  ,  ,    offset(PADRON!B$2,match(A:A,PADRON!A$2:A1010,0)-1,0,1,1))</f>
        <v/>
      </c>
      <c r="C378" s="368"/>
      <c r="E378" t="str">
        <f t="shared" si="1"/>
        <v/>
      </c>
      <c r="F378" s="369"/>
      <c r="G378" s="320"/>
      <c r="H378" s="320"/>
      <c r="I378" s="320">
        <f t="shared" si="2"/>
        <v>0</v>
      </c>
      <c r="J378" s="368"/>
    </row>
    <row r="379">
      <c r="B379" t="str">
        <f>if(   iserror(offset(PADRON!B$2,match(A:A,PADRON!A$2:A1010,0)-1,0,1,1) )  ,  ,    offset(PADRON!B$2,match(A:A,PADRON!A$2:A1010,0)-1,0,1,1))</f>
        <v/>
      </c>
      <c r="C379" s="368"/>
      <c r="E379" t="str">
        <f t="shared" si="1"/>
        <v/>
      </c>
      <c r="F379" s="369"/>
      <c r="G379" s="320"/>
      <c r="H379" s="320"/>
      <c r="I379" s="320">
        <f t="shared" si="2"/>
        <v>0</v>
      </c>
      <c r="J379" s="368"/>
    </row>
    <row r="380">
      <c r="B380" t="str">
        <f>if(   iserror(offset(PADRON!B$2,match(A:A,PADRON!A$2:A1010,0)-1,0,1,1) )  ,  ,    offset(PADRON!B$2,match(A:A,PADRON!A$2:A1010,0)-1,0,1,1))</f>
        <v/>
      </c>
      <c r="C380" s="368"/>
      <c r="E380" t="str">
        <f t="shared" si="1"/>
        <v/>
      </c>
      <c r="F380" s="369"/>
      <c r="G380" s="320"/>
      <c r="H380" s="320"/>
      <c r="I380" s="320">
        <f t="shared" si="2"/>
        <v>0</v>
      </c>
      <c r="J380" s="368"/>
    </row>
    <row r="381">
      <c r="B381" t="str">
        <f>if(   iserror(offset(PADRON!B$2,match(A:A,PADRON!A$2:A1010,0)-1,0,1,1) )  ,  ,    offset(PADRON!B$2,match(A:A,PADRON!A$2:A1010,0)-1,0,1,1))</f>
        <v/>
      </c>
      <c r="C381" s="368"/>
      <c r="E381" t="str">
        <f t="shared" si="1"/>
        <v/>
      </c>
      <c r="F381" s="369"/>
      <c r="G381" s="320"/>
      <c r="H381" s="320"/>
      <c r="I381" s="320">
        <f t="shared" si="2"/>
        <v>0</v>
      </c>
      <c r="J381" s="368"/>
    </row>
    <row r="382">
      <c r="B382" t="str">
        <f>if(   iserror(offset(PADRON!B$2,match(A:A,PADRON!A$2:A1010,0)-1,0,1,1) )  ,  ,    offset(PADRON!B$2,match(A:A,PADRON!A$2:A1010,0)-1,0,1,1))</f>
        <v/>
      </c>
      <c r="C382" s="368"/>
      <c r="E382" t="str">
        <f t="shared" si="1"/>
        <v/>
      </c>
      <c r="F382" s="369"/>
      <c r="G382" s="320"/>
      <c r="H382" s="320"/>
      <c r="I382" s="320">
        <f t="shared" si="2"/>
        <v>0</v>
      </c>
      <c r="J382" s="368"/>
    </row>
    <row r="383">
      <c r="B383" t="str">
        <f>if(   iserror(offset(PADRON!B$2,match(A:A,PADRON!A$2:A1010,0)-1,0,1,1) )  ,  ,    offset(PADRON!B$2,match(A:A,PADRON!A$2:A1010,0)-1,0,1,1))</f>
        <v/>
      </c>
      <c r="C383" s="368"/>
      <c r="E383" t="str">
        <f t="shared" si="1"/>
        <v/>
      </c>
      <c r="F383" s="369"/>
      <c r="G383" s="320"/>
      <c r="H383" s="320"/>
      <c r="I383" s="320">
        <f t="shared" si="2"/>
        <v>0</v>
      </c>
      <c r="J383" s="368"/>
    </row>
    <row r="384">
      <c r="B384" t="str">
        <f>if(   iserror(offset(PADRON!B$2,match(A:A,PADRON!A$2:A1010,0)-1,0,1,1) )  ,  ,    offset(PADRON!B$2,match(A:A,PADRON!A$2:A1010,0)-1,0,1,1))</f>
        <v/>
      </c>
      <c r="C384" s="368"/>
      <c r="E384" t="str">
        <f t="shared" si="1"/>
        <v/>
      </c>
      <c r="F384" s="369"/>
      <c r="G384" s="320"/>
      <c r="H384" s="320"/>
      <c r="I384" s="320">
        <f t="shared" si="2"/>
        <v>0</v>
      </c>
      <c r="J384" s="368"/>
    </row>
    <row r="385">
      <c r="B385" t="str">
        <f>if(   iserror(offset(PADRON!B$2,match(A:A,PADRON!A$2:A1010,0)-1,0,1,1) )  ,  ,    offset(PADRON!B$2,match(A:A,PADRON!A$2:A1010,0)-1,0,1,1))</f>
        <v/>
      </c>
      <c r="C385" s="368"/>
      <c r="E385" t="str">
        <f t="shared" si="1"/>
        <v/>
      </c>
      <c r="F385" s="369"/>
      <c r="G385" s="320"/>
      <c r="H385" s="320"/>
      <c r="I385" s="320">
        <f t="shared" si="2"/>
        <v>0</v>
      </c>
      <c r="J385" s="368"/>
    </row>
    <row r="386">
      <c r="B386" t="str">
        <f>if(   iserror(offset(PADRON!B$2,match(A:A,PADRON!A$2:A1010,0)-1,0,1,1) )  ,  ,    offset(PADRON!B$2,match(A:A,PADRON!A$2:A1010,0)-1,0,1,1))</f>
        <v/>
      </c>
      <c r="C386" s="368"/>
      <c r="E386" t="str">
        <f t="shared" si="1"/>
        <v/>
      </c>
      <c r="F386" s="369"/>
      <c r="G386" s="320"/>
      <c r="H386" s="320"/>
      <c r="I386" s="320">
        <f t="shared" si="2"/>
        <v>0</v>
      </c>
      <c r="J386" s="368"/>
    </row>
    <row r="387">
      <c r="B387" t="str">
        <f>if(   iserror(offset(PADRON!B$2,match(A:A,PADRON!A$2:A1010,0)-1,0,1,1) )  ,  ,    offset(PADRON!B$2,match(A:A,PADRON!A$2:A1010,0)-1,0,1,1))</f>
        <v/>
      </c>
      <c r="C387" s="368"/>
      <c r="E387" t="str">
        <f t="shared" si="1"/>
        <v/>
      </c>
      <c r="F387" s="369"/>
      <c r="G387" s="320"/>
      <c r="H387" s="320"/>
      <c r="I387" s="320">
        <f t="shared" si="2"/>
        <v>0</v>
      </c>
      <c r="J387" s="368"/>
    </row>
    <row r="388">
      <c r="B388" t="str">
        <f>if(   iserror(offset(PADRON!B$2,match(A:A,PADRON!A$2:A1010,0)-1,0,1,1) )  ,  ,    offset(PADRON!B$2,match(A:A,PADRON!A$2:A1010,0)-1,0,1,1))</f>
        <v/>
      </c>
      <c r="C388" s="368"/>
      <c r="E388" t="str">
        <f t="shared" si="1"/>
        <v/>
      </c>
      <c r="F388" s="369"/>
      <c r="G388" s="320"/>
      <c r="H388" s="320"/>
      <c r="I388" s="320">
        <f t="shared" si="2"/>
        <v>0</v>
      </c>
      <c r="J388" s="368"/>
    </row>
    <row r="389">
      <c r="B389" t="str">
        <f>if(   iserror(offset(PADRON!B$2,match(A:A,PADRON!A$2:A1010,0)-1,0,1,1) )  ,  ,    offset(PADRON!B$2,match(A:A,PADRON!A$2:A1010,0)-1,0,1,1))</f>
        <v/>
      </c>
      <c r="C389" s="368"/>
      <c r="E389" t="str">
        <f t="shared" si="1"/>
        <v/>
      </c>
      <c r="F389" s="369"/>
      <c r="G389" s="320"/>
      <c r="H389" s="320"/>
      <c r="I389" s="320">
        <f t="shared" si="2"/>
        <v>0</v>
      </c>
      <c r="J389" s="368"/>
    </row>
    <row r="390">
      <c r="B390" t="str">
        <f>if(   iserror(offset(PADRON!B$2,match(A:A,PADRON!A$2:A1010,0)-1,0,1,1) )  ,  ,    offset(PADRON!B$2,match(A:A,PADRON!A$2:A1010,0)-1,0,1,1))</f>
        <v/>
      </c>
      <c r="C390" s="368"/>
      <c r="E390" t="str">
        <f t="shared" si="1"/>
        <v/>
      </c>
      <c r="F390" s="369"/>
      <c r="G390" s="320"/>
      <c r="H390" s="320"/>
      <c r="I390" s="320">
        <f t="shared" si="2"/>
        <v>0</v>
      </c>
      <c r="J390" s="368"/>
    </row>
    <row r="391">
      <c r="B391" t="str">
        <f>if(   iserror(offset(PADRON!B$2,match(A:A,PADRON!A$2:A1010,0)-1,0,1,1) )  ,  ,    offset(PADRON!B$2,match(A:A,PADRON!A$2:A1010,0)-1,0,1,1))</f>
        <v/>
      </c>
      <c r="C391" s="368"/>
      <c r="E391" t="str">
        <f t="shared" si="1"/>
        <v/>
      </c>
      <c r="F391" s="369"/>
      <c r="G391" s="320"/>
      <c r="H391" s="320"/>
      <c r="I391" s="320">
        <f t="shared" si="2"/>
        <v>0</v>
      </c>
      <c r="J391" s="368"/>
    </row>
    <row r="392">
      <c r="B392" t="str">
        <f>if(   iserror(offset(PADRON!B$2,match(A:A,PADRON!A$2:A1010,0)-1,0,1,1) )  ,  ,    offset(PADRON!B$2,match(A:A,PADRON!A$2:A1010,0)-1,0,1,1))</f>
        <v/>
      </c>
      <c r="C392" s="368"/>
      <c r="E392" t="str">
        <f t="shared" si="1"/>
        <v/>
      </c>
      <c r="F392" s="369"/>
      <c r="G392" s="320"/>
      <c r="H392" s="320"/>
      <c r="I392" s="320">
        <f t="shared" si="2"/>
        <v>0</v>
      </c>
      <c r="J392" s="368"/>
    </row>
    <row r="393">
      <c r="B393" t="str">
        <f>if(   iserror(offset(PADRON!B$2,match(A:A,PADRON!A$2:A1010,0)-1,0,1,1) )  ,  ,    offset(PADRON!B$2,match(A:A,PADRON!A$2:A1010,0)-1,0,1,1))</f>
        <v/>
      </c>
      <c r="C393" s="368"/>
      <c r="E393" t="str">
        <f t="shared" si="1"/>
        <v/>
      </c>
      <c r="F393" s="369"/>
      <c r="G393" s="320"/>
      <c r="H393" s="320"/>
      <c r="I393" s="320">
        <f t="shared" si="2"/>
        <v>0</v>
      </c>
      <c r="J393" s="368"/>
    </row>
    <row r="394">
      <c r="B394" t="str">
        <f>if(   iserror(offset(PADRON!B$2,match(A:A,PADRON!A$2:A1010,0)-1,0,1,1) )  ,  ,    offset(PADRON!B$2,match(A:A,PADRON!A$2:A1010,0)-1,0,1,1))</f>
        <v/>
      </c>
      <c r="C394" s="368"/>
      <c r="E394" t="str">
        <f t="shared" si="1"/>
        <v/>
      </c>
      <c r="F394" s="369"/>
      <c r="G394" s="320"/>
      <c r="H394" s="320"/>
      <c r="I394" s="320">
        <f t="shared" si="2"/>
        <v>0</v>
      </c>
      <c r="J394" s="368"/>
    </row>
    <row r="395">
      <c r="B395" t="str">
        <f>if(   iserror(offset(PADRON!B$2,match(A:A,PADRON!A$2:A1010,0)-1,0,1,1) )  ,  ,    offset(PADRON!B$2,match(A:A,PADRON!A$2:A1010,0)-1,0,1,1))</f>
        <v/>
      </c>
      <c r="C395" s="368"/>
      <c r="E395" t="str">
        <f t="shared" si="1"/>
        <v/>
      </c>
      <c r="F395" s="369"/>
      <c r="G395" s="320"/>
      <c r="H395" s="320"/>
      <c r="I395" s="320">
        <f t="shared" si="2"/>
        <v>0</v>
      </c>
      <c r="J395" s="368"/>
    </row>
    <row r="396">
      <c r="B396" t="str">
        <f>if(   iserror(offset(PADRON!B$2,match(A:A,PADRON!A$2:A1010,0)-1,0,1,1) )  ,  ,    offset(PADRON!B$2,match(A:A,PADRON!A$2:A1010,0)-1,0,1,1))</f>
        <v/>
      </c>
      <c r="C396" s="368"/>
      <c r="E396" t="str">
        <f t="shared" si="1"/>
        <v/>
      </c>
      <c r="F396" s="369"/>
      <c r="G396" s="320"/>
      <c r="H396" s="320"/>
      <c r="I396" s="320">
        <f t="shared" si="2"/>
        <v>0</v>
      </c>
      <c r="J396" s="368"/>
    </row>
    <row r="397">
      <c r="B397" t="str">
        <f>if(   iserror(offset(PADRON!B$2,match(A:A,PADRON!A$2:A1010,0)-1,0,1,1) )  ,  ,    offset(PADRON!B$2,match(A:A,PADRON!A$2:A1010,0)-1,0,1,1))</f>
        <v/>
      </c>
      <c r="C397" s="368"/>
      <c r="E397" t="str">
        <f t="shared" si="1"/>
        <v/>
      </c>
      <c r="F397" s="369"/>
      <c r="G397" s="320"/>
      <c r="H397" s="320"/>
      <c r="I397" s="320">
        <f t="shared" si="2"/>
        <v>0</v>
      </c>
      <c r="J397" s="368"/>
    </row>
    <row r="398">
      <c r="B398" t="str">
        <f>if(   iserror(offset(PADRON!B$2,match(A:A,PADRON!A$2:A1010,0)-1,0,1,1) )  ,  ,    offset(PADRON!B$2,match(A:A,PADRON!A$2:A1010,0)-1,0,1,1))</f>
        <v/>
      </c>
      <c r="C398" s="368"/>
      <c r="E398" t="str">
        <f t="shared" si="1"/>
        <v/>
      </c>
      <c r="F398" s="369"/>
      <c r="G398" s="320"/>
      <c r="H398" s="320"/>
      <c r="I398" s="320">
        <f t="shared" si="2"/>
        <v>0</v>
      </c>
      <c r="J398" s="368"/>
    </row>
    <row r="399">
      <c r="B399" t="str">
        <f>if(   iserror(offset(PADRON!B$2,match(A:A,PADRON!A$2:A1010,0)-1,0,1,1) )  ,  ,    offset(PADRON!B$2,match(A:A,PADRON!A$2:A1010,0)-1,0,1,1))</f>
        <v/>
      </c>
      <c r="C399" s="368"/>
      <c r="E399" t="str">
        <f t="shared" si="1"/>
        <v/>
      </c>
      <c r="F399" s="369"/>
      <c r="G399" s="320"/>
      <c r="H399" s="320"/>
      <c r="I399" s="320">
        <f t="shared" si="2"/>
        <v>0</v>
      </c>
      <c r="J399" s="368"/>
    </row>
    <row r="400">
      <c r="B400" t="str">
        <f>if(   iserror(offset(PADRON!B$2,match(A:A,PADRON!A$2:A1010,0)-1,0,1,1) )  ,  ,    offset(PADRON!B$2,match(A:A,PADRON!A$2:A1010,0)-1,0,1,1))</f>
        <v/>
      </c>
      <c r="C400" s="368"/>
      <c r="E400" t="str">
        <f t="shared" si="1"/>
        <v/>
      </c>
      <c r="F400" s="369"/>
      <c r="G400" s="320"/>
      <c r="H400" s="320"/>
      <c r="I400" s="320">
        <f t="shared" si="2"/>
        <v>0</v>
      </c>
      <c r="J400" s="368"/>
    </row>
    <row r="401">
      <c r="B401" t="str">
        <f>if(   iserror(offset(PADRON!B$2,match(A:A,PADRON!A$2:A1010,0)-1,0,1,1) )  ,  ,    offset(PADRON!B$2,match(A:A,PADRON!A$2:A1010,0)-1,0,1,1))</f>
        <v/>
      </c>
      <c r="C401" s="368"/>
      <c r="E401" t="str">
        <f t="shared" si="1"/>
        <v/>
      </c>
      <c r="F401" s="369"/>
      <c r="G401" s="320"/>
      <c r="H401" s="320"/>
      <c r="I401" s="320">
        <f t="shared" si="2"/>
        <v>0</v>
      </c>
      <c r="J401" s="368"/>
    </row>
    <row r="402">
      <c r="B402" t="str">
        <f>if(   iserror(offset(PADRON!B$2,match(A:A,PADRON!A$2:A1010,0)-1,0,1,1) )  ,  ,    offset(PADRON!B$2,match(A:A,PADRON!A$2:A1010,0)-1,0,1,1))</f>
        <v/>
      </c>
      <c r="C402" s="368"/>
      <c r="E402" t="str">
        <f t="shared" si="1"/>
        <v/>
      </c>
      <c r="F402" s="369"/>
      <c r="G402" s="320"/>
      <c r="H402" s="320"/>
      <c r="I402" s="320">
        <f t="shared" si="2"/>
        <v>0</v>
      </c>
      <c r="J402" s="368"/>
    </row>
    <row r="403">
      <c r="B403" t="str">
        <f>if(   iserror(offset(PADRON!B$2,match(A:A,PADRON!A$2:A1010,0)-1,0,1,1) )  ,  ,    offset(PADRON!B$2,match(A:A,PADRON!A$2:A1010,0)-1,0,1,1))</f>
        <v/>
      </c>
      <c r="C403" s="368"/>
      <c r="E403" t="str">
        <f t="shared" si="1"/>
        <v/>
      </c>
      <c r="F403" s="369"/>
      <c r="G403" s="320"/>
      <c r="H403" s="320"/>
      <c r="I403" s="320">
        <f t="shared" si="2"/>
        <v>0</v>
      </c>
      <c r="J403" s="368"/>
    </row>
    <row r="404">
      <c r="B404" t="str">
        <f>if(   iserror(offset(PADRON!B$2,match(A:A,PADRON!A$2:A1010,0)-1,0,1,1) )  ,  ,    offset(PADRON!B$2,match(A:A,PADRON!A$2:A1010,0)-1,0,1,1))</f>
        <v/>
      </c>
      <c r="C404" s="368"/>
      <c r="E404" t="str">
        <f t="shared" si="1"/>
        <v/>
      </c>
      <c r="F404" s="369"/>
      <c r="G404" s="320"/>
      <c r="H404" s="320"/>
      <c r="I404" s="320">
        <f t="shared" si="2"/>
        <v>0</v>
      </c>
      <c r="J404" s="368"/>
    </row>
    <row r="405">
      <c r="B405" t="str">
        <f>if(   iserror(offset(PADRON!B$2,match(A:A,PADRON!A$2:A1010,0)-1,0,1,1) )  ,  ,    offset(PADRON!B$2,match(A:A,PADRON!A$2:A1010,0)-1,0,1,1))</f>
        <v/>
      </c>
      <c r="C405" s="368"/>
      <c r="E405" t="str">
        <f t="shared" si="1"/>
        <v/>
      </c>
      <c r="F405" s="369"/>
      <c r="G405" s="320"/>
      <c r="H405" s="320"/>
      <c r="I405" s="320">
        <f t="shared" si="2"/>
        <v>0</v>
      </c>
      <c r="J405" s="368"/>
    </row>
    <row r="406">
      <c r="B406" t="str">
        <f>if(   iserror(offset(PADRON!B$2,match(A:A,PADRON!A$2:A1010,0)-1,0,1,1) )  ,  ,    offset(PADRON!B$2,match(A:A,PADRON!A$2:A1010,0)-1,0,1,1))</f>
        <v/>
      </c>
      <c r="C406" s="368"/>
      <c r="E406" t="str">
        <f t="shared" si="1"/>
        <v/>
      </c>
      <c r="F406" s="369"/>
      <c r="G406" s="320"/>
      <c r="H406" s="320"/>
      <c r="I406" s="320">
        <f t="shared" si="2"/>
        <v>0</v>
      </c>
      <c r="J406" s="368"/>
    </row>
    <row r="407">
      <c r="B407" t="str">
        <f>if(   iserror(offset(PADRON!B$2,match(A:A,PADRON!A$2:A1010,0)-1,0,1,1) )  ,  ,    offset(PADRON!B$2,match(A:A,PADRON!A$2:A1010,0)-1,0,1,1))</f>
        <v/>
      </c>
      <c r="C407" s="368"/>
      <c r="E407" t="str">
        <f t="shared" si="1"/>
        <v/>
      </c>
      <c r="F407" s="369"/>
      <c r="G407" s="320"/>
      <c r="H407" s="320"/>
      <c r="I407" s="320">
        <f t="shared" si="2"/>
        <v>0</v>
      </c>
      <c r="J407" s="368"/>
    </row>
    <row r="408">
      <c r="B408" t="str">
        <f>if(   iserror(offset(PADRON!B$2,match(A:A,PADRON!A$2:A1010,0)-1,0,1,1) )  ,  ,    offset(PADRON!B$2,match(A:A,PADRON!A$2:A1010,0)-1,0,1,1))</f>
        <v/>
      </c>
      <c r="C408" s="368"/>
      <c r="E408" t="str">
        <f t="shared" si="1"/>
        <v/>
      </c>
      <c r="F408" s="369"/>
      <c r="G408" s="320"/>
      <c r="H408" s="320"/>
      <c r="I408" s="320">
        <f t="shared" si="2"/>
        <v>0</v>
      </c>
      <c r="J408" s="368"/>
    </row>
    <row r="409">
      <c r="B409" t="str">
        <f>if(   iserror(offset(PADRON!B$2,match(A:A,PADRON!A$2:A1010,0)-1,0,1,1) )  ,  ,    offset(PADRON!B$2,match(A:A,PADRON!A$2:A1010,0)-1,0,1,1))</f>
        <v/>
      </c>
      <c r="C409" s="368"/>
      <c r="E409" t="str">
        <f t="shared" si="1"/>
        <v/>
      </c>
      <c r="F409" s="369"/>
      <c r="G409" s="320"/>
      <c r="H409" s="320"/>
      <c r="I409" s="320">
        <f t="shared" si="2"/>
        <v>0</v>
      </c>
      <c r="J409" s="368"/>
    </row>
    <row r="410">
      <c r="B410" t="str">
        <f>if(   iserror(offset(PADRON!B$2,match(A:A,PADRON!A$2:A1010,0)-1,0,1,1) )  ,  ,    offset(PADRON!B$2,match(A:A,PADRON!A$2:A1010,0)-1,0,1,1))</f>
        <v/>
      </c>
      <c r="C410" s="368"/>
      <c r="E410" t="str">
        <f t="shared" si="1"/>
        <v/>
      </c>
      <c r="F410" s="369"/>
      <c r="G410" s="320"/>
      <c r="H410" s="320"/>
      <c r="I410" s="320">
        <f t="shared" si="2"/>
        <v>0</v>
      </c>
      <c r="J410" s="368"/>
    </row>
    <row r="411">
      <c r="B411" t="str">
        <f>if(   iserror(offset(PADRON!B$2,match(A:A,PADRON!A$2:A1010,0)-1,0,1,1) )  ,  ,    offset(PADRON!B$2,match(A:A,PADRON!A$2:A1010,0)-1,0,1,1))</f>
        <v/>
      </c>
      <c r="C411" s="368"/>
      <c r="E411" t="str">
        <f t="shared" si="1"/>
        <v/>
      </c>
      <c r="F411" s="369"/>
      <c r="G411" s="320"/>
      <c r="H411" s="320"/>
      <c r="I411" s="320">
        <f t="shared" si="2"/>
        <v>0</v>
      </c>
      <c r="J411" s="368"/>
    </row>
    <row r="412">
      <c r="B412" t="str">
        <f>if(   iserror(offset(PADRON!B$2,match(A:A,PADRON!A$2:A1010,0)-1,0,1,1) )  ,  ,    offset(PADRON!B$2,match(A:A,PADRON!A$2:A1010,0)-1,0,1,1))</f>
        <v/>
      </c>
      <c r="C412" s="368"/>
      <c r="E412" t="str">
        <f t="shared" si="1"/>
        <v/>
      </c>
      <c r="F412" s="369"/>
      <c r="G412" s="320"/>
      <c r="H412" s="320"/>
      <c r="I412" s="320">
        <f t="shared" si="2"/>
        <v>0</v>
      </c>
      <c r="J412" s="368"/>
    </row>
    <row r="413">
      <c r="B413" t="str">
        <f>if(   iserror(offset(PADRON!B$2,match(A:A,PADRON!A$2:A1010,0)-1,0,1,1) )  ,  ,    offset(PADRON!B$2,match(A:A,PADRON!A$2:A1010,0)-1,0,1,1))</f>
        <v/>
      </c>
      <c r="C413" s="368"/>
      <c r="E413" t="str">
        <f t="shared" si="1"/>
        <v/>
      </c>
      <c r="F413" s="369"/>
      <c r="G413" s="320"/>
      <c r="H413" s="320"/>
      <c r="I413" s="320">
        <f t="shared" si="2"/>
        <v>0</v>
      </c>
      <c r="J413" s="368"/>
    </row>
    <row r="414">
      <c r="B414" t="str">
        <f>if(   iserror(offset(PADRON!B$2,match(A:A,PADRON!A$2:A1010,0)-1,0,1,1) )  ,  ,    offset(PADRON!B$2,match(A:A,PADRON!A$2:A1010,0)-1,0,1,1))</f>
        <v/>
      </c>
      <c r="C414" s="368"/>
      <c r="E414" t="str">
        <f t="shared" si="1"/>
        <v/>
      </c>
      <c r="F414" s="369"/>
      <c r="G414" s="320"/>
      <c r="H414" s="320"/>
      <c r="I414" s="320">
        <f t="shared" si="2"/>
        <v>0</v>
      </c>
      <c r="J414" s="368"/>
    </row>
    <row r="415">
      <c r="B415" t="str">
        <f>if(   iserror(offset(PADRON!B$2,match(A:A,PADRON!A$2:A1010,0)-1,0,1,1) )  ,  ,    offset(PADRON!B$2,match(A:A,PADRON!A$2:A1010,0)-1,0,1,1))</f>
        <v/>
      </c>
      <c r="C415" s="368"/>
      <c r="E415" t="str">
        <f t="shared" si="1"/>
        <v/>
      </c>
      <c r="F415" s="369"/>
      <c r="G415" s="320"/>
      <c r="H415" s="320"/>
      <c r="I415" s="320">
        <f t="shared" si="2"/>
        <v>0</v>
      </c>
      <c r="J415" s="368"/>
    </row>
    <row r="416">
      <c r="B416" t="str">
        <f>if(   iserror(offset(PADRON!B$2,match(A:A,PADRON!A$2:A1010,0)-1,0,1,1) )  ,  ,    offset(PADRON!B$2,match(A:A,PADRON!A$2:A1010,0)-1,0,1,1))</f>
        <v/>
      </c>
      <c r="C416" s="368"/>
      <c r="E416" t="str">
        <f t="shared" si="1"/>
        <v/>
      </c>
      <c r="F416" s="369"/>
      <c r="G416" s="320"/>
      <c r="H416" s="320"/>
      <c r="I416" s="320">
        <f t="shared" si="2"/>
        <v>0</v>
      </c>
      <c r="J416" s="368"/>
    </row>
    <row r="417">
      <c r="B417" t="str">
        <f>if(   iserror(offset(PADRON!B$2,match(A:A,PADRON!A$2:A1010,0)-1,0,1,1) )  ,  ,    offset(PADRON!B$2,match(A:A,PADRON!A$2:A1010,0)-1,0,1,1))</f>
        <v/>
      </c>
      <c r="C417" s="368"/>
      <c r="E417" t="str">
        <f t="shared" si="1"/>
        <v/>
      </c>
      <c r="F417" s="369"/>
      <c r="G417" s="320"/>
      <c r="H417" s="320"/>
      <c r="I417" s="320">
        <f t="shared" si="2"/>
        <v>0</v>
      </c>
      <c r="J417" s="368"/>
    </row>
    <row r="418">
      <c r="B418" t="str">
        <f>if(   iserror(offset(PADRON!B$2,match(A:A,PADRON!A$2:A1010,0)-1,0,1,1) )  ,  ,    offset(PADRON!B$2,match(A:A,PADRON!A$2:A1010,0)-1,0,1,1))</f>
        <v/>
      </c>
      <c r="C418" s="368"/>
      <c r="E418" t="str">
        <f t="shared" si="1"/>
        <v/>
      </c>
      <c r="F418" s="369"/>
      <c r="G418" s="320"/>
      <c r="H418" s="320"/>
      <c r="I418" s="320">
        <f t="shared" si="2"/>
        <v>0</v>
      </c>
      <c r="J418" s="368"/>
    </row>
    <row r="419">
      <c r="B419" t="str">
        <f>if(   iserror(offset(PADRON!B$2,match(A:A,PADRON!A$2:A1010,0)-1,0,1,1) )  ,  ,    offset(PADRON!B$2,match(A:A,PADRON!A$2:A1010,0)-1,0,1,1))</f>
        <v/>
      </c>
      <c r="C419" s="368"/>
      <c r="E419" t="str">
        <f t="shared" si="1"/>
        <v/>
      </c>
      <c r="F419" s="369"/>
      <c r="G419" s="320"/>
      <c r="H419" s="320"/>
      <c r="I419" s="320">
        <f t="shared" si="2"/>
        <v>0</v>
      </c>
      <c r="J419" s="368"/>
    </row>
    <row r="420">
      <c r="B420" t="str">
        <f>if(   iserror(offset(PADRON!B$2,match(A:A,PADRON!A$2:A1010,0)-1,0,1,1) )  ,  ,    offset(PADRON!B$2,match(A:A,PADRON!A$2:A1010,0)-1,0,1,1))</f>
        <v/>
      </c>
      <c r="C420" s="368"/>
      <c r="E420" t="str">
        <f t="shared" si="1"/>
        <v/>
      </c>
      <c r="F420" s="369"/>
      <c r="G420" s="320"/>
      <c r="H420" s="320"/>
      <c r="I420" s="320">
        <f t="shared" si="2"/>
        <v>0</v>
      </c>
      <c r="J420" s="368"/>
    </row>
    <row r="421">
      <c r="B421" t="str">
        <f>if(   iserror(offset(PADRON!B$2,match(A:A,PADRON!A$2:A1010,0)-1,0,1,1) )  ,  ,    offset(PADRON!B$2,match(A:A,PADRON!A$2:A1010,0)-1,0,1,1))</f>
        <v/>
      </c>
      <c r="C421" s="368"/>
      <c r="E421" t="str">
        <f t="shared" si="1"/>
        <v/>
      </c>
      <c r="F421" s="369"/>
      <c r="G421" s="320"/>
      <c r="H421" s="320"/>
      <c r="I421" s="320">
        <f t="shared" si="2"/>
        <v>0</v>
      </c>
      <c r="J421" s="368"/>
    </row>
    <row r="422">
      <c r="B422" t="str">
        <f>if(   iserror(offset(PADRON!B$2,match(A:A,PADRON!A$2:A1010,0)-1,0,1,1) )  ,  ,    offset(PADRON!B$2,match(A:A,PADRON!A$2:A1010,0)-1,0,1,1))</f>
        <v/>
      </c>
      <c r="C422" s="368"/>
      <c r="E422" t="str">
        <f t="shared" si="1"/>
        <v/>
      </c>
      <c r="F422" s="369"/>
      <c r="G422" s="320"/>
      <c r="H422" s="320"/>
      <c r="I422" s="320">
        <f t="shared" si="2"/>
        <v>0</v>
      </c>
      <c r="J422" s="368"/>
    </row>
    <row r="423">
      <c r="B423" t="str">
        <f>if(   iserror(offset(PADRON!B$2,match(A:A,PADRON!A$2:A1010,0)-1,0,1,1) )  ,  ,    offset(PADRON!B$2,match(A:A,PADRON!A$2:A1010,0)-1,0,1,1))</f>
        <v/>
      </c>
      <c r="C423" s="368"/>
      <c r="E423" t="str">
        <f t="shared" si="1"/>
        <v/>
      </c>
      <c r="F423" s="369"/>
      <c r="G423" s="320"/>
      <c r="H423" s="320"/>
      <c r="I423" s="320">
        <f t="shared" si="2"/>
        <v>0</v>
      </c>
      <c r="J423" s="368"/>
    </row>
    <row r="424">
      <c r="B424" t="str">
        <f>if(   iserror(offset(PADRON!B$2,match(A:A,PADRON!A$2:A1010,0)-1,0,1,1) )  ,  ,    offset(PADRON!B$2,match(A:A,PADRON!A$2:A1010,0)-1,0,1,1))</f>
        <v/>
      </c>
      <c r="C424" s="368"/>
      <c r="E424" t="str">
        <f t="shared" si="1"/>
        <v/>
      </c>
      <c r="F424" s="369"/>
      <c r="G424" s="320"/>
      <c r="H424" s="320"/>
      <c r="I424" s="320">
        <f t="shared" si="2"/>
        <v>0</v>
      </c>
      <c r="J424" s="368"/>
    </row>
    <row r="425">
      <c r="B425" t="str">
        <f>if(   iserror(offset(PADRON!B$2,match(A:A,PADRON!A$2:A1010,0)-1,0,1,1) )  ,  ,    offset(PADRON!B$2,match(A:A,PADRON!A$2:A1010,0)-1,0,1,1))</f>
        <v/>
      </c>
      <c r="C425" s="368"/>
      <c r="E425" t="str">
        <f t="shared" si="1"/>
        <v/>
      </c>
      <c r="F425" s="369"/>
      <c r="G425" s="320"/>
      <c r="H425" s="320"/>
      <c r="I425" s="320">
        <f t="shared" si="2"/>
        <v>0</v>
      </c>
      <c r="J425" s="368"/>
    </row>
    <row r="426">
      <c r="B426" t="str">
        <f>if(   iserror(offset(PADRON!B$2,match(A:A,PADRON!A$2:A1010,0)-1,0,1,1) )  ,  ,    offset(PADRON!B$2,match(A:A,PADRON!A$2:A1010,0)-1,0,1,1))</f>
        <v/>
      </c>
      <c r="C426" s="368"/>
      <c r="E426" t="str">
        <f t="shared" si="1"/>
        <v/>
      </c>
      <c r="F426" s="369"/>
      <c r="G426" s="320"/>
      <c r="H426" s="320"/>
      <c r="I426" s="320">
        <f t="shared" si="2"/>
        <v>0</v>
      </c>
      <c r="J426" s="368"/>
    </row>
    <row r="427">
      <c r="B427" t="str">
        <f>if(   iserror(offset(PADRON!B$2,match(A:A,PADRON!A$2:A1010,0)-1,0,1,1) )  ,  ,    offset(PADRON!B$2,match(A:A,PADRON!A$2:A1010,0)-1,0,1,1))</f>
        <v/>
      </c>
      <c r="C427" s="368"/>
      <c r="E427" t="str">
        <f t="shared" si="1"/>
        <v/>
      </c>
      <c r="F427" s="369"/>
      <c r="G427" s="320"/>
      <c r="H427" s="320"/>
      <c r="I427" s="320">
        <f t="shared" si="2"/>
        <v>0</v>
      </c>
      <c r="J427" s="368"/>
    </row>
    <row r="428">
      <c r="B428" t="str">
        <f>if(   iserror(offset(PADRON!B$2,match(A:A,PADRON!A$2:A1010,0)-1,0,1,1) )  ,  ,    offset(PADRON!B$2,match(A:A,PADRON!A$2:A1010,0)-1,0,1,1))</f>
        <v/>
      </c>
      <c r="C428" s="368"/>
      <c r="E428" t="str">
        <f t="shared" si="1"/>
        <v/>
      </c>
      <c r="F428" s="369"/>
      <c r="G428" s="320"/>
      <c r="H428" s="320"/>
      <c r="I428" s="320">
        <f t="shared" si="2"/>
        <v>0</v>
      </c>
      <c r="J428" s="368"/>
    </row>
    <row r="429">
      <c r="B429" t="str">
        <f>if(   iserror(offset(PADRON!B$2,match(A:A,PADRON!A$2:A1010,0)-1,0,1,1) )  ,  ,    offset(PADRON!B$2,match(A:A,PADRON!A$2:A1010,0)-1,0,1,1))</f>
        <v/>
      </c>
      <c r="C429" s="368"/>
      <c r="E429" t="str">
        <f t="shared" si="1"/>
        <v/>
      </c>
      <c r="F429" s="369"/>
      <c r="G429" s="320"/>
      <c r="H429" s="320"/>
      <c r="I429" s="320">
        <f t="shared" si="2"/>
        <v>0</v>
      </c>
      <c r="J429" s="368"/>
    </row>
    <row r="430">
      <c r="B430" t="str">
        <f>if(   iserror(offset(PADRON!B$2,match(A:A,PADRON!A$2:A1010,0)-1,0,1,1) )  ,  ,    offset(PADRON!B$2,match(A:A,PADRON!A$2:A1010,0)-1,0,1,1))</f>
        <v/>
      </c>
      <c r="C430" s="368"/>
      <c r="E430" t="str">
        <f t="shared" si="1"/>
        <v/>
      </c>
      <c r="F430" s="369"/>
      <c r="G430" s="320"/>
      <c r="H430" s="320"/>
      <c r="I430" s="320">
        <f t="shared" si="2"/>
        <v>0</v>
      </c>
      <c r="J430" s="368"/>
    </row>
    <row r="431">
      <c r="B431" t="str">
        <f>if(   iserror(offset(PADRON!B$2,match(A:A,PADRON!A$2:A1010,0)-1,0,1,1) )  ,  ,    offset(PADRON!B$2,match(A:A,PADRON!A$2:A1010,0)-1,0,1,1))</f>
        <v/>
      </c>
      <c r="C431" s="368"/>
      <c r="E431" t="str">
        <f t="shared" si="1"/>
        <v/>
      </c>
      <c r="F431" s="369"/>
      <c r="G431" s="320"/>
      <c r="H431" s="320"/>
      <c r="I431" s="320">
        <f t="shared" si="2"/>
        <v>0</v>
      </c>
      <c r="J431" s="368"/>
    </row>
    <row r="432">
      <c r="B432" t="str">
        <f>if(   iserror(offset(PADRON!B$2,match(A:A,PADRON!A$2:A1010,0)-1,0,1,1) )  ,  ,    offset(PADRON!B$2,match(A:A,PADRON!A$2:A1010,0)-1,0,1,1))</f>
        <v/>
      </c>
      <c r="C432" s="368"/>
      <c r="E432" t="str">
        <f t="shared" si="1"/>
        <v/>
      </c>
      <c r="F432" s="369"/>
      <c r="G432" s="320"/>
      <c r="H432" s="320"/>
      <c r="I432" s="320">
        <f t="shared" si="2"/>
        <v>0</v>
      </c>
      <c r="J432" s="368"/>
    </row>
    <row r="433">
      <c r="B433" t="str">
        <f>if(   iserror(offset(PADRON!B$2,match(A:A,PADRON!A$2:A1010,0)-1,0,1,1) )  ,  ,    offset(PADRON!B$2,match(A:A,PADRON!A$2:A1010,0)-1,0,1,1))</f>
        <v/>
      </c>
      <c r="C433" s="368"/>
      <c r="E433" t="str">
        <f t="shared" si="1"/>
        <v/>
      </c>
      <c r="F433" s="369"/>
      <c r="G433" s="320"/>
      <c r="H433" s="320"/>
      <c r="I433" s="320">
        <f t="shared" si="2"/>
        <v>0</v>
      </c>
      <c r="J433" s="368"/>
    </row>
    <row r="434">
      <c r="B434" t="str">
        <f>if(   iserror(offset(PADRON!B$2,match(A:A,PADRON!A$2:A1010,0)-1,0,1,1) )  ,  ,    offset(PADRON!B$2,match(A:A,PADRON!A$2:A1010,0)-1,0,1,1))</f>
        <v/>
      </c>
      <c r="C434" s="368"/>
      <c r="E434" t="str">
        <f t="shared" si="1"/>
        <v/>
      </c>
      <c r="F434" s="369"/>
      <c r="G434" s="320"/>
      <c r="H434" s="320"/>
      <c r="I434" s="320">
        <f t="shared" si="2"/>
        <v>0</v>
      </c>
      <c r="J434" s="368"/>
    </row>
    <row r="435">
      <c r="B435" t="str">
        <f>if(   iserror(offset(PADRON!B$2,match(A:A,PADRON!A$2:A1010,0)-1,0,1,1) )  ,  ,    offset(PADRON!B$2,match(A:A,PADRON!A$2:A1010,0)-1,0,1,1))</f>
        <v/>
      </c>
      <c r="C435" s="368"/>
      <c r="E435" t="str">
        <f t="shared" si="1"/>
        <v/>
      </c>
      <c r="F435" s="369"/>
      <c r="G435" s="320"/>
      <c r="H435" s="320"/>
      <c r="I435" s="320">
        <f t="shared" si="2"/>
        <v>0</v>
      </c>
      <c r="J435" s="368"/>
    </row>
    <row r="436">
      <c r="B436" t="str">
        <f>if(   iserror(offset(PADRON!B$2,match(A:A,PADRON!A$2:A1010,0)-1,0,1,1) )  ,  ,    offset(PADRON!B$2,match(A:A,PADRON!A$2:A1010,0)-1,0,1,1))</f>
        <v/>
      </c>
      <c r="C436" s="368"/>
      <c r="E436" t="str">
        <f t="shared" si="1"/>
        <v/>
      </c>
      <c r="F436" s="369"/>
      <c r="G436" s="320"/>
      <c r="H436" s="320"/>
      <c r="I436" s="320">
        <f t="shared" si="2"/>
        <v>0</v>
      </c>
      <c r="J436" s="368"/>
    </row>
    <row r="437">
      <c r="B437" t="str">
        <f>if(   iserror(offset(PADRON!B$2,match(A:A,PADRON!A$2:A1010,0)-1,0,1,1) )  ,  ,    offset(PADRON!B$2,match(A:A,PADRON!A$2:A1010,0)-1,0,1,1))</f>
        <v/>
      </c>
      <c r="C437" s="368"/>
      <c r="E437" t="str">
        <f t="shared" si="1"/>
        <v/>
      </c>
      <c r="F437" s="369"/>
      <c r="G437" s="320"/>
      <c r="H437" s="320"/>
      <c r="I437" s="320">
        <f t="shared" si="2"/>
        <v>0</v>
      </c>
      <c r="J437" s="368"/>
    </row>
    <row r="438">
      <c r="B438" t="str">
        <f>if(   iserror(offset(PADRON!B$2,match(A:A,PADRON!A$2:A1010,0)-1,0,1,1) )  ,  ,    offset(PADRON!B$2,match(A:A,PADRON!A$2:A1010,0)-1,0,1,1))</f>
        <v/>
      </c>
      <c r="C438" s="368"/>
      <c r="E438" t="str">
        <f t="shared" si="1"/>
        <v/>
      </c>
      <c r="F438" s="369"/>
      <c r="G438" s="320"/>
      <c r="H438" s="320"/>
      <c r="I438" s="320">
        <f t="shared" si="2"/>
        <v>0</v>
      </c>
      <c r="J438" s="368"/>
    </row>
    <row r="439">
      <c r="B439" t="str">
        <f>if(   iserror(offset(PADRON!B$2,match(A:A,PADRON!A$2:A1010,0)-1,0,1,1) )  ,  ,    offset(PADRON!B$2,match(A:A,PADRON!A$2:A1010,0)-1,0,1,1))</f>
        <v/>
      </c>
      <c r="C439" s="368"/>
      <c r="E439" t="str">
        <f t="shared" si="1"/>
        <v/>
      </c>
      <c r="F439" s="369"/>
      <c r="G439" s="320"/>
      <c r="H439" s="320"/>
      <c r="I439" s="320">
        <f t="shared" si="2"/>
        <v>0</v>
      </c>
      <c r="J439" s="368"/>
    </row>
    <row r="440">
      <c r="B440" t="str">
        <f>if(   iserror(offset(PADRON!B$2,match(A:A,PADRON!A$2:A1010,0)-1,0,1,1) )  ,  ,    offset(PADRON!B$2,match(A:A,PADRON!A$2:A1010,0)-1,0,1,1))</f>
        <v/>
      </c>
      <c r="C440" s="368"/>
      <c r="E440" t="str">
        <f t="shared" si="1"/>
        <v/>
      </c>
      <c r="F440" s="369"/>
      <c r="G440" s="320"/>
      <c r="H440" s="320"/>
      <c r="I440" s="320">
        <f t="shared" si="2"/>
        <v>0</v>
      </c>
      <c r="J440" s="368"/>
    </row>
    <row r="441">
      <c r="B441" t="str">
        <f>if(   iserror(offset(PADRON!B$2,match(A:A,PADRON!A$2:A1010,0)-1,0,1,1) )  ,  ,    offset(PADRON!B$2,match(A:A,PADRON!A$2:A1010,0)-1,0,1,1))</f>
        <v/>
      </c>
      <c r="C441" s="368"/>
      <c r="E441" t="str">
        <f t="shared" si="1"/>
        <v/>
      </c>
      <c r="F441" s="369"/>
      <c r="G441" s="320"/>
      <c r="H441" s="320"/>
      <c r="I441" s="320">
        <f t="shared" si="2"/>
        <v>0</v>
      </c>
      <c r="J441" s="368"/>
    </row>
    <row r="442">
      <c r="B442" t="str">
        <f>if(   iserror(offset(PADRON!B$2,match(A:A,PADRON!A$2:A1010,0)-1,0,1,1) )  ,  ,    offset(PADRON!B$2,match(A:A,PADRON!A$2:A1010,0)-1,0,1,1))</f>
        <v/>
      </c>
      <c r="C442" s="368"/>
      <c r="E442" t="str">
        <f t="shared" si="1"/>
        <v/>
      </c>
      <c r="F442" s="369"/>
      <c r="G442" s="320"/>
      <c r="H442" s="320"/>
      <c r="I442" s="320">
        <f t="shared" si="2"/>
        <v>0</v>
      </c>
      <c r="J442" s="368"/>
    </row>
    <row r="443">
      <c r="B443" t="str">
        <f>if(   iserror(offset(PADRON!B$2,match(A:A,PADRON!A$2:A1010,0)-1,0,1,1) )  ,  ,    offset(PADRON!B$2,match(A:A,PADRON!A$2:A1010,0)-1,0,1,1))</f>
        <v/>
      </c>
      <c r="C443" s="368"/>
      <c r="E443" t="str">
        <f t="shared" si="1"/>
        <v/>
      </c>
      <c r="F443" s="369"/>
      <c r="G443" s="320"/>
      <c r="H443" s="320"/>
      <c r="I443" s="320">
        <f t="shared" si="2"/>
        <v>0</v>
      </c>
      <c r="J443" s="368"/>
    </row>
    <row r="444">
      <c r="B444" t="str">
        <f>if(   iserror(offset(PADRON!B$2,match(A:A,PADRON!A$2:A1010,0)-1,0,1,1) )  ,  ,    offset(PADRON!B$2,match(A:A,PADRON!A$2:A1010,0)-1,0,1,1))</f>
        <v/>
      </c>
      <c r="C444" s="368"/>
      <c r="E444" t="str">
        <f t="shared" si="1"/>
        <v/>
      </c>
      <c r="F444" s="369"/>
      <c r="G444" s="320"/>
      <c r="H444" s="320"/>
      <c r="I444" s="320">
        <f t="shared" si="2"/>
        <v>0</v>
      </c>
      <c r="J444" s="368"/>
    </row>
    <row r="445">
      <c r="B445" t="str">
        <f>if(   iserror(offset(PADRON!B$2,match(A:A,PADRON!A$2:A1010,0)-1,0,1,1) )  ,  ,    offset(PADRON!B$2,match(A:A,PADRON!A$2:A1010,0)-1,0,1,1))</f>
        <v/>
      </c>
      <c r="C445" s="368"/>
      <c r="E445" t="str">
        <f t="shared" si="1"/>
        <v/>
      </c>
      <c r="F445" s="369"/>
      <c r="G445" s="320"/>
      <c r="H445" s="320"/>
      <c r="I445" s="320">
        <f t="shared" si="2"/>
        <v>0</v>
      </c>
      <c r="J445" s="368"/>
    </row>
    <row r="446">
      <c r="B446" t="str">
        <f>if(   iserror(offset(PADRON!B$2,match(A:A,PADRON!A$2:A1010,0)-1,0,1,1) )  ,  ,    offset(PADRON!B$2,match(A:A,PADRON!A$2:A1010,0)-1,0,1,1))</f>
        <v/>
      </c>
      <c r="C446" s="368"/>
      <c r="E446" t="str">
        <f t="shared" si="1"/>
        <v/>
      </c>
      <c r="F446" s="369"/>
      <c r="G446" s="320"/>
      <c r="H446" s="320"/>
      <c r="I446" s="320">
        <f t="shared" si="2"/>
        <v>0</v>
      </c>
      <c r="J446" s="368"/>
    </row>
    <row r="447">
      <c r="B447" t="str">
        <f>if(   iserror(offset(PADRON!B$2,match(A:A,PADRON!A$2:A1010,0)-1,0,1,1) )  ,  ,    offset(PADRON!B$2,match(A:A,PADRON!A$2:A1010,0)-1,0,1,1))</f>
        <v/>
      </c>
      <c r="C447" s="368"/>
      <c r="E447" t="str">
        <f t="shared" si="1"/>
        <v/>
      </c>
      <c r="F447" s="369"/>
      <c r="G447" s="320"/>
      <c r="H447" s="320"/>
      <c r="I447" s="320">
        <f t="shared" si="2"/>
        <v>0</v>
      </c>
      <c r="J447" s="368"/>
    </row>
    <row r="448">
      <c r="B448" t="str">
        <f>if(   iserror(offset(PADRON!B$2,match(A:A,PADRON!A$2:A1010,0)-1,0,1,1) )  ,  ,    offset(PADRON!B$2,match(A:A,PADRON!A$2:A1010,0)-1,0,1,1))</f>
        <v/>
      </c>
      <c r="C448" s="368"/>
      <c r="E448" t="str">
        <f t="shared" si="1"/>
        <v/>
      </c>
      <c r="F448" s="369"/>
      <c r="G448" s="320"/>
      <c r="H448" s="320"/>
      <c r="I448" s="320">
        <f t="shared" si="2"/>
        <v>0</v>
      </c>
      <c r="J448" s="368"/>
    </row>
    <row r="449">
      <c r="B449" t="str">
        <f>if(   iserror(offset(PADRON!B$2,match(A:A,PADRON!A$2:A1010,0)-1,0,1,1) )  ,  ,    offset(PADRON!B$2,match(A:A,PADRON!A$2:A1010,0)-1,0,1,1))</f>
        <v/>
      </c>
      <c r="C449" s="368"/>
      <c r="E449" t="str">
        <f t="shared" si="1"/>
        <v/>
      </c>
      <c r="F449" s="369"/>
      <c r="G449" s="320"/>
      <c r="H449" s="320"/>
      <c r="I449" s="320">
        <f t="shared" si="2"/>
        <v>0</v>
      </c>
      <c r="J449" s="368"/>
    </row>
    <row r="450">
      <c r="B450" t="str">
        <f>if(   iserror(offset(PADRON!B$2,match(A:A,PADRON!A$2:A1010,0)-1,0,1,1) )  ,  ,    offset(PADRON!B$2,match(A:A,PADRON!A$2:A1010,0)-1,0,1,1))</f>
        <v/>
      </c>
      <c r="C450" s="368"/>
      <c r="E450" t="str">
        <f t="shared" si="1"/>
        <v/>
      </c>
      <c r="F450" s="369"/>
      <c r="G450" s="320"/>
      <c r="H450" s="320"/>
      <c r="I450" s="320">
        <f t="shared" si="2"/>
        <v>0</v>
      </c>
      <c r="J450" s="368"/>
    </row>
    <row r="451">
      <c r="B451" t="str">
        <f>if(   iserror(offset(PADRON!B$2,match(A:A,PADRON!A$2:A1010,0)-1,0,1,1) )  ,  ,    offset(PADRON!B$2,match(A:A,PADRON!A$2:A1010,0)-1,0,1,1))</f>
        <v/>
      </c>
      <c r="C451" s="368"/>
      <c r="E451" t="str">
        <f t="shared" si="1"/>
        <v/>
      </c>
      <c r="F451" s="369"/>
      <c r="G451" s="320"/>
      <c r="H451" s="320"/>
      <c r="I451" s="320">
        <f t="shared" si="2"/>
        <v>0</v>
      </c>
      <c r="J451" s="368"/>
    </row>
    <row r="452">
      <c r="B452" t="str">
        <f>if(   iserror(offset(PADRON!B$2,match(A:A,PADRON!A$2:A1010,0)-1,0,1,1) )  ,  ,    offset(PADRON!B$2,match(A:A,PADRON!A$2:A1010,0)-1,0,1,1))</f>
        <v/>
      </c>
      <c r="C452" s="368"/>
      <c r="E452" t="str">
        <f t="shared" si="1"/>
        <v/>
      </c>
      <c r="F452" s="369"/>
      <c r="G452" s="320"/>
      <c r="H452" s="320"/>
      <c r="I452" s="320">
        <f t="shared" si="2"/>
        <v>0</v>
      </c>
      <c r="J452" s="368"/>
    </row>
    <row r="453">
      <c r="B453" t="str">
        <f>if(   iserror(offset(PADRON!B$2,match(A:A,PADRON!A$2:A1010,0)-1,0,1,1) )  ,  ,    offset(PADRON!B$2,match(A:A,PADRON!A$2:A1010,0)-1,0,1,1))</f>
        <v/>
      </c>
      <c r="C453" s="368"/>
      <c r="E453" t="str">
        <f t="shared" si="1"/>
        <v/>
      </c>
      <c r="F453" s="369"/>
      <c r="G453" s="320"/>
      <c r="H453" s="320"/>
      <c r="I453" s="320">
        <f t="shared" si="2"/>
        <v>0</v>
      </c>
      <c r="J453" s="368"/>
    </row>
    <row r="454">
      <c r="B454" t="str">
        <f>if(   iserror(offset(PADRON!B$2,match(A:A,PADRON!A$2:A1010,0)-1,0,1,1) )  ,  ,    offset(PADRON!B$2,match(A:A,PADRON!A$2:A1010,0)-1,0,1,1))</f>
        <v/>
      </c>
      <c r="C454" s="368"/>
      <c r="E454" t="str">
        <f t="shared" si="1"/>
        <v/>
      </c>
      <c r="F454" s="369"/>
      <c r="G454" s="320"/>
      <c r="H454" s="320"/>
      <c r="I454" s="320">
        <f t="shared" si="2"/>
        <v>0</v>
      </c>
      <c r="J454" s="368"/>
    </row>
    <row r="455">
      <c r="B455" t="str">
        <f>if(   iserror(offset(PADRON!B$2,match(A:A,PADRON!A$2:A1010,0)-1,0,1,1) )  ,  ,    offset(PADRON!B$2,match(A:A,PADRON!A$2:A1010,0)-1,0,1,1))</f>
        <v/>
      </c>
      <c r="C455" s="368"/>
      <c r="E455" t="str">
        <f t="shared" si="1"/>
        <v/>
      </c>
      <c r="F455" s="369"/>
      <c r="G455" s="320"/>
      <c r="H455" s="320"/>
      <c r="I455" s="320">
        <f t="shared" si="2"/>
        <v>0</v>
      </c>
      <c r="J455" s="368"/>
    </row>
    <row r="456">
      <c r="B456" t="str">
        <f>if(   iserror(offset(PADRON!B$2,match(A:A,PADRON!A$2:A1010,0)-1,0,1,1) )  ,  ,    offset(PADRON!B$2,match(A:A,PADRON!A$2:A1010,0)-1,0,1,1))</f>
        <v/>
      </c>
      <c r="C456" s="368"/>
      <c r="E456" t="str">
        <f t="shared" si="1"/>
        <v/>
      </c>
      <c r="F456" s="369"/>
      <c r="G456" s="320"/>
      <c r="H456" s="320"/>
      <c r="I456" s="320">
        <f t="shared" si="2"/>
        <v>0</v>
      </c>
      <c r="J456" s="368"/>
    </row>
    <row r="457">
      <c r="B457" t="str">
        <f>if(   iserror(offset(PADRON!B$2,match(A:A,PADRON!A$2:A1010,0)-1,0,1,1) )  ,  ,    offset(PADRON!B$2,match(A:A,PADRON!A$2:A1010,0)-1,0,1,1))</f>
        <v/>
      </c>
      <c r="C457" s="368"/>
      <c r="E457" t="str">
        <f t="shared" si="1"/>
        <v/>
      </c>
      <c r="F457" s="369"/>
      <c r="G457" s="320"/>
      <c r="H457" s="320"/>
      <c r="I457" s="320">
        <f t="shared" si="2"/>
        <v>0</v>
      </c>
      <c r="J457" s="368"/>
    </row>
    <row r="458">
      <c r="B458" t="str">
        <f>if(   iserror(offset(PADRON!B$2,match(A:A,PADRON!A$2:A1010,0)-1,0,1,1) )  ,  ,    offset(PADRON!B$2,match(A:A,PADRON!A$2:A1010,0)-1,0,1,1))</f>
        <v/>
      </c>
      <c r="C458" s="368"/>
      <c r="E458" t="str">
        <f t="shared" si="1"/>
        <v/>
      </c>
      <c r="F458" s="369"/>
      <c r="G458" s="320"/>
      <c r="H458" s="320"/>
      <c r="I458" s="320">
        <f t="shared" si="2"/>
        <v>0</v>
      </c>
      <c r="J458" s="368"/>
    </row>
    <row r="459">
      <c r="B459" t="str">
        <f>if(   iserror(offset(PADRON!B$2,match(A:A,PADRON!A$2:A1010,0)-1,0,1,1) )  ,  ,    offset(PADRON!B$2,match(A:A,PADRON!A$2:A1010,0)-1,0,1,1))</f>
        <v/>
      </c>
      <c r="C459" s="368"/>
      <c r="E459" t="str">
        <f t="shared" si="1"/>
        <v/>
      </c>
      <c r="F459" s="369"/>
      <c r="G459" s="320"/>
      <c r="H459" s="320"/>
      <c r="I459" s="320">
        <f t="shared" si="2"/>
        <v>0</v>
      </c>
      <c r="J459" s="368"/>
    </row>
    <row r="460">
      <c r="B460" t="str">
        <f>if(   iserror(offset(PADRON!B$2,match(A:A,PADRON!A$2:A1010,0)-1,0,1,1) )  ,  ,    offset(PADRON!B$2,match(A:A,PADRON!A$2:A1010,0)-1,0,1,1))</f>
        <v/>
      </c>
      <c r="C460" s="368"/>
      <c r="E460" t="str">
        <f t="shared" si="1"/>
        <v/>
      </c>
      <c r="F460" s="369"/>
      <c r="G460" s="320"/>
      <c r="H460" s="320"/>
      <c r="I460" s="320">
        <f t="shared" si="2"/>
        <v>0</v>
      </c>
      <c r="J460" s="368"/>
    </row>
    <row r="461">
      <c r="B461" t="str">
        <f>if(   iserror(offset(PADRON!B$2,match(A:A,PADRON!A$2:A1010,0)-1,0,1,1) )  ,  ,    offset(PADRON!B$2,match(A:A,PADRON!A$2:A1010,0)-1,0,1,1))</f>
        <v/>
      </c>
      <c r="C461" s="368"/>
      <c r="E461" t="str">
        <f t="shared" si="1"/>
        <v/>
      </c>
      <c r="F461" s="369"/>
      <c r="G461" s="320"/>
      <c r="H461" s="320"/>
      <c r="I461" s="320">
        <f t="shared" si="2"/>
        <v>0</v>
      </c>
      <c r="J461" s="368"/>
    </row>
    <row r="462">
      <c r="B462" t="str">
        <f>if(   iserror(offset(PADRON!B$2,match(A:A,PADRON!A$2:A1010,0)-1,0,1,1) )  ,  ,    offset(PADRON!B$2,match(A:A,PADRON!A$2:A1010,0)-1,0,1,1))</f>
        <v/>
      </c>
      <c r="C462" s="368"/>
      <c r="E462" t="str">
        <f t="shared" si="1"/>
        <v/>
      </c>
      <c r="F462" s="369"/>
      <c r="G462" s="320"/>
      <c r="H462" s="320"/>
      <c r="I462" s="320">
        <f t="shared" si="2"/>
        <v>0</v>
      </c>
      <c r="J462" s="368"/>
    </row>
    <row r="463">
      <c r="B463" t="str">
        <f>if(   iserror(offset(PADRON!B$2,match(A:A,PADRON!A$2:A1010,0)-1,0,1,1) )  ,  ,    offset(PADRON!B$2,match(A:A,PADRON!A$2:A1010,0)-1,0,1,1))</f>
        <v/>
      </c>
      <c r="C463" s="368"/>
      <c r="E463" t="str">
        <f t="shared" si="1"/>
        <v/>
      </c>
      <c r="F463" s="369"/>
      <c r="G463" s="320"/>
      <c r="H463" s="320"/>
      <c r="I463" s="320">
        <f t="shared" si="2"/>
        <v>0</v>
      </c>
      <c r="J463" s="368"/>
    </row>
    <row r="464">
      <c r="B464" t="str">
        <f>if(   iserror(offset(PADRON!B$2,match(A:A,PADRON!A$2:A1010,0)-1,0,1,1) )  ,  ,    offset(PADRON!B$2,match(A:A,PADRON!A$2:A1010,0)-1,0,1,1))</f>
        <v/>
      </c>
      <c r="C464" s="368"/>
      <c r="E464" t="str">
        <f t="shared" si="1"/>
        <v/>
      </c>
      <c r="F464" s="369"/>
      <c r="G464" s="320"/>
      <c r="H464" s="320"/>
      <c r="I464" s="320">
        <f t="shared" si="2"/>
        <v>0</v>
      </c>
      <c r="J464" s="368"/>
    </row>
    <row r="465">
      <c r="B465" t="str">
        <f>if(   iserror(offset(PADRON!B$2,match(A:A,PADRON!A$2:A1010,0)-1,0,1,1) )  ,  ,    offset(PADRON!B$2,match(A:A,PADRON!A$2:A1010,0)-1,0,1,1))</f>
        <v/>
      </c>
      <c r="C465" s="368"/>
      <c r="E465" t="str">
        <f t="shared" si="1"/>
        <v/>
      </c>
      <c r="F465" s="369"/>
      <c r="G465" s="320"/>
      <c r="H465" s="320"/>
      <c r="I465" s="320">
        <f t="shared" si="2"/>
        <v>0</v>
      </c>
      <c r="J465" s="368"/>
    </row>
    <row r="466">
      <c r="B466" t="str">
        <f>if(   iserror(offset(PADRON!B$2,match(A:A,PADRON!A$2:A1010,0)-1,0,1,1) )  ,  ,    offset(PADRON!B$2,match(A:A,PADRON!A$2:A1010,0)-1,0,1,1))</f>
        <v/>
      </c>
      <c r="C466" s="368"/>
      <c r="E466" t="str">
        <f t="shared" si="1"/>
        <v/>
      </c>
      <c r="F466" s="369"/>
      <c r="G466" s="320"/>
      <c r="H466" s="320"/>
      <c r="I466" s="320">
        <f t="shared" si="2"/>
        <v>0</v>
      </c>
      <c r="J466" s="368"/>
    </row>
    <row r="467">
      <c r="B467" t="str">
        <f>if(   iserror(offset(PADRON!B$2,match(A:A,PADRON!A$2:A1010,0)-1,0,1,1) )  ,  ,    offset(PADRON!B$2,match(A:A,PADRON!A$2:A1010,0)-1,0,1,1))</f>
        <v/>
      </c>
      <c r="C467" s="368"/>
      <c r="E467" t="str">
        <f t="shared" si="1"/>
        <v/>
      </c>
      <c r="F467" s="369"/>
      <c r="G467" s="320"/>
      <c r="H467" s="320"/>
      <c r="I467" s="320">
        <f t="shared" si="2"/>
        <v>0</v>
      </c>
      <c r="J467" s="368"/>
    </row>
    <row r="468">
      <c r="B468" t="str">
        <f>if(   iserror(offset(PADRON!B$2,match(A:A,PADRON!A$2:A1010,0)-1,0,1,1) )  ,  ,    offset(PADRON!B$2,match(A:A,PADRON!A$2:A1010,0)-1,0,1,1))</f>
        <v/>
      </c>
      <c r="C468" s="368"/>
      <c r="E468" t="str">
        <f t="shared" si="1"/>
        <v/>
      </c>
      <c r="F468" s="369"/>
      <c r="G468" s="320"/>
      <c r="H468" s="320"/>
      <c r="I468" s="320">
        <f t="shared" si="2"/>
        <v>0</v>
      </c>
      <c r="J468" s="368"/>
    </row>
    <row r="469">
      <c r="B469" t="str">
        <f>if(   iserror(offset(PADRON!B$2,match(A:A,PADRON!A$2:A1010,0)-1,0,1,1) )  ,  ,    offset(PADRON!B$2,match(A:A,PADRON!A$2:A1010,0)-1,0,1,1))</f>
        <v/>
      </c>
      <c r="C469" s="368"/>
      <c r="E469" t="str">
        <f t="shared" si="1"/>
        <v/>
      </c>
      <c r="F469" s="369"/>
      <c r="G469" s="320"/>
      <c r="H469" s="320"/>
      <c r="I469" s="320">
        <f t="shared" si="2"/>
        <v>0</v>
      </c>
      <c r="J469" s="368"/>
    </row>
    <row r="470">
      <c r="B470" t="str">
        <f>if(   iserror(offset(PADRON!B$2,match(A:A,PADRON!A$2:A1010,0)-1,0,1,1) )  ,  ,    offset(PADRON!B$2,match(A:A,PADRON!A$2:A1010,0)-1,0,1,1))</f>
        <v/>
      </c>
      <c r="C470" s="368"/>
      <c r="E470" t="str">
        <f t="shared" si="1"/>
        <v/>
      </c>
      <c r="F470" s="369"/>
      <c r="G470" s="320"/>
      <c r="H470" s="320"/>
      <c r="I470" s="320">
        <f t="shared" si="2"/>
        <v>0</v>
      </c>
      <c r="J470" s="368"/>
    </row>
    <row r="471">
      <c r="B471" t="str">
        <f>if(   iserror(offset(PADRON!B$2,match(A:A,PADRON!A$2:A1010,0)-1,0,1,1) )  ,  ,    offset(PADRON!B$2,match(A:A,PADRON!A$2:A1010,0)-1,0,1,1))</f>
        <v/>
      </c>
      <c r="C471" s="368"/>
      <c r="E471" t="str">
        <f t="shared" si="1"/>
        <v/>
      </c>
      <c r="F471" s="369"/>
      <c r="G471" s="320"/>
      <c r="H471" s="320"/>
      <c r="I471" s="320">
        <f t="shared" si="2"/>
        <v>0</v>
      </c>
      <c r="J471" s="368"/>
    </row>
    <row r="472">
      <c r="B472" t="str">
        <f>if(   iserror(offset(PADRON!B$2,match(A:A,PADRON!A$2:A1010,0)-1,0,1,1) )  ,  ,    offset(PADRON!B$2,match(A:A,PADRON!A$2:A1010,0)-1,0,1,1))</f>
        <v/>
      </c>
      <c r="C472" s="368"/>
      <c r="E472" t="str">
        <f t="shared" si="1"/>
        <v/>
      </c>
      <c r="F472" s="369"/>
      <c r="G472" s="320"/>
      <c r="H472" s="320"/>
      <c r="I472" s="320">
        <f t="shared" si="2"/>
        <v>0</v>
      </c>
      <c r="J472" s="368"/>
    </row>
    <row r="473">
      <c r="B473" t="str">
        <f>if(   iserror(offset(PADRON!B$2,match(A:A,PADRON!A$2:A1010,0)-1,0,1,1) )  ,  ,    offset(PADRON!B$2,match(A:A,PADRON!A$2:A1010,0)-1,0,1,1))</f>
        <v/>
      </c>
      <c r="C473" s="368"/>
      <c r="E473" t="str">
        <f t="shared" si="1"/>
        <v/>
      </c>
      <c r="F473" s="369"/>
      <c r="G473" s="320"/>
      <c r="H473" s="320"/>
      <c r="I473" s="320">
        <f t="shared" si="2"/>
        <v>0</v>
      </c>
      <c r="J473" s="368"/>
    </row>
    <row r="474">
      <c r="B474" t="str">
        <f>if(   iserror(offset(PADRON!B$2,match(A:A,PADRON!A$2:A1010,0)-1,0,1,1) )  ,  ,    offset(PADRON!B$2,match(A:A,PADRON!A$2:A1010,0)-1,0,1,1))</f>
        <v/>
      </c>
      <c r="C474" s="368"/>
      <c r="E474" t="str">
        <f t="shared" si="1"/>
        <v/>
      </c>
      <c r="F474" s="369"/>
      <c r="G474" s="320"/>
      <c r="H474" s="320"/>
      <c r="I474" s="320">
        <f t="shared" si="2"/>
        <v>0</v>
      </c>
      <c r="J474" s="368"/>
    </row>
    <row r="475">
      <c r="B475" t="str">
        <f>if(   iserror(offset(PADRON!B$2,match(A:A,PADRON!A$2:A1010,0)-1,0,1,1) )  ,  ,    offset(PADRON!B$2,match(A:A,PADRON!A$2:A1010,0)-1,0,1,1))</f>
        <v/>
      </c>
      <c r="C475" s="368"/>
      <c r="E475" t="str">
        <f t="shared" si="1"/>
        <v/>
      </c>
      <c r="F475" s="369"/>
      <c r="G475" s="320"/>
      <c r="H475" s="320"/>
      <c r="I475" s="320">
        <f t="shared" si="2"/>
        <v>0</v>
      </c>
      <c r="J475" s="368"/>
    </row>
    <row r="476">
      <c r="B476" t="str">
        <f>if(   iserror(offset(PADRON!B$2,match(A:A,PADRON!A$2:A1010,0)-1,0,1,1) )  ,  ,    offset(PADRON!B$2,match(A:A,PADRON!A$2:A1010,0)-1,0,1,1))</f>
        <v/>
      </c>
      <c r="C476" s="368"/>
      <c r="E476" t="str">
        <f t="shared" si="1"/>
        <v/>
      </c>
      <c r="F476" s="369"/>
      <c r="G476" s="320"/>
      <c r="H476" s="320"/>
      <c r="I476" s="320">
        <f t="shared" si="2"/>
        <v>0</v>
      </c>
      <c r="J476" s="368"/>
    </row>
    <row r="477">
      <c r="B477" t="str">
        <f>if(   iserror(offset(PADRON!B$2,match(A:A,PADRON!A$2:A1010,0)-1,0,1,1) )  ,  ,    offset(PADRON!B$2,match(A:A,PADRON!A$2:A1010,0)-1,0,1,1))</f>
        <v/>
      </c>
      <c r="C477" s="368"/>
      <c r="E477" t="str">
        <f t="shared" si="1"/>
        <v/>
      </c>
      <c r="F477" s="369"/>
      <c r="G477" s="320"/>
      <c r="H477" s="320"/>
      <c r="I477" s="320">
        <f t="shared" si="2"/>
        <v>0</v>
      </c>
      <c r="J477" s="368"/>
    </row>
    <row r="478">
      <c r="B478" t="str">
        <f>if(   iserror(offset(PADRON!B$2,match(A:A,PADRON!A$2:A1010,0)-1,0,1,1) )  ,  ,    offset(PADRON!B$2,match(A:A,PADRON!A$2:A1010,0)-1,0,1,1))</f>
        <v/>
      </c>
      <c r="C478" s="368"/>
      <c r="E478" t="str">
        <f t="shared" si="1"/>
        <v/>
      </c>
      <c r="F478" s="369"/>
      <c r="G478" s="320"/>
      <c r="H478" s="320"/>
      <c r="I478" s="320">
        <f t="shared" si="2"/>
        <v>0</v>
      </c>
      <c r="J478" s="368"/>
    </row>
    <row r="479">
      <c r="B479" t="str">
        <f>if(   iserror(offset(PADRON!B$2,match(A:A,PADRON!A$2:A1010,0)-1,0,1,1) )  ,  ,    offset(PADRON!B$2,match(A:A,PADRON!A$2:A1010,0)-1,0,1,1))</f>
        <v/>
      </c>
      <c r="C479" s="368"/>
      <c r="E479" t="str">
        <f t="shared" si="1"/>
        <v/>
      </c>
      <c r="F479" s="369"/>
      <c r="G479" s="320"/>
      <c r="H479" s="320"/>
      <c r="I479" s="320">
        <f t="shared" si="2"/>
        <v>0</v>
      </c>
      <c r="J479" s="368"/>
    </row>
    <row r="480">
      <c r="B480" t="str">
        <f>if(   iserror(offset(PADRON!B$2,match(A:A,PADRON!A$2:A1010,0)-1,0,1,1) )  ,  ,    offset(PADRON!B$2,match(A:A,PADRON!A$2:A1010,0)-1,0,1,1))</f>
        <v/>
      </c>
      <c r="C480" s="368"/>
      <c r="E480" t="str">
        <f t="shared" si="1"/>
        <v/>
      </c>
      <c r="F480" s="369"/>
      <c r="G480" s="320"/>
      <c r="H480" s="320"/>
      <c r="I480" s="320">
        <f t="shared" si="2"/>
        <v>0</v>
      </c>
      <c r="J480" s="368"/>
    </row>
    <row r="481">
      <c r="B481" t="str">
        <f>if(   iserror(offset(PADRON!B$2,match(A:A,PADRON!A$2:A1010,0)-1,0,1,1) )  ,  ,    offset(PADRON!B$2,match(A:A,PADRON!A$2:A1010,0)-1,0,1,1))</f>
        <v/>
      </c>
      <c r="C481" s="368"/>
      <c r="E481" t="str">
        <f t="shared" si="1"/>
        <v/>
      </c>
      <c r="F481" s="369"/>
      <c r="G481" s="320"/>
      <c r="H481" s="320"/>
      <c r="I481" s="320">
        <f t="shared" si="2"/>
        <v>0</v>
      </c>
      <c r="J481" s="368"/>
    </row>
    <row r="482">
      <c r="B482" t="str">
        <f>if(   iserror(offset(PADRON!B$2,match(A:A,PADRON!A$2:A1010,0)-1,0,1,1) )  ,  ,    offset(PADRON!B$2,match(A:A,PADRON!A$2:A1010,0)-1,0,1,1))</f>
        <v/>
      </c>
      <c r="C482" s="368"/>
      <c r="E482" t="str">
        <f t="shared" si="1"/>
        <v/>
      </c>
      <c r="F482" s="369"/>
      <c r="G482" s="320"/>
      <c r="H482" s="320"/>
      <c r="I482" s="320">
        <f t="shared" si="2"/>
        <v>0</v>
      </c>
      <c r="J482" s="368"/>
    </row>
    <row r="483">
      <c r="B483" t="str">
        <f>if(   iserror(offset(PADRON!B$2,match(A:A,PADRON!A$2:A1010,0)-1,0,1,1) )  ,  ,    offset(PADRON!B$2,match(A:A,PADRON!A$2:A1010,0)-1,0,1,1))</f>
        <v/>
      </c>
      <c r="C483" s="368"/>
      <c r="E483" t="str">
        <f t="shared" si="1"/>
        <v/>
      </c>
      <c r="F483" s="369"/>
      <c r="G483" s="320"/>
      <c r="H483" s="320"/>
      <c r="I483" s="320">
        <f t="shared" si="2"/>
        <v>0</v>
      </c>
      <c r="J483" s="368"/>
    </row>
    <row r="484">
      <c r="B484" t="str">
        <f>if(   iserror(offset(PADRON!B$2,match(A:A,PADRON!A$2:A1010,0)-1,0,1,1) )  ,  ,    offset(PADRON!B$2,match(A:A,PADRON!A$2:A1010,0)-1,0,1,1))</f>
        <v/>
      </c>
      <c r="C484" s="368"/>
      <c r="E484" t="str">
        <f t="shared" si="1"/>
        <v/>
      </c>
      <c r="F484" s="369"/>
      <c r="G484" s="320"/>
      <c r="H484" s="320"/>
      <c r="I484" s="320">
        <f t="shared" si="2"/>
        <v>0</v>
      </c>
      <c r="J484" s="368"/>
    </row>
    <row r="485">
      <c r="B485" t="str">
        <f>if(   iserror(offset(PADRON!B$2,match(A:A,PADRON!A$2:A1010,0)-1,0,1,1) )  ,  ,    offset(PADRON!B$2,match(A:A,PADRON!A$2:A1010,0)-1,0,1,1))</f>
        <v/>
      </c>
      <c r="C485" s="368"/>
      <c r="E485" t="str">
        <f t="shared" si="1"/>
        <v/>
      </c>
      <c r="F485" s="369"/>
      <c r="G485" s="320"/>
      <c r="H485" s="320"/>
      <c r="I485" s="320">
        <f t="shared" si="2"/>
        <v>0</v>
      </c>
      <c r="J485" s="368"/>
    </row>
    <row r="486">
      <c r="B486" t="str">
        <f>if(   iserror(offset(PADRON!B$2,match(A:A,PADRON!A$2:A1010,0)-1,0,1,1) )  ,  ,    offset(PADRON!B$2,match(A:A,PADRON!A$2:A1010,0)-1,0,1,1))</f>
        <v/>
      </c>
      <c r="C486" s="368"/>
      <c r="E486" t="str">
        <f t="shared" si="1"/>
        <v/>
      </c>
      <c r="F486" s="369"/>
      <c r="G486" s="320"/>
      <c r="H486" s="320"/>
      <c r="I486" s="320">
        <f t="shared" si="2"/>
        <v>0</v>
      </c>
      <c r="J486" s="368"/>
    </row>
    <row r="487">
      <c r="B487" t="str">
        <f>if(   iserror(offset(PADRON!B$2,match(A:A,PADRON!A$2:A1010,0)-1,0,1,1) )  ,  ,    offset(PADRON!B$2,match(A:A,PADRON!A$2:A1010,0)-1,0,1,1))</f>
        <v/>
      </c>
      <c r="C487" s="368"/>
      <c r="E487" t="str">
        <f t="shared" si="1"/>
        <v/>
      </c>
      <c r="F487" s="369"/>
      <c r="G487" s="320"/>
      <c r="H487" s="320"/>
      <c r="I487" s="320">
        <f t="shared" si="2"/>
        <v>0</v>
      </c>
      <c r="J487" s="368"/>
    </row>
    <row r="488">
      <c r="B488" t="str">
        <f>if(   iserror(offset(PADRON!B$2,match(A:A,PADRON!A$2:A1010,0)-1,0,1,1) )  ,  ,    offset(PADRON!B$2,match(A:A,PADRON!A$2:A1010,0)-1,0,1,1))</f>
        <v/>
      </c>
      <c r="C488" s="368"/>
      <c r="E488" t="str">
        <f t="shared" si="1"/>
        <v/>
      </c>
      <c r="F488" s="369"/>
      <c r="G488" s="320"/>
      <c r="H488" s="320"/>
      <c r="I488" s="320">
        <f t="shared" si="2"/>
        <v>0</v>
      </c>
      <c r="J488" s="368"/>
    </row>
    <row r="489">
      <c r="B489" t="str">
        <f>if(   iserror(offset(PADRON!B$2,match(A:A,PADRON!A$2:A1010,0)-1,0,1,1) )  ,  ,    offset(PADRON!B$2,match(A:A,PADRON!A$2:A1010,0)-1,0,1,1))</f>
        <v/>
      </c>
      <c r="C489" s="368"/>
      <c r="E489" t="str">
        <f t="shared" si="1"/>
        <v/>
      </c>
      <c r="F489" s="369"/>
      <c r="G489" s="320"/>
      <c r="H489" s="320"/>
      <c r="I489" s="320">
        <f t="shared" si="2"/>
        <v>0</v>
      </c>
      <c r="J489" s="368"/>
    </row>
    <row r="490">
      <c r="B490" t="str">
        <f>if(   iserror(offset(PADRON!B$2,match(A:A,PADRON!A$2:A1010,0)-1,0,1,1) )  ,  ,    offset(PADRON!B$2,match(A:A,PADRON!A$2:A1010,0)-1,0,1,1))</f>
        <v/>
      </c>
      <c r="C490" s="368"/>
      <c r="E490" t="str">
        <f t="shared" si="1"/>
        <v/>
      </c>
      <c r="F490" s="369"/>
      <c r="G490" s="320"/>
      <c r="H490" s="320"/>
      <c r="I490" s="320">
        <f t="shared" si="2"/>
        <v>0</v>
      </c>
      <c r="J490" s="368"/>
    </row>
    <row r="491">
      <c r="B491" t="str">
        <f>if(   iserror(offset(PADRON!B$2,match(A:A,PADRON!A$2:A1010,0)-1,0,1,1) )  ,  ,    offset(PADRON!B$2,match(A:A,PADRON!A$2:A1010,0)-1,0,1,1))</f>
        <v/>
      </c>
      <c r="C491" s="368"/>
      <c r="E491" t="str">
        <f t="shared" si="1"/>
        <v/>
      </c>
      <c r="F491" s="369"/>
      <c r="G491" s="320"/>
      <c r="H491" s="320"/>
      <c r="I491" s="320">
        <f t="shared" si="2"/>
        <v>0</v>
      </c>
      <c r="J491" s="368"/>
    </row>
    <row r="492">
      <c r="B492" t="str">
        <f>if(   iserror(offset(PADRON!B$2,match(A:A,PADRON!A$2:A1010,0)-1,0,1,1) )  ,  ,    offset(PADRON!B$2,match(A:A,PADRON!A$2:A1010,0)-1,0,1,1))</f>
        <v/>
      </c>
      <c r="C492" s="368"/>
      <c r="E492" t="str">
        <f t="shared" si="1"/>
        <v/>
      </c>
      <c r="F492" s="369"/>
      <c r="G492" s="320"/>
      <c r="H492" s="320"/>
      <c r="I492" s="320">
        <f t="shared" si="2"/>
        <v>0</v>
      </c>
      <c r="J492" s="368"/>
    </row>
    <row r="493">
      <c r="B493" t="str">
        <f>if(   iserror(offset(PADRON!B$2,match(A:A,PADRON!A$2:A1010,0)-1,0,1,1) )  ,  ,    offset(PADRON!B$2,match(A:A,PADRON!A$2:A1010,0)-1,0,1,1))</f>
        <v/>
      </c>
      <c r="C493" s="368"/>
      <c r="E493" t="str">
        <f t="shared" si="1"/>
        <v/>
      </c>
      <c r="F493" s="369"/>
      <c r="G493" s="320"/>
      <c r="H493" s="320"/>
      <c r="I493" s="320">
        <f t="shared" si="2"/>
        <v>0</v>
      </c>
      <c r="J493" s="368"/>
    </row>
    <row r="494">
      <c r="B494" t="str">
        <f>if(   iserror(offset(PADRON!B$2,match(A:A,PADRON!A$2:A1010,0)-1,0,1,1) )  ,  ,    offset(PADRON!B$2,match(A:A,PADRON!A$2:A1010,0)-1,0,1,1))</f>
        <v/>
      </c>
      <c r="C494" s="368"/>
      <c r="E494" t="str">
        <f t="shared" si="1"/>
        <v/>
      </c>
      <c r="F494" s="369"/>
      <c r="G494" s="320"/>
      <c r="H494" s="320"/>
      <c r="I494" s="320">
        <f t="shared" si="2"/>
        <v>0</v>
      </c>
      <c r="J494" s="368"/>
    </row>
    <row r="495">
      <c r="B495" t="str">
        <f>if(   iserror(offset(PADRON!B$2,match(A:A,PADRON!A$2:A1010,0)-1,0,1,1) )  ,  ,    offset(PADRON!B$2,match(A:A,PADRON!A$2:A1010,0)-1,0,1,1))</f>
        <v/>
      </c>
      <c r="C495" s="368"/>
      <c r="E495" t="str">
        <f t="shared" si="1"/>
        <v/>
      </c>
      <c r="F495" s="369"/>
      <c r="G495" s="320"/>
      <c r="H495" s="320"/>
      <c r="I495" s="320">
        <f t="shared" si="2"/>
        <v>0</v>
      </c>
      <c r="J495" s="368"/>
    </row>
    <row r="496">
      <c r="B496" t="str">
        <f>if(   iserror(offset(PADRON!B$2,match(A:A,PADRON!A$2:A1010,0)-1,0,1,1) )  ,  ,    offset(PADRON!B$2,match(A:A,PADRON!A$2:A1010,0)-1,0,1,1))</f>
        <v/>
      </c>
      <c r="C496" s="368"/>
      <c r="E496" t="str">
        <f t="shared" si="1"/>
        <v/>
      </c>
      <c r="F496" s="369"/>
      <c r="G496" s="320"/>
      <c r="H496" s="320"/>
      <c r="I496" s="320">
        <f t="shared" si="2"/>
        <v>0</v>
      </c>
      <c r="J496" s="368"/>
    </row>
    <row r="497">
      <c r="B497" t="str">
        <f>if(   iserror(offset(PADRON!B$2,match(A:A,PADRON!A$2:A1010,0)-1,0,1,1) )  ,  ,    offset(PADRON!B$2,match(A:A,PADRON!A$2:A1010,0)-1,0,1,1))</f>
        <v/>
      </c>
      <c r="C497" s="368"/>
      <c r="E497" t="str">
        <f t="shared" si="1"/>
        <v/>
      </c>
      <c r="F497" s="369"/>
      <c r="G497" s="320"/>
      <c r="H497" s="320"/>
      <c r="I497" s="320">
        <f t="shared" si="2"/>
        <v>0</v>
      </c>
      <c r="J497" s="368"/>
    </row>
    <row r="498">
      <c r="B498" t="str">
        <f>if(   iserror(offset(PADRON!B$2,match(A:A,PADRON!A$2:A1010,0)-1,0,1,1) )  ,  ,    offset(PADRON!B$2,match(A:A,PADRON!A$2:A1010,0)-1,0,1,1))</f>
        <v/>
      </c>
      <c r="C498" s="368"/>
      <c r="E498" t="str">
        <f t="shared" si="1"/>
        <v/>
      </c>
      <c r="F498" s="369"/>
      <c r="G498" s="320"/>
      <c r="H498" s="320"/>
      <c r="I498" s="320">
        <f t="shared" si="2"/>
        <v>0</v>
      </c>
      <c r="J498" s="368"/>
    </row>
    <row r="499">
      <c r="B499" t="str">
        <f>if(   iserror(offset(PADRON!B$2,match(A:A,PADRON!A$2:A1010,0)-1,0,1,1) )  ,  ,    offset(PADRON!B$2,match(A:A,PADRON!A$2:A1010,0)-1,0,1,1))</f>
        <v/>
      </c>
      <c r="C499" s="368"/>
      <c r="E499" t="str">
        <f t="shared" si="1"/>
        <v/>
      </c>
      <c r="F499" s="369"/>
      <c r="G499" s="320"/>
      <c r="H499" s="320"/>
      <c r="I499" s="320">
        <f t="shared" si="2"/>
        <v>0</v>
      </c>
      <c r="J499" s="368"/>
    </row>
    <row r="500">
      <c r="B500" t="str">
        <f>if(   iserror(offset(PADRON!B$2,match(A:A,PADRON!A$2:A1010,0)-1,0,1,1) )  ,  ,    offset(PADRON!B$2,match(A:A,PADRON!A$2:A1010,0)-1,0,1,1))</f>
        <v/>
      </c>
      <c r="C500" s="368"/>
      <c r="E500" t="str">
        <f t="shared" si="1"/>
        <v/>
      </c>
      <c r="F500" s="369"/>
      <c r="G500" s="320"/>
      <c r="H500" s="320"/>
      <c r="I500" s="320">
        <f t="shared" si="2"/>
        <v>0</v>
      </c>
      <c r="J500" s="368"/>
    </row>
    <row r="501">
      <c r="B501" t="str">
        <f>if(   iserror(offset(PADRON!B$2,match(A:A,PADRON!A$2:A1010,0)-1,0,1,1) )  ,  ,    offset(PADRON!B$2,match(A:A,PADRON!A$2:A1010,0)-1,0,1,1))</f>
        <v/>
      </c>
      <c r="C501" s="368"/>
      <c r="E501" t="str">
        <f t="shared" si="1"/>
        <v/>
      </c>
      <c r="F501" s="369"/>
      <c r="G501" s="320"/>
      <c r="H501" s="320"/>
      <c r="I501" s="320">
        <f t="shared" si="2"/>
        <v>0</v>
      </c>
      <c r="J501" s="368"/>
    </row>
    <row r="502">
      <c r="B502" t="str">
        <f>if(   iserror(offset(PADRON!B$2,match(A:A,PADRON!A$2:A1010,0)-1,0,1,1) )  ,  ,    offset(PADRON!B$2,match(A:A,PADRON!A$2:A1010,0)-1,0,1,1))</f>
        <v/>
      </c>
      <c r="C502" s="368"/>
      <c r="E502" t="str">
        <f t="shared" si="1"/>
        <v/>
      </c>
      <c r="F502" s="369"/>
      <c r="G502" s="320"/>
      <c r="H502" s="320"/>
      <c r="I502" s="320">
        <f t="shared" si="2"/>
        <v>0</v>
      </c>
      <c r="J502" s="368"/>
    </row>
    <row r="503">
      <c r="B503" t="str">
        <f>if(   iserror(offset(PADRON!B$2,match(A:A,PADRON!A$2:A1010,0)-1,0,1,1) )  ,  ,    offset(PADRON!B$2,match(A:A,PADRON!A$2:A1010,0)-1,0,1,1))</f>
        <v/>
      </c>
      <c r="C503" s="368"/>
      <c r="E503" t="str">
        <f t="shared" si="1"/>
        <v/>
      </c>
      <c r="F503" s="369"/>
      <c r="G503" s="320"/>
      <c r="H503" s="320"/>
      <c r="I503" s="320">
        <f t="shared" si="2"/>
        <v>0</v>
      </c>
      <c r="J503" s="368"/>
    </row>
    <row r="504">
      <c r="B504" t="str">
        <f>if(   iserror(offset(PADRON!B$2,match(A:A,PADRON!A$2:A1010,0)-1,0,1,1) )  ,  ,    offset(PADRON!B$2,match(A:A,PADRON!A$2:A1010,0)-1,0,1,1))</f>
        <v/>
      </c>
      <c r="C504" s="368"/>
      <c r="E504" t="str">
        <f t="shared" si="1"/>
        <v/>
      </c>
      <c r="F504" s="369"/>
      <c r="G504" s="320"/>
      <c r="H504" s="320"/>
      <c r="I504" s="320">
        <f t="shared" si="2"/>
        <v>0</v>
      </c>
      <c r="J504" s="368"/>
    </row>
    <row r="505">
      <c r="B505" t="str">
        <f>if(   iserror(offset(PADRON!B$2,match(A:A,PADRON!A$2:A1010,0)-1,0,1,1) )  ,  ,    offset(PADRON!B$2,match(A:A,PADRON!A$2:A1010,0)-1,0,1,1))</f>
        <v/>
      </c>
      <c r="C505" s="368"/>
      <c r="E505" t="str">
        <f t="shared" si="1"/>
        <v/>
      </c>
      <c r="F505" s="369"/>
      <c r="G505" s="320"/>
      <c r="H505" s="320"/>
      <c r="I505" s="320">
        <f t="shared" si="2"/>
        <v>0</v>
      </c>
      <c r="J505" s="368"/>
    </row>
    <row r="506">
      <c r="B506" t="str">
        <f>if(   iserror(offset(PADRON!B$2,match(A:A,PADRON!A$2:A1010,0)-1,0,1,1) )  ,  ,    offset(PADRON!B$2,match(A:A,PADRON!A$2:A1010,0)-1,0,1,1))</f>
        <v/>
      </c>
      <c r="C506" s="368"/>
      <c r="E506" t="str">
        <f t="shared" si="1"/>
        <v/>
      </c>
      <c r="F506" s="369"/>
      <c r="G506" s="320"/>
      <c r="H506" s="320"/>
      <c r="I506" s="320">
        <f t="shared" si="2"/>
        <v>0</v>
      </c>
      <c r="J506" s="368"/>
    </row>
    <row r="507">
      <c r="B507" t="str">
        <f>if(   iserror(offset(PADRON!B$2,match(A:A,PADRON!A$2:A1010,0)-1,0,1,1) )  ,  ,    offset(PADRON!B$2,match(A:A,PADRON!A$2:A1010,0)-1,0,1,1))</f>
        <v/>
      </c>
      <c r="C507" s="368"/>
      <c r="E507" t="str">
        <f t="shared" si="1"/>
        <v/>
      </c>
      <c r="F507" s="369"/>
      <c r="G507" s="320"/>
      <c r="H507" s="320"/>
      <c r="I507" s="320">
        <f t="shared" si="2"/>
        <v>0</v>
      </c>
      <c r="J507" s="368"/>
    </row>
    <row r="508">
      <c r="B508" t="str">
        <f>if(   iserror(offset(PADRON!B$2,match(A:A,PADRON!A$2:A1010,0)-1,0,1,1) )  ,  ,    offset(PADRON!B$2,match(A:A,PADRON!A$2:A1010,0)-1,0,1,1))</f>
        <v/>
      </c>
      <c r="C508" s="368"/>
      <c r="E508" t="str">
        <f t="shared" si="1"/>
        <v/>
      </c>
      <c r="F508" s="369"/>
      <c r="G508" s="320"/>
      <c r="H508" s="320"/>
      <c r="I508" s="320">
        <f t="shared" si="2"/>
        <v>0</v>
      </c>
      <c r="J508" s="368"/>
    </row>
    <row r="509">
      <c r="B509" t="str">
        <f>if(   iserror(offset(PADRON!B$2,match(A:A,PADRON!A$2:A1010,0)-1,0,1,1) )  ,  ,    offset(PADRON!B$2,match(A:A,PADRON!A$2:A1010,0)-1,0,1,1))</f>
        <v/>
      </c>
      <c r="C509" s="368"/>
      <c r="E509" t="str">
        <f t="shared" si="1"/>
        <v/>
      </c>
      <c r="F509" s="369"/>
      <c r="G509" s="320"/>
      <c r="H509" s="320"/>
      <c r="I509" s="320">
        <f t="shared" si="2"/>
        <v>0</v>
      </c>
      <c r="J509" s="368"/>
    </row>
    <row r="510">
      <c r="B510" t="str">
        <f>if(   iserror(offset(PADRON!B$2,match(A:A,PADRON!A$2:A1010,0)-1,0,1,1) )  ,  ,    offset(PADRON!B$2,match(A:A,PADRON!A$2:A1010,0)-1,0,1,1))</f>
        <v/>
      </c>
      <c r="C510" s="368"/>
      <c r="E510" t="str">
        <f t="shared" si="1"/>
        <v/>
      </c>
      <c r="F510" s="369"/>
      <c r="G510" s="320"/>
      <c r="H510" s="320"/>
      <c r="I510" s="320">
        <f t="shared" si="2"/>
        <v>0</v>
      </c>
      <c r="J510" s="368"/>
    </row>
    <row r="511">
      <c r="B511" t="str">
        <f>if(   iserror(offset(PADRON!B$2,match(A:A,PADRON!A$2:A1010,0)-1,0,1,1) )  ,  ,    offset(PADRON!B$2,match(A:A,PADRON!A$2:A1010,0)-1,0,1,1))</f>
        <v/>
      </c>
      <c r="C511" s="368"/>
      <c r="E511" t="str">
        <f t="shared" si="1"/>
        <v/>
      </c>
      <c r="F511" s="369"/>
      <c r="G511" s="320"/>
      <c r="H511" s="320"/>
      <c r="I511" s="320">
        <f t="shared" si="2"/>
        <v>0</v>
      </c>
      <c r="J511" s="368"/>
    </row>
    <row r="512">
      <c r="B512" t="str">
        <f>if(   iserror(offset(PADRON!B$2,match(A:A,PADRON!A$2:A1010,0)-1,0,1,1) )  ,  ,    offset(PADRON!B$2,match(A:A,PADRON!A$2:A1010,0)-1,0,1,1))</f>
        <v/>
      </c>
      <c r="C512" s="368"/>
      <c r="E512" t="str">
        <f t="shared" si="1"/>
        <v/>
      </c>
      <c r="F512" s="369"/>
      <c r="G512" s="320"/>
      <c r="H512" s="320"/>
      <c r="I512" s="320">
        <f t="shared" si="2"/>
        <v>0</v>
      </c>
      <c r="J512" s="368"/>
    </row>
    <row r="513">
      <c r="B513" t="str">
        <f>if(   iserror(offset(PADRON!B$2,match(A:A,PADRON!A$2:A1010,0)-1,0,1,1) )  ,  ,    offset(PADRON!B$2,match(A:A,PADRON!A$2:A1010,0)-1,0,1,1))</f>
        <v/>
      </c>
      <c r="C513" s="368"/>
      <c r="E513" t="str">
        <f t="shared" si="1"/>
        <v/>
      </c>
      <c r="F513" s="369"/>
      <c r="G513" s="320"/>
      <c r="H513" s="320"/>
      <c r="I513" s="320">
        <f t="shared" si="2"/>
        <v>0</v>
      </c>
      <c r="J513" s="368"/>
    </row>
    <row r="514">
      <c r="B514" t="str">
        <f>if(   iserror(offset(PADRON!B$2,match(A:A,PADRON!A$2:A1010,0)-1,0,1,1) )  ,  ,    offset(PADRON!B$2,match(A:A,PADRON!A$2:A1010,0)-1,0,1,1))</f>
        <v/>
      </c>
      <c r="C514" s="368"/>
      <c r="E514" t="str">
        <f t="shared" si="1"/>
        <v/>
      </c>
      <c r="F514" s="369"/>
      <c r="G514" s="320"/>
      <c r="H514" s="320"/>
      <c r="I514" s="320">
        <f t="shared" si="2"/>
        <v>0</v>
      </c>
      <c r="J514" s="368"/>
    </row>
    <row r="515">
      <c r="B515" t="str">
        <f>if(   iserror(offset(PADRON!B$2,match(A:A,PADRON!A$2:A1010,0)-1,0,1,1) )  ,  ,    offset(PADRON!B$2,match(A:A,PADRON!A$2:A1010,0)-1,0,1,1))</f>
        <v/>
      </c>
      <c r="C515" s="368"/>
      <c r="E515" t="str">
        <f t="shared" si="1"/>
        <v/>
      </c>
      <c r="F515" s="369"/>
      <c r="G515" s="320"/>
      <c r="H515" s="320"/>
      <c r="I515" s="320">
        <f t="shared" si="2"/>
        <v>0</v>
      </c>
      <c r="J515" s="368"/>
    </row>
    <row r="516">
      <c r="B516" t="str">
        <f>if(   iserror(offset(PADRON!B$2,match(A:A,PADRON!A$2:A1010,0)-1,0,1,1) )  ,  ,    offset(PADRON!B$2,match(A:A,PADRON!A$2:A1010,0)-1,0,1,1))</f>
        <v/>
      </c>
      <c r="C516" s="368"/>
      <c r="E516" t="str">
        <f t="shared" si="1"/>
        <v/>
      </c>
      <c r="F516" s="369"/>
      <c r="G516" s="320"/>
      <c r="H516" s="320"/>
      <c r="I516" s="320">
        <f t="shared" si="2"/>
        <v>0</v>
      </c>
      <c r="J516" s="368"/>
    </row>
    <row r="517">
      <c r="B517" t="str">
        <f>if(   iserror(offset(PADRON!B$2,match(A:A,PADRON!A$2:A1010,0)-1,0,1,1) )  ,  ,    offset(PADRON!B$2,match(A:A,PADRON!A$2:A1010,0)-1,0,1,1))</f>
        <v/>
      </c>
      <c r="C517" s="368"/>
      <c r="E517" t="str">
        <f t="shared" si="1"/>
        <v/>
      </c>
      <c r="F517" s="369"/>
      <c r="G517" s="320"/>
      <c r="H517" s="320"/>
      <c r="I517" s="320">
        <f t="shared" si="2"/>
        <v>0</v>
      </c>
      <c r="J517" s="368"/>
    </row>
    <row r="518">
      <c r="B518" t="str">
        <f>if(   iserror(offset(PADRON!B$2,match(A:A,PADRON!A$2:A1010,0)-1,0,1,1) )  ,  ,    offset(PADRON!B$2,match(A:A,PADRON!A$2:A1010,0)-1,0,1,1))</f>
        <v/>
      </c>
      <c r="C518" s="368"/>
      <c r="E518" t="str">
        <f t="shared" si="1"/>
        <v/>
      </c>
      <c r="F518" s="369"/>
      <c r="G518" s="320"/>
      <c r="H518" s="320"/>
      <c r="I518" s="320">
        <f t="shared" si="2"/>
        <v>0</v>
      </c>
      <c r="J518" s="368"/>
    </row>
    <row r="519">
      <c r="B519" t="str">
        <f>if(   iserror(offset(PADRON!B$2,match(A:A,PADRON!A$2:A1010,0)-1,0,1,1) )  ,  ,    offset(PADRON!B$2,match(A:A,PADRON!A$2:A1010,0)-1,0,1,1))</f>
        <v/>
      </c>
      <c r="C519" s="368"/>
      <c r="E519" t="str">
        <f t="shared" si="1"/>
        <v/>
      </c>
      <c r="F519" s="369"/>
      <c r="G519" s="320"/>
      <c r="H519" s="320"/>
      <c r="I519" s="320">
        <f t="shared" si="2"/>
        <v>0</v>
      </c>
      <c r="J519" s="368"/>
    </row>
    <row r="520">
      <c r="B520" t="str">
        <f>if(   iserror(offset(PADRON!B$2,match(A:A,PADRON!A$2:A1010,0)-1,0,1,1) )  ,  ,    offset(PADRON!B$2,match(A:A,PADRON!A$2:A1010,0)-1,0,1,1))</f>
        <v/>
      </c>
      <c r="C520" s="368"/>
      <c r="E520" t="str">
        <f t="shared" si="1"/>
        <v/>
      </c>
      <c r="F520" s="369"/>
      <c r="G520" s="320"/>
      <c r="H520" s="320"/>
      <c r="I520" s="320">
        <f t="shared" si="2"/>
        <v>0</v>
      </c>
      <c r="J520" s="368"/>
    </row>
    <row r="521">
      <c r="B521" t="str">
        <f>if(   iserror(offset(PADRON!B$2,match(A:A,PADRON!A$2:A1010,0)-1,0,1,1) )  ,  ,    offset(PADRON!B$2,match(A:A,PADRON!A$2:A1010,0)-1,0,1,1))</f>
        <v/>
      </c>
      <c r="C521" s="368"/>
      <c r="E521" t="str">
        <f t="shared" si="1"/>
        <v/>
      </c>
      <c r="F521" s="369"/>
      <c r="G521" s="320"/>
      <c r="H521" s="320"/>
      <c r="I521" s="320">
        <f t="shared" si="2"/>
        <v>0</v>
      </c>
      <c r="J521" s="368"/>
    </row>
    <row r="522">
      <c r="B522" t="str">
        <f>if(   iserror(offset(PADRON!B$2,match(A:A,PADRON!A$2:A1010,0)-1,0,1,1) )  ,  ,    offset(PADRON!B$2,match(A:A,PADRON!A$2:A1010,0)-1,0,1,1))</f>
        <v/>
      </c>
      <c r="C522" s="368"/>
      <c r="E522" t="str">
        <f t="shared" si="1"/>
        <v/>
      </c>
      <c r="F522" s="369"/>
      <c r="G522" s="320"/>
      <c r="H522" s="320"/>
      <c r="I522" s="320">
        <f t="shared" si="2"/>
        <v>0</v>
      </c>
      <c r="J522" s="368"/>
    </row>
    <row r="523">
      <c r="B523" t="str">
        <f>if(   iserror(offset(PADRON!B$2,match(A:A,PADRON!A$2:A1010,0)-1,0,1,1) )  ,  ,    offset(PADRON!B$2,match(A:A,PADRON!A$2:A1010,0)-1,0,1,1))</f>
        <v/>
      </c>
      <c r="C523" s="368"/>
      <c r="E523" t="str">
        <f t="shared" si="1"/>
        <v/>
      </c>
      <c r="F523" s="369"/>
      <c r="G523" s="320"/>
      <c r="H523" s="320"/>
      <c r="I523" s="320">
        <f t="shared" si="2"/>
        <v>0</v>
      </c>
      <c r="J523" s="368"/>
    </row>
    <row r="524">
      <c r="B524" t="str">
        <f>if(   iserror(offset(PADRON!B$2,match(A:A,PADRON!A$2:A1010,0)-1,0,1,1) )  ,  ,    offset(PADRON!B$2,match(A:A,PADRON!A$2:A1010,0)-1,0,1,1))</f>
        <v/>
      </c>
      <c r="C524" s="368"/>
      <c r="E524" t="str">
        <f t="shared" si="1"/>
        <v/>
      </c>
      <c r="F524" s="369"/>
      <c r="G524" s="320"/>
      <c r="H524" s="320"/>
      <c r="I524" s="320">
        <f t="shared" si="2"/>
        <v>0</v>
      </c>
      <c r="J524" s="368"/>
    </row>
    <row r="525">
      <c r="B525" t="str">
        <f>if(   iserror(offset(PADRON!B$2,match(A:A,PADRON!A$2:A1010,0)-1,0,1,1) )  ,  ,    offset(PADRON!B$2,match(A:A,PADRON!A$2:A1010,0)-1,0,1,1))</f>
        <v/>
      </c>
      <c r="C525" s="368"/>
      <c r="E525" t="str">
        <f t="shared" si="1"/>
        <v/>
      </c>
      <c r="F525" s="369"/>
      <c r="G525" s="320"/>
      <c r="H525" s="320"/>
      <c r="I525" s="320">
        <f t="shared" si="2"/>
        <v>0</v>
      </c>
      <c r="J525" s="368"/>
    </row>
    <row r="526">
      <c r="B526" t="str">
        <f>if(   iserror(offset(PADRON!B$2,match(A:A,PADRON!A$2:A1010,0)-1,0,1,1) )  ,  ,    offset(PADRON!B$2,match(A:A,PADRON!A$2:A1010,0)-1,0,1,1))</f>
        <v/>
      </c>
      <c r="C526" s="368"/>
      <c r="E526" t="str">
        <f t="shared" si="1"/>
        <v/>
      </c>
      <c r="F526" s="369"/>
      <c r="G526" s="320"/>
      <c r="H526" s="320"/>
      <c r="I526" s="320">
        <f t="shared" si="2"/>
        <v>0</v>
      </c>
      <c r="J526" s="368"/>
    </row>
    <row r="527">
      <c r="B527" t="str">
        <f>if(   iserror(offset(PADRON!B$2,match(A:A,PADRON!A$2:A1010,0)-1,0,1,1) )  ,  ,    offset(PADRON!B$2,match(A:A,PADRON!A$2:A1010,0)-1,0,1,1))</f>
        <v/>
      </c>
      <c r="C527" s="368"/>
      <c r="E527" t="str">
        <f t="shared" si="1"/>
        <v/>
      </c>
      <c r="F527" s="369"/>
      <c r="G527" s="320"/>
      <c r="H527" s="320"/>
      <c r="I527" s="320">
        <f t="shared" si="2"/>
        <v>0</v>
      </c>
      <c r="J527" s="368"/>
    </row>
    <row r="528">
      <c r="B528" t="str">
        <f>if(   iserror(offset(PADRON!B$2,match(A:A,PADRON!A$2:A1010,0)-1,0,1,1) )  ,  ,    offset(PADRON!B$2,match(A:A,PADRON!A$2:A1010,0)-1,0,1,1))</f>
        <v/>
      </c>
      <c r="C528" s="368"/>
      <c r="E528" t="str">
        <f t="shared" si="1"/>
        <v/>
      </c>
      <c r="F528" s="369"/>
      <c r="G528" s="320"/>
      <c r="H528" s="320"/>
      <c r="I528" s="320">
        <f t="shared" si="2"/>
        <v>0</v>
      </c>
      <c r="J528" s="368"/>
    </row>
    <row r="529">
      <c r="B529" t="str">
        <f>if(   iserror(offset(PADRON!B$2,match(A:A,PADRON!A$2:A1010,0)-1,0,1,1) )  ,  ,    offset(PADRON!B$2,match(A:A,PADRON!A$2:A1010,0)-1,0,1,1))</f>
        <v/>
      </c>
      <c r="C529" s="368"/>
      <c r="E529" t="str">
        <f t="shared" si="1"/>
        <v/>
      </c>
      <c r="F529" s="369"/>
      <c r="G529" s="320"/>
      <c r="H529" s="320"/>
      <c r="I529" s="320">
        <f t="shared" si="2"/>
        <v>0</v>
      </c>
      <c r="J529" s="368"/>
    </row>
    <row r="530">
      <c r="B530" t="str">
        <f>if(   iserror(offset(PADRON!B$2,match(A:A,PADRON!A$2:A1010,0)-1,0,1,1) )  ,  ,    offset(PADRON!B$2,match(A:A,PADRON!A$2:A1010,0)-1,0,1,1))</f>
        <v/>
      </c>
      <c r="C530" s="368"/>
      <c r="E530" t="str">
        <f t="shared" si="1"/>
        <v/>
      </c>
      <c r="F530" s="369"/>
      <c r="G530" s="320"/>
      <c r="H530" s="320"/>
      <c r="I530" s="320">
        <f t="shared" si="2"/>
        <v>0</v>
      </c>
      <c r="J530" s="368"/>
    </row>
    <row r="531">
      <c r="B531" t="str">
        <f>if(   iserror(offset(PADRON!B$2,match(A:A,PADRON!A$2:A1010,0)-1,0,1,1) )  ,  ,    offset(PADRON!B$2,match(A:A,PADRON!A$2:A1010,0)-1,0,1,1))</f>
        <v/>
      </c>
      <c r="C531" s="368"/>
      <c r="E531" t="str">
        <f t="shared" si="1"/>
        <v/>
      </c>
      <c r="F531" s="369"/>
      <c r="G531" s="320"/>
      <c r="H531" s="320"/>
      <c r="I531" s="320">
        <f t="shared" si="2"/>
        <v>0</v>
      </c>
      <c r="J531" s="368"/>
    </row>
    <row r="532">
      <c r="B532" t="str">
        <f>if(   iserror(offset(PADRON!B$2,match(A:A,PADRON!A$2:A1010,0)-1,0,1,1) )  ,  ,    offset(PADRON!B$2,match(A:A,PADRON!A$2:A1010,0)-1,0,1,1))</f>
        <v/>
      </c>
      <c r="C532" s="368"/>
      <c r="E532" t="str">
        <f t="shared" si="1"/>
        <v/>
      </c>
      <c r="F532" s="369"/>
      <c r="G532" s="320"/>
      <c r="H532" s="320"/>
      <c r="I532" s="320">
        <f t="shared" si="2"/>
        <v>0</v>
      </c>
      <c r="J532" s="368"/>
    </row>
    <row r="533">
      <c r="B533" t="str">
        <f>if(   iserror(offset(PADRON!B$2,match(A:A,PADRON!A$2:A1010,0)-1,0,1,1) )  ,  ,    offset(PADRON!B$2,match(A:A,PADRON!A$2:A1010,0)-1,0,1,1))</f>
        <v/>
      </c>
      <c r="C533" s="368"/>
      <c r="E533" t="str">
        <f t="shared" si="1"/>
        <v/>
      </c>
      <c r="F533" s="369"/>
      <c r="G533" s="320"/>
      <c r="H533" s="320"/>
      <c r="I533" s="320">
        <f t="shared" si="2"/>
        <v>0</v>
      </c>
      <c r="J533" s="368"/>
    </row>
    <row r="534">
      <c r="B534" t="str">
        <f>if(   iserror(offset(PADRON!B$2,match(A:A,PADRON!A$2:A1010,0)-1,0,1,1) )  ,  ,    offset(PADRON!B$2,match(A:A,PADRON!A$2:A1010,0)-1,0,1,1))</f>
        <v/>
      </c>
      <c r="C534" s="368"/>
      <c r="E534" t="str">
        <f t="shared" si="1"/>
        <v/>
      </c>
      <c r="F534" s="369"/>
      <c r="G534" s="320"/>
      <c r="H534" s="320"/>
      <c r="I534" s="320">
        <f t="shared" si="2"/>
        <v>0</v>
      </c>
      <c r="J534" s="368"/>
    </row>
    <row r="535">
      <c r="B535" t="str">
        <f>if(   iserror(offset(PADRON!B$2,match(A:A,PADRON!A$2:A1010,0)-1,0,1,1) )  ,  ,    offset(PADRON!B$2,match(A:A,PADRON!A$2:A1010,0)-1,0,1,1))</f>
        <v/>
      </c>
      <c r="C535" s="368"/>
      <c r="E535" t="str">
        <f t="shared" si="1"/>
        <v/>
      </c>
      <c r="F535" s="369"/>
      <c r="G535" s="320"/>
      <c r="H535" s="320"/>
      <c r="I535" s="320">
        <f t="shared" si="2"/>
        <v>0</v>
      </c>
      <c r="J535" s="368"/>
    </row>
    <row r="536">
      <c r="B536" t="str">
        <f>if(   iserror(offset(PADRON!B$2,match(A:A,PADRON!A$2:A1010,0)-1,0,1,1) )  ,  ,    offset(PADRON!B$2,match(A:A,PADRON!A$2:A1010,0)-1,0,1,1))</f>
        <v/>
      </c>
      <c r="C536" s="368"/>
      <c r="E536" t="str">
        <f t="shared" si="1"/>
        <v/>
      </c>
      <c r="F536" s="369"/>
      <c r="G536" s="320"/>
      <c r="H536" s="320"/>
      <c r="I536" s="320">
        <f t="shared" si="2"/>
        <v>0</v>
      </c>
      <c r="J536" s="368"/>
    </row>
    <row r="537">
      <c r="B537" t="str">
        <f>if(   iserror(offset(PADRON!B$2,match(A:A,PADRON!A$2:A1010,0)-1,0,1,1) )  ,  ,    offset(PADRON!B$2,match(A:A,PADRON!A$2:A1010,0)-1,0,1,1))</f>
        <v/>
      </c>
      <c r="C537" s="368"/>
      <c r="E537" t="str">
        <f t="shared" si="1"/>
        <v/>
      </c>
      <c r="F537" s="369"/>
      <c r="G537" s="320"/>
      <c r="H537" s="320"/>
      <c r="I537" s="320">
        <f t="shared" si="2"/>
        <v>0</v>
      </c>
      <c r="J537" s="368"/>
    </row>
    <row r="538">
      <c r="B538" t="str">
        <f>if(   iserror(offset(PADRON!B$2,match(A:A,PADRON!A$2:A1010,0)-1,0,1,1) )  ,  ,    offset(PADRON!B$2,match(A:A,PADRON!A$2:A1010,0)-1,0,1,1))</f>
        <v/>
      </c>
      <c r="C538" s="368"/>
      <c r="E538" t="str">
        <f t="shared" si="1"/>
        <v/>
      </c>
      <c r="F538" s="369"/>
      <c r="G538" s="320"/>
      <c r="H538" s="320"/>
      <c r="I538" s="320">
        <f t="shared" si="2"/>
        <v>0</v>
      </c>
      <c r="J538" s="368"/>
    </row>
    <row r="539">
      <c r="B539" t="str">
        <f>if(   iserror(offset(PADRON!B$2,match(A:A,PADRON!A$2:A1010,0)-1,0,1,1) )  ,  ,    offset(PADRON!B$2,match(A:A,PADRON!A$2:A1010,0)-1,0,1,1))</f>
        <v/>
      </c>
      <c r="C539" s="368"/>
      <c r="E539" t="str">
        <f t="shared" si="1"/>
        <v/>
      </c>
      <c r="F539" s="369"/>
      <c r="G539" s="320"/>
      <c r="H539" s="320"/>
      <c r="I539" s="320">
        <f t="shared" si="2"/>
        <v>0</v>
      </c>
      <c r="J539" s="368"/>
    </row>
    <row r="540">
      <c r="B540" t="str">
        <f>if(   iserror(offset(PADRON!B$2,match(A:A,PADRON!A$2:A1010,0)-1,0,1,1) )  ,  ,    offset(PADRON!B$2,match(A:A,PADRON!A$2:A1010,0)-1,0,1,1))</f>
        <v/>
      </c>
      <c r="C540" s="368"/>
      <c r="E540" t="str">
        <f t="shared" si="1"/>
        <v/>
      </c>
      <c r="F540" s="369"/>
      <c r="G540" s="320"/>
      <c r="H540" s="320"/>
      <c r="I540" s="320">
        <f t="shared" si="2"/>
        <v>0</v>
      </c>
      <c r="J540" s="368"/>
    </row>
    <row r="541">
      <c r="B541" t="str">
        <f>if(   iserror(offset(PADRON!B$2,match(A:A,PADRON!A$2:A1010,0)-1,0,1,1) )  ,  ,    offset(PADRON!B$2,match(A:A,PADRON!A$2:A1010,0)-1,0,1,1))</f>
        <v/>
      </c>
      <c r="C541" s="368"/>
      <c r="E541" t="str">
        <f t="shared" si="1"/>
        <v/>
      </c>
      <c r="F541" s="369"/>
      <c r="G541" s="320"/>
      <c r="H541" s="320"/>
      <c r="I541" s="320">
        <f t="shared" si="2"/>
        <v>0</v>
      </c>
      <c r="J541" s="368"/>
    </row>
    <row r="542">
      <c r="B542" t="str">
        <f>if(   iserror(offset(PADRON!B$2,match(A:A,PADRON!A$2:A1010,0)-1,0,1,1) )  ,  ,    offset(PADRON!B$2,match(A:A,PADRON!A$2:A1010,0)-1,0,1,1))</f>
        <v/>
      </c>
      <c r="C542" s="368"/>
      <c r="E542" t="str">
        <f t="shared" si="1"/>
        <v/>
      </c>
      <c r="F542" s="369"/>
      <c r="G542" s="320"/>
      <c r="H542" s="320"/>
      <c r="I542" s="320">
        <f t="shared" si="2"/>
        <v>0</v>
      </c>
      <c r="J542" s="368"/>
    </row>
    <row r="543">
      <c r="B543" t="str">
        <f>if(   iserror(offset(PADRON!B$2,match(A:A,PADRON!A$2:A1010,0)-1,0,1,1) )  ,  ,    offset(PADRON!B$2,match(A:A,PADRON!A$2:A1010,0)-1,0,1,1))</f>
        <v/>
      </c>
      <c r="C543" s="368"/>
      <c r="E543" t="str">
        <f t="shared" si="1"/>
        <v/>
      </c>
      <c r="F543" s="369"/>
      <c r="G543" s="320"/>
      <c r="H543" s="320"/>
      <c r="I543" s="320">
        <f t="shared" si="2"/>
        <v>0</v>
      </c>
      <c r="J543" s="368"/>
    </row>
    <row r="544">
      <c r="B544" t="str">
        <f>if(   iserror(offset(PADRON!B$2,match(A:A,PADRON!A$2:A1010,0)-1,0,1,1) )  ,  ,    offset(PADRON!B$2,match(A:A,PADRON!A$2:A1010,0)-1,0,1,1))</f>
        <v/>
      </c>
      <c r="C544" s="368"/>
      <c r="E544" t="str">
        <f t="shared" si="1"/>
        <v/>
      </c>
      <c r="F544" s="369"/>
      <c r="G544" s="320"/>
      <c r="H544" s="320"/>
      <c r="I544" s="320">
        <f t="shared" si="2"/>
        <v>0</v>
      </c>
      <c r="J544" s="368"/>
    </row>
    <row r="545">
      <c r="B545" t="str">
        <f>if(   iserror(offset(PADRON!B$2,match(A:A,PADRON!A$2:A1010,0)-1,0,1,1) )  ,  ,    offset(PADRON!B$2,match(A:A,PADRON!A$2:A1010,0)-1,0,1,1))</f>
        <v/>
      </c>
      <c r="C545" s="368"/>
      <c r="E545" t="str">
        <f t="shared" si="1"/>
        <v/>
      </c>
      <c r="F545" s="369"/>
      <c r="G545" s="320"/>
      <c r="H545" s="320"/>
      <c r="I545" s="320">
        <f t="shared" si="2"/>
        <v>0</v>
      </c>
      <c r="J545" s="368"/>
    </row>
    <row r="546">
      <c r="B546" t="str">
        <f>if(   iserror(offset(PADRON!B$2,match(A:A,PADRON!A$2:A1010,0)-1,0,1,1) )  ,  ,    offset(PADRON!B$2,match(A:A,PADRON!A$2:A1010,0)-1,0,1,1))</f>
        <v/>
      </c>
      <c r="C546" s="368"/>
      <c r="E546" t="str">
        <f t="shared" si="1"/>
        <v/>
      </c>
      <c r="F546" s="369"/>
      <c r="G546" s="320"/>
      <c r="H546" s="320"/>
      <c r="I546" s="320">
        <f t="shared" si="2"/>
        <v>0</v>
      </c>
      <c r="J546" s="368"/>
    </row>
    <row r="547">
      <c r="B547" t="str">
        <f>if(   iserror(offset(PADRON!B$2,match(A:A,PADRON!A$2:A1010,0)-1,0,1,1) )  ,  ,    offset(PADRON!B$2,match(A:A,PADRON!A$2:A1010,0)-1,0,1,1))</f>
        <v/>
      </c>
      <c r="C547" s="368"/>
      <c r="E547" t="str">
        <f t="shared" si="1"/>
        <v/>
      </c>
      <c r="F547" s="369"/>
      <c r="G547" s="320"/>
      <c r="H547" s="320"/>
      <c r="I547" s="320">
        <f t="shared" si="2"/>
        <v>0</v>
      </c>
      <c r="J547" s="368"/>
    </row>
    <row r="548">
      <c r="B548" t="str">
        <f>if(   iserror(offset(PADRON!B$2,match(A:A,PADRON!A$2:A1010,0)-1,0,1,1) )  ,  ,    offset(PADRON!B$2,match(A:A,PADRON!A$2:A1010,0)-1,0,1,1))</f>
        <v/>
      </c>
      <c r="C548" s="368"/>
      <c r="E548" t="str">
        <f t="shared" si="1"/>
        <v/>
      </c>
      <c r="F548" s="369"/>
      <c r="G548" s="320"/>
      <c r="H548" s="320"/>
      <c r="I548" s="320">
        <f t="shared" si="2"/>
        <v>0</v>
      </c>
      <c r="J548" s="368"/>
    </row>
    <row r="549">
      <c r="B549" t="str">
        <f>if(   iserror(offset(PADRON!B$2,match(A:A,PADRON!A$2:A1010,0)-1,0,1,1) )  ,  ,    offset(PADRON!B$2,match(A:A,PADRON!A$2:A1010,0)-1,0,1,1))</f>
        <v/>
      </c>
      <c r="C549" s="368"/>
      <c r="E549" t="str">
        <f t="shared" si="1"/>
        <v/>
      </c>
      <c r="F549" s="369"/>
      <c r="G549" s="320"/>
      <c r="H549" s="320"/>
      <c r="I549" s="320">
        <f t="shared" si="2"/>
        <v>0</v>
      </c>
      <c r="J549" s="368"/>
    </row>
    <row r="550">
      <c r="B550" t="str">
        <f>if(   iserror(offset(PADRON!B$2,match(A:A,PADRON!A$2:A1010,0)-1,0,1,1) )  ,  ,    offset(PADRON!B$2,match(A:A,PADRON!A$2:A1010,0)-1,0,1,1))</f>
        <v/>
      </c>
      <c r="C550" s="368"/>
      <c r="E550" t="str">
        <f t="shared" si="1"/>
        <v/>
      </c>
      <c r="F550" s="369"/>
      <c r="G550" s="320"/>
      <c r="H550" s="320"/>
      <c r="I550" s="320">
        <f t="shared" si="2"/>
        <v>0</v>
      </c>
      <c r="J550" s="368"/>
    </row>
    <row r="551">
      <c r="B551" t="str">
        <f>if(   iserror(offset(PADRON!B$2,match(A:A,PADRON!A$2:A1010,0)-1,0,1,1) )  ,  ,    offset(PADRON!B$2,match(A:A,PADRON!A$2:A1010,0)-1,0,1,1))</f>
        <v/>
      </c>
      <c r="C551" s="368"/>
      <c r="E551" t="str">
        <f t="shared" si="1"/>
        <v/>
      </c>
      <c r="F551" s="369"/>
      <c r="G551" s="320"/>
      <c r="H551" s="320"/>
      <c r="I551" s="320">
        <f t="shared" si="2"/>
        <v>0</v>
      </c>
      <c r="J551" s="368"/>
    </row>
    <row r="552">
      <c r="B552" t="str">
        <f>if(   iserror(offset(PADRON!B$2,match(A:A,PADRON!A$2:A1010,0)-1,0,1,1) )  ,  ,    offset(PADRON!B$2,match(A:A,PADRON!A$2:A1010,0)-1,0,1,1))</f>
        <v/>
      </c>
      <c r="C552" s="368"/>
      <c r="E552" t="str">
        <f t="shared" si="1"/>
        <v/>
      </c>
      <c r="F552" s="369"/>
      <c r="G552" s="320"/>
      <c r="H552" s="320"/>
      <c r="I552" s="320">
        <f t="shared" si="2"/>
        <v>0</v>
      </c>
      <c r="J552" s="368"/>
    </row>
    <row r="553">
      <c r="B553" t="str">
        <f>if(   iserror(offset(PADRON!B$2,match(A:A,PADRON!A$2:A1010,0)-1,0,1,1) )  ,  ,    offset(PADRON!B$2,match(A:A,PADRON!A$2:A1010,0)-1,0,1,1))</f>
        <v/>
      </c>
      <c r="C553" s="368"/>
      <c r="E553" t="str">
        <f t="shared" si="1"/>
        <v/>
      </c>
      <c r="F553" s="369"/>
      <c r="G553" s="320"/>
      <c r="H553" s="320"/>
      <c r="I553" s="320">
        <f t="shared" si="2"/>
        <v>0</v>
      </c>
      <c r="J553" s="368"/>
    </row>
    <row r="554">
      <c r="B554" t="str">
        <f>if(   iserror(offset(PADRON!B$2,match(A:A,PADRON!A$2:A1010,0)-1,0,1,1) )  ,  ,    offset(PADRON!B$2,match(A:A,PADRON!A$2:A1010,0)-1,0,1,1))</f>
        <v/>
      </c>
      <c r="C554" s="368"/>
      <c r="E554" t="str">
        <f t="shared" si="1"/>
        <v/>
      </c>
      <c r="F554" s="369"/>
      <c r="G554" s="320"/>
      <c r="H554" s="320"/>
      <c r="I554" s="320">
        <f t="shared" si="2"/>
        <v>0</v>
      </c>
      <c r="J554" s="368"/>
    </row>
    <row r="555">
      <c r="B555" t="str">
        <f>if(   iserror(offset(PADRON!B$2,match(A:A,PADRON!A$2:A1010,0)-1,0,1,1) )  ,  ,    offset(PADRON!B$2,match(A:A,PADRON!A$2:A1010,0)-1,0,1,1))</f>
        <v/>
      </c>
      <c r="C555" s="368"/>
      <c r="E555" t="str">
        <f t="shared" si="1"/>
        <v/>
      </c>
      <c r="F555" s="369"/>
      <c r="G555" s="320"/>
      <c r="H555" s="320"/>
      <c r="I555" s="320">
        <f t="shared" si="2"/>
        <v>0</v>
      </c>
      <c r="J555" s="368"/>
    </row>
    <row r="556">
      <c r="B556" t="str">
        <f>if(   iserror(offset(PADRON!B$2,match(A:A,PADRON!A$2:A1010,0)-1,0,1,1) )  ,  ,    offset(PADRON!B$2,match(A:A,PADRON!A$2:A1010,0)-1,0,1,1))</f>
        <v/>
      </c>
      <c r="C556" s="368"/>
      <c r="E556" t="str">
        <f t="shared" si="1"/>
        <v/>
      </c>
      <c r="F556" s="369"/>
      <c r="G556" s="320"/>
      <c r="H556" s="320"/>
      <c r="I556" s="320">
        <f t="shared" si="2"/>
        <v>0</v>
      </c>
      <c r="J556" s="368"/>
    </row>
    <row r="557">
      <c r="B557" t="str">
        <f>if(   iserror(offset(PADRON!B$2,match(A:A,PADRON!A$2:A1010,0)-1,0,1,1) )  ,  ,    offset(PADRON!B$2,match(A:A,PADRON!A$2:A1010,0)-1,0,1,1))</f>
        <v/>
      </c>
      <c r="C557" s="368"/>
      <c r="E557" t="str">
        <f t="shared" si="1"/>
        <v/>
      </c>
      <c r="F557" s="369"/>
      <c r="G557" s="320"/>
      <c r="H557" s="320"/>
      <c r="I557" s="320">
        <f t="shared" si="2"/>
        <v>0</v>
      </c>
      <c r="J557" s="368"/>
    </row>
    <row r="558">
      <c r="B558" t="str">
        <f>if(   iserror(offset(PADRON!B$2,match(A:A,PADRON!A$2:A1010,0)-1,0,1,1) )  ,  ,    offset(PADRON!B$2,match(A:A,PADRON!A$2:A1010,0)-1,0,1,1))</f>
        <v/>
      </c>
      <c r="C558" s="368"/>
      <c r="E558" t="str">
        <f t="shared" si="1"/>
        <v/>
      </c>
      <c r="F558" s="369"/>
      <c r="G558" s="320"/>
      <c r="H558" s="320"/>
      <c r="I558" s="320">
        <f t="shared" si="2"/>
        <v>0</v>
      </c>
      <c r="J558" s="368"/>
    </row>
    <row r="559">
      <c r="B559" t="str">
        <f>if(   iserror(offset(PADRON!B$2,match(A:A,PADRON!A$2:A1010,0)-1,0,1,1) )  ,  ,    offset(PADRON!B$2,match(A:A,PADRON!A$2:A1010,0)-1,0,1,1))</f>
        <v/>
      </c>
      <c r="C559" s="368"/>
      <c r="E559" t="str">
        <f t="shared" si="1"/>
        <v/>
      </c>
      <c r="F559" s="369"/>
      <c r="G559" s="320"/>
      <c r="H559" s="320"/>
      <c r="I559" s="320">
        <f t="shared" si="2"/>
        <v>0</v>
      </c>
      <c r="J559" s="368"/>
    </row>
    <row r="560">
      <c r="B560" t="str">
        <f>if(   iserror(offset(PADRON!B$2,match(A:A,PADRON!A$2:A1010,0)-1,0,1,1) )  ,  ,    offset(PADRON!B$2,match(A:A,PADRON!A$2:A1010,0)-1,0,1,1))</f>
        <v/>
      </c>
      <c r="C560" s="368"/>
      <c r="E560" t="str">
        <f t="shared" si="1"/>
        <v/>
      </c>
      <c r="F560" s="369"/>
      <c r="G560" s="320"/>
      <c r="H560" s="320"/>
      <c r="I560" s="320">
        <f t="shared" si="2"/>
        <v>0</v>
      </c>
      <c r="J560" s="368"/>
    </row>
    <row r="561">
      <c r="B561" t="str">
        <f>if(   iserror(offset(PADRON!B$2,match(A:A,PADRON!A$2:A1010,0)-1,0,1,1) )  ,  ,    offset(PADRON!B$2,match(A:A,PADRON!A$2:A1010,0)-1,0,1,1))</f>
        <v/>
      </c>
      <c r="C561" s="368"/>
      <c r="E561" t="str">
        <f t="shared" si="1"/>
        <v/>
      </c>
      <c r="F561" s="369"/>
      <c r="G561" s="320"/>
      <c r="H561" s="320"/>
      <c r="I561" s="320">
        <f t="shared" si="2"/>
        <v>0</v>
      </c>
      <c r="J561" s="368"/>
    </row>
    <row r="562">
      <c r="B562" t="str">
        <f>if(   iserror(offset(PADRON!B$2,match(A:A,PADRON!A$2:A1010,0)-1,0,1,1) )  ,  ,    offset(PADRON!B$2,match(A:A,PADRON!A$2:A1010,0)-1,0,1,1))</f>
        <v/>
      </c>
      <c r="C562" s="368"/>
      <c r="E562" t="str">
        <f t="shared" si="1"/>
        <v/>
      </c>
      <c r="F562" s="369"/>
      <c r="G562" s="320"/>
      <c r="H562" s="320"/>
      <c r="I562" s="320">
        <f t="shared" si="2"/>
        <v>0</v>
      </c>
      <c r="J562" s="368"/>
    </row>
    <row r="563">
      <c r="B563" t="str">
        <f>if(   iserror(offset(PADRON!B$2,match(A:A,PADRON!A$2:A1010,0)-1,0,1,1) )  ,  ,    offset(PADRON!B$2,match(A:A,PADRON!A$2:A1010,0)-1,0,1,1))</f>
        <v/>
      </c>
      <c r="C563" s="368"/>
      <c r="E563" t="str">
        <f t="shared" si="1"/>
        <v/>
      </c>
      <c r="F563" s="369"/>
      <c r="G563" s="320"/>
      <c r="H563" s="320"/>
      <c r="I563" s="320">
        <f t="shared" si="2"/>
        <v>0</v>
      </c>
      <c r="J563" s="368"/>
    </row>
    <row r="564">
      <c r="B564" t="str">
        <f>if(   iserror(offset(PADRON!B$2,match(A:A,PADRON!A$2:A1010,0)-1,0,1,1) )  ,  ,    offset(PADRON!B$2,match(A:A,PADRON!A$2:A1010,0)-1,0,1,1))</f>
        <v/>
      </c>
      <c r="C564" s="368"/>
      <c r="E564" t="str">
        <f t="shared" si="1"/>
        <v/>
      </c>
      <c r="F564" s="369"/>
      <c r="G564" s="320"/>
      <c r="H564" s="320"/>
      <c r="I564" s="320">
        <f t="shared" si="2"/>
        <v>0</v>
      </c>
      <c r="J564" s="368"/>
    </row>
    <row r="565">
      <c r="B565" t="str">
        <f>if(   iserror(offset(PADRON!B$2,match(A:A,PADRON!A$2:A1010,0)-1,0,1,1) )  ,  ,    offset(PADRON!B$2,match(A:A,PADRON!A$2:A1010,0)-1,0,1,1))</f>
        <v/>
      </c>
      <c r="C565" s="368"/>
      <c r="E565" t="str">
        <f t="shared" si="1"/>
        <v/>
      </c>
      <c r="F565" s="369"/>
      <c r="G565" s="320"/>
      <c r="H565" s="320"/>
      <c r="I565" s="320">
        <f t="shared" si="2"/>
        <v>0</v>
      </c>
      <c r="J565" s="368"/>
    </row>
    <row r="566">
      <c r="B566" t="str">
        <f>if(   iserror(offset(PADRON!B$2,match(A:A,PADRON!A$2:A1010,0)-1,0,1,1) )  ,  ,    offset(PADRON!B$2,match(A:A,PADRON!A$2:A1010,0)-1,0,1,1))</f>
        <v/>
      </c>
      <c r="C566" s="368"/>
      <c r="E566" t="str">
        <f t="shared" si="1"/>
        <v/>
      </c>
      <c r="F566" s="369"/>
      <c r="G566" s="320"/>
      <c r="H566" s="320"/>
      <c r="I566" s="320">
        <f t="shared" si="2"/>
        <v>0</v>
      </c>
      <c r="J566" s="368"/>
    </row>
    <row r="567">
      <c r="B567" t="str">
        <f>if(   iserror(offset(PADRON!B$2,match(A:A,PADRON!A$2:A1010,0)-1,0,1,1) )  ,  ,    offset(PADRON!B$2,match(A:A,PADRON!A$2:A1010,0)-1,0,1,1))</f>
        <v/>
      </c>
      <c r="C567" s="368"/>
      <c r="E567" t="str">
        <f t="shared" si="1"/>
        <v/>
      </c>
      <c r="F567" s="369"/>
      <c r="G567" s="320"/>
      <c r="H567" s="320"/>
      <c r="I567" s="320">
        <f t="shared" si="2"/>
        <v>0</v>
      </c>
      <c r="J567" s="368"/>
    </row>
    <row r="568">
      <c r="B568" t="str">
        <f>if(   iserror(offset(PADRON!B$2,match(A:A,PADRON!A$2:A1010,0)-1,0,1,1) )  ,  ,    offset(PADRON!B$2,match(A:A,PADRON!A$2:A1010,0)-1,0,1,1))</f>
        <v/>
      </c>
      <c r="C568" s="368"/>
      <c r="E568" t="str">
        <f t="shared" si="1"/>
        <v/>
      </c>
      <c r="F568" s="369"/>
      <c r="G568" s="320"/>
      <c r="H568" s="320"/>
      <c r="I568" s="320">
        <f t="shared" si="2"/>
        <v>0</v>
      </c>
      <c r="J568" s="368"/>
    </row>
    <row r="569">
      <c r="B569" t="str">
        <f>if(   iserror(offset(PADRON!B$2,match(A:A,PADRON!A$2:A1010,0)-1,0,1,1) )  ,  ,    offset(PADRON!B$2,match(A:A,PADRON!A$2:A1010,0)-1,0,1,1))</f>
        <v/>
      </c>
      <c r="C569" s="368"/>
      <c r="E569" t="str">
        <f t="shared" si="1"/>
        <v/>
      </c>
      <c r="F569" s="369"/>
      <c r="G569" s="320"/>
      <c r="H569" s="320"/>
      <c r="I569" s="320">
        <f t="shared" si="2"/>
        <v>0</v>
      </c>
      <c r="J569" s="368"/>
    </row>
    <row r="570">
      <c r="B570" t="str">
        <f>if(   iserror(offset(PADRON!B$2,match(A:A,PADRON!A$2:A1010,0)-1,0,1,1) )  ,  ,    offset(PADRON!B$2,match(A:A,PADRON!A$2:A1010,0)-1,0,1,1))</f>
        <v/>
      </c>
      <c r="C570" s="368"/>
      <c r="E570" t="str">
        <f t="shared" si="1"/>
        <v/>
      </c>
      <c r="F570" s="369"/>
      <c r="G570" s="320"/>
      <c r="H570" s="320"/>
      <c r="I570" s="320">
        <f t="shared" si="2"/>
        <v>0</v>
      </c>
      <c r="J570" s="368"/>
    </row>
    <row r="571">
      <c r="B571" t="str">
        <f>if(   iserror(offset(PADRON!B$2,match(A:A,PADRON!A$2:A1010,0)-1,0,1,1) )  ,  ,    offset(PADRON!B$2,match(A:A,PADRON!A$2:A1010,0)-1,0,1,1))</f>
        <v/>
      </c>
      <c r="C571" s="368"/>
      <c r="E571" t="str">
        <f t="shared" si="1"/>
        <v/>
      </c>
      <c r="F571" s="369"/>
      <c r="G571" s="320"/>
      <c r="H571" s="320"/>
      <c r="I571" s="320">
        <f t="shared" si="2"/>
        <v>0</v>
      </c>
      <c r="J571" s="368"/>
    </row>
    <row r="572">
      <c r="B572" t="str">
        <f>if(   iserror(offset(PADRON!B$2,match(A:A,PADRON!A$2:A1010,0)-1,0,1,1) )  ,  ,    offset(PADRON!B$2,match(A:A,PADRON!A$2:A1010,0)-1,0,1,1))</f>
        <v/>
      </c>
      <c r="C572" s="368"/>
      <c r="E572" t="str">
        <f t="shared" si="1"/>
        <v/>
      </c>
      <c r="F572" s="369"/>
      <c r="G572" s="320"/>
      <c r="H572" s="320"/>
      <c r="I572" s="320">
        <f t="shared" si="2"/>
        <v>0</v>
      </c>
      <c r="J572" s="368"/>
    </row>
    <row r="573">
      <c r="B573" t="str">
        <f>if(   iserror(offset(PADRON!B$2,match(A:A,PADRON!A$2:A1010,0)-1,0,1,1) )  ,  ,    offset(PADRON!B$2,match(A:A,PADRON!A$2:A1010,0)-1,0,1,1))</f>
        <v/>
      </c>
      <c r="C573" s="368"/>
      <c r="E573" t="str">
        <f t="shared" si="1"/>
        <v/>
      </c>
      <c r="F573" s="369"/>
      <c r="G573" s="320"/>
      <c r="H573" s="320"/>
      <c r="I573" s="320">
        <f t="shared" si="2"/>
        <v>0</v>
      </c>
      <c r="J573" s="368"/>
    </row>
    <row r="574">
      <c r="B574" t="str">
        <f>if(   iserror(offset(PADRON!B$2,match(A:A,PADRON!A$2:A1010,0)-1,0,1,1) )  ,  ,    offset(PADRON!B$2,match(A:A,PADRON!A$2:A1010,0)-1,0,1,1))</f>
        <v/>
      </c>
      <c r="C574" s="368"/>
      <c r="E574" t="str">
        <f t="shared" si="1"/>
        <v/>
      </c>
      <c r="F574" s="369"/>
      <c r="G574" s="320"/>
      <c r="H574" s="320"/>
      <c r="I574" s="320">
        <f t="shared" si="2"/>
        <v>0</v>
      </c>
      <c r="J574" s="368"/>
    </row>
    <row r="575">
      <c r="B575" t="str">
        <f>if(   iserror(offset(PADRON!B$2,match(A:A,PADRON!A$2:A1010,0)-1,0,1,1) )  ,  ,    offset(PADRON!B$2,match(A:A,PADRON!A$2:A1010,0)-1,0,1,1))</f>
        <v/>
      </c>
      <c r="C575" s="368"/>
      <c r="E575" t="str">
        <f t="shared" si="1"/>
        <v/>
      </c>
      <c r="F575" s="369"/>
      <c r="G575" s="320"/>
      <c r="H575" s="320"/>
      <c r="I575" s="320">
        <f t="shared" si="2"/>
        <v>0</v>
      </c>
      <c r="J575" s="368"/>
    </row>
    <row r="576">
      <c r="B576" t="str">
        <f>if(   iserror(offset(PADRON!B$2,match(A:A,PADRON!A$2:A1010,0)-1,0,1,1) )  ,  ,    offset(PADRON!B$2,match(A:A,PADRON!A$2:A1010,0)-1,0,1,1))</f>
        <v/>
      </c>
      <c r="C576" s="368"/>
      <c r="E576" t="str">
        <f t="shared" si="1"/>
        <v/>
      </c>
      <c r="F576" s="369"/>
      <c r="G576" s="320"/>
      <c r="H576" s="320"/>
      <c r="I576" s="320">
        <f t="shared" si="2"/>
        <v>0</v>
      </c>
      <c r="J576" s="368"/>
    </row>
    <row r="577">
      <c r="B577" t="str">
        <f>if(   iserror(offset(PADRON!B$2,match(A:A,PADRON!A$2:A1010,0)-1,0,1,1) )  ,  ,    offset(PADRON!B$2,match(A:A,PADRON!A$2:A1010,0)-1,0,1,1))</f>
        <v/>
      </c>
      <c r="C577" s="368"/>
      <c r="E577" t="str">
        <f t="shared" si="1"/>
        <v/>
      </c>
      <c r="F577" s="369"/>
      <c r="G577" s="320"/>
      <c r="H577" s="320"/>
      <c r="I577" s="320">
        <f t="shared" si="2"/>
        <v>0</v>
      </c>
      <c r="J577" s="368"/>
    </row>
    <row r="578">
      <c r="B578" t="str">
        <f>if(   iserror(offset(PADRON!B$2,match(A:A,PADRON!A$2:A1010,0)-1,0,1,1) )  ,  ,    offset(PADRON!B$2,match(A:A,PADRON!A$2:A1010,0)-1,0,1,1))</f>
        <v/>
      </c>
      <c r="C578" s="368"/>
      <c r="E578" t="str">
        <f t="shared" si="1"/>
        <v/>
      </c>
      <c r="F578" s="369"/>
      <c r="G578" s="320"/>
      <c r="H578" s="320"/>
      <c r="I578" s="320">
        <f t="shared" si="2"/>
        <v>0</v>
      </c>
      <c r="J578" s="368"/>
    </row>
    <row r="579">
      <c r="B579" t="str">
        <f>if(   iserror(offset(PADRON!B$2,match(A:A,PADRON!A$2:A1010,0)-1,0,1,1) )  ,  ,    offset(PADRON!B$2,match(A:A,PADRON!A$2:A1010,0)-1,0,1,1))</f>
        <v/>
      </c>
      <c r="C579" s="368"/>
      <c r="E579" t="str">
        <f t="shared" si="1"/>
        <v/>
      </c>
      <c r="F579" s="369"/>
      <c r="G579" s="320"/>
      <c r="H579" s="320"/>
      <c r="I579" s="320">
        <f t="shared" si="2"/>
        <v>0</v>
      </c>
      <c r="J579" s="368"/>
    </row>
    <row r="580">
      <c r="B580" t="str">
        <f>if(   iserror(offset(PADRON!B$2,match(A:A,PADRON!A$2:A1010,0)-1,0,1,1) )  ,  ,    offset(PADRON!B$2,match(A:A,PADRON!A$2:A1010,0)-1,0,1,1))</f>
        <v/>
      </c>
      <c r="C580" s="368"/>
      <c r="E580" t="str">
        <f t="shared" si="1"/>
        <v/>
      </c>
      <c r="F580" s="369"/>
      <c r="G580" s="320"/>
      <c r="H580" s="320"/>
      <c r="I580" s="320">
        <f t="shared" si="2"/>
        <v>0</v>
      </c>
      <c r="J580" s="368"/>
    </row>
    <row r="581">
      <c r="B581" t="str">
        <f>if(   iserror(offset(PADRON!B$2,match(A:A,PADRON!A$2:A1010,0)-1,0,1,1) )  ,  ,    offset(PADRON!B$2,match(A:A,PADRON!A$2:A1010,0)-1,0,1,1))</f>
        <v/>
      </c>
      <c r="C581" s="368"/>
      <c r="E581" t="str">
        <f t="shared" si="1"/>
        <v/>
      </c>
      <c r="F581" s="369"/>
      <c r="G581" s="320"/>
      <c r="H581" s="320"/>
      <c r="I581" s="320">
        <f t="shared" si="2"/>
        <v>0</v>
      </c>
      <c r="J581" s="368"/>
    </row>
    <row r="582">
      <c r="B582" t="str">
        <f>if(   iserror(offset(PADRON!B$2,match(A:A,PADRON!A$2:A1010,0)-1,0,1,1) )  ,  ,    offset(PADRON!B$2,match(A:A,PADRON!A$2:A1010,0)-1,0,1,1))</f>
        <v/>
      </c>
      <c r="C582" s="368"/>
      <c r="E582" t="str">
        <f t="shared" si="1"/>
        <v/>
      </c>
      <c r="F582" s="369"/>
      <c r="G582" s="320"/>
      <c r="H582" s="320"/>
      <c r="I582" s="320">
        <f t="shared" si="2"/>
        <v>0</v>
      </c>
      <c r="J582" s="368"/>
    </row>
    <row r="583">
      <c r="B583" t="str">
        <f>if(   iserror(offset(PADRON!B$2,match(A:A,PADRON!A$2:A1010,0)-1,0,1,1) )  ,  ,    offset(PADRON!B$2,match(A:A,PADRON!A$2:A1010,0)-1,0,1,1))</f>
        <v/>
      </c>
      <c r="C583" s="368"/>
      <c r="E583" t="str">
        <f t="shared" si="1"/>
        <v/>
      </c>
      <c r="F583" s="369"/>
      <c r="G583" s="320"/>
      <c r="H583" s="320"/>
      <c r="I583" s="320">
        <f t="shared" si="2"/>
        <v>0</v>
      </c>
      <c r="J583" s="368"/>
    </row>
    <row r="584">
      <c r="B584" t="str">
        <f>if(   iserror(offset(PADRON!B$2,match(A:A,PADRON!A$2:A1010,0)-1,0,1,1) )  ,  ,    offset(PADRON!B$2,match(A:A,PADRON!A$2:A1010,0)-1,0,1,1))</f>
        <v/>
      </c>
      <c r="C584" s="368"/>
      <c r="E584" t="str">
        <f t="shared" si="1"/>
        <v/>
      </c>
      <c r="F584" s="369"/>
      <c r="G584" s="320"/>
      <c r="H584" s="320"/>
      <c r="I584" s="320">
        <f t="shared" si="2"/>
        <v>0</v>
      </c>
      <c r="J584" s="368"/>
    </row>
    <row r="585">
      <c r="B585" t="str">
        <f>if(   iserror(offset(PADRON!B$2,match(A:A,PADRON!A$2:A1010,0)-1,0,1,1) )  ,  ,    offset(PADRON!B$2,match(A:A,PADRON!A$2:A1010,0)-1,0,1,1))</f>
        <v/>
      </c>
      <c r="C585" s="368"/>
      <c r="E585" t="str">
        <f t="shared" si="1"/>
        <v/>
      </c>
      <c r="F585" s="369"/>
      <c r="G585" s="320"/>
      <c r="H585" s="320"/>
      <c r="I585" s="320">
        <f t="shared" si="2"/>
        <v>0</v>
      </c>
      <c r="J585" s="368"/>
    </row>
    <row r="586">
      <c r="B586" t="str">
        <f>if(   iserror(offset(PADRON!B$2,match(A:A,PADRON!A$2:A1010,0)-1,0,1,1) )  ,  ,    offset(PADRON!B$2,match(A:A,PADRON!A$2:A1010,0)-1,0,1,1))</f>
        <v/>
      </c>
      <c r="C586" s="368"/>
      <c r="E586" t="str">
        <f t="shared" si="1"/>
        <v/>
      </c>
      <c r="F586" s="369"/>
      <c r="G586" s="320"/>
      <c r="H586" s="320"/>
      <c r="I586" s="320">
        <f t="shared" si="2"/>
        <v>0</v>
      </c>
      <c r="J586" s="368"/>
    </row>
    <row r="587">
      <c r="B587" t="str">
        <f>if(   iserror(offset(PADRON!B$2,match(A:A,PADRON!A$2:A1010,0)-1,0,1,1) )  ,  ,    offset(PADRON!B$2,match(A:A,PADRON!A$2:A1010,0)-1,0,1,1))</f>
        <v/>
      </c>
      <c r="C587" s="368"/>
      <c r="E587" t="str">
        <f t="shared" si="1"/>
        <v/>
      </c>
      <c r="F587" s="369"/>
      <c r="G587" s="320"/>
      <c r="H587" s="320"/>
      <c r="I587" s="320">
        <f t="shared" si="2"/>
        <v>0</v>
      </c>
      <c r="J587" s="368"/>
    </row>
    <row r="588">
      <c r="B588" t="str">
        <f>if(   iserror(offset(PADRON!B$2,match(A:A,PADRON!A$2:A1010,0)-1,0,1,1) )  ,  ,    offset(PADRON!B$2,match(A:A,PADRON!A$2:A1010,0)-1,0,1,1))</f>
        <v/>
      </c>
      <c r="C588" s="368"/>
      <c r="E588" t="str">
        <f t="shared" si="1"/>
        <v/>
      </c>
      <c r="F588" s="369"/>
      <c r="G588" s="320"/>
      <c r="H588" s="320"/>
      <c r="I588" s="320">
        <f t="shared" si="2"/>
        <v>0</v>
      </c>
      <c r="J588" s="368"/>
    </row>
    <row r="589">
      <c r="B589" t="str">
        <f>if(   iserror(offset(PADRON!B$2,match(A:A,PADRON!A$2:A1010,0)-1,0,1,1) )  ,  ,    offset(PADRON!B$2,match(A:A,PADRON!A$2:A1010,0)-1,0,1,1))</f>
        <v/>
      </c>
      <c r="C589" s="368"/>
      <c r="E589" t="str">
        <f t="shared" si="1"/>
        <v/>
      </c>
      <c r="F589" s="369"/>
      <c r="G589" s="320"/>
      <c r="H589" s="320"/>
      <c r="I589" s="320">
        <f t="shared" si="2"/>
        <v>0</v>
      </c>
      <c r="J589" s="368"/>
    </row>
    <row r="590">
      <c r="B590" t="str">
        <f>if(   iserror(offset(PADRON!B$2,match(A:A,PADRON!A$2:A1010,0)-1,0,1,1) )  ,  ,    offset(PADRON!B$2,match(A:A,PADRON!A$2:A1010,0)-1,0,1,1))</f>
        <v/>
      </c>
      <c r="C590" s="368"/>
      <c r="E590" t="str">
        <f t="shared" si="1"/>
        <v/>
      </c>
      <c r="F590" s="369"/>
      <c r="G590" s="320"/>
      <c r="H590" s="320"/>
      <c r="I590" s="320">
        <f t="shared" si="2"/>
        <v>0</v>
      </c>
      <c r="J590" s="368"/>
    </row>
    <row r="591">
      <c r="B591" t="str">
        <f>if(   iserror(offset(PADRON!B$2,match(A:A,PADRON!A$2:A1010,0)-1,0,1,1) )  ,  ,    offset(PADRON!B$2,match(A:A,PADRON!A$2:A1010,0)-1,0,1,1))</f>
        <v/>
      </c>
      <c r="C591" s="368"/>
      <c r="E591" t="str">
        <f t="shared" si="1"/>
        <v/>
      </c>
      <c r="F591" s="369"/>
      <c r="G591" s="320"/>
      <c r="H591" s="320"/>
      <c r="I591" s="320">
        <f t="shared" si="2"/>
        <v>0</v>
      </c>
      <c r="J591" s="368"/>
    </row>
    <row r="592">
      <c r="B592" t="str">
        <f>if(   iserror(offset(PADRON!B$2,match(A:A,PADRON!A$2:A1010,0)-1,0,1,1) )  ,  ,    offset(PADRON!B$2,match(A:A,PADRON!A$2:A1010,0)-1,0,1,1))</f>
        <v/>
      </c>
      <c r="C592" s="368"/>
      <c r="E592" t="str">
        <f t="shared" si="1"/>
        <v/>
      </c>
      <c r="F592" s="369"/>
      <c r="G592" s="320"/>
      <c r="H592" s="320"/>
      <c r="I592" s="320">
        <f t="shared" si="2"/>
        <v>0</v>
      </c>
      <c r="J592" s="368"/>
    </row>
    <row r="593">
      <c r="B593" t="str">
        <f>if(   iserror(offset(PADRON!B$2,match(A:A,PADRON!A$2:A1010,0)-1,0,1,1) )  ,  ,    offset(PADRON!B$2,match(A:A,PADRON!A$2:A1010,0)-1,0,1,1))</f>
        <v/>
      </c>
      <c r="C593" s="368"/>
      <c r="E593" t="str">
        <f t="shared" si="1"/>
        <v/>
      </c>
      <c r="F593" s="369"/>
      <c r="G593" s="320"/>
      <c r="H593" s="320"/>
      <c r="I593" s="320">
        <f t="shared" si="2"/>
        <v>0</v>
      </c>
      <c r="J593" s="368"/>
    </row>
    <row r="594">
      <c r="B594" t="str">
        <f>if(   iserror(offset(PADRON!B$2,match(A:A,PADRON!A$2:A1010,0)-1,0,1,1) )  ,  ,    offset(PADRON!B$2,match(A:A,PADRON!A$2:A1010,0)-1,0,1,1))</f>
        <v/>
      </c>
      <c r="C594" s="368"/>
      <c r="E594" t="str">
        <f t="shared" si="1"/>
        <v/>
      </c>
      <c r="F594" s="369"/>
      <c r="G594" s="320"/>
      <c r="H594" s="320"/>
      <c r="I594" s="320">
        <f t="shared" si="2"/>
        <v>0</v>
      </c>
      <c r="J594" s="368"/>
    </row>
    <row r="595">
      <c r="B595" t="str">
        <f>if(   iserror(offset(PADRON!B$2,match(A:A,PADRON!A$2:A1010,0)-1,0,1,1) )  ,  ,    offset(PADRON!B$2,match(A:A,PADRON!A$2:A1010,0)-1,0,1,1))</f>
        <v/>
      </c>
      <c r="C595" s="368"/>
      <c r="E595" t="str">
        <f t="shared" si="1"/>
        <v/>
      </c>
      <c r="F595" s="369"/>
      <c r="G595" s="320"/>
      <c r="H595" s="320"/>
      <c r="I595" s="320">
        <f t="shared" si="2"/>
        <v>0</v>
      </c>
      <c r="J595" s="368"/>
    </row>
    <row r="596">
      <c r="B596" t="str">
        <f>if(   iserror(offset(PADRON!B$2,match(A:A,PADRON!A$2:A1010,0)-1,0,1,1) )  ,  ,    offset(PADRON!B$2,match(A:A,PADRON!A$2:A1010,0)-1,0,1,1))</f>
        <v/>
      </c>
      <c r="C596" s="368"/>
      <c r="E596" t="str">
        <f t="shared" si="1"/>
        <v/>
      </c>
      <c r="F596" s="369"/>
      <c r="G596" s="320"/>
      <c r="H596" s="320"/>
      <c r="I596" s="320">
        <f t="shared" si="2"/>
        <v>0</v>
      </c>
      <c r="J596" s="368"/>
    </row>
    <row r="597">
      <c r="B597" t="str">
        <f>if(   iserror(offset(PADRON!B$2,match(A:A,PADRON!A$2:A1010,0)-1,0,1,1) )  ,  ,    offset(PADRON!B$2,match(A:A,PADRON!A$2:A1010,0)-1,0,1,1))</f>
        <v/>
      </c>
      <c r="C597" s="368"/>
      <c r="E597" t="str">
        <f t="shared" si="1"/>
        <v/>
      </c>
      <c r="F597" s="369"/>
      <c r="G597" s="320"/>
      <c r="H597" s="320"/>
      <c r="I597" s="320">
        <f t="shared" si="2"/>
        <v>0</v>
      </c>
      <c r="J597" s="368"/>
    </row>
    <row r="598">
      <c r="B598" t="str">
        <f>if(   iserror(offset(PADRON!B$2,match(A:A,PADRON!A$2:A1010,0)-1,0,1,1) )  ,  ,    offset(PADRON!B$2,match(A:A,PADRON!A$2:A1010,0)-1,0,1,1))</f>
        <v/>
      </c>
      <c r="C598" s="368"/>
      <c r="E598" t="str">
        <f t="shared" si="1"/>
        <v/>
      </c>
      <c r="F598" s="369"/>
      <c r="G598" s="320"/>
      <c r="H598" s="320"/>
      <c r="I598" s="320">
        <f t="shared" si="2"/>
        <v>0</v>
      </c>
      <c r="J598" s="368"/>
    </row>
    <row r="599">
      <c r="B599" t="str">
        <f>if(   iserror(offset(PADRON!B$2,match(A:A,PADRON!A$2:A1010,0)-1,0,1,1) )  ,  ,    offset(PADRON!B$2,match(A:A,PADRON!A$2:A1010,0)-1,0,1,1))</f>
        <v/>
      </c>
      <c r="C599" s="368"/>
      <c r="E599" t="str">
        <f t="shared" si="1"/>
        <v/>
      </c>
      <c r="F599" s="369"/>
      <c r="G599" s="320"/>
      <c r="H599" s="320"/>
      <c r="I599" s="320">
        <f t="shared" si="2"/>
        <v>0</v>
      </c>
      <c r="J599" s="368"/>
    </row>
    <row r="600">
      <c r="B600" t="str">
        <f>if(   iserror(offset(PADRON!B$2,match(A:A,PADRON!A$2:A1010,0)-1,0,1,1) )  ,  ,    offset(PADRON!B$2,match(A:A,PADRON!A$2:A1010,0)-1,0,1,1))</f>
        <v/>
      </c>
      <c r="C600" s="368"/>
      <c r="E600" t="str">
        <f t="shared" si="1"/>
        <v/>
      </c>
      <c r="F600" s="369"/>
      <c r="G600" s="320"/>
      <c r="H600" s="320"/>
      <c r="I600" s="320">
        <f t="shared" si="2"/>
        <v>0</v>
      </c>
      <c r="J600" s="368"/>
    </row>
    <row r="601">
      <c r="B601" t="str">
        <f>if(   iserror(offset(PADRON!B$2,match(A:A,PADRON!A$2:A1010,0)-1,0,1,1) )  ,  ,    offset(PADRON!B$2,match(A:A,PADRON!A$2:A1010,0)-1,0,1,1))</f>
        <v/>
      </c>
      <c r="C601" s="368"/>
      <c r="E601" t="str">
        <f t="shared" si="1"/>
        <v/>
      </c>
      <c r="F601" s="369"/>
      <c r="G601" s="320"/>
      <c r="H601" s="320"/>
      <c r="I601" s="320">
        <f t="shared" si="2"/>
        <v>0</v>
      </c>
      <c r="J601" s="368"/>
    </row>
    <row r="602">
      <c r="B602" t="str">
        <f>if(   iserror(offset(PADRON!B$2,match(A:A,PADRON!A$2:A1010,0)-1,0,1,1) )  ,  ,    offset(PADRON!B$2,match(A:A,PADRON!A$2:A1010,0)-1,0,1,1))</f>
        <v/>
      </c>
      <c r="C602" s="368"/>
      <c r="E602" t="str">
        <f t="shared" si="1"/>
        <v/>
      </c>
      <c r="F602" s="369"/>
      <c r="G602" s="320"/>
      <c r="H602" s="320"/>
      <c r="I602" s="320">
        <f t="shared" si="2"/>
        <v>0</v>
      </c>
      <c r="J602" s="368"/>
    </row>
    <row r="603">
      <c r="B603" t="str">
        <f>if(   iserror(offset(PADRON!B$2,match(A:A,PADRON!A$2:A1010,0)-1,0,1,1) )  ,  ,    offset(PADRON!B$2,match(A:A,PADRON!A$2:A1010,0)-1,0,1,1))</f>
        <v/>
      </c>
      <c r="C603" s="368"/>
      <c r="E603" t="str">
        <f t="shared" si="1"/>
        <v/>
      </c>
      <c r="F603" s="369"/>
      <c r="G603" s="320"/>
      <c r="H603" s="320"/>
      <c r="I603" s="320">
        <f t="shared" si="2"/>
        <v>0</v>
      </c>
      <c r="J603" s="368"/>
    </row>
    <row r="604">
      <c r="B604" t="str">
        <f>if(   iserror(offset(PADRON!B$2,match(A:A,PADRON!A$2:A1010,0)-1,0,1,1) )  ,  ,    offset(PADRON!B$2,match(A:A,PADRON!A$2:A1010,0)-1,0,1,1))</f>
        <v/>
      </c>
      <c r="C604" s="368"/>
      <c r="E604" t="str">
        <f t="shared" si="1"/>
        <v/>
      </c>
      <c r="F604" s="369"/>
      <c r="G604" s="320"/>
      <c r="H604" s="320"/>
      <c r="I604" s="320">
        <f t="shared" si="2"/>
        <v>0</v>
      </c>
      <c r="J604" s="368"/>
    </row>
    <row r="605">
      <c r="B605" t="str">
        <f>if(   iserror(offset(PADRON!B$2,match(A:A,PADRON!A$2:A1010,0)-1,0,1,1) )  ,  ,    offset(PADRON!B$2,match(A:A,PADRON!A$2:A1010,0)-1,0,1,1))</f>
        <v/>
      </c>
      <c r="C605" s="368"/>
      <c r="E605" t="str">
        <f t="shared" si="1"/>
        <v/>
      </c>
      <c r="F605" s="369"/>
      <c r="G605" s="320"/>
      <c r="H605" s="320"/>
      <c r="I605" s="320">
        <f t="shared" si="2"/>
        <v>0</v>
      </c>
      <c r="J605" s="368"/>
    </row>
    <row r="606">
      <c r="B606" t="str">
        <f>if(   iserror(offset(PADRON!B$2,match(A:A,PADRON!A$2:A1010,0)-1,0,1,1) )  ,  ,    offset(PADRON!B$2,match(A:A,PADRON!A$2:A1010,0)-1,0,1,1))</f>
        <v/>
      </c>
      <c r="C606" s="368"/>
      <c r="E606" t="str">
        <f t="shared" si="1"/>
        <v/>
      </c>
      <c r="F606" s="369"/>
      <c r="G606" s="320"/>
      <c r="H606" s="320"/>
      <c r="I606" s="320">
        <f t="shared" si="2"/>
        <v>0</v>
      </c>
      <c r="J606" s="368"/>
    </row>
    <row r="607">
      <c r="B607" t="str">
        <f>if(   iserror(offset(PADRON!B$2,match(A:A,PADRON!A$2:A1010,0)-1,0,1,1) )  ,  ,    offset(PADRON!B$2,match(A:A,PADRON!A$2:A1010,0)-1,0,1,1))</f>
        <v/>
      </c>
      <c r="C607" s="368"/>
      <c r="E607" t="str">
        <f t="shared" si="1"/>
        <v/>
      </c>
      <c r="F607" s="369"/>
      <c r="G607" s="320"/>
      <c r="H607" s="320"/>
      <c r="I607" s="320">
        <f t="shared" si="2"/>
        <v>0</v>
      </c>
      <c r="J607" s="368"/>
    </row>
    <row r="608">
      <c r="B608" t="str">
        <f>if(   iserror(offset(PADRON!B$2,match(A:A,PADRON!A$2:A1010,0)-1,0,1,1) )  ,  ,    offset(PADRON!B$2,match(A:A,PADRON!A$2:A1010,0)-1,0,1,1))</f>
        <v/>
      </c>
      <c r="C608" s="368"/>
      <c r="E608" t="str">
        <f t="shared" si="1"/>
        <v/>
      </c>
      <c r="F608" s="369"/>
      <c r="G608" s="320"/>
      <c r="H608" s="320"/>
      <c r="I608" s="320">
        <f t="shared" si="2"/>
        <v>0</v>
      </c>
      <c r="J608" s="368"/>
    </row>
    <row r="609">
      <c r="B609" t="str">
        <f>if(   iserror(offset(PADRON!B$2,match(A:A,PADRON!A$2:A1010,0)-1,0,1,1) )  ,  ,    offset(PADRON!B$2,match(A:A,PADRON!A$2:A1010,0)-1,0,1,1))</f>
        <v/>
      </c>
      <c r="C609" s="368"/>
      <c r="E609" t="str">
        <f t="shared" si="1"/>
        <v/>
      </c>
      <c r="F609" s="369"/>
      <c r="G609" s="320"/>
      <c r="H609" s="320"/>
      <c r="I609" s="320">
        <f t="shared" si="2"/>
        <v>0</v>
      </c>
      <c r="J609" s="368"/>
    </row>
    <row r="610">
      <c r="B610" t="str">
        <f>if(   iserror(offset(PADRON!B$2,match(A:A,PADRON!A$2:A1010,0)-1,0,1,1) )  ,  ,    offset(PADRON!B$2,match(A:A,PADRON!A$2:A1010,0)-1,0,1,1))</f>
        <v/>
      </c>
      <c r="C610" s="368"/>
      <c r="E610" t="str">
        <f t="shared" si="1"/>
        <v/>
      </c>
      <c r="F610" s="369"/>
      <c r="G610" s="320"/>
      <c r="H610" s="320"/>
      <c r="I610" s="320">
        <f t="shared" si="2"/>
        <v>0</v>
      </c>
      <c r="J610" s="368"/>
    </row>
    <row r="611">
      <c r="B611" t="str">
        <f>if(   iserror(offset(PADRON!B$2,match(A:A,PADRON!A$2:A1010,0)-1,0,1,1) )  ,  ,    offset(PADRON!B$2,match(A:A,PADRON!A$2:A1010,0)-1,0,1,1))</f>
        <v/>
      </c>
      <c r="C611" s="368"/>
      <c r="E611" t="str">
        <f t="shared" si="1"/>
        <v/>
      </c>
      <c r="F611" s="369"/>
      <c r="G611" s="320"/>
      <c r="H611" s="320"/>
      <c r="I611" s="320">
        <f t="shared" si="2"/>
        <v>0</v>
      </c>
      <c r="J611" s="368"/>
    </row>
    <row r="612">
      <c r="B612" t="str">
        <f>if(   iserror(offset(PADRON!B$2,match(A:A,PADRON!A$2:A1010,0)-1,0,1,1) )  ,  ,    offset(PADRON!B$2,match(A:A,PADRON!A$2:A1010,0)-1,0,1,1))</f>
        <v/>
      </c>
      <c r="C612" s="368"/>
      <c r="E612" t="str">
        <f t="shared" si="1"/>
        <v/>
      </c>
      <c r="F612" s="369"/>
      <c r="G612" s="320"/>
      <c r="H612" s="320"/>
      <c r="I612" s="320">
        <f t="shared" si="2"/>
        <v>0</v>
      </c>
      <c r="J612" s="368"/>
    </row>
    <row r="613">
      <c r="B613" t="str">
        <f>if(   iserror(offset(PADRON!B$2,match(A:A,PADRON!A$2:A1010,0)-1,0,1,1) )  ,  ,    offset(PADRON!B$2,match(A:A,PADRON!A$2:A1010,0)-1,0,1,1))</f>
        <v/>
      </c>
      <c r="C613" s="368"/>
      <c r="E613" t="str">
        <f t="shared" si="1"/>
        <v/>
      </c>
      <c r="F613" s="369"/>
      <c r="G613" s="320"/>
      <c r="H613" s="320"/>
      <c r="I613" s="320">
        <f t="shared" si="2"/>
        <v>0</v>
      </c>
      <c r="J613" s="368"/>
    </row>
    <row r="614">
      <c r="B614" t="str">
        <f>if(   iserror(offset(PADRON!B$2,match(A:A,PADRON!A$2:A1010,0)-1,0,1,1) )  ,  ,    offset(PADRON!B$2,match(A:A,PADRON!A$2:A1010,0)-1,0,1,1))</f>
        <v/>
      </c>
      <c r="C614" s="368"/>
      <c r="E614" t="str">
        <f t="shared" si="1"/>
        <v/>
      </c>
      <c r="F614" s="369"/>
      <c r="G614" s="320"/>
      <c r="H614" s="320"/>
      <c r="I614" s="320">
        <f t="shared" si="2"/>
        <v>0</v>
      </c>
      <c r="J614" s="368"/>
    </row>
    <row r="615">
      <c r="B615" t="str">
        <f>if(   iserror(offset(PADRON!B$2,match(A:A,PADRON!A$2:A1010,0)-1,0,1,1) )  ,  ,    offset(PADRON!B$2,match(A:A,PADRON!A$2:A1010,0)-1,0,1,1))</f>
        <v/>
      </c>
      <c r="C615" s="368"/>
      <c r="E615" t="str">
        <f t="shared" si="1"/>
        <v/>
      </c>
      <c r="F615" s="369"/>
      <c r="G615" s="320"/>
      <c r="H615" s="320"/>
      <c r="I615" s="320">
        <f t="shared" si="2"/>
        <v>0</v>
      </c>
      <c r="J615" s="368"/>
    </row>
    <row r="616">
      <c r="B616" t="str">
        <f>if(   iserror(offset(PADRON!B$2,match(A:A,PADRON!A$2:A1010,0)-1,0,1,1) )  ,  ,    offset(PADRON!B$2,match(A:A,PADRON!A$2:A1010,0)-1,0,1,1))</f>
        <v/>
      </c>
      <c r="C616" s="368"/>
      <c r="E616" t="str">
        <f t="shared" si="1"/>
        <v/>
      </c>
      <c r="F616" s="369"/>
      <c r="G616" s="320"/>
      <c r="H616" s="320"/>
      <c r="I616" s="320">
        <f t="shared" si="2"/>
        <v>0</v>
      </c>
      <c r="J616" s="368"/>
    </row>
    <row r="617">
      <c r="B617" t="str">
        <f>if(   iserror(offset(PADRON!B$2,match(A:A,PADRON!A$2:A1010,0)-1,0,1,1) )  ,  ,    offset(PADRON!B$2,match(A:A,PADRON!A$2:A1010,0)-1,0,1,1))</f>
        <v/>
      </c>
      <c r="C617" s="368"/>
      <c r="E617" t="str">
        <f t="shared" si="1"/>
        <v/>
      </c>
      <c r="F617" s="369"/>
      <c r="G617" s="320"/>
      <c r="H617" s="320"/>
      <c r="I617" s="320">
        <f t="shared" si="2"/>
        <v>0</v>
      </c>
      <c r="J617" s="368"/>
    </row>
    <row r="618">
      <c r="B618" t="str">
        <f>if(   iserror(offset(PADRON!B$2,match(A:A,PADRON!A$2:A1010,0)-1,0,1,1) )  ,  ,    offset(PADRON!B$2,match(A:A,PADRON!A$2:A1010,0)-1,0,1,1))</f>
        <v/>
      </c>
      <c r="C618" s="368"/>
      <c r="E618" t="str">
        <f t="shared" si="1"/>
        <v/>
      </c>
      <c r="F618" s="369"/>
      <c r="G618" s="320"/>
      <c r="H618" s="320"/>
      <c r="I618" s="320">
        <f t="shared" si="2"/>
        <v>0</v>
      </c>
      <c r="J618" s="368"/>
    </row>
    <row r="619">
      <c r="B619" t="str">
        <f>if(   iserror(offset(PADRON!B$2,match(A:A,PADRON!A$2:A1010,0)-1,0,1,1) )  ,  ,    offset(PADRON!B$2,match(A:A,PADRON!A$2:A1010,0)-1,0,1,1))</f>
        <v/>
      </c>
      <c r="C619" s="368"/>
      <c r="E619" t="str">
        <f t="shared" si="1"/>
        <v/>
      </c>
      <c r="F619" s="369"/>
      <c r="G619" s="320"/>
      <c r="H619" s="320"/>
      <c r="I619" s="320">
        <f t="shared" si="2"/>
        <v>0</v>
      </c>
      <c r="J619" s="368"/>
    </row>
    <row r="620">
      <c r="B620" t="str">
        <f>if(   iserror(offset(PADRON!B$2,match(A:A,PADRON!A$2:A1010,0)-1,0,1,1) )  ,  ,    offset(PADRON!B$2,match(A:A,PADRON!A$2:A1010,0)-1,0,1,1))</f>
        <v/>
      </c>
      <c r="C620" s="368"/>
      <c r="E620" t="str">
        <f t="shared" si="1"/>
        <v/>
      </c>
      <c r="F620" s="369"/>
      <c r="G620" s="320"/>
      <c r="H620" s="320"/>
      <c r="I620" s="320">
        <f t="shared" si="2"/>
        <v>0</v>
      </c>
      <c r="J620" s="368"/>
    </row>
    <row r="621">
      <c r="B621" t="str">
        <f>if(   iserror(offset(PADRON!B$2,match(A:A,PADRON!A$2:A1010,0)-1,0,1,1) )  ,  ,    offset(PADRON!B$2,match(A:A,PADRON!A$2:A1010,0)-1,0,1,1))</f>
        <v/>
      </c>
      <c r="C621" s="368"/>
      <c r="E621" t="str">
        <f t="shared" si="1"/>
        <v/>
      </c>
      <c r="F621" s="369"/>
      <c r="G621" s="320"/>
      <c r="H621" s="320"/>
      <c r="I621" s="320">
        <f t="shared" si="2"/>
        <v>0</v>
      </c>
      <c r="J621" s="368"/>
    </row>
    <row r="622">
      <c r="B622" t="str">
        <f>if(   iserror(offset(PADRON!B$2,match(A:A,PADRON!A$2:A1010,0)-1,0,1,1) )  ,  ,    offset(PADRON!B$2,match(A:A,PADRON!A$2:A1010,0)-1,0,1,1))</f>
        <v/>
      </c>
      <c r="C622" s="368"/>
      <c r="E622" t="str">
        <f t="shared" si="1"/>
        <v/>
      </c>
      <c r="F622" s="369"/>
      <c r="G622" s="320"/>
      <c r="H622" s="320"/>
      <c r="I622" s="320">
        <f t="shared" si="2"/>
        <v>0</v>
      </c>
      <c r="J622" s="368"/>
    </row>
    <row r="623">
      <c r="B623" t="str">
        <f>if(   iserror(offset(PADRON!B$2,match(A:A,PADRON!A$2:A1010,0)-1,0,1,1) )  ,  ,    offset(PADRON!B$2,match(A:A,PADRON!A$2:A1010,0)-1,0,1,1))</f>
        <v/>
      </c>
      <c r="C623" s="368"/>
      <c r="E623" t="str">
        <f t="shared" si="1"/>
        <v/>
      </c>
      <c r="F623" s="369"/>
      <c r="G623" s="320"/>
      <c r="H623" s="320"/>
      <c r="I623" s="320">
        <f t="shared" si="2"/>
        <v>0</v>
      </c>
      <c r="J623" s="368"/>
    </row>
    <row r="624">
      <c r="B624" t="str">
        <f>if(   iserror(offset(PADRON!B$2,match(A:A,PADRON!A$2:A1010,0)-1,0,1,1) )  ,  ,    offset(PADRON!B$2,match(A:A,PADRON!A$2:A1010,0)-1,0,1,1))</f>
        <v/>
      </c>
      <c r="C624" s="368"/>
      <c r="E624" t="str">
        <f t="shared" si="1"/>
        <v/>
      </c>
      <c r="F624" s="369"/>
      <c r="G624" s="320"/>
      <c r="H624" s="320"/>
      <c r="I624" s="320">
        <f t="shared" si="2"/>
        <v>0</v>
      </c>
      <c r="J624" s="368"/>
    </row>
    <row r="625">
      <c r="B625" t="str">
        <f>if(   iserror(offset(PADRON!B$2,match(A:A,PADRON!A$2:A1010,0)-1,0,1,1) )  ,  ,    offset(PADRON!B$2,match(A:A,PADRON!A$2:A1010,0)-1,0,1,1))</f>
        <v/>
      </c>
      <c r="C625" s="368"/>
      <c r="E625" t="str">
        <f t="shared" si="1"/>
        <v/>
      </c>
      <c r="F625" s="369"/>
      <c r="G625" s="320"/>
      <c r="H625" s="320"/>
      <c r="I625" s="320">
        <f t="shared" si="2"/>
        <v>0</v>
      </c>
      <c r="J625" s="368"/>
    </row>
    <row r="626">
      <c r="B626" t="str">
        <f>if(   iserror(offset(PADRON!B$2,match(A:A,PADRON!A$2:A1010,0)-1,0,1,1) )  ,  ,    offset(PADRON!B$2,match(A:A,PADRON!A$2:A1010,0)-1,0,1,1))</f>
        <v/>
      </c>
      <c r="C626" s="368"/>
      <c r="E626" t="str">
        <f t="shared" si="1"/>
        <v/>
      </c>
      <c r="F626" s="369"/>
      <c r="G626" s="320"/>
      <c r="H626" s="320"/>
      <c r="I626" s="320">
        <f t="shared" si="2"/>
        <v>0</v>
      </c>
      <c r="J626" s="368"/>
    </row>
    <row r="627">
      <c r="B627" t="str">
        <f>if(   iserror(offset(PADRON!B$2,match(A:A,PADRON!A$2:A1010,0)-1,0,1,1) )  ,  ,    offset(PADRON!B$2,match(A:A,PADRON!A$2:A1010,0)-1,0,1,1))</f>
        <v/>
      </c>
      <c r="C627" s="368"/>
      <c r="E627" t="str">
        <f t="shared" si="1"/>
        <v/>
      </c>
      <c r="F627" s="369"/>
      <c r="G627" s="320"/>
      <c r="H627" s="320"/>
      <c r="I627" s="320">
        <f t="shared" si="2"/>
        <v>0</v>
      </c>
      <c r="J627" s="368"/>
    </row>
    <row r="628">
      <c r="B628" t="str">
        <f>if(   iserror(offset(PADRON!B$2,match(A:A,PADRON!A$2:A1010,0)-1,0,1,1) )  ,  ,    offset(PADRON!B$2,match(A:A,PADRON!A$2:A1010,0)-1,0,1,1))</f>
        <v/>
      </c>
      <c r="C628" s="368"/>
      <c r="E628" t="str">
        <f t="shared" si="1"/>
        <v/>
      </c>
      <c r="F628" s="369"/>
      <c r="G628" s="320"/>
      <c r="H628" s="320"/>
      <c r="I628" s="320">
        <f t="shared" si="2"/>
        <v>0</v>
      </c>
      <c r="J628" s="368"/>
    </row>
    <row r="629">
      <c r="B629" t="str">
        <f>if(   iserror(offset(PADRON!B$2,match(A:A,PADRON!A$2:A1010,0)-1,0,1,1) )  ,  ,    offset(PADRON!B$2,match(A:A,PADRON!A$2:A1010,0)-1,0,1,1))</f>
        <v/>
      </c>
      <c r="C629" s="368"/>
      <c r="E629" t="str">
        <f t="shared" si="1"/>
        <v/>
      </c>
      <c r="F629" s="369"/>
      <c r="G629" s="320"/>
      <c r="H629" s="320"/>
      <c r="I629" s="320">
        <f t="shared" si="2"/>
        <v>0</v>
      </c>
      <c r="J629" s="368"/>
    </row>
    <row r="630">
      <c r="B630" t="str">
        <f>if(   iserror(offset(PADRON!B$2,match(A:A,PADRON!A$2:A1010,0)-1,0,1,1) )  ,  ,    offset(PADRON!B$2,match(A:A,PADRON!A$2:A1010,0)-1,0,1,1))</f>
        <v/>
      </c>
      <c r="C630" s="368"/>
      <c r="E630" t="str">
        <f t="shared" si="1"/>
        <v/>
      </c>
      <c r="F630" s="369"/>
      <c r="G630" s="320"/>
      <c r="H630" s="320"/>
      <c r="I630" s="320">
        <f t="shared" si="2"/>
        <v>0</v>
      </c>
      <c r="J630" s="368"/>
    </row>
    <row r="631">
      <c r="B631" t="str">
        <f>if(   iserror(offset(PADRON!B$2,match(A:A,PADRON!A$2:A1010,0)-1,0,1,1) )  ,  ,    offset(PADRON!B$2,match(A:A,PADRON!A$2:A1010,0)-1,0,1,1))</f>
        <v/>
      </c>
      <c r="C631" s="368"/>
      <c r="E631" t="str">
        <f t="shared" si="1"/>
        <v/>
      </c>
      <c r="F631" s="369"/>
      <c r="G631" s="320"/>
      <c r="H631" s="320"/>
      <c r="I631" s="320">
        <f t="shared" si="2"/>
        <v>0</v>
      </c>
      <c r="J631" s="368"/>
    </row>
    <row r="632">
      <c r="B632" t="str">
        <f>if(   iserror(offset(PADRON!B$2,match(A:A,PADRON!A$2:A1010,0)-1,0,1,1) )  ,  ,    offset(PADRON!B$2,match(A:A,PADRON!A$2:A1010,0)-1,0,1,1))</f>
        <v/>
      </c>
      <c r="C632" s="368"/>
      <c r="E632" t="str">
        <f t="shared" si="1"/>
        <v/>
      </c>
      <c r="F632" s="369"/>
      <c r="G632" s="320"/>
      <c r="H632" s="320"/>
      <c r="I632" s="320">
        <f t="shared" si="2"/>
        <v>0</v>
      </c>
      <c r="J632" s="368"/>
    </row>
    <row r="633">
      <c r="B633" t="str">
        <f>if(   iserror(offset(PADRON!B$2,match(A:A,PADRON!A$2:A1010,0)-1,0,1,1) )  ,  ,    offset(PADRON!B$2,match(A:A,PADRON!A$2:A1010,0)-1,0,1,1))</f>
        <v/>
      </c>
      <c r="C633" s="368"/>
      <c r="E633" t="str">
        <f t="shared" si="1"/>
        <v/>
      </c>
      <c r="F633" s="369"/>
      <c r="G633" s="320"/>
      <c r="H633" s="320"/>
      <c r="I633" s="320">
        <f t="shared" si="2"/>
        <v>0</v>
      </c>
      <c r="J633" s="368"/>
    </row>
    <row r="634">
      <c r="B634" t="str">
        <f>if(   iserror(offset(PADRON!B$2,match(A:A,PADRON!A$2:A1010,0)-1,0,1,1) )  ,  ,    offset(PADRON!B$2,match(A:A,PADRON!A$2:A1010,0)-1,0,1,1))</f>
        <v/>
      </c>
      <c r="C634" s="368"/>
      <c r="E634" t="str">
        <f t="shared" si="1"/>
        <v/>
      </c>
      <c r="F634" s="369"/>
      <c r="G634" s="320"/>
      <c r="H634" s="320"/>
      <c r="I634" s="320">
        <f t="shared" si="2"/>
        <v>0</v>
      </c>
      <c r="J634" s="368"/>
    </row>
    <row r="635">
      <c r="B635" t="str">
        <f>if(   iserror(offset(PADRON!B$2,match(A:A,PADRON!A$2:A1010,0)-1,0,1,1) )  ,  ,    offset(PADRON!B$2,match(A:A,PADRON!A$2:A1010,0)-1,0,1,1))</f>
        <v/>
      </c>
      <c r="C635" s="368"/>
      <c r="E635" t="str">
        <f t="shared" si="1"/>
        <v/>
      </c>
      <c r="F635" s="369"/>
      <c r="G635" s="320"/>
      <c r="H635" s="320"/>
      <c r="I635" s="320">
        <f t="shared" si="2"/>
        <v>0</v>
      </c>
      <c r="J635" s="368"/>
    </row>
    <row r="636">
      <c r="B636" t="str">
        <f>if(   iserror(offset(PADRON!B$2,match(A:A,PADRON!A$2:A1010,0)-1,0,1,1) )  ,  ,    offset(PADRON!B$2,match(A:A,PADRON!A$2:A1010,0)-1,0,1,1))</f>
        <v/>
      </c>
      <c r="C636" s="368"/>
      <c r="E636" t="str">
        <f t="shared" si="1"/>
        <v/>
      </c>
      <c r="F636" s="369"/>
      <c r="G636" s="320"/>
      <c r="H636" s="320"/>
      <c r="I636" s="320">
        <f t="shared" si="2"/>
        <v>0</v>
      </c>
      <c r="J636" s="368"/>
    </row>
    <row r="637">
      <c r="B637" t="str">
        <f>if(   iserror(offset(PADRON!B$2,match(A:A,PADRON!A$2:A1010,0)-1,0,1,1) )  ,  ,    offset(PADRON!B$2,match(A:A,PADRON!A$2:A1010,0)-1,0,1,1))</f>
        <v/>
      </c>
      <c r="C637" s="368"/>
      <c r="E637" t="str">
        <f t="shared" si="1"/>
        <v/>
      </c>
      <c r="F637" s="369"/>
      <c r="G637" s="320"/>
      <c r="H637" s="320"/>
      <c r="I637" s="320">
        <f t="shared" si="2"/>
        <v>0</v>
      </c>
      <c r="J637" s="368"/>
    </row>
    <row r="638">
      <c r="B638" t="str">
        <f>if(   iserror(offset(PADRON!B$2,match(A:A,PADRON!A$2:A1010,0)-1,0,1,1) )  ,  ,    offset(PADRON!B$2,match(A:A,PADRON!A$2:A1010,0)-1,0,1,1))</f>
        <v/>
      </c>
      <c r="C638" s="368"/>
      <c r="E638" t="str">
        <f t="shared" si="1"/>
        <v/>
      </c>
      <c r="F638" s="369"/>
      <c r="G638" s="320"/>
      <c r="H638" s="320"/>
      <c r="I638" s="320">
        <f t="shared" si="2"/>
        <v>0</v>
      </c>
      <c r="J638" s="368"/>
    </row>
    <row r="639">
      <c r="B639" t="str">
        <f>if(   iserror(offset(PADRON!B$2,match(A:A,PADRON!A$2:A1010,0)-1,0,1,1) )  ,  ,    offset(PADRON!B$2,match(A:A,PADRON!A$2:A1010,0)-1,0,1,1))</f>
        <v/>
      </c>
      <c r="C639" s="368"/>
      <c r="E639" t="str">
        <f t="shared" si="1"/>
        <v/>
      </c>
      <c r="F639" s="369"/>
      <c r="G639" s="320"/>
      <c r="H639" s="320"/>
      <c r="I639" s="320">
        <f t="shared" si="2"/>
        <v>0</v>
      </c>
      <c r="J639" s="368"/>
    </row>
    <row r="640">
      <c r="B640" t="str">
        <f>if(   iserror(offset(PADRON!B$2,match(A:A,PADRON!A$2:A1010,0)-1,0,1,1) )  ,  ,    offset(PADRON!B$2,match(A:A,PADRON!A$2:A1010,0)-1,0,1,1))</f>
        <v/>
      </c>
      <c r="C640" s="368"/>
      <c r="E640" t="str">
        <f t="shared" si="1"/>
        <v/>
      </c>
      <c r="F640" s="369"/>
      <c r="G640" s="320"/>
      <c r="H640" s="320"/>
      <c r="I640" s="320">
        <f t="shared" si="2"/>
        <v>0</v>
      </c>
      <c r="J640" s="368"/>
    </row>
    <row r="641">
      <c r="B641" t="str">
        <f>if(   iserror(offset(PADRON!B$2,match(A:A,PADRON!A$2:A1010,0)-1,0,1,1) )  ,  ,    offset(PADRON!B$2,match(A:A,PADRON!A$2:A1010,0)-1,0,1,1))</f>
        <v/>
      </c>
      <c r="C641" s="368"/>
      <c r="E641" t="str">
        <f t="shared" si="1"/>
        <v/>
      </c>
      <c r="F641" s="369"/>
      <c r="G641" s="320"/>
      <c r="H641" s="320"/>
      <c r="I641" s="320">
        <f t="shared" si="2"/>
        <v>0</v>
      </c>
      <c r="J641" s="368"/>
    </row>
    <row r="642">
      <c r="B642" t="str">
        <f>if(   iserror(offset(PADRON!B$2,match(A:A,PADRON!A$2:A1010,0)-1,0,1,1) )  ,  ,    offset(PADRON!B$2,match(A:A,PADRON!A$2:A1010,0)-1,0,1,1))</f>
        <v/>
      </c>
      <c r="C642" s="368"/>
      <c r="E642" t="str">
        <f t="shared" si="1"/>
        <v/>
      </c>
      <c r="F642" s="369"/>
      <c r="G642" s="320"/>
      <c r="H642" s="320"/>
      <c r="I642" s="320">
        <f t="shared" si="2"/>
        <v>0</v>
      </c>
      <c r="J642" s="368"/>
    </row>
    <row r="643">
      <c r="B643" t="str">
        <f>if(   iserror(offset(PADRON!B$2,match(A:A,PADRON!A$2:A1010,0)-1,0,1,1) )  ,  ,    offset(PADRON!B$2,match(A:A,PADRON!A$2:A1010,0)-1,0,1,1))</f>
        <v/>
      </c>
      <c r="C643" s="368"/>
      <c r="E643" t="str">
        <f t="shared" si="1"/>
        <v/>
      </c>
      <c r="F643" s="369"/>
      <c r="G643" s="320"/>
      <c r="H643" s="320"/>
      <c r="I643" s="320">
        <f t="shared" si="2"/>
        <v>0</v>
      </c>
      <c r="J643" s="368"/>
    </row>
    <row r="644">
      <c r="B644" t="str">
        <f>if(   iserror(offset(PADRON!B$2,match(A:A,PADRON!A$2:A1010,0)-1,0,1,1) )  ,  ,    offset(PADRON!B$2,match(A:A,PADRON!A$2:A1010,0)-1,0,1,1))</f>
        <v/>
      </c>
      <c r="C644" s="368"/>
      <c r="E644" t="str">
        <f t="shared" si="1"/>
        <v/>
      </c>
      <c r="F644" s="369"/>
      <c r="G644" s="320"/>
      <c r="H644" s="320"/>
      <c r="I644" s="320">
        <f t="shared" si="2"/>
        <v>0</v>
      </c>
      <c r="J644" s="368"/>
    </row>
    <row r="645">
      <c r="B645" t="str">
        <f>if(   iserror(offset(PADRON!B$2,match(A:A,PADRON!A$2:A1010,0)-1,0,1,1) )  ,  ,    offset(PADRON!B$2,match(A:A,PADRON!A$2:A1010,0)-1,0,1,1))</f>
        <v/>
      </c>
      <c r="C645" s="368"/>
      <c r="E645" t="str">
        <f t="shared" si="1"/>
        <v/>
      </c>
      <c r="F645" s="369"/>
      <c r="G645" s="320"/>
      <c r="H645" s="320"/>
      <c r="I645" s="320">
        <f t="shared" si="2"/>
        <v>0</v>
      </c>
      <c r="J645" s="368"/>
    </row>
    <row r="646">
      <c r="B646" t="str">
        <f>if(   iserror(offset(PADRON!B$2,match(A:A,PADRON!A$2:A1010,0)-1,0,1,1) )  ,  ,    offset(PADRON!B$2,match(A:A,PADRON!A$2:A1010,0)-1,0,1,1))</f>
        <v/>
      </c>
      <c r="C646" s="368"/>
      <c r="E646" t="str">
        <f t="shared" si="1"/>
        <v/>
      </c>
      <c r="F646" s="369"/>
      <c r="G646" s="320"/>
      <c r="H646" s="320"/>
      <c r="I646" s="320">
        <f t="shared" si="2"/>
        <v>0</v>
      </c>
      <c r="J646" s="368"/>
    </row>
    <row r="647">
      <c r="B647" t="str">
        <f>if(   iserror(offset(PADRON!B$2,match(A:A,PADRON!A$2:A1010,0)-1,0,1,1) )  ,  ,    offset(PADRON!B$2,match(A:A,PADRON!A$2:A1010,0)-1,0,1,1))</f>
        <v/>
      </c>
      <c r="C647" s="368"/>
      <c r="E647" t="str">
        <f t="shared" si="1"/>
        <v/>
      </c>
      <c r="F647" s="369"/>
      <c r="G647" s="320"/>
      <c r="H647" s="320"/>
      <c r="I647" s="320">
        <f t="shared" si="2"/>
        <v>0</v>
      </c>
      <c r="J647" s="368"/>
    </row>
    <row r="648">
      <c r="B648" t="str">
        <f>if(   iserror(offset(PADRON!B$2,match(A:A,PADRON!A$2:A1010,0)-1,0,1,1) )  ,  ,    offset(PADRON!B$2,match(A:A,PADRON!A$2:A1010,0)-1,0,1,1))</f>
        <v/>
      </c>
      <c r="C648" s="368"/>
      <c r="E648" t="str">
        <f t="shared" si="1"/>
        <v/>
      </c>
      <c r="F648" s="369"/>
      <c r="G648" s="320"/>
      <c r="H648" s="320"/>
      <c r="I648" s="320">
        <f t="shared" si="2"/>
        <v>0</v>
      </c>
      <c r="J648" s="368"/>
    </row>
    <row r="649">
      <c r="B649" t="str">
        <f>if(   iserror(offset(PADRON!B$2,match(A:A,PADRON!A$2:A1010,0)-1,0,1,1) )  ,  ,    offset(PADRON!B$2,match(A:A,PADRON!A$2:A1010,0)-1,0,1,1))</f>
        <v/>
      </c>
      <c r="C649" s="368"/>
      <c r="E649" t="str">
        <f t="shared" si="1"/>
        <v/>
      </c>
      <c r="F649" s="369"/>
      <c r="G649" s="320"/>
      <c r="H649" s="320"/>
      <c r="I649" s="320">
        <f t="shared" si="2"/>
        <v>0</v>
      </c>
      <c r="J649" s="368"/>
    </row>
    <row r="650">
      <c r="B650" t="str">
        <f>if(   iserror(offset(PADRON!B$2,match(A:A,PADRON!A$2:A1010,0)-1,0,1,1) )  ,  ,    offset(PADRON!B$2,match(A:A,PADRON!A$2:A1010,0)-1,0,1,1))</f>
        <v/>
      </c>
      <c r="C650" s="368"/>
      <c r="E650" t="str">
        <f t="shared" si="1"/>
        <v/>
      </c>
      <c r="F650" s="369"/>
      <c r="G650" s="320"/>
      <c r="H650" s="320"/>
      <c r="I650" s="320">
        <f t="shared" si="2"/>
        <v>0</v>
      </c>
      <c r="J650" s="368"/>
    </row>
    <row r="651">
      <c r="B651" t="str">
        <f>if(   iserror(offset(PADRON!B$2,match(A:A,PADRON!A$2:A1010,0)-1,0,1,1) )  ,  ,    offset(PADRON!B$2,match(A:A,PADRON!A$2:A1010,0)-1,0,1,1))</f>
        <v/>
      </c>
      <c r="C651" s="368"/>
      <c r="E651" t="str">
        <f t="shared" si="1"/>
        <v/>
      </c>
      <c r="F651" s="369"/>
      <c r="G651" s="320"/>
      <c r="H651" s="320"/>
      <c r="I651" s="320">
        <f t="shared" si="2"/>
        <v>0</v>
      </c>
      <c r="J651" s="368"/>
    </row>
    <row r="652">
      <c r="B652" t="str">
        <f>if(   iserror(offset(PADRON!B$2,match(A:A,PADRON!A$2:A1010,0)-1,0,1,1) )  ,  ,    offset(PADRON!B$2,match(A:A,PADRON!A$2:A1010,0)-1,0,1,1))</f>
        <v/>
      </c>
      <c r="C652" s="368"/>
      <c r="E652" t="str">
        <f t="shared" si="1"/>
        <v/>
      </c>
      <c r="F652" s="369"/>
      <c r="G652" s="320"/>
      <c r="H652" s="320"/>
      <c r="I652" s="320">
        <f t="shared" si="2"/>
        <v>0</v>
      </c>
      <c r="J652" s="368"/>
    </row>
    <row r="653">
      <c r="B653" t="str">
        <f>if(   iserror(offset(PADRON!B$2,match(A:A,PADRON!A$2:A1010,0)-1,0,1,1) )  ,  ,    offset(PADRON!B$2,match(A:A,PADRON!A$2:A1010,0)-1,0,1,1))</f>
        <v/>
      </c>
      <c r="C653" s="368"/>
      <c r="E653" t="str">
        <f t="shared" si="1"/>
        <v/>
      </c>
      <c r="F653" s="369"/>
      <c r="G653" s="320"/>
      <c r="H653" s="320"/>
      <c r="I653" s="320">
        <f t="shared" si="2"/>
        <v>0</v>
      </c>
      <c r="J653" s="368"/>
    </row>
    <row r="654">
      <c r="B654" t="str">
        <f>if(   iserror(offset(PADRON!B$2,match(A:A,PADRON!A$2:A1010,0)-1,0,1,1) )  ,  ,    offset(PADRON!B$2,match(A:A,PADRON!A$2:A1010,0)-1,0,1,1))</f>
        <v/>
      </c>
      <c r="C654" s="368"/>
      <c r="E654" t="str">
        <f t="shared" si="1"/>
        <v/>
      </c>
      <c r="F654" s="369"/>
      <c r="G654" s="320"/>
      <c r="H654" s="320"/>
      <c r="I654" s="320">
        <f t="shared" si="2"/>
        <v>0</v>
      </c>
      <c r="J654" s="368"/>
    </row>
    <row r="655">
      <c r="B655" t="str">
        <f>if(   iserror(offset(PADRON!B$2,match(A:A,PADRON!A$2:A1010,0)-1,0,1,1) )  ,  ,    offset(PADRON!B$2,match(A:A,PADRON!A$2:A1010,0)-1,0,1,1))</f>
        <v/>
      </c>
      <c r="C655" s="368"/>
      <c r="E655" t="str">
        <f t="shared" si="1"/>
        <v/>
      </c>
      <c r="F655" s="369"/>
      <c r="G655" s="320"/>
      <c r="H655" s="320"/>
      <c r="I655" s="320">
        <f t="shared" si="2"/>
        <v>0</v>
      </c>
      <c r="J655" s="368"/>
    </row>
    <row r="656">
      <c r="B656" t="str">
        <f>if(   iserror(offset(PADRON!B$2,match(A:A,PADRON!A$2:A1010,0)-1,0,1,1) )  ,  ,    offset(PADRON!B$2,match(A:A,PADRON!A$2:A1010,0)-1,0,1,1))</f>
        <v/>
      </c>
      <c r="C656" s="368"/>
      <c r="E656" t="str">
        <f t="shared" si="1"/>
        <v/>
      </c>
      <c r="F656" s="369"/>
      <c r="G656" s="320"/>
      <c r="H656" s="320"/>
      <c r="I656" s="320">
        <f t="shared" si="2"/>
        <v>0</v>
      </c>
      <c r="J656" s="368"/>
    </row>
    <row r="657">
      <c r="B657" t="str">
        <f>if(   iserror(offset(PADRON!B$2,match(A:A,PADRON!A$2:A1010,0)-1,0,1,1) )  ,  ,    offset(PADRON!B$2,match(A:A,PADRON!A$2:A1010,0)-1,0,1,1))</f>
        <v/>
      </c>
      <c r="C657" s="368"/>
      <c r="E657" t="str">
        <f t="shared" si="1"/>
        <v/>
      </c>
      <c r="F657" s="369"/>
      <c r="G657" s="320"/>
      <c r="H657" s="320"/>
      <c r="I657" s="320">
        <f t="shared" si="2"/>
        <v>0</v>
      </c>
      <c r="J657" s="368"/>
    </row>
    <row r="658">
      <c r="B658" t="str">
        <f>if(   iserror(offset(PADRON!B$2,match(A:A,PADRON!A$2:A1010,0)-1,0,1,1) )  ,  ,    offset(PADRON!B$2,match(A:A,PADRON!A$2:A1010,0)-1,0,1,1))</f>
        <v/>
      </c>
      <c r="C658" s="368"/>
      <c r="E658" t="str">
        <f t="shared" si="1"/>
        <v/>
      </c>
      <c r="F658" s="369"/>
      <c r="G658" s="320"/>
      <c r="H658" s="320"/>
      <c r="I658" s="320">
        <f t="shared" si="2"/>
        <v>0</v>
      </c>
      <c r="J658" s="368"/>
    </row>
    <row r="659">
      <c r="B659" t="str">
        <f>if(   iserror(offset(PADRON!B$2,match(A:A,PADRON!A$2:A1010,0)-1,0,1,1) )  ,  ,    offset(PADRON!B$2,match(A:A,PADRON!A$2:A1010,0)-1,0,1,1))</f>
        <v/>
      </c>
      <c r="C659" s="368"/>
      <c r="E659" t="str">
        <f t="shared" si="1"/>
        <v/>
      </c>
      <c r="F659" s="369"/>
      <c r="G659" s="320"/>
      <c r="H659" s="320"/>
      <c r="I659" s="320">
        <f t="shared" si="2"/>
        <v>0</v>
      </c>
      <c r="J659" s="368"/>
    </row>
    <row r="660">
      <c r="B660" t="str">
        <f>if(   iserror(offset(PADRON!B$2,match(A:A,PADRON!A$2:A1010,0)-1,0,1,1) )  ,  ,    offset(PADRON!B$2,match(A:A,PADRON!A$2:A1010,0)-1,0,1,1))</f>
        <v/>
      </c>
      <c r="C660" s="368"/>
      <c r="E660" t="str">
        <f t="shared" si="1"/>
        <v/>
      </c>
      <c r="F660" s="369"/>
      <c r="G660" s="320"/>
      <c r="H660" s="320"/>
      <c r="I660" s="320">
        <f t="shared" si="2"/>
        <v>0</v>
      </c>
      <c r="J660" s="368"/>
    </row>
    <row r="661">
      <c r="B661" t="str">
        <f>if(   iserror(offset(PADRON!B$2,match(A:A,PADRON!A$2:A1010,0)-1,0,1,1) )  ,  ,    offset(PADRON!B$2,match(A:A,PADRON!A$2:A1010,0)-1,0,1,1))</f>
        <v/>
      </c>
      <c r="C661" s="368"/>
      <c r="E661" t="str">
        <f t="shared" si="1"/>
        <v/>
      </c>
      <c r="F661" s="369"/>
      <c r="G661" s="320"/>
      <c r="H661" s="320"/>
      <c r="I661" s="320">
        <f t="shared" si="2"/>
        <v>0</v>
      </c>
      <c r="J661" s="368"/>
    </row>
    <row r="662">
      <c r="B662" t="str">
        <f>if(   iserror(offset(PADRON!B$2,match(A:A,PADRON!A$2:A1010,0)-1,0,1,1) )  ,  ,    offset(PADRON!B$2,match(A:A,PADRON!A$2:A1010,0)-1,0,1,1))</f>
        <v/>
      </c>
      <c r="C662" s="368"/>
      <c r="E662" t="str">
        <f t="shared" si="1"/>
        <v/>
      </c>
      <c r="F662" s="369"/>
      <c r="G662" s="320"/>
      <c r="H662" s="320"/>
      <c r="I662" s="320">
        <f t="shared" si="2"/>
        <v>0</v>
      </c>
      <c r="J662" s="368"/>
    </row>
    <row r="663">
      <c r="B663" t="str">
        <f>if(   iserror(offset(PADRON!B$2,match(A:A,PADRON!A$2:A1010,0)-1,0,1,1) )  ,  ,    offset(PADRON!B$2,match(A:A,PADRON!A$2:A1010,0)-1,0,1,1))</f>
        <v/>
      </c>
      <c r="C663" s="368"/>
      <c r="E663" t="str">
        <f t="shared" si="1"/>
        <v/>
      </c>
      <c r="F663" s="369"/>
      <c r="G663" s="320"/>
      <c r="H663" s="320"/>
      <c r="I663" s="320">
        <f t="shared" si="2"/>
        <v>0</v>
      </c>
      <c r="J663" s="368"/>
    </row>
    <row r="664">
      <c r="B664" t="str">
        <f>if(   iserror(offset(PADRON!B$2,match(A:A,PADRON!A$2:A1010,0)-1,0,1,1) )  ,  ,    offset(PADRON!B$2,match(A:A,PADRON!A$2:A1010,0)-1,0,1,1))</f>
        <v/>
      </c>
      <c r="C664" s="368"/>
      <c r="E664" t="str">
        <f t="shared" si="1"/>
        <v/>
      </c>
      <c r="F664" s="369"/>
      <c r="G664" s="320"/>
      <c r="H664" s="320"/>
      <c r="I664" s="320">
        <f t="shared" si="2"/>
        <v>0</v>
      </c>
      <c r="J664" s="368"/>
    </row>
    <row r="665">
      <c r="B665" t="str">
        <f>if(   iserror(offset(PADRON!B$2,match(A:A,PADRON!A$2:A1010,0)-1,0,1,1) )  ,  ,    offset(PADRON!B$2,match(A:A,PADRON!A$2:A1010,0)-1,0,1,1))</f>
        <v/>
      </c>
      <c r="C665" s="368"/>
      <c r="E665" t="str">
        <f t="shared" si="1"/>
        <v/>
      </c>
      <c r="F665" s="369"/>
      <c r="G665" s="320"/>
      <c r="H665" s="320"/>
      <c r="I665" s="320">
        <f t="shared" si="2"/>
        <v>0</v>
      </c>
      <c r="J665" s="368"/>
    </row>
    <row r="666">
      <c r="B666" t="str">
        <f>if(   iserror(offset(PADRON!B$2,match(A:A,PADRON!A$2:A1010,0)-1,0,1,1) )  ,  ,    offset(PADRON!B$2,match(A:A,PADRON!A$2:A1010,0)-1,0,1,1))</f>
        <v/>
      </c>
      <c r="C666" s="368"/>
      <c r="E666" t="str">
        <f t="shared" si="1"/>
        <v/>
      </c>
      <c r="F666" s="369"/>
      <c r="G666" s="320"/>
      <c r="H666" s="320"/>
      <c r="I666" s="320">
        <f t="shared" si="2"/>
        <v>0</v>
      </c>
      <c r="J666" s="368"/>
    </row>
    <row r="667">
      <c r="B667" t="str">
        <f>if(   iserror(offset(PADRON!B$2,match(A:A,PADRON!A$2:A1010,0)-1,0,1,1) )  ,  ,    offset(PADRON!B$2,match(A:A,PADRON!A$2:A1010,0)-1,0,1,1))</f>
        <v/>
      </c>
      <c r="C667" s="368"/>
      <c r="E667" t="str">
        <f t="shared" si="1"/>
        <v/>
      </c>
      <c r="F667" s="369"/>
      <c r="G667" s="320"/>
      <c r="H667" s="320"/>
      <c r="I667" s="320">
        <f t="shared" si="2"/>
        <v>0</v>
      </c>
      <c r="J667" s="368"/>
    </row>
    <row r="668">
      <c r="B668" t="str">
        <f>if(   iserror(offset(PADRON!B$2,match(A:A,PADRON!A$2:A1010,0)-1,0,1,1) )  ,  ,    offset(PADRON!B$2,match(A:A,PADRON!A$2:A1010,0)-1,0,1,1))</f>
        <v/>
      </c>
      <c r="C668" s="368"/>
      <c r="E668" t="str">
        <f t="shared" si="1"/>
        <v/>
      </c>
      <c r="F668" s="369"/>
      <c r="G668" s="320"/>
      <c r="H668" s="320"/>
      <c r="I668" s="320">
        <f t="shared" si="2"/>
        <v>0</v>
      </c>
      <c r="J668" s="368"/>
    </row>
    <row r="669">
      <c r="B669" t="str">
        <f>if(   iserror(offset(PADRON!B$2,match(A:A,PADRON!A$2:A1010,0)-1,0,1,1) )  ,  ,    offset(PADRON!B$2,match(A:A,PADRON!A$2:A1010,0)-1,0,1,1))</f>
        <v/>
      </c>
      <c r="C669" s="368"/>
      <c r="E669" t="str">
        <f t="shared" si="1"/>
        <v/>
      </c>
      <c r="F669" s="369"/>
      <c r="G669" s="320"/>
      <c r="H669" s="320"/>
      <c r="I669" s="320">
        <f t="shared" si="2"/>
        <v>0</v>
      </c>
      <c r="J669" s="368"/>
    </row>
    <row r="670">
      <c r="B670" t="str">
        <f>if(   iserror(offset(PADRON!B$2,match(A:A,PADRON!A$2:A1010,0)-1,0,1,1) )  ,  ,    offset(PADRON!B$2,match(A:A,PADRON!A$2:A1010,0)-1,0,1,1))</f>
        <v/>
      </c>
      <c r="C670" s="368"/>
      <c r="E670" t="str">
        <f t="shared" si="1"/>
        <v/>
      </c>
      <c r="F670" s="369"/>
      <c r="G670" s="320"/>
      <c r="H670" s="320"/>
      <c r="I670" s="320">
        <f t="shared" si="2"/>
        <v>0</v>
      </c>
      <c r="J670" s="368"/>
    </row>
    <row r="671">
      <c r="B671" t="str">
        <f>if(   iserror(offset(PADRON!B$2,match(A:A,PADRON!A$2:A1010,0)-1,0,1,1) )  ,  ,    offset(PADRON!B$2,match(A:A,PADRON!A$2:A1010,0)-1,0,1,1))</f>
        <v/>
      </c>
      <c r="C671" s="368"/>
      <c r="E671" t="str">
        <f t="shared" si="1"/>
        <v/>
      </c>
      <c r="F671" s="369"/>
      <c r="G671" s="320"/>
      <c r="H671" s="320"/>
      <c r="I671" s="320">
        <f t="shared" si="2"/>
        <v>0</v>
      </c>
      <c r="J671" s="368"/>
    </row>
    <row r="672">
      <c r="B672" t="str">
        <f>if(   iserror(offset(PADRON!B$2,match(A:A,PADRON!A$2:A1010,0)-1,0,1,1) )  ,  ,    offset(PADRON!B$2,match(A:A,PADRON!A$2:A1010,0)-1,0,1,1))</f>
        <v/>
      </c>
      <c r="C672" s="368"/>
      <c r="E672" t="str">
        <f t="shared" si="1"/>
        <v/>
      </c>
      <c r="F672" s="369"/>
      <c r="G672" s="320"/>
      <c r="H672" s="320"/>
      <c r="I672" s="320">
        <f t="shared" si="2"/>
        <v>0</v>
      </c>
      <c r="J672" s="368"/>
    </row>
    <row r="673">
      <c r="B673" t="str">
        <f>if(   iserror(offset(PADRON!B$2,match(A:A,PADRON!A$2:A1010,0)-1,0,1,1) )  ,  ,    offset(PADRON!B$2,match(A:A,PADRON!A$2:A1010,0)-1,0,1,1))</f>
        <v/>
      </c>
      <c r="C673" s="368"/>
      <c r="E673" t="str">
        <f t="shared" si="1"/>
        <v/>
      </c>
      <c r="F673" s="369"/>
      <c r="G673" s="320"/>
      <c r="H673" s="320"/>
      <c r="I673" s="320">
        <f t="shared" si="2"/>
        <v>0</v>
      </c>
      <c r="J673" s="368"/>
    </row>
    <row r="674">
      <c r="B674" t="str">
        <f>if(   iserror(offset(PADRON!B$2,match(A:A,PADRON!A$2:A1010,0)-1,0,1,1) )  ,  ,    offset(PADRON!B$2,match(A:A,PADRON!A$2:A1010,0)-1,0,1,1))</f>
        <v/>
      </c>
      <c r="C674" s="368"/>
      <c r="E674" t="str">
        <f t="shared" si="1"/>
        <v/>
      </c>
      <c r="F674" s="369"/>
      <c r="G674" s="320"/>
      <c r="H674" s="320"/>
      <c r="I674" s="320">
        <f t="shared" si="2"/>
        <v>0</v>
      </c>
      <c r="J674" s="368"/>
    </row>
    <row r="675">
      <c r="B675" t="str">
        <f>if(   iserror(offset(PADRON!B$2,match(A:A,PADRON!A$2:A1010,0)-1,0,1,1) )  ,  ,    offset(PADRON!B$2,match(A:A,PADRON!A$2:A1010,0)-1,0,1,1))</f>
        <v/>
      </c>
      <c r="C675" s="368"/>
      <c r="E675" t="str">
        <f t="shared" si="1"/>
        <v/>
      </c>
      <c r="F675" s="369"/>
      <c r="G675" s="320"/>
      <c r="H675" s="320"/>
      <c r="I675" s="320">
        <f t="shared" si="2"/>
        <v>0</v>
      </c>
      <c r="J675" s="368"/>
    </row>
    <row r="676">
      <c r="B676" t="str">
        <f>if(   iserror(offset(PADRON!B$2,match(A:A,PADRON!A$2:A1010,0)-1,0,1,1) )  ,  ,    offset(PADRON!B$2,match(A:A,PADRON!A$2:A1010,0)-1,0,1,1))</f>
        <v/>
      </c>
      <c r="C676" s="368"/>
      <c r="E676" t="str">
        <f t="shared" si="1"/>
        <v/>
      </c>
      <c r="F676" s="369"/>
      <c r="G676" s="320"/>
      <c r="H676" s="320"/>
      <c r="I676" s="320">
        <f t="shared" si="2"/>
        <v>0</v>
      </c>
      <c r="J676" s="368"/>
    </row>
    <row r="677">
      <c r="B677" t="str">
        <f>if(   iserror(offset(PADRON!B$2,match(A:A,PADRON!A$2:A1010,0)-1,0,1,1) )  ,  ,    offset(PADRON!B$2,match(A:A,PADRON!A$2:A1010,0)-1,0,1,1))</f>
        <v/>
      </c>
      <c r="C677" s="368"/>
      <c r="E677" t="str">
        <f t="shared" si="1"/>
        <v/>
      </c>
      <c r="F677" s="369"/>
      <c r="G677" s="320"/>
      <c r="H677" s="320"/>
      <c r="I677" s="320">
        <f t="shared" si="2"/>
        <v>0</v>
      </c>
      <c r="J677" s="368"/>
    </row>
    <row r="678">
      <c r="B678" t="str">
        <f>if(   iserror(offset(PADRON!B$2,match(A:A,PADRON!A$2:A1010,0)-1,0,1,1) )  ,  ,    offset(PADRON!B$2,match(A:A,PADRON!A$2:A1010,0)-1,0,1,1))</f>
        <v/>
      </c>
      <c r="C678" s="368"/>
      <c r="E678" t="str">
        <f t="shared" si="1"/>
        <v/>
      </c>
      <c r="F678" s="369"/>
      <c r="G678" s="320"/>
      <c r="H678" s="320"/>
      <c r="I678" s="320">
        <f t="shared" si="2"/>
        <v>0</v>
      </c>
      <c r="J678" s="368"/>
    </row>
    <row r="679">
      <c r="B679" t="str">
        <f>if(   iserror(offset(PADRON!B$2,match(A:A,PADRON!A$2:A1010,0)-1,0,1,1) )  ,  ,    offset(PADRON!B$2,match(A:A,PADRON!A$2:A1010,0)-1,0,1,1))</f>
        <v/>
      </c>
      <c r="C679" s="368"/>
      <c r="E679" t="str">
        <f t="shared" si="1"/>
        <v/>
      </c>
      <c r="F679" s="369"/>
      <c r="G679" s="320"/>
      <c r="H679" s="320"/>
      <c r="I679" s="320">
        <f t="shared" si="2"/>
        <v>0</v>
      </c>
      <c r="J679" s="368"/>
    </row>
    <row r="680">
      <c r="B680" t="str">
        <f>if(   iserror(offset(PADRON!B$2,match(A:A,PADRON!A$2:A1010,0)-1,0,1,1) )  ,  ,    offset(PADRON!B$2,match(A:A,PADRON!A$2:A1010,0)-1,0,1,1))</f>
        <v/>
      </c>
      <c r="C680" s="368"/>
      <c r="E680" t="str">
        <f t="shared" si="1"/>
        <v/>
      </c>
      <c r="F680" s="369"/>
      <c r="G680" s="320"/>
      <c r="H680" s="320"/>
      <c r="I680" s="320">
        <f t="shared" si="2"/>
        <v>0</v>
      </c>
      <c r="J680" s="368"/>
    </row>
    <row r="681">
      <c r="B681" t="str">
        <f>if(   iserror(offset(PADRON!B$2,match(A:A,PADRON!A$2:A1010,0)-1,0,1,1) )  ,  ,    offset(PADRON!B$2,match(A:A,PADRON!A$2:A1010,0)-1,0,1,1))</f>
        <v/>
      </c>
      <c r="C681" s="368"/>
      <c r="E681" t="str">
        <f t="shared" si="1"/>
        <v/>
      </c>
      <c r="F681" s="369"/>
      <c r="G681" s="320"/>
      <c r="H681" s="320"/>
      <c r="I681" s="320">
        <f t="shared" si="2"/>
        <v>0</v>
      </c>
      <c r="J681" s="368"/>
    </row>
    <row r="682">
      <c r="B682" t="str">
        <f>if(   iserror(offset(PADRON!B$2,match(A:A,PADRON!A$2:A1010,0)-1,0,1,1) )  ,  ,    offset(PADRON!B$2,match(A:A,PADRON!A$2:A1010,0)-1,0,1,1))</f>
        <v/>
      </c>
      <c r="C682" s="368"/>
      <c r="E682" t="str">
        <f t="shared" si="1"/>
        <v/>
      </c>
      <c r="F682" s="369"/>
      <c r="G682" s="320"/>
      <c r="H682" s="320"/>
      <c r="I682" s="320">
        <f t="shared" si="2"/>
        <v>0</v>
      </c>
      <c r="J682" s="368"/>
    </row>
    <row r="683">
      <c r="B683" t="str">
        <f>if(   iserror(offset(PADRON!B$2,match(A:A,PADRON!A$2:A1010,0)-1,0,1,1) )  ,  ,    offset(PADRON!B$2,match(A:A,PADRON!A$2:A1010,0)-1,0,1,1))</f>
        <v/>
      </c>
      <c r="C683" s="368"/>
      <c r="E683" t="str">
        <f t="shared" si="1"/>
        <v/>
      </c>
      <c r="F683" s="369"/>
      <c r="G683" s="320"/>
      <c r="H683" s="320"/>
      <c r="I683" s="320">
        <f t="shared" si="2"/>
        <v>0</v>
      </c>
      <c r="J683" s="368"/>
    </row>
    <row r="684">
      <c r="B684" t="str">
        <f>if(   iserror(offset(PADRON!B$2,match(A:A,PADRON!A$2:A1010,0)-1,0,1,1) )  ,  ,    offset(PADRON!B$2,match(A:A,PADRON!A$2:A1010,0)-1,0,1,1))</f>
        <v/>
      </c>
      <c r="C684" s="368"/>
      <c r="E684" t="str">
        <f t="shared" si="1"/>
        <v/>
      </c>
      <c r="F684" s="369"/>
      <c r="G684" s="320"/>
      <c r="H684" s="320"/>
      <c r="I684" s="320">
        <f t="shared" si="2"/>
        <v>0</v>
      </c>
      <c r="J684" s="368"/>
    </row>
    <row r="685">
      <c r="B685" t="str">
        <f>if(   iserror(offset(PADRON!B$2,match(A:A,PADRON!A$2:A1010,0)-1,0,1,1) )  ,  ,    offset(PADRON!B$2,match(A:A,PADRON!A$2:A1010,0)-1,0,1,1))</f>
        <v/>
      </c>
      <c r="C685" s="368"/>
      <c r="E685" t="str">
        <f t="shared" si="1"/>
        <v/>
      </c>
      <c r="F685" s="369"/>
      <c r="G685" s="320"/>
      <c r="H685" s="320"/>
      <c r="I685" s="320">
        <f t="shared" si="2"/>
        <v>0</v>
      </c>
      <c r="J685" s="368"/>
    </row>
    <row r="686">
      <c r="B686" t="str">
        <f>if(   iserror(offset(PADRON!B$2,match(A:A,PADRON!A$2:A1010,0)-1,0,1,1) )  ,  ,    offset(PADRON!B$2,match(A:A,PADRON!A$2:A1010,0)-1,0,1,1))</f>
        <v/>
      </c>
      <c r="C686" s="368"/>
      <c r="E686" t="str">
        <f t="shared" si="1"/>
        <v/>
      </c>
      <c r="F686" s="369"/>
      <c r="G686" s="320"/>
      <c r="H686" s="320"/>
      <c r="I686" s="320">
        <f t="shared" si="2"/>
        <v>0</v>
      </c>
      <c r="J686" s="368"/>
    </row>
    <row r="687">
      <c r="B687" t="str">
        <f>if(   iserror(offset(PADRON!B$2,match(A:A,PADRON!A$2:A1010,0)-1,0,1,1) )  ,  ,    offset(PADRON!B$2,match(A:A,PADRON!A$2:A1010,0)-1,0,1,1))</f>
        <v/>
      </c>
      <c r="C687" s="368"/>
      <c r="E687" t="str">
        <f t="shared" si="1"/>
        <v/>
      </c>
      <c r="F687" s="369"/>
      <c r="G687" s="320"/>
      <c r="H687" s="320"/>
      <c r="I687" s="320">
        <f t="shared" si="2"/>
        <v>0</v>
      </c>
      <c r="J687" s="368"/>
    </row>
    <row r="688">
      <c r="B688" t="str">
        <f>if(   iserror(offset(PADRON!B$2,match(A:A,PADRON!A$2:A1010,0)-1,0,1,1) )  ,  ,    offset(PADRON!B$2,match(A:A,PADRON!A$2:A1010,0)-1,0,1,1))</f>
        <v/>
      </c>
      <c r="C688" s="368"/>
      <c r="E688" t="str">
        <f t="shared" si="1"/>
        <v/>
      </c>
      <c r="F688" s="369"/>
      <c r="G688" s="320"/>
      <c r="H688" s="320"/>
      <c r="I688" s="320">
        <f t="shared" si="2"/>
        <v>0</v>
      </c>
      <c r="J688" s="368"/>
    </row>
    <row r="689">
      <c r="B689" t="str">
        <f>if(   iserror(offset(PADRON!B$2,match(A:A,PADRON!A$2:A1010,0)-1,0,1,1) )  ,  ,    offset(PADRON!B$2,match(A:A,PADRON!A$2:A1010,0)-1,0,1,1))</f>
        <v/>
      </c>
      <c r="C689" s="368"/>
      <c r="E689" t="str">
        <f t="shared" si="1"/>
        <v/>
      </c>
      <c r="F689" s="369"/>
      <c r="G689" s="320"/>
      <c r="H689" s="320"/>
      <c r="I689" s="320">
        <f t="shared" si="2"/>
        <v>0</v>
      </c>
      <c r="J689" s="368"/>
    </row>
    <row r="690">
      <c r="B690" t="str">
        <f>if(   iserror(offset(PADRON!B$2,match(A:A,PADRON!A$2:A1010,0)-1,0,1,1) )  ,  ,    offset(PADRON!B$2,match(A:A,PADRON!A$2:A1010,0)-1,0,1,1))</f>
        <v/>
      </c>
      <c r="C690" s="368"/>
      <c r="E690" t="str">
        <f t="shared" si="1"/>
        <v/>
      </c>
      <c r="F690" s="369"/>
      <c r="G690" s="320"/>
      <c r="H690" s="320"/>
      <c r="I690" s="320">
        <f t="shared" si="2"/>
        <v>0</v>
      </c>
      <c r="J690" s="368"/>
    </row>
    <row r="691">
      <c r="B691" t="str">
        <f>if(   iserror(offset(PADRON!B$2,match(A:A,PADRON!A$2:A1010,0)-1,0,1,1) )  ,  ,    offset(PADRON!B$2,match(A:A,PADRON!A$2:A1010,0)-1,0,1,1))</f>
        <v/>
      </c>
      <c r="C691" s="368"/>
      <c r="E691" t="str">
        <f t="shared" si="1"/>
        <v/>
      </c>
      <c r="F691" s="369"/>
      <c r="G691" s="320"/>
      <c r="H691" s="320"/>
      <c r="I691" s="320">
        <f t="shared" si="2"/>
        <v>0</v>
      </c>
      <c r="J691" s="368"/>
    </row>
    <row r="692">
      <c r="B692" t="str">
        <f>if(   iserror(offset(PADRON!B$2,match(A:A,PADRON!A$2:A1010,0)-1,0,1,1) )  ,  ,    offset(PADRON!B$2,match(A:A,PADRON!A$2:A1010,0)-1,0,1,1))</f>
        <v/>
      </c>
      <c r="C692" s="368"/>
      <c r="E692" t="str">
        <f t="shared" si="1"/>
        <v/>
      </c>
      <c r="F692" s="369"/>
      <c r="G692" s="320"/>
      <c r="H692" s="320"/>
      <c r="I692" s="320">
        <f t="shared" si="2"/>
        <v>0</v>
      </c>
      <c r="J692" s="368"/>
    </row>
    <row r="693">
      <c r="B693" t="str">
        <f>if(   iserror(offset(PADRON!B$2,match(A:A,PADRON!A$2:A1010,0)-1,0,1,1) )  ,  ,    offset(PADRON!B$2,match(A:A,PADRON!A$2:A1010,0)-1,0,1,1))</f>
        <v/>
      </c>
      <c r="C693" s="368"/>
      <c r="E693" t="str">
        <f t="shared" si="1"/>
        <v/>
      </c>
      <c r="F693" s="369"/>
      <c r="G693" s="320"/>
      <c r="H693" s="320"/>
      <c r="I693" s="320">
        <f t="shared" si="2"/>
        <v>0</v>
      </c>
      <c r="J693" s="368"/>
    </row>
    <row r="694">
      <c r="B694" t="str">
        <f>if(   iserror(offset(PADRON!B$2,match(A:A,PADRON!A$2:A1010,0)-1,0,1,1) )  ,  ,    offset(PADRON!B$2,match(A:A,PADRON!A$2:A1010,0)-1,0,1,1))</f>
        <v/>
      </c>
      <c r="C694" s="368"/>
      <c r="E694" t="str">
        <f t="shared" si="1"/>
        <v/>
      </c>
      <c r="F694" s="369"/>
      <c r="G694" s="320"/>
      <c r="H694" s="320"/>
      <c r="I694" s="320">
        <f t="shared" si="2"/>
        <v>0</v>
      </c>
      <c r="J694" s="368"/>
    </row>
    <row r="695">
      <c r="B695" t="str">
        <f>if(   iserror(offset(PADRON!B$2,match(A:A,PADRON!A$2:A1010,0)-1,0,1,1) )  ,  ,    offset(PADRON!B$2,match(A:A,PADRON!A$2:A1010,0)-1,0,1,1))</f>
        <v/>
      </c>
      <c r="C695" s="368"/>
      <c r="E695" t="str">
        <f t="shared" si="1"/>
        <v/>
      </c>
      <c r="F695" s="369"/>
      <c r="G695" s="320"/>
      <c r="H695" s="320"/>
      <c r="I695" s="320">
        <f t="shared" si="2"/>
        <v>0</v>
      </c>
      <c r="J695" s="368"/>
    </row>
    <row r="696">
      <c r="B696" t="str">
        <f>if(   iserror(offset(PADRON!B$2,match(A:A,PADRON!A$2:A1010,0)-1,0,1,1) )  ,  ,    offset(PADRON!B$2,match(A:A,PADRON!A$2:A1010,0)-1,0,1,1))</f>
        <v/>
      </c>
      <c r="C696" s="368"/>
      <c r="E696" t="str">
        <f t="shared" si="1"/>
        <v/>
      </c>
      <c r="F696" s="369"/>
      <c r="G696" s="320"/>
      <c r="H696" s="320"/>
      <c r="I696" s="320">
        <f t="shared" si="2"/>
        <v>0</v>
      </c>
      <c r="J696" s="368"/>
    </row>
    <row r="697">
      <c r="B697" t="str">
        <f>if(   iserror(offset(PADRON!B$2,match(A:A,PADRON!A$2:A1010,0)-1,0,1,1) )  ,  ,    offset(PADRON!B$2,match(A:A,PADRON!A$2:A1010,0)-1,0,1,1))</f>
        <v/>
      </c>
      <c r="C697" s="368"/>
      <c r="E697" t="str">
        <f t="shared" si="1"/>
        <v/>
      </c>
      <c r="F697" s="369"/>
      <c r="G697" s="320"/>
      <c r="H697" s="320"/>
      <c r="I697" s="320">
        <f t="shared" si="2"/>
        <v>0</v>
      </c>
      <c r="J697" s="368"/>
    </row>
    <row r="698">
      <c r="B698" t="str">
        <f>if(   iserror(offset(PADRON!B$2,match(A:A,PADRON!A$2:A1010,0)-1,0,1,1) )  ,  ,    offset(PADRON!B$2,match(A:A,PADRON!A$2:A1010,0)-1,0,1,1))</f>
        <v/>
      </c>
      <c r="C698" s="368"/>
      <c r="E698" t="str">
        <f t="shared" si="1"/>
        <v/>
      </c>
      <c r="F698" s="369"/>
      <c r="G698" s="320"/>
      <c r="H698" s="320"/>
      <c r="I698" s="320">
        <f t="shared" si="2"/>
        <v>0</v>
      </c>
      <c r="J698" s="368"/>
    </row>
    <row r="699">
      <c r="B699" t="str">
        <f>if(   iserror(offset(PADRON!B$2,match(A:A,PADRON!A$2:A1010,0)-1,0,1,1) )  ,  ,    offset(PADRON!B$2,match(A:A,PADRON!A$2:A1010,0)-1,0,1,1))</f>
        <v/>
      </c>
      <c r="C699" s="368"/>
      <c r="E699" t="str">
        <f t="shared" si="1"/>
        <v/>
      </c>
      <c r="F699" s="369"/>
      <c r="G699" s="320"/>
      <c r="H699" s="320"/>
      <c r="I699" s="320">
        <f t="shared" si="2"/>
        <v>0</v>
      </c>
      <c r="J699" s="368"/>
    </row>
    <row r="700">
      <c r="B700" t="str">
        <f>if(   iserror(offset(PADRON!B$2,match(A:A,PADRON!A$2:A1010,0)-1,0,1,1) )  ,  ,    offset(PADRON!B$2,match(A:A,PADRON!A$2:A1010,0)-1,0,1,1))</f>
        <v/>
      </c>
      <c r="C700" s="368"/>
      <c r="E700" t="str">
        <f t="shared" si="1"/>
        <v/>
      </c>
      <c r="F700" s="369"/>
      <c r="G700" s="320"/>
      <c r="H700" s="320"/>
      <c r="I700" s="320">
        <f t="shared" si="2"/>
        <v>0</v>
      </c>
      <c r="J700" s="368"/>
    </row>
    <row r="701">
      <c r="B701" t="str">
        <f>if(   iserror(offset(PADRON!B$2,match(A:A,PADRON!A$2:A1010,0)-1,0,1,1) )  ,  ,    offset(PADRON!B$2,match(A:A,PADRON!A$2:A1010,0)-1,0,1,1))</f>
        <v/>
      </c>
      <c r="C701" s="368"/>
      <c r="E701" t="str">
        <f t="shared" si="1"/>
        <v/>
      </c>
      <c r="F701" s="369"/>
      <c r="G701" s="320"/>
      <c r="H701" s="320"/>
      <c r="I701" s="320">
        <f t="shared" si="2"/>
        <v>0</v>
      </c>
      <c r="J701" s="368"/>
    </row>
    <row r="702">
      <c r="B702" t="str">
        <f>if(   iserror(offset(PADRON!B$2,match(A:A,PADRON!A$2:A1010,0)-1,0,1,1) )  ,  ,    offset(PADRON!B$2,match(A:A,PADRON!A$2:A1010,0)-1,0,1,1))</f>
        <v/>
      </c>
      <c r="C702" s="368"/>
      <c r="E702" t="str">
        <f t="shared" si="1"/>
        <v/>
      </c>
      <c r="F702" s="369"/>
      <c r="G702" s="320"/>
      <c r="H702" s="320"/>
      <c r="I702" s="320">
        <f t="shared" si="2"/>
        <v>0</v>
      </c>
      <c r="J702" s="368"/>
    </row>
    <row r="703">
      <c r="B703" t="str">
        <f>if(   iserror(offset(PADRON!B$2,match(A:A,PADRON!A$2:A1010,0)-1,0,1,1) )  ,  ,    offset(PADRON!B$2,match(A:A,PADRON!A$2:A1010,0)-1,0,1,1))</f>
        <v/>
      </c>
      <c r="C703" s="368"/>
      <c r="E703" t="str">
        <f t="shared" si="1"/>
        <v/>
      </c>
      <c r="F703" s="369"/>
      <c r="G703" s="320"/>
      <c r="H703" s="320"/>
      <c r="I703" s="320">
        <f t="shared" si="2"/>
        <v>0</v>
      </c>
      <c r="J703" s="368"/>
    </row>
    <row r="704">
      <c r="B704" t="str">
        <f>if(   iserror(offset(PADRON!B$2,match(A:A,PADRON!A$2:A1010,0)-1,0,1,1) )  ,  ,    offset(PADRON!B$2,match(A:A,PADRON!A$2:A1010,0)-1,0,1,1))</f>
        <v/>
      </c>
      <c r="C704" s="368"/>
      <c r="E704" t="str">
        <f t="shared" si="1"/>
        <v/>
      </c>
      <c r="F704" s="369"/>
      <c r="G704" s="320"/>
      <c r="H704" s="320"/>
      <c r="I704" s="320">
        <f t="shared" si="2"/>
        <v>0</v>
      </c>
      <c r="J704" s="368"/>
    </row>
    <row r="705">
      <c r="B705" t="str">
        <f>if(   iserror(offset(PADRON!B$2,match(A:A,PADRON!A$2:A1010,0)-1,0,1,1) )  ,  ,    offset(PADRON!B$2,match(A:A,PADRON!A$2:A1010,0)-1,0,1,1))</f>
        <v/>
      </c>
      <c r="C705" s="368"/>
      <c r="E705" t="str">
        <f t="shared" si="1"/>
        <v/>
      </c>
      <c r="F705" s="369"/>
      <c r="G705" s="320"/>
      <c r="H705" s="320"/>
      <c r="I705" s="320">
        <f t="shared" si="2"/>
        <v>0</v>
      </c>
      <c r="J705" s="368"/>
    </row>
    <row r="706">
      <c r="B706" t="str">
        <f>if(   iserror(offset(PADRON!B$2,match(A:A,PADRON!A$2:A1010,0)-1,0,1,1) )  ,  ,    offset(PADRON!B$2,match(A:A,PADRON!A$2:A1010,0)-1,0,1,1))</f>
        <v/>
      </c>
      <c r="C706" s="368"/>
      <c r="E706" t="str">
        <f t="shared" si="1"/>
        <v/>
      </c>
      <c r="F706" s="369"/>
      <c r="G706" s="320"/>
      <c r="H706" s="320"/>
      <c r="I706" s="320">
        <f t="shared" si="2"/>
        <v>0</v>
      </c>
      <c r="J706" s="368"/>
    </row>
    <row r="707">
      <c r="B707" t="str">
        <f>if(   iserror(offset(PADRON!B$2,match(A:A,PADRON!A$2:A1010,0)-1,0,1,1) )  ,  ,    offset(PADRON!B$2,match(A:A,PADRON!A$2:A1010,0)-1,0,1,1))</f>
        <v/>
      </c>
      <c r="C707" s="368"/>
      <c r="E707" t="str">
        <f t="shared" si="1"/>
        <v/>
      </c>
      <c r="F707" s="369"/>
      <c r="G707" s="320"/>
      <c r="H707" s="320"/>
      <c r="I707" s="320">
        <f t="shared" si="2"/>
        <v>0</v>
      </c>
      <c r="J707" s="368"/>
    </row>
    <row r="708">
      <c r="B708" t="str">
        <f>if(   iserror(offset(PADRON!B$2,match(A:A,PADRON!A$2:A1010,0)-1,0,1,1) )  ,  ,    offset(PADRON!B$2,match(A:A,PADRON!A$2:A1010,0)-1,0,1,1))</f>
        <v/>
      </c>
      <c r="C708" s="368"/>
      <c r="E708" t="str">
        <f t="shared" si="1"/>
        <v/>
      </c>
      <c r="F708" s="369"/>
      <c r="G708" s="320"/>
      <c r="H708" s="320"/>
      <c r="I708" s="320">
        <f t="shared" si="2"/>
        <v>0</v>
      </c>
      <c r="J708" s="368"/>
    </row>
    <row r="709">
      <c r="B709" t="str">
        <f>if(   iserror(offset(PADRON!B$2,match(A:A,PADRON!A$2:A1010,0)-1,0,1,1) )  ,  ,    offset(PADRON!B$2,match(A:A,PADRON!A$2:A1010,0)-1,0,1,1))</f>
        <v/>
      </c>
      <c r="C709" s="368"/>
      <c r="E709" t="str">
        <f t="shared" si="1"/>
        <v/>
      </c>
      <c r="F709" s="369"/>
      <c r="G709" s="320"/>
      <c r="H709" s="320"/>
      <c r="I709" s="320">
        <f t="shared" si="2"/>
        <v>0</v>
      </c>
      <c r="J709" s="368"/>
    </row>
    <row r="710">
      <c r="B710" t="str">
        <f>if(   iserror(offset(PADRON!B$2,match(A:A,PADRON!A$2:A1010,0)-1,0,1,1) )  ,  ,    offset(PADRON!B$2,match(A:A,PADRON!A$2:A1010,0)-1,0,1,1))</f>
        <v/>
      </c>
      <c r="C710" s="368"/>
      <c r="E710" t="str">
        <f t="shared" si="1"/>
        <v/>
      </c>
      <c r="F710" s="369"/>
      <c r="G710" s="320"/>
      <c r="H710" s="320"/>
      <c r="I710" s="320">
        <f t="shared" si="2"/>
        <v>0</v>
      </c>
      <c r="J710" s="368"/>
    </row>
    <row r="711">
      <c r="B711" t="str">
        <f>if(   iserror(offset(PADRON!B$2,match(A:A,PADRON!A$2:A1010,0)-1,0,1,1) )  ,  ,    offset(PADRON!B$2,match(A:A,PADRON!A$2:A1010,0)-1,0,1,1))</f>
        <v/>
      </c>
      <c r="C711" s="368"/>
      <c r="E711" t="str">
        <f t="shared" si="1"/>
        <v/>
      </c>
      <c r="F711" s="369"/>
      <c r="G711" s="320"/>
      <c r="H711" s="320"/>
      <c r="I711" s="320">
        <f t="shared" si="2"/>
        <v>0</v>
      </c>
      <c r="J711" s="368"/>
    </row>
    <row r="712">
      <c r="B712" t="str">
        <f>if(   iserror(offset(PADRON!B$2,match(A:A,PADRON!A$2:A1010,0)-1,0,1,1) )  ,  ,    offset(PADRON!B$2,match(A:A,PADRON!A$2:A1010,0)-1,0,1,1))</f>
        <v/>
      </c>
      <c r="C712" s="368"/>
      <c r="E712" t="str">
        <f t="shared" si="1"/>
        <v/>
      </c>
      <c r="F712" s="369"/>
      <c r="G712" s="320"/>
      <c r="H712" s="320"/>
      <c r="I712" s="320">
        <f t="shared" si="2"/>
        <v>0</v>
      </c>
      <c r="J712" s="368"/>
    </row>
    <row r="713">
      <c r="B713" t="str">
        <f>if(   iserror(offset(PADRON!B$2,match(A:A,PADRON!A$2:A1010,0)-1,0,1,1) )  ,  ,    offset(PADRON!B$2,match(A:A,PADRON!A$2:A1010,0)-1,0,1,1))</f>
        <v/>
      </c>
      <c r="C713" s="368"/>
      <c r="E713" t="str">
        <f t="shared" si="1"/>
        <v/>
      </c>
      <c r="F713" s="369"/>
      <c r="G713" s="320"/>
      <c r="H713" s="320"/>
      <c r="I713" s="320">
        <f t="shared" si="2"/>
        <v>0</v>
      </c>
      <c r="J713" s="368"/>
    </row>
    <row r="714">
      <c r="B714" t="str">
        <f>if(   iserror(offset(PADRON!B$2,match(A:A,PADRON!A$2:A1010,0)-1,0,1,1) )  ,  ,    offset(PADRON!B$2,match(A:A,PADRON!A$2:A1010,0)-1,0,1,1))</f>
        <v/>
      </c>
      <c r="C714" s="368"/>
      <c r="E714" t="str">
        <f t="shared" si="1"/>
        <v/>
      </c>
      <c r="F714" s="369"/>
      <c r="G714" s="320"/>
      <c r="H714" s="320"/>
      <c r="I714" s="320">
        <f t="shared" si="2"/>
        <v>0</v>
      </c>
      <c r="J714" s="368"/>
    </row>
    <row r="715">
      <c r="B715" t="str">
        <f>if(   iserror(offset(PADRON!B$2,match(A:A,PADRON!A$2:A1010,0)-1,0,1,1) )  ,  ,    offset(PADRON!B$2,match(A:A,PADRON!A$2:A1010,0)-1,0,1,1))</f>
        <v/>
      </c>
      <c r="C715" s="368"/>
      <c r="E715" t="str">
        <f t="shared" si="1"/>
        <v/>
      </c>
      <c r="F715" s="369"/>
      <c r="G715" s="320"/>
      <c r="H715" s="320"/>
      <c r="I715" s="320">
        <f t="shared" si="2"/>
        <v>0</v>
      </c>
      <c r="J715" s="368"/>
    </row>
    <row r="716">
      <c r="B716" t="str">
        <f>if(   iserror(offset(PADRON!B$2,match(A:A,PADRON!A$2:A1010,0)-1,0,1,1) )  ,  ,    offset(PADRON!B$2,match(A:A,PADRON!A$2:A1010,0)-1,0,1,1))</f>
        <v/>
      </c>
      <c r="C716" s="368"/>
      <c r="E716" t="str">
        <f t="shared" si="1"/>
        <v/>
      </c>
      <c r="F716" s="369"/>
      <c r="G716" s="320"/>
      <c r="H716" s="320"/>
      <c r="I716" s="320">
        <f t="shared" si="2"/>
        <v>0</v>
      </c>
      <c r="J716" s="368"/>
    </row>
    <row r="717">
      <c r="B717" t="str">
        <f>if(   iserror(offset(PADRON!B$2,match(A:A,PADRON!A$2:A1010,0)-1,0,1,1) )  ,  ,    offset(PADRON!B$2,match(A:A,PADRON!A$2:A1010,0)-1,0,1,1))</f>
        <v/>
      </c>
      <c r="C717" s="368"/>
      <c r="E717" t="str">
        <f t="shared" si="1"/>
        <v/>
      </c>
      <c r="F717" s="369"/>
      <c r="G717" s="320"/>
      <c r="H717" s="320"/>
      <c r="I717" s="320">
        <f t="shared" si="2"/>
        <v>0</v>
      </c>
      <c r="J717" s="368"/>
    </row>
    <row r="718">
      <c r="B718" t="str">
        <f>if(   iserror(offset(PADRON!B$2,match(A:A,PADRON!A$2:A1010,0)-1,0,1,1) )  ,  ,    offset(PADRON!B$2,match(A:A,PADRON!A$2:A1010,0)-1,0,1,1))</f>
        <v/>
      </c>
      <c r="C718" s="368"/>
      <c r="E718" t="str">
        <f t="shared" si="1"/>
        <v/>
      </c>
      <c r="F718" s="369"/>
      <c r="G718" s="320"/>
      <c r="H718" s="320"/>
      <c r="I718" s="320">
        <f t="shared" si="2"/>
        <v>0</v>
      </c>
      <c r="J718" s="368"/>
    </row>
    <row r="719">
      <c r="B719" t="str">
        <f>if(   iserror(offset(PADRON!B$2,match(A:A,PADRON!A$2:A1010,0)-1,0,1,1) )  ,  ,    offset(PADRON!B$2,match(A:A,PADRON!A$2:A1010,0)-1,0,1,1))</f>
        <v/>
      </c>
      <c r="C719" s="368"/>
      <c r="E719" t="str">
        <f t="shared" si="1"/>
        <v/>
      </c>
      <c r="F719" s="369"/>
      <c r="G719" s="320"/>
      <c r="H719" s="320"/>
      <c r="I719" s="320">
        <f t="shared" si="2"/>
        <v>0</v>
      </c>
      <c r="J719" s="368"/>
    </row>
    <row r="720">
      <c r="B720" t="str">
        <f>if(   iserror(offset(PADRON!B$2,match(A:A,PADRON!A$2:A1010,0)-1,0,1,1) )  ,  ,    offset(PADRON!B$2,match(A:A,PADRON!A$2:A1010,0)-1,0,1,1))</f>
        <v/>
      </c>
      <c r="C720" s="368"/>
      <c r="E720" t="str">
        <f t="shared" si="1"/>
        <v/>
      </c>
      <c r="F720" s="369"/>
      <c r="G720" s="320"/>
      <c r="H720" s="320"/>
      <c r="I720" s="320">
        <f t="shared" si="2"/>
        <v>0</v>
      </c>
      <c r="J720" s="368"/>
    </row>
    <row r="721">
      <c r="B721" t="str">
        <f>if(   iserror(offset(PADRON!B$2,match(A:A,PADRON!A$2:A1010,0)-1,0,1,1) )  ,  ,    offset(PADRON!B$2,match(A:A,PADRON!A$2:A1010,0)-1,0,1,1))</f>
        <v/>
      </c>
      <c r="C721" s="368"/>
      <c r="E721" t="str">
        <f t="shared" si="1"/>
        <v/>
      </c>
      <c r="F721" s="369"/>
      <c r="G721" s="320"/>
      <c r="H721" s="320"/>
      <c r="I721" s="320">
        <f t="shared" si="2"/>
        <v>0</v>
      </c>
      <c r="J721" s="368"/>
    </row>
    <row r="722">
      <c r="B722" t="str">
        <f>if(   iserror(offset(PADRON!B$2,match(A:A,PADRON!A$2:A1010,0)-1,0,1,1) )  ,  ,    offset(PADRON!B$2,match(A:A,PADRON!A$2:A1010,0)-1,0,1,1))</f>
        <v/>
      </c>
      <c r="C722" s="368"/>
      <c r="E722" t="str">
        <f t="shared" si="1"/>
        <v/>
      </c>
      <c r="F722" s="369"/>
      <c r="G722" s="320"/>
      <c r="H722" s="320"/>
      <c r="I722" s="320">
        <f t="shared" si="2"/>
        <v>0</v>
      </c>
      <c r="J722" s="368"/>
    </row>
    <row r="723">
      <c r="B723" t="str">
        <f>if(   iserror(offset(PADRON!B$2,match(A:A,PADRON!A$2:A1010,0)-1,0,1,1) )  ,  ,    offset(PADRON!B$2,match(A:A,PADRON!A$2:A1010,0)-1,0,1,1))</f>
        <v/>
      </c>
      <c r="C723" s="368"/>
      <c r="E723" t="str">
        <f t="shared" si="1"/>
        <v/>
      </c>
      <c r="F723" s="369"/>
      <c r="G723" s="320"/>
      <c r="H723" s="320"/>
      <c r="I723" s="320">
        <f t="shared" si="2"/>
        <v>0</v>
      </c>
      <c r="J723" s="368"/>
    </row>
    <row r="724">
      <c r="B724" t="str">
        <f>if(   iserror(offset(PADRON!B$2,match(A:A,PADRON!A$2:A1010,0)-1,0,1,1) )  ,  ,    offset(PADRON!B$2,match(A:A,PADRON!A$2:A1010,0)-1,0,1,1))</f>
        <v/>
      </c>
      <c r="C724" s="368"/>
      <c r="E724" t="str">
        <f t="shared" si="1"/>
        <v/>
      </c>
      <c r="F724" s="369"/>
      <c r="G724" s="320"/>
      <c r="H724" s="320"/>
      <c r="I724" s="320">
        <f t="shared" si="2"/>
        <v>0</v>
      </c>
      <c r="J724" s="368"/>
    </row>
    <row r="725">
      <c r="B725" t="str">
        <f>if(   iserror(offset(PADRON!B$2,match(A:A,PADRON!A$2:A1010,0)-1,0,1,1) )  ,  ,    offset(PADRON!B$2,match(A:A,PADRON!A$2:A1010,0)-1,0,1,1))</f>
        <v/>
      </c>
      <c r="C725" s="368"/>
      <c r="E725" t="str">
        <f t="shared" si="1"/>
        <v/>
      </c>
      <c r="F725" s="369"/>
      <c r="G725" s="320"/>
      <c r="H725" s="320"/>
      <c r="I725" s="320">
        <f t="shared" si="2"/>
        <v>0</v>
      </c>
      <c r="J725" s="368"/>
    </row>
    <row r="726">
      <c r="B726" t="str">
        <f>if(   iserror(offset(PADRON!B$2,match(A:A,PADRON!A$2:A1010,0)-1,0,1,1) )  ,  ,    offset(PADRON!B$2,match(A:A,PADRON!A$2:A1010,0)-1,0,1,1))</f>
        <v/>
      </c>
      <c r="C726" s="368"/>
      <c r="E726" t="str">
        <f t="shared" si="1"/>
        <v/>
      </c>
      <c r="F726" s="369"/>
      <c r="G726" s="320"/>
      <c r="H726" s="320"/>
      <c r="I726" s="320">
        <f t="shared" si="2"/>
        <v>0</v>
      </c>
      <c r="J726" s="368"/>
    </row>
    <row r="727">
      <c r="B727" t="str">
        <f>if(   iserror(offset(PADRON!B$2,match(A:A,PADRON!A$2:A1010,0)-1,0,1,1) )  ,  ,    offset(PADRON!B$2,match(A:A,PADRON!A$2:A1010,0)-1,0,1,1))</f>
        <v/>
      </c>
      <c r="C727" s="368"/>
      <c r="E727" t="str">
        <f t="shared" si="1"/>
        <v/>
      </c>
      <c r="F727" s="369"/>
      <c r="G727" s="320"/>
      <c r="H727" s="320"/>
      <c r="I727" s="320">
        <f t="shared" si="2"/>
        <v>0</v>
      </c>
      <c r="J727" s="368"/>
    </row>
    <row r="728">
      <c r="B728" t="str">
        <f>if(   iserror(offset(PADRON!B$2,match(A:A,PADRON!A$2:A1010,0)-1,0,1,1) )  ,  ,    offset(PADRON!B$2,match(A:A,PADRON!A$2:A1010,0)-1,0,1,1))</f>
        <v/>
      </c>
      <c r="C728" s="368"/>
      <c r="E728" t="str">
        <f t="shared" si="1"/>
        <v/>
      </c>
      <c r="F728" s="369"/>
      <c r="G728" s="320"/>
      <c r="H728" s="320"/>
      <c r="I728" s="320">
        <f t="shared" si="2"/>
        <v>0</v>
      </c>
      <c r="J728" s="368"/>
    </row>
    <row r="729">
      <c r="B729" t="str">
        <f>if(   iserror(offset(PADRON!B$2,match(A:A,PADRON!A$2:A1010,0)-1,0,1,1) )  ,  ,    offset(PADRON!B$2,match(A:A,PADRON!A$2:A1010,0)-1,0,1,1))</f>
        <v/>
      </c>
      <c r="C729" s="368"/>
      <c r="E729" t="str">
        <f t="shared" si="1"/>
        <v/>
      </c>
      <c r="F729" s="369"/>
      <c r="G729" s="320"/>
      <c r="H729" s="320"/>
      <c r="I729" s="320">
        <f t="shared" si="2"/>
        <v>0</v>
      </c>
      <c r="J729" s="368"/>
    </row>
    <row r="730">
      <c r="B730" t="str">
        <f>if(   iserror(offset(PADRON!B$2,match(A:A,PADRON!A$2:A1010,0)-1,0,1,1) )  ,  ,    offset(PADRON!B$2,match(A:A,PADRON!A$2:A1010,0)-1,0,1,1))</f>
        <v/>
      </c>
      <c r="C730" s="368"/>
      <c r="E730" t="str">
        <f t="shared" si="1"/>
        <v/>
      </c>
      <c r="F730" s="369"/>
      <c r="G730" s="320"/>
      <c r="H730" s="320"/>
      <c r="I730" s="320">
        <f t="shared" si="2"/>
        <v>0</v>
      </c>
      <c r="J730" s="368"/>
    </row>
    <row r="731">
      <c r="B731" t="str">
        <f>if(   iserror(offset(PADRON!B$2,match(A:A,PADRON!A$2:A1010,0)-1,0,1,1) )  ,  ,    offset(PADRON!B$2,match(A:A,PADRON!A$2:A1010,0)-1,0,1,1))</f>
        <v/>
      </c>
      <c r="C731" s="368"/>
      <c r="E731" t="str">
        <f t="shared" si="1"/>
        <v/>
      </c>
      <c r="F731" s="369"/>
      <c r="G731" s="320"/>
      <c r="H731" s="320"/>
      <c r="I731" s="320">
        <f t="shared" si="2"/>
        <v>0</v>
      </c>
      <c r="J731" s="368"/>
    </row>
    <row r="732">
      <c r="B732" t="str">
        <f>if(   iserror(offset(PADRON!B$2,match(A:A,PADRON!A$2:A1010,0)-1,0,1,1) )  ,  ,    offset(PADRON!B$2,match(A:A,PADRON!A$2:A1010,0)-1,0,1,1))</f>
        <v/>
      </c>
      <c r="C732" s="368"/>
      <c r="E732" t="str">
        <f t="shared" si="1"/>
        <v/>
      </c>
      <c r="F732" s="369"/>
      <c r="G732" s="320"/>
      <c r="H732" s="320"/>
      <c r="I732" s="320">
        <f t="shared" si="2"/>
        <v>0</v>
      </c>
      <c r="J732" s="368"/>
    </row>
    <row r="733">
      <c r="B733" t="str">
        <f>if(   iserror(offset(PADRON!B$2,match(A:A,PADRON!A$2:A1010,0)-1,0,1,1) )  ,  ,    offset(PADRON!B$2,match(A:A,PADRON!A$2:A1010,0)-1,0,1,1))</f>
        <v/>
      </c>
      <c r="C733" s="368"/>
      <c r="E733" t="str">
        <f t="shared" si="1"/>
        <v/>
      </c>
      <c r="F733" s="369"/>
      <c r="G733" s="320"/>
      <c r="H733" s="320"/>
      <c r="I733" s="320">
        <f t="shared" si="2"/>
        <v>0</v>
      </c>
      <c r="J733" s="368"/>
    </row>
    <row r="734">
      <c r="B734" t="str">
        <f>if(   iserror(offset(PADRON!B$2,match(A:A,PADRON!A$2:A1010,0)-1,0,1,1) )  ,  ,    offset(PADRON!B$2,match(A:A,PADRON!A$2:A1010,0)-1,0,1,1))</f>
        <v/>
      </c>
      <c r="C734" s="368"/>
      <c r="E734" t="str">
        <f t="shared" si="1"/>
        <v/>
      </c>
      <c r="F734" s="369"/>
      <c r="G734" s="320"/>
      <c r="H734" s="320"/>
      <c r="I734" s="320">
        <f t="shared" si="2"/>
        <v>0</v>
      </c>
      <c r="J734" s="368"/>
    </row>
    <row r="735">
      <c r="B735" t="str">
        <f>if(   iserror(offset(PADRON!B$2,match(A:A,PADRON!A$2:A1010,0)-1,0,1,1) )  ,  ,    offset(PADRON!B$2,match(A:A,PADRON!A$2:A1010,0)-1,0,1,1))</f>
        <v/>
      </c>
      <c r="C735" s="368"/>
      <c r="E735" t="str">
        <f t="shared" si="1"/>
        <v/>
      </c>
      <c r="F735" s="369"/>
      <c r="G735" s="320"/>
      <c r="H735" s="320"/>
      <c r="I735" s="320">
        <f t="shared" si="2"/>
        <v>0</v>
      </c>
      <c r="J735" s="368"/>
    </row>
    <row r="736">
      <c r="B736" t="str">
        <f>if(   iserror(offset(PADRON!B$2,match(A:A,PADRON!A$2:A1010,0)-1,0,1,1) )  ,  ,    offset(PADRON!B$2,match(A:A,PADRON!A$2:A1010,0)-1,0,1,1))</f>
        <v/>
      </c>
      <c r="C736" s="368"/>
      <c r="E736" t="str">
        <f t="shared" si="1"/>
        <v/>
      </c>
      <c r="F736" s="369"/>
      <c r="G736" s="320"/>
      <c r="H736" s="320"/>
      <c r="I736" s="320">
        <f t="shared" si="2"/>
        <v>0</v>
      </c>
      <c r="J736" s="368"/>
    </row>
    <row r="737">
      <c r="B737" t="str">
        <f>if(   iserror(offset(PADRON!B$2,match(A:A,PADRON!A$2:A1010,0)-1,0,1,1) )  ,  ,    offset(PADRON!B$2,match(A:A,PADRON!A$2:A1010,0)-1,0,1,1))</f>
        <v/>
      </c>
      <c r="C737" s="368"/>
      <c r="E737" t="str">
        <f t="shared" si="1"/>
        <v/>
      </c>
      <c r="F737" s="369"/>
      <c r="G737" s="320"/>
      <c r="H737" s="320"/>
      <c r="I737" s="320">
        <f t="shared" si="2"/>
        <v>0</v>
      </c>
      <c r="J737" s="368"/>
    </row>
    <row r="738">
      <c r="B738" t="str">
        <f>if(   iserror(offset(PADRON!B$2,match(A:A,PADRON!A$2:A1010,0)-1,0,1,1) )  ,  ,    offset(PADRON!B$2,match(A:A,PADRON!A$2:A1010,0)-1,0,1,1))</f>
        <v/>
      </c>
      <c r="C738" s="368"/>
      <c r="E738" t="str">
        <f t="shared" si="1"/>
        <v/>
      </c>
      <c r="F738" s="369"/>
      <c r="G738" s="320"/>
      <c r="H738" s="320"/>
      <c r="I738" s="320">
        <f t="shared" si="2"/>
        <v>0</v>
      </c>
      <c r="J738" s="368"/>
    </row>
    <row r="739">
      <c r="B739" t="str">
        <f>if(   iserror(offset(PADRON!B$2,match(A:A,PADRON!A$2:A1010,0)-1,0,1,1) )  ,  ,    offset(PADRON!B$2,match(A:A,PADRON!A$2:A1010,0)-1,0,1,1))</f>
        <v/>
      </c>
      <c r="C739" s="368"/>
      <c r="E739" t="str">
        <f t="shared" si="1"/>
        <v/>
      </c>
      <c r="F739" s="369"/>
      <c r="G739" s="320"/>
      <c r="H739" s="320"/>
      <c r="I739" s="320">
        <f t="shared" si="2"/>
        <v>0</v>
      </c>
      <c r="J739" s="368"/>
    </row>
    <row r="740">
      <c r="B740" t="str">
        <f>if(   iserror(offset(PADRON!B$2,match(A:A,PADRON!A$2:A1010,0)-1,0,1,1) )  ,  ,    offset(PADRON!B$2,match(A:A,PADRON!A$2:A1010,0)-1,0,1,1))</f>
        <v/>
      </c>
      <c r="C740" s="368"/>
      <c r="E740" t="str">
        <f t="shared" si="1"/>
        <v/>
      </c>
      <c r="F740" s="369"/>
      <c r="G740" s="320"/>
      <c r="H740" s="320"/>
      <c r="I740" s="320">
        <f t="shared" si="2"/>
        <v>0</v>
      </c>
      <c r="J740" s="368"/>
    </row>
    <row r="741">
      <c r="B741" t="str">
        <f>if(   iserror(offset(PADRON!B$2,match(A:A,PADRON!A$2:A1010,0)-1,0,1,1) )  ,  ,    offset(PADRON!B$2,match(A:A,PADRON!A$2:A1010,0)-1,0,1,1))</f>
        <v/>
      </c>
      <c r="C741" s="368"/>
      <c r="E741" t="str">
        <f t="shared" si="1"/>
        <v/>
      </c>
      <c r="F741" s="369"/>
      <c r="G741" s="320"/>
      <c r="H741" s="320"/>
      <c r="I741" s="320">
        <f t="shared" si="2"/>
        <v>0</v>
      </c>
      <c r="J741" s="368"/>
    </row>
    <row r="742">
      <c r="B742" t="str">
        <f>if(   iserror(offset(PADRON!B$2,match(A:A,PADRON!A$2:A1010,0)-1,0,1,1) )  ,  ,    offset(PADRON!B$2,match(A:A,PADRON!A$2:A1010,0)-1,0,1,1))</f>
        <v/>
      </c>
      <c r="C742" s="368"/>
      <c r="E742" t="str">
        <f t="shared" si="1"/>
        <v/>
      </c>
      <c r="F742" s="369"/>
      <c r="G742" s="320"/>
      <c r="H742" s="320"/>
      <c r="I742" s="320">
        <f t="shared" si="2"/>
        <v>0</v>
      </c>
      <c r="J742" s="368"/>
    </row>
    <row r="743">
      <c r="B743" t="str">
        <f>if(   iserror(offset(PADRON!B$2,match(A:A,PADRON!A$2:A1010,0)-1,0,1,1) )  ,  ,    offset(PADRON!B$2,match(A:A,PADRON!A$2:A1010,0)-1,0,1,1))</f>
        <v/>
      </c>
      <c r="C743" s="368"/>
      <c r="E743" t="str">
        <f t="shared" si="1"/>
        <v/>
      </c>
      <c r="F743" s="369"/>
      <c r="G743" s="320"/>
      <c r="H743" s="320"/>
      <c r="I743" s="320">
        <f t="shared" si="2"/>
        <v>0</v>
      </c>
      <c r="J743" s="368"/>
    </row>
    <row r="744">
      <c r="B744" t="str">
        <f>if(   iserror(offset(PADRON!B$2,match(A:A,PADRON!A$2:A1010,0)-1,0,1,1) )  ,  ,    offset(PADRON!B$2,match(A:A,PADRON!A$2:A1010,0)-1,0,1,1))</f>
        <v/>
      </c>
      <c r="C744" s="368"/>
      <c r="E744" t="str">
        <f t="shared" si="1"/>
        <v/>
      </c>
      <c r="F744" s="369"/>
      <c r="G744" s="320"/>
      <c r="H744" s="320"/>
      <c r="I744" s="320">
        <f t="shared" si="2"/>
        <v>0</v>
      </c>
      <c r="J744" s="368"/>
    </row>
    <row r="745">
      <c r="B745" t="str">
        <f>if(   iserror(offset(PADRON!B$2,match(A:A,PADRON!A$2:A1010,0)-1,0,1,1) )  ,  ,    offset(PADRON!B$2,match(A:A,PADRON!A$2:A1010,0)-1,0,1,1))</f>
        <v/>
      </c>
      <c r="C745" s="368"/>
      <c r="E745" t="str">
        <f t="shared" si="1"/>
        <v/>
      </c>
      <c r="F745" s="369"/>
      <c r="G745" s="320"/>
      <c r="H745" s="320"/>
      <c r="I745" s="320">
        <f t="shared" si="2"/>
        <v>0</v>
      </c>
      <c r="J745" s="368"/>
    </row>
    <row r="746">
      <c r="B746" t="str">
        <f>if(   iserror(offset(PADRON!B$2,match(A:A,PADRON!A$2:A1010,0)-1,0,1,1) )  ,  ,    offset(PADRON!B$2,match(A:A,PADRON!A$2:A1010,0)-1,0,1,1))</f>
        <v/>
      </c>
      <c r="C746" s="368"/>
      <c r="E746" t="str">
        <f t="shared" si="1"/>
        <v/>
      </c>
      <c r="F746" s="369"/>
      <c r="G746" s="320"/>
      <c r="H746" s="320"/>
      <c r="I746" s="320">
        <f t="shared" si="2"/>
        <v>0</v>
      </c>
      <c r="J746" s="368"/>
    </row>
    <row r="747">
      <c r="B747" t="str">
        <f>if(   iserror(offset(PADRON!B$2,match(A:A,PADRON!A$2:A1010,0)-1,0,1,1) )  ,  ,    offset(PADRON!B$2,match(A:A,PADRON!A$2:A1010,0)-1,0,1,1))</f>
        <v/>
      </c>
      <c r="C747" s="368"/>
      <c r="E747" t="str">
        <f t="shared" si="1"/>
        <v/>
      </c>
      <c r="F747" s="369"/>
      <c r="G747" s="320"/>
      <c r="H747" s="320"/>
      <c r="I747" s="320">
        <f t="shared" si="2"/>
        <v>0</v>
      </c>
      <c r="J747" s="368"/>
    </row>
    <row r="748">
      <c r="B748" t="str">
        <f>if(   iserror(offset(PADRON!B$2,match(A:A,PADRON!A$2:A1010,0)-1,0,1,1) )  ,  ,    offset(PADRON!B$2,match(A:A,PADRON!A$2:A1010,0)-1,0,1,1))</f>
        <v/>
      </c>
      <c r="C748" s="368"/>
      <c r="E748" t="str">
        <f t="shared" si="1"/>
        <v/>
      </c>
      <c r="F748" s="369"/>
      <c r="G748" s="320"/>
      <c r="H748" s="320"/>
      <c r="I748" s="320">
        <f t="shared" si="2"/>
        <v>0</v>
      </c>
      <c r="J748" s="368"/>
    </row>
    <row r="749">
      <c r="B749" t="str">
        <f>if(   iserror(offset(PADRON!B$2,match(A:A,PADRON!A$2:A1010,0)-1,0,1,1) )  ,  ,    offset(PADRON!B$2,match(A:A,PADRON!A$2:A1010,0)-1,0,1,1))</f>
        <v/>
      </c>
      <c r="C749" s="368"/>
      <c r="E749" t="str">
        <f t="shared" si="1"/>
        <v/>
      </c>
      <c r="F749" s="369"/>
      <c r="G749" s="320"/>
      <c r="H749" s="320"/>
      <c r="I749" s="320">
        <f t="shared" si="2"/>
        <v>0</v>
      </c>
      <c r="J749" s="368"/>
    </row>
    <row r="750">
      <c r="B750" t="str">
        <f>if(   iserror(offset(PADRON!B$2,match(A:A,PADRON!A$2:A1010,0)-1,0,1,1) )  ,  ,    offset(PADRON!B$2,match(A:A,PADRON!A$2:A1010,0)-1,0,1,1))</f>
        <v/>
      </c>
      <c r="C750" s="368"/>
      <c r="E750" t="str">
        <f t="shared" si="1"/>
        <v/>
      </c>
      <c r="F750" s="369"/>
      <c r="G750" s="320"/>
      <c r="H750" s="320"/>
      <c r="I750" s="320">
        <f t="shared" si="2"/>
        <v>0</v>
      </c>
      <c r="J750" s="368"/>
    </row>
    <row r="751">
      <c r="B751" t="str">
        <f>if(   iserror(offset(PADRON!B$2,match(A:A,PADRON!A$2:A1010,0)-1,0,1,1) )  ,  ,    offset(PADRON!B$2,match(A:A,PADRON!A$2:A1010,0)-1,0,1,1))</f>
        <v/>
      </c>
      <c r="C751" s="368"/>
      <c r="E751" t="str">
        <f t="shared" si="1"/>
        <v/>
      </c>
      <c r="F751" s="369"/>
      <c r="G751" s="320"/>
      <c r="H751" s="320"/>
      <c r="I751" s="320">
        <f t="shared" si="2"/>
        <v>0</v>
      </c>
      <c r="J751" s="368"/>
    </row>
    <row r="752">
      <c r="B752" t="str">
        <f>if(   iserror(offset(PADRON!B$2,match(A:A,PADRON!A$2:A1010,0)-1,0,1,1) )  ,  ,    offset(PADRON!B$2,match(A:A,PADRON!A$2:A1010,0)-1,0,1,1))</f>
        <v/>
      </c>
      <c r="C752" s="368"/>
      <c r="E752" t="str">
        <f t="shared" si="1"/>
        <v/>
      </c>
      <c r="F752" s="369"/>
      <c r="G752" s="320"/>
      <c r="H752" s="320"/>
      <c r="I752" s="320">
        <f t="shared" si="2"/>
        <v>0</v>
      </c>
      <c r="J752" s="368"/>
    </row>
    <row r="753">
      <c r="B753" t="str">
        <f>if(   iserror(offset(PADRON!B$2,match(A:A,PADRON!A$2:A1010,0)-1,0,1,1) )  ,  ,    offset(PADRON!B$2,match(A:A,PADRON!A$2:A1010,0)-1,0,1,1))</f>
        <v/>
      </c>
      <c r="C753" s="368"/>
      <c r="E753" t="str">
        <f t="shared" si="1"/>
        <v/>
      </c>
      <c r="F753" s="369"/>
      <c r="G753" s="320"/>
      <c r="H753" s="320"/>
      <c r="I753" s="320">
        <f t="shared" si="2"/>
        <v>0</v>
      </c>
      <c r="J753" s="368"/>
    </row>
    <row r="754">
      <c r="B754" t="str">
        <f>if(   iserror(offset(PADRON!B$2,match(A:A,PADRON!A$2:A1010,0)-1,0,1,1) )  ,  ,    offset(PADRON!B$2,match(A:A,PADRON!A$2:A1010,0)-1,0,1,1))</f>
        <v/>
      </c>
      <c r="C754" s="368"/>
      <c r="E754" t="str">
        <f t="shared" si="1"/>
        <v/>
      </c>
      <c r="F754" s="369"/>
      <c r="G754" s="320"/>
      <c r="H754" s="320"/>
      <c r="I754" s="320">
        <f t="shared" si="2"/>
        <v>0</v>
      </c>
      <c r="J754" s="368"/>
    </row>
    <row r="755">
      <c r="B755" t="str">
        <f>if(   iserror(offset(PADRON!B$2,match(A:A,PADRON!A$2:A1010,0)-1,0,1,1) )  ,  ,    offset(PADRON!B$2,match(A:A,PADRON!A$2:A1010,0)-1,0,1,1))</f>
        <v/>
      </c>
      <c r="C755" s="368"/>
      <c r="E755" t="str">
        <f t="shared" si="1"/>
        <v/>
      </c>
      <c r="F755" s="369"/>
      <c r="G755" s="320"/>
      <c r="H755" s="320"/>
      <c r="I755" s="320">
        <f t="shared" si="2"/>
        <v>0</v>
      </c>
      <c r="J755" s="368"/>
    </row>
    <row r="756">
      <c r="B756" t="str">
        <f>if(   iserror(offset(PADRON!B$2,match(A:A,PADRON!A$2:A1010,0)-1,0,1,1) )  ,  ,    offset(PADRON!B$2,match(A:A,PADRON!A$2:A1010,0)-1,0,1,1))</f>
        <v/>
      </c>
      <c r="C756" s="368"/>
      <c r="E756" t="str">
        <f t="shared" si="1"/>
        <v/>
      </c>
      <c r="F756" s="369"/>
      <c r="G756" s="320"/>
      <c r="H756" s="320"/>
      <c r="I756" s="320">
        <f t="shared" si="2"/>
        <v>0</v>
      </c>
      <c r="J756" s="368"/>
    </row>
    <row r="757">
      <c r="B757" t="str">
        <f>if(   iserror(offset(PADRON!B$2,match(A:A,PADRON!A$2:A1010,0)-1,0,1,1) )  ,  ,    offset(PADRON!B$2,match(A:A,PADRON!A$2:A1010,0)-1,0,1,1))</f>
        <v/>
      </c>
      <c r="C757" s="368"/>
      <c r="E757" t="str">
        <f t="shared" si="1"/>
        <v/>
      </c>
      <c r="F757" s="369"/>
      <c r="G757" s="320"/>
      <c r="H757" s="320"/>
      <c r="I757" s="320">
        <f t="shared" si="2"/>
        <v>0</v>
      </c>
      <c r="J757" s="368"/>
    </row>
    <row r="758">
      <c r="B758" t="str">
        <f>if(   iserror(offset(PADRON!B$2,match(A:A,PADRON!A$2:A1010,0)-1,0,1,1) )  ,  ,    offset(PADRON!B$2,match(A:A,PADRON!A$2:A1010,0)-1,0,1,1))</f>
        <v/>
      </c>
      <c r="C758" s="368"/>
      <c r="E758" t="str">
        <f t="shared" si="1"/>
        <v/>
      </c>
      <c r="F758" s="369"/>
      <c r="G758" s="320"/>
      <c r="H758" s="320"/>
      <c r="I758" s="320">
        <f t="shared" si="2"/>
        <v>0</v>
      </c>
      <c r="J758" s="368"/>
    </row>
    <row r="759">
      <c r="B759" t="str">
        <f>if(   iserror(offset(PADRON!B$2,match(A:A,PADRON!A$2:A1010,0)-1,0,1,1) )  ,  ,    offset(PADRON!B$2,match(A:A,PADRON!A$2:A1010,0)-1,0,1,1))</f>
        <v/>
      </c>
      <c r="C759" s="368"/>
      <c r="E759" t="str">
        <f t="shared" si="1"/>
        <v/>
      </c>
      <c r="F759" s="369"/>
      <c r="G759" s="320"/>
      <c r="H759" s="320"/>
      <c r="I759" s="320">
        <f t="shared" si="2"/>
        <v>0</v>
      </c>
      <c r="J759" s="368"/>
    </row>
    <row r="760">
      <c r="B760" t="str">
        <f>if(   iserror(offset(PADRON!B$2,match(A:A,PADRON!A$2:A1010,0)-1,0,1,1) )  ,  ,    offset(PADRON!B$2,match(A:A,PADRON!A$2:A1010,0)-1,0,1,1))</f>
        <v/>
      </c>
      <c r="C760" s="368"/>
      <c r="E760" t="str">
        <f t="shared" si="1"/>
        <v/>
      </c>
      <c r="F760" s="369"/>
      <c r="G760" s="320"/>
      <c r="H760" s="320"/>
      <c r="I760" s="320">
        <f t="shared" si="2"/>
        <v>0</v>
      </c>
      <c r="J760" s="368"/>
    </row>
    <row r="761">
      <c r="B761" t="str">
        <f>if(   iserror(offset(PADRON!B$2,match(A:A,PADRON!A$2:A1010,0)-1,0,1,1) )  ,  ,    offset(PADRON!B$2,match(A:A,PADRON!A$2:A1010,0)-1,0,1,1))</f>
        <v/>
      </c>
      <c r="C761" s="368"/>
      <c r="E761" t="str">
        <f t="shared" si="1"/>
        <v/>
      </c>
      <c r="F761" s="369"/>
      <c r="G761" s="320"/>
      <c r="H761" s="320"/>
      <c r="I761" s="320">
        <f t="shared" si="2"/>
        <v>0</v>
      </c>
      <c r="J761" s="368"/>
    </row>
    <row r="762">
      <c r="B762" t="str">
        <f>if(   iserror(offset(PADRON!B$2,match(A:A,PADRON!A$2:A1010,0)-1,0,1,1) )  ,  ,    offset(PADRON!B$2,match(A:A,PADRON!A$2:A1010,0)-1,0,1,1))</f>
        <v/>
      </c>
      <c r="C762" s="368"/>
      <c r="E762" t="str">
        <f t="shared" si="1"/>
        <v/>
      </c>
      <c r="F762" s="369"/>
      <c r="G762" s="320"/>
      <c r="H762" s="320"/>
      <c r="I762" s="320">
        <f t="shared" si="2"/>
        <v>0</v>
      </c>
      <c r="J762" s="368"/>
    </row>
    <row r="763">
      <c r="B763" t="str">
        <f>if(   iserror(offset(PADRON!B$2,match(A:A,PADRON!A$2:A1010,0)-1,0,1,1) )  ,  ,    offset(PADRON!B$2,match(A:A,PADRON!A$2:A1010,0)-1,0,1,1))</f>
        <v/>
      </c>
      <c r="C763" s="368"/>
      <c r="E763" t="str">
        <f t="shared" si="1"/>
        <v/>
      </c>
      <c r="F763" s="369"/>
      <c r="G763" s="320"/>
      <c r="H763" s="320"/>
      <c r="I763" s="320">
        <f t="shared" si="2"/>
        <v>0</v>
      </c>
      <c r="J763" s="368"/>
    </row>
    <row r="764">
      <c r="B764" t="str">
        <f>if(   iserror(offset(PADRON!B$2,match(A:A,PADRON!A$2:A1010,0)-1,0,1,1) )  ,  ,    offset(PADRON!B$2,match(A:A,PADRON!A$2:A1010,0)-1,0,1,1))</f>
        <v/>
      </c>
      <c r="C764" s="368"/>
      <c r="E764" t="str">
        <f t="shared" si="1"/>
        <v/>
      </c>
      <c r="F764" s="369"/>
      <c r="G764" s="320"/>
      <c r="H764" s="320"/>
      <c r="I764" s="320">
        <f t="shared" si="2"/>
        <v>0</v>
      </c>
      <c r="J764" s="368"/>
    </row>
    <row r="765">
      <c r="B765" t="str">
        <f>if(   iserror(offset(PADRON!B$2,match(A:A,PADRON!A$2:A1010,0)-1,0,1,1) )  ,  ,    offset(PADRON!B$2,match(A:A,PADRON!A$2:A1010,0)-1,0,1,1))</f>
        <v/>
      </c>
      <c r="C765" s="368"/>
      <c r="E765" t="str">
        <f t="shared" si="1"/>
        <v/>
      </c>
      <c r="F765" s="369"/>
      <c r="G765" s="320"/>
      <c r="H765" s="320"/>
      <c r="I765" s="320">
        <f t="shared" si="2"/>
        <v>0</v>
      </c>
      <c r="J765" s="368"/>
    </row>
    <row r="766">
      <c r="B766" t="str">
        <f>if(   iserror(offset(PADRON!B$2,match(A:A,PADRON!A$2:A1010,0)-1,0,1,1) )  ,  ,    offset(PADRON!B$2,match(A:A,PADRON!A$2:A1010,0)-1,0,1,1))</f>
        <v/>
      </c>
      <c r="C766" s="368"/>
      <c r="E766" t="str">
        <f t="shared" si="1"/>
        <v/>
      </c>
      <c r="F766" s="369"/>
      <c r="G766" s="320"/>
      <c r="H766" s="320"/>
      <c r="I766" s="320">
        <f t="shared" si="2"/>
        <v>0</v>
      </c>
      <c r="J766" s="368"/>
    </row>
    <row r="767">
      <c r="B767" t="str">
        <f>if(   iserror(offset(PADRON!B$2,match(A:A,PADRON!A$2:A1010,0)-1,0,1,1) )  ,  ,    offset(PADRON!B$2,match(A:A,PADRON!A$2:A1010,0)-1,0,1,1))</f>
        <v/>
      </c>
      <c r="C767" s="368"/>
      <c r="E767" t="str">
        <f t="shared" si="1"/>
        <v/>
      </c>
      <c r="F767" s="369"/>
      <c r="G767" s="320"/>
      <c r="H767" s="320"/>
      <c r="I767" s="320">
        <f t="shared" si="2"/>
        <v>0</v>
      </c>
      <c r="J767" s="368"/>
    </row>
    <row r="768">
      <c r="B768" t="str">
        <f>if(   iserror(offset(PADRON!B$2,match(A:A,PADRON!A$2:A1010,0)-1,0,1,1) )  ,  ,    offset(PADRON!B$2,match(A:A,PADRON!A$2:A1010,0)-1,0,1,1))</f>
        <v/>
      </c>
      <c r="C768" s="368"/>
      <c r="E768" t="str">
        <f t="shared" si="1"/>
        <v/>
      </c>
      <c r="F768" s="369"/>
      <c r="G768" s="320"/>
      <c r="H768" s="320"/>
      <c r="I768" s="320">
        <f t="shared" si="2"/>
        <v>0</v>
      </c>
      <c r="J768" s="368"/>
    </row>
    <row r="769">
      <c r="B769" t="str">
        <f>if(   iserror(offset(PADRON!B$2,match(A:A,PADRON!A$2:A1010,0)-1,0,1,1) )  ,  ,    offset(PADRON!B$2,match(A:A,PADRON!A$2:A1010,0)-1,0,1,1))</f>
        <v/>
      </c>
      <c r="C769" s="368"/>
      <c r="E769" t="str">
        <f t="shared" si="1"/>
        <v/>
      </c>
      <c r="F769" s="369"/>
      <c r="G769" s="320"/>
      <c r="H769" s="320"/>
      <c r="I769" s="320">
        <f t="shared" si="2"/>
        <v>0</v>
      </c>
      <c r="J769" s="368"/>
    </row>
    <row r="770">
      <c r="B770" t="str">
        <f>if(   iserror(offset(PADRON!B$2,match(A:A,PADRON!A$2:A1010,0)-1,0,1,1) )  ,  ,    offset(PADRON!B$2,match(A:A,PADRON!A$2:A1010,0)-1,0,1,1))</f>
        <v/>
      </c>
      <c r="C770" s="368"/>
      <c r="E770" t="str">
        <f t="shared" si="1"/>
        <v/>
      </c>
      <c r="F770" s="369"/>
      <c r="G770" s="320"/>
      <c r="H770" s="320"/>
      <c r="I770" s="320">
        <f t="shared" si="2"/>
        <v>0</v>
      </c>
      <c r="J770" s="368"/>
    </row>
    <row r="771">
      <c r="B771" t="str">
        <f>if(   iserror(offset(PADRON!B$2,match(A:A,PADRON!A$2:A1010,0)-1,0,1,1) )  ,  ,    offset(PADRON!B$2,match(A:A,PADRON!A$2:A1010,0)-1,0,1,1))</f>
        <v/>
      </c>
      <c r="C771" s="368"/>
      <c r="E771" t="str">
        <f t="shared" si="1"/>
        <v/>
      </c>
      <c r="F771" s="369"/>
      <c r="G771" s="320"/>
      <c r="H771" s="320"/>
      <c r="I771" s="320">
        <f t="shared" si="2"/>
        <v>0</v>
      </c>
      <c r="J771" s="368"/>
    </row>
    <row r="772">
      <c r="B772" t="str">
        <f>if(   iserror(offset(PADRON!B$2,match(A:A,PADRON!A$2:A1010,0)-1,0,1,1) )  ,  ,    offset(PADRON!B$2,match(A:A,PADRON!A$2:A1010,0)-1,0,1,1))</f>
        <v/>
      </c>
      <c r="C772" s="368"/>
      <c r="E772" t="str">
        <f t="shared" si="1"/>
        <v/>
      </c>
      <c r="F772" s="369"/>
      <c r="G772" s="320"/>
      <c r="H772" s="320"/>
      <c r="I772" s="320">
        <f t="shared" si="2"/>
        <v>0</v>
      </c>
      <c r="J772" s="368"/>
    </row>
    <row r="773">
      <c r="B773" t="str">
        <f>if(   iserror(offset(PADRON!B$2,match(A:A,PADRON!A$2:A1010,0)-1,0,1,1) )  ,  ,    offset(PADRON!B$2,match(A:A,PADRON!A$2:A1010,0)-1,0,1,1))</f>
        <v/>
      </c>
      <c r="C773" s="368"/>
      <c r="E773" t="str">
        <f t="shared" si="1"/>
        <v/>
      </c>
      <c r="F773" s="369"/>
      <c r="G773" s="320"/>
      <c r="H773" s="320"/>
      <c r="I773" s="320">
        <f t="shared" si="2"/>
        <v>0</v>
      </c>
      <c r="J773" s="368"/>
    </row>
    <row r="774">
      <c r="B774" t="str">
        <f>if(   iserror(offset(PADRON!B$2,match(A:A,PADRON!A$2:A1010,0)-1,0,1,1) )  ,  ,    offset(PADRON!B$2,match(A:A,PADRON!A$2:A1010,0)-1,0,1,1))</f>
        <v/>
      </c>
      <c r="C774" s="368"/>
      <c r="E774" t="str">
        <f t="shared" si="1"/>
        <v/>
      </c>
      <c r="F774" s="369"/>
      <c r="G774" s="320"/>
      <c r="H774" s="320"/>
      <c r="I774" s="320">
        <f t="shared" si="2"/>
        <v>0</v>
      </c>
      <c r="J774" s="368"/>
    </row>
    <row r="775">
      <c r="B775" t="str">
        <f>if(   iserror(offset(PADRON!B$2,match(A:A,PADRON!A$2:A1010,0)-1,0,1,1) )  ,  ,    offset(PADRON!B$2,match(A:A,PADRON!A$2:A1010,0)-1,0,1,1))</f>
        <v/>
      </c>
      <c r="C775" s="368"/>
      <c r="E775" t="str">
        <f t="shared" si="1"/>
        <v/>
      </c>
      <c r="F775" s="369"/>
      <c r="G775" s="320"/>
      <c r="H775" s="320"/>
      <c r="I775" s="320">
        <f t="shared" si="2"/>
        <v>0</v>
      </c>
      <c r="J775" s="368"/>
    </row>
    <row r="776">
      <c r="B776" t="str">
        <f>if(   iserror(offset(PADRON!B$2,match(A:A,PADRON!A$2:A1010,0)-1,0,1,1) )  ,  ,    offset(PADRON!B$2,match(A:A,PADRON!A$2:A1010,0)-1,0,1,1))</f>
        <v/>
      </c>
      <c r="C776" s="368"/>
      <c r="E776" t="str">
        <f t="shared" si="1"/>
        <v/>
      </c>
      <c r="F776" s="369"/>
      <c r="G776" s="320"/>
      <c r="H776" s="320"/>
      <c r="I776" s="320">
        <f t="shared" si="2"/>
        <v>0</v>
      </c>
      <c r="J776" s="368"/>
    </row>
    <row r="777">
      <c r="B777" t="str">
        <f>if(   iserror(offset(PADRON!B$2,match(A:A,PADRON!A$2:A1010,0)-1,0,1,1) )  ,  ,    offset(PADRON!B$2,match(A:A,PADRON!A$2:A1010,0)-1,0,1,1))</f>
        <v/>
      </c>
      <c r="C777" s="368"/>
      <c r="E777" t="str">
        <f t="shared" si="1"/>
        <v/>
      </c>
      <c r="F777" s="369"/>
      <c r="G777" s="320"/>
      <c r="H777" s="320"/>
      <c r="I777" s="320">
        <f t="shared" si="2"/>
        <v>0</v>
      </c>
      <c r="J777" s="368"/>
    </row>
    <row r="778">
      <c r="B778" t="str">
        <f>if(   iserror(offset(PADRON!B$2,match(A:A,PADRON!A$2:A1010,0)-1,0,1,1) )  ,  ,    offset(PADRON!B$2,match(A:A,PADRON!A$2:A1010,0)-1,0,1,1))</f>
        <v/>
      </c>
      <c r="C778" s="368"/>
      <c r="E778" t="str">
        <f t="shared" si="1"/>
        <v/>
      </c>
      <c r="F778" s="369"/>
      <c r="G778" s="320"/>
      <c r="H778" s="320"/>
      <c r="I778" s="320">
        <f t="shared" si="2"/>
        <v>0</v>
      </c>
      <c r="J778" s="368"/>
    </row>
    <row r="779">
      <c r="B779" t="str">
        <f>if(   iserror(offset(PADRON!B$2,match(A:A,PADRON!A$2:A1010,0)-1,0,1,1) )  ,  ,    offset(PADRON!B$2,match(A:A,PADRON!A$2:A1010,0)-1,0,1,1))</f>
        <v/>
      </c>
      <c r="C779" s="368"/>
      <c r="E779" t="str">
        <f t="shared" si="1"/>
        <v/>
      </c>
      <c r="F779" s="369"/>
      <c r="G779" s="320"/>
      <c r="H779" s="320"/>
      <c r="I779" s="320">
        <f t="shared" si="2"/>
        <v>0</v>
      </c>
      <c r="J779" s="368"/>
    </row>
    <row r="780">
      <c r="B780" t="str">
        <f>if(   iserror(offset(PADRON!B$2,match(A:A,PADRON!A$2:A1010,0)-1,0,1,1) )  ,  ,    offset(PADRON!B$2,match(A:A,PADRON!A$2:A1010,0)-1,0,1,1))</f>
        <v/>
      </c>
      <c r="C780" s="368"/>
      <c r="E780" t="str">
        <f t="shared" si="1"/>
        <v/>
      </c>
      <c r="F780" s="369"/>
      <c r="G780" s="320"/>
      <c r="H780" s="320"/>
      <c r="I780" s="320">
        <f t="shared" si="2"/>
        <v>0</v>
      </c>
      <c r="J780" s="368"/>
    </row>
    <row r="781">
      <c r="B781" t="str">
        <f>if(   iserror(offset(PADRON!B$2,match(A:A,PADRON!A$2:A1010,0)-1,0,1,1) )  ,  ,    offset(PADRON!B$2,match(A:A,PADRON!A$2:A1010,0)-1,0,1,1))</f>
        <v/>
      </c>
      <c r="C781" s="368"/>
      <c r="E781" t="str">
        <f t="shared" si="1"/>
        <v/>
      </c>
      <c r="F781" s="369"/>
      <c r="G781" s="320"/>
      <c r="H781" s="320"/>
      <c r="I781" s="320">
        <f t="shared" si="2"/>
        <v>0</v>
      </c>
      <c r="J781" s="368"/>
    </row>
    <row r="782">
      <c r="B782" t="str">
        <f>if(   iserror(offset(PADRON!B$2,match(A:A,PADRON!A$2:A1010,0)-1,0,1,1) )  ,  ,    offset(PADRON!B$2,match(A:A,PADRON!A$2:A1010,0)-1,0,1,1))</f>
        <v/>
      </c>
      <c r="C782" s="368"/>
      <c r="E782" t="str">
        <f t="shared" si="1"/>
        <v/>
      </c>
      <c r="F782" s="369"/>
      <c r="G782" s="320"/>
      <c r="H782" s="320"/>
      <c r="I782" s="320">
        <f t="shared" si="2"/>
        <v>0</v>
      </c>
      <c r="J782" s="368"/>
    </row>
    <row r="783">
      <c r="B783" t="str">
        <f>if(   iserror(offset(PADRON!B$2,match(A:A,PADRON!A$2:A1010,0)-1,0,1,1) )  ,  ,    offset(PADRON!B$2,match(A:A,PADRON!A$2:A1010,0)-1,0,1,1))</f>
        <v/>
      </c>
      <c r="C783" s="368"/>
      <c r="E783" t="str">
        <f t="shared" si="1"/>
        <v/>
      </c>
      <c r="F783" s="369"/>
      <c r="G783" s="320"/>
      <c r="H783" s="320"/>
      <c r="I783" s="320">
        <f t="shared" si="2"/>
        <v>0</v>
      </c>
      <c r="J783" s="368"/>
    </row>
    <row r="784">
      <c r="B784" t="str">
        <f>if(   iserror(offset(PADRON!B$2,match(A:A,PADRON!A$2:A1010,0)-1,0,1,1) )  ,  ,    offset(PADRON!B$2,match(A:A,PADRON!A$2:A1010,0)-1,0,1,1))</f>
        <v/>
      </c>
      <c r="C784" s="368"/>
      <c r="E784" t="str">
        <f t="shared" si="1"/>
        <v/>
      </c>
      <c r="F784" s="369"/>
      <c r="G784" s="320"/>
      <c r="H784" s="320"/>
      <c r="I784" s="320">
        <f t="shared" si="2"/>
        <v>0</v>
      </c>
      <c r="J784" s="368"/>
    </row>
    <row r="785">
      <c r="B785" t="str">
        <f>if(   iserror(offset(PADRON!B$2,match(A:A,PADRON!A$2:A1010,0)-1,0,1,1) )  ,  ,    offset(PADRON!B$2,match(A:A,PADRON!A$2:A1010,0)-1,0,1,1))</f>
        <v/>
      </c>
      <c r="C785" s="368"/>
      <c r="E785" t="str">
        <f t="shared" si="1"/>
        <v/>
      </c>
      <c r="F785" s="369"/>
      <c r="G785" s="320"/>
      <c r="H785" s="320"/>
      <c r="I785" s="320">
        <f t="shared" si="2"/>
        <v>0</v>
      </c>
      <c r="J785" s="368"/>
    </row>
    <row r="786">
      <c r="B786" t="str">
        <f>if(   iserror(offset(PADRON!B$2,match(A:A,PADRON!A$2:A1010,0)-1,0,1,1) )  ,  ,    offset(PADRON!B$2,match(A:A,PADRON!A$2:A1010,0)-1,0,1,1))</f>
        <v/>
      </c>
      <c r="C786" s="368"/>
      <c r="E786" t="str">
        <f t="shared" si="1"/>
        <v/>
      </c>
      <c r="F786" s="369"/>
      <c r="G786" s="320"/>
      <c r="H786" s="320"/>
      <c r="I786" s="320">
        <f t="shared" si="2"/>
        <v>0</v>
      </c>
      <c r="J786" s="368"/>
    </row>
    <row r="787">
      <c r="B787" t="str">
        <f>if(   iserror(offset(PADRON!B$2,match(A:A,PADRON!A$2:A1010,0)-1,0,1,1) )  ,  ,    offset(PADRON!B$2,match(A:A,PADRON!A$2:A1010,0)-1,0,1,1))</f>
        <v/>
      </c>
      <c r="C787" s="368"/>
      <c r="E787" t="str">
        <f t="shared" si="1"/>
        <v/>
      </c>
      <c r="F787" s="369"/>
      <c r="G787" s="320"/>
      <c r="H787" s="320"/>
      <c r="I787" s="320">
        <f t="shared" si="2"/>
        <v>0</v>
      </c>
      <c r="J787" s="368"/>
    </row>
    <row r="788">
      <c r="B788" t="str">
        <f>if(   iserror(offset(PADRON!B$2,match(A:A,PADRON!A$2:A1010,0)-1,0,1,1) )  ,  ,    offset(PADRON!B$2,match(A:A,PADRON!A$2:A1010,0)-1,0,1,1))</f>
        <v/>
      </c>
      <c r="C788" s="368"/>
      <c r="E788" t="str">
        <f t="shared" si="1"/>
        <v/>
      </c>
      <c r="F788" s="369"/>
      <c r="G788" s="320"/>
      <c r="H788" s="320"/>
      <c r="I788" s="320">
        <f t="shared" si="2"/>
        <v>0</v>
      </c>
      <c r="J788" s="368"/>
    </row>
    <row r="789">
      <c r="B789" t="str">
        <f>if(   iserror(offset(PADRON!B$2,match(A:A,PADRON!A$2:A1010,0)-1,0,1,1) )  ,  ,    offset(PADRON!B$2,match(A:A,PADRON!A$2:A1010,0)-1,0,1,1))</f>
        <v/>
      </c>
      <c r="C789" s="368"/>
      <c r="E789" t="str">
        <f t="shared" si="1"/>
        <v/>
      </c>
      <c r="F789" s="369"/>
      <c r="G789" s="320"/>
      <c r="H789" s="320"/>
      <c r="I789" s="320">
        <f t="shared" si="2"/>
        <v>0</v>
      </c>
      <c r="J789" s="368"/>
    </row>
    <row r="790">
      <c r="B790" t="str">
        <f>if(   iserror(offset(PADRON!B$2,match(A:A,PADRON!A$2:A1010,0)-1,0,1,1) )  ,  ,    offset(PADRON!B$2,match(A:A,PADRON!A$2:A1010,0)-1,0,1,1))</f>
        <v/>
      </c>
      <c r="C790" s="368"/>
      <c r="E790" t="str">
        <f t="shared" si="1"/>
        <v/>
      </c>
      <c r="F790" s="369"/>
      <c r="G790" s="320"/>
      <c r="H790" s="320"/>
      <c r="I790" s="320">
        <f t="shared" si="2"/>
        <v>0</v>
      </c>
      <c r="J790" s="368"/>
    </row>
    <row r="791">
      <c r="B791" t="str">
        <f>if(   iserror(offset(PADRON!B$2,match(A:A,PADRON!A$2:A1010,0)-1,0,1,1) )  ,  ,    offset(PADRON!B$2,match(A:A,PADRON!A$2:A1010,0)-1,0,1,1))</f>
        <v/>
      </c>
      <c r="C791" s="368"/>
      <c r="E791" t="str">
        <f t="shared" si="1"/>
        <v/>
      </c>
      <c r="F791" s="369"/>
      <c r="G791" s="320"/>
      <c r="H791" s="320"/>
      <c r="I791" s="320">
        <f t="shared" si="2"/>
        <v>0</v>
      </c>
      <c r="J791" s="368"/>
    </row>
    <row r="792">
      <c r="B792" t="str">
        <f>if(   iserror(offset(PADRON!B$2,match(A:A,PADRON!A$2:A1010,0)-1,0,1,1) )  ,  ,    offset(PADRON!B$2,match(A:A,PADRON!A$2:A1010,0)-1,0,1,1))</f>
        <v/>
      </c>
      <c r="C792" s="368"/>
      <c r="E792" t="str">
        <f t="shared" si="1"/>
        <v/>
      </c>
      <c r="F792" s="369"/>
      <c r="G792" s="320"/>
      <c r="H792" s="320"/>
      <c r="I792" s="320">
        <f t="shared" si="2"/>
        <v>0</v>
      </c>
      <c r="J792" s="368"/>
    </row>
    <row r="793">
      <c r="B793" t="str">
        <f>if(   iserror(offset(PADRON!B$2,match(A:A,PADRON!A$2:A1010,0)-1,0,1,1) )  ,  ,    offset(PADRON!B$2,match(A:A,PADRON!A$2:A1010,0)-1,0,1,1))</f>
        <v/>
      </c>
      <c r="C793" s="368"/>
      <c r="E793" t="str">
        <f t="shared" si="1"/>
        <v/>
      </c>
      <c r="F793" s="369"/>
      <c r="G793" s="320"/>
      <c r="H793" s="320"/>
      <c r="I793" s="320">
        <f t="shared" si="2"/>
        <v>0</v>
      </c>
      <c r="J793" s="368"/>
    </row>
    <row r="794">
      <c r="B794" t="str">
        <f>if(   iserror(offset(PADRON!B$2,match(A:A,PADRON!A$2:A1010,0)-1,0,1,1) )  ,  ,    offset(PADRON!B$2,match(A:A,PADRON!A$2:A1010,0)-1,0,1,1))</f>
        <v/>
      </c>
      <c r="C794" s="368"/>
      <c r="E794" t="str">
        <f t="shared" si="1"/>
        <v/>
      </c>
      <c r="F794" s="369"/>
      <c r="G794" s="320"/>
      <c r="H794" s="320"/>
      <c r="I794" s="320">
        <f t="shared" si="2"/>
        <v>0</v>
      </c>
      <c r="J794" s="368"/>
    </row>
    <row r="795">
      <c r="B795" t="str">
        <f>if(   iserror(offset(PADRON!B$2,match(A:A,PADRON!A$2:A1010,0)-1,0,1,1) )  ,  ,    offset(PADRON!B$2,match(A:A,PADRON!A$2:A1010,0)-1,0,1,1))</f>
        <v/>
      </c>
      <c r="C795" s="368"/>
      <c r="E795" t="str">
        <f t="shared" si="1"/>
        <v/>
      </c>
      <c r="F795" s="369"/>
      <c r="G795" s="320"/>
      <c r="H795" s="320"/>
      <c r="I795" s="320">
        <f t="shared" si="2"/>
        <v>0</v>
      </c>
      <c r="J795" s="368"/>
    </row>
    <row r="796">
      <c r="B796" t="str">
        <f>if(   iserror(offset(PADRON!B$2,match(A:A,PADRON!A$2:A1010,0)-1,0,1,1) )  ,  ,    offset(PADRON!B$2,match(A:A,PADRON!A$2:A1010,0)-1,0,1,1))</f>
        <v/>
      </c>
      <c r="C796" s="368"/>
      <c r="E796" t="str">
        <f t="shared" si="1"/>
        <v/>
      </c>
      <c r="F796" s="369"/>
      <c r="G796" s="320"/>
      <c r="H796" s="320"/>
      <c r="I796" s="320">
        <f t="shared" si="2"/>
        <v>0</v>
      </c>
      <c r="J796" s="368"/>
    </row>
    <row r="797">
      <c r="B797" t="str">
        <f>if(   iserror(offset(PADRON!B$2,match(A:A,PADRON!A$2:A1010,0)-1,0,1,1) )  ,  ,    offset(PADRON!B$2,match(A:A,PADRON!A$2:A1010,0)-1,0,1,1))</f>
        <v/>
      </c>
      <c r="C797" s="368"/>
      <c r="E797" t="str">
        <f t="shared" si="1"/>
        <v/>
      </c>
      <c r="F797" s="369"/>
      <c r="G797" s="320"/>
      <c r="H797" s="320"/>
      <c r="I797" s="320">
        <f t="shared" si="2"/>
        <v>0</v>
      </c>
      <c r="J797" s="368"/>
    </row>
    <row r="798">
      <c r="B798" t="str">
        <f>if(   iserror(offset(PADRON!B$2,match(A:A,PADRON!A$2:A1010,0)-1,0,1,1) )  ,  ,    offset(PADRON!B$2,match(A:A,PADRON!A$2:A1010,0)-1,0,1,1))</f>
        <v/>
      </c>
      <c r="C798" s="368"/>
      <c r="E798" t="str">
        <f t="shared" si="1"/>
        <v/>
      </c>
      <c r="F798" s="369"/>
      <c r="G798" s="320"/>
      <c r="H798" s="320"/>
      <c r="I798" s="320">
        <f t="shared" si="2"/>
        <v>0</v>
      </c>
      <c r="J798" s="368"/>
    </row>
    <row r="799">
      <c r="B799" t="str">
        <f>if(   iserror(offset(PADRON!B$2,match(A:A,PADRON!A$2:A1010,0)-1,0,1,1) )  ,  ,    offset(PADRON!B$2,match(A:A,PADRON!A$2:A1010,0)-1,0,1,1))</f>
        <v/>
      </c>
      <c r="C799" s="368"/>
      <c r="E799" t="str">
        <f t="shared" si="1"/>
        <v/>
      </c>
      <c r="F799" s="369"/>
      <c r="G799" s="320"/>
      <c r="H799" s="320"/>
      <c r="I799" s="320">
        <f t="shared" si="2"/>
        <v>0</v>
      </c>
      <c r="J799" s="368"/>
    </row>
    <row r="800">
      <c r="B800" t="str">
        <f>if(   iserror(offset(PADRON!B$2,match(A:A,PADRON!A$2:A1010,0)-1,0,1,1) )  ,  ,    offset(PADRON!B$2,match(A:A,PADRON!A$2:A1010,0)-1,0,1,1))</f>
        <v/>
      </c>
      <c r="C800" s="368"/>
      <c r="E800" t="str">
        <f t="shared" si="1"/>
        <v/>
      </c>
      <c r="F800" s="369"/>
      <c r="G800" s="320"/>
      <c r="H800" s="320"/>
      <c r="I800" s="320">
        <f t="shared" si="2"/>
        <v>0</v>
      </c>
      <c r="J800" s="368"/>
    </row>
    <row r="801">
      <c r="B801" t="str">
        <f>if(   iserror(offset(PADRON!B$2,match(A:A,PADRON!A$2:A1010,0)-1,0,1,1) )  ,  ,    offset(PADRON!B$2,match(A:A,PADRON!A$2:A1010,0)-1,0,1,1))</f>
        <v/>
      </c>
      <c r="C801" s="368"/>
      <c r="E801" t="str">
        <f t="shared" si="1"/>
        <v/>
      </c>
      <c r="F801" s="369"/>
      <c r="G801" s="320"/>
      <c r="H801" s="320"/>
      <c r="I801" s="320">
        <f t="shared" si="2"/>
        <v>0</v>
      </c>
      <c r="J801" s="368"/>
    </row>
    <row r="802">
      <c r="B802" t="str">
        <f>if(   iserror(offset(PADRON!B$2,match(A:A,PADRON!A$2:A1010,0)-1,0,1,1) )  ,  ,    offset(PADRON!B$2,match(A:A,PADRON!A$2:A1010,0)-1,0,1,1))</f>
        <v/>
      </c>
      <c r="C802" s="368"/>
      <c r="E802" t="str">
        <f t="shared" si="1"/>
        <v/>
      </c>
      <c r="F802" s="369"/>
      <c r="G802" s="320"/>
      <c r="H802" s="320"/>
      <c r="I802" s="320">
        <f t="shared" si="2"/>
        <v>0</v>
      </c>
      <c r="J802" s="368"/>
    </row>
    <row r="803">
      <c r="B803" t="str">
        <f>if(   iserror(offset(PADRON!B$2,match(A:A,PADRON!A$2:A1010,0)-1,0,1,1) )  ,  ,    offset(PADRON!B$2,match(A:A,PADRON!A$2:A1010,0)-1,0,1,1))</f>
        <v/>
      </c>
      <c r="C803" s="368"/>
      <c r="E803" t="str">
        <f t="shared" si="1"/>
        <v/>
      </c>
      <c r="F803" s="369"/>
      <c r="G803" s="320"/>
      <c r="H803" s="320"/>
      <c r="I803" s="320">
        <f t="shared" si="2"/>
        <v>0</v>
      </c>
      <c r="J803" s="368"/>
    </row>
    <row r="804">
      <c r="B804" t="str">
        <f>if(   iserror(offset(PADRON!B$2,match(A:A,PADRON!A$2:A1010,0)-1,0,1,1) )  ,  ,    offset(PADRON!B$2,match(A:A,PADRON!A$2:A1010,0)-1,0,1,1))</f>
        <v/>
      </c>
      <c r="C804" s="368"/>
      <c r="E804" t="str">
        <f t="shared" si="1"/>
        <v/>
      </c>
      <c r="F804" s="369"/>
      <c r="G804" s="320"/>
      <c r="H804" s="320"/>
      <c r="I804" s="320">
        <f t="shared" si="2"/>
        <v>0</v>
      </c>
      <c r="J804" s="368"/>
    </row>
    <row r="805">
      <c r="B805" t="str">
        <f>if(   iserror(offset(PADRON!B$2,match(A:A,PADRON!A$2:A1010,0)-1,0,1,1) )  ,  ,    offset(PADRON!B$2,match(A:A,PADRON!A$2:A1010,0)-1,0,1,1))</f>
        <v/>
      </c>
      <c r="C805" s="368"/>
      <c r="E805" t="str">
        <f t="shared" si="1"/>
        <v/>
      </c>
      <c r="F805" s="369"/>
      <c r="G805" s="320"/>
      <c r="H805" s="320"/>
      <c r="I805" s="320">
        <f t="shared" si="2"/>
        <v>0</v>
      </c>
      <c r="J805" s="368"/>
    </row>
    <row r="806">
      <c r="B806" t="str">
        <f>if(   iserror(offset(PADRON!B$2,match(A:A,PADRON!A$2:A1010,0)-1,0,1,1) )  ,  ,    offset(PADRON!B$2,match(A:A,PADRON!A$2:A1010,0)-1,0,1,1))</f>
        <v/>
      </c>
      <c r="C806" s="368"/>
      <c r="E806" t="str">
        <f t="shared" si="1"/>
        <v/>
      </c>
      <c r="F806" s="369"/>
      <c r="G806" s="320"/>
      <c r="H806" s="320"/>
      <c r="I806" s="320">
        <f t="shared" si="2"/>
        <v>0</v>
      </c>
      <c r="J806" s="368"/>
    </row>
    <row r="807">
      <c r="B807" t="str">
        <f>if(   iserror(offset(PADRON!B$2,match(A:A,PADRON!A$2:A1010,0)-1,0,1,1) )  ,  ,    offset(PADRON!B$2,match(A:A,PADRON!A$2:A1010,0)-1,0,1,1))</f>
        <v/>
      </c>
      <c r="C807" s="368"/>
      <c r="E807" t="str">
        <f t="shared" si="1"/>
        <v/>
      </c>
      <c r="F807" s="369"/>
      <c r="G807" s="320"/>
      <c r="H807" s="320"/>
      <c r="I807" s="320">
        <f t="shared" si="2"/>
        <v>0</v>
      </c>
      <c r="J807" s="368"/>
    </row>
    <row r="808">
      <c r="B808" t="str">
        <f>if(   iserror(offset(PADRON!B$2,match(A:A,PADRON!A$2:A1010,0)-1,0,1,1) )  ,  ,    offset(PADRON!B$2,match(A:A,PADRON!A$2:A1010,0)-1,0,1,1))</f>
        <v/>
      </c>
      <c r="C808" s="368"/>
      <c r="E808" t="str">
        <f t="shared" si="1"/>
        <v/>
      </c>
      <c r="F808" s="369"/>
      <c r="G808" s="320"/>
      <c r="H808" s="320"/>
      <c r="I808" s="320">
        <f t="shared" si="2"/>
        <v>0</v>
      </c>
      <c r="J808" s="368"/>
    </row>
    <row r="809">
      <c r="B809" t="str">
        <f>if(   iserror(offset(PADRON!B$2,match(A:A,PADRON!A$2:A1010,0)-1,0,1,1) )  ,  ,    offset(PADRON!B$2,match(A:A,PADRON!A$2:A1010,0)-1,0,1,1))</f>
        <v/>
      </c>
      <c r="C809" s="368"/>
      <c r="E809" t="str">
        <f t="shared" si="1"/>
        <v/>
      </c>
      <c r="F809" s="369"/>
      <c r="G809" s="320"/>
      <c r="H809" s="320"/>
      <c r="I809" s="320">
        <f t="shared" si="2"/>
        <v>0</v>
      </c>
      <c r="J809" s="368"/>
    </row>
    <row r="810">
      <c r="B810" t="str">
        <f>if(   iserror(offset(PADRON!B$2,match(A:A,PADRON!A$2:A1010,0)-1,0,1,1) )  ,  ,    offset(PADRON!B$2,match(A:A,PADRON!A$2:A1010,0)-1,0,1,1))</f>
        <v/>
      </c>
      <c r="C810" s="368"/>
      <c r="E810" t="str">
        <f t="shared" si="1"/>
        <v/>
      </c>
      <c r="F810" s="369"/>
      <c r="G810" s="320"/>
      <c r="H810" s="320"/>
      <c r="I810" s="320">
        <f t="shared" si="2"/>
        <v>0</v>
      </c>
      <c r="J810" s="368"/>
    </row>
    <row r="811">
      <c r="B811" t="str">
        <f>if(   iserror(offset(PADRON!B$2,match(A:A,PADRON!A$2:A1010,0)-1,0,1,1) )  ,  ,    offset(PADRON!B$2,match(A:A,PADRON!A$2:A1010,0)-1,0,1,1))</f>
        <v/>
      </c>
      <c r="C811" s="368"/>
      <c r="E811" t="str">
        <f t="shared" si="1"/>
        <v/>
      </c>
      <c r="F811" s="369"/>
      <c r="G811" s="320"/>
      <c r="H811" s="320"/>
      <c r="I811" s="320">
        <f t="shared" si="2"/>
        <v>0</v>
      </c>
      <c r="J811" s="368"/>
    </row>
    <row r="812">
      <c r="B812" t="str">
        <f>if(   iserror(offset(PADRON!B$2,match(A:A,PADRON!A$2:A1010,0)-1,0,1,1) )  ,  ,    offset(PADRON!B$2,match(A:A,PADRON!A$2:A1010,0)-1,0,1,1))</f>
        <v/>
      </c>
      <c r="C812" s="368"/>
      <c r="E812" t="str">
        <f t="shared" si="1"/>
        <v/>
      </c>
      <c r="F812" s="369"/>
      <c r="G812" s="320"/>
      <c r="H812" s="320"/>
      <c r="I812" s="320">
        <f t="shared" si="2"/>
        <v>0</v>
      </c>
      <c r="J812" s="368"/>
    </row>
    <row r="813">
      <c r="B813" t="str">
        <f>if(   iserror(offset(PADRON!B$2,match(A:A,PADRON!A$2:A1010,0)-1,0,1,1) )  ,  ,    offset(PADRON!B$2,match(A:A,PADRON!A$2:A1010,0)-1,0,1,1))</f>
        <v/>
      </c>
      <c r="C813" s="368"/>
      <c r="E813" t="str">
        <f t="shared" si="1"/>
        <v/>
      </c>
      <c r="F813" s="369"/>
      <c r="G813" s="320"/>
      <c r="H813" s="320"/>
      <c r="I813" s="320">
        <f t="shared" si="2"/>
        <v>0</v>
      </c>
      <c r="J813" s="368"/>
    </row>
    <row r="814">
      <c r="B814" t="str">
        <f>if(   iserror(offset(PADRON!B$2,match(A:A,PADRON!A$2:A1010,0)-1,0,1,1) )  ,  ,    offset(PADRON!B$2,match(A:A,PADRON!A$2:A1010,0)-1,0,1,1))</f>
        <v/>
      </c>
      <c r="C814" s="368"/>
      <c r="E814" t="str">
        <f t="shared" si="1"/>
        <v/>
      </c>
      <c r="F814" s="369"/>
      <c r="G814" s="320"/>
      <c r="H814" s="320"/>
      <c r="I814" s="320">
        <f t="shared" si="2"/>
        <v>0</v>
      </c>
      <c r="J814" s="368"/>
    </row>
    <row r="815">
      <c r="B815" t="str">
        <f>if(   iserror(offset(PADRON!B$2,match(A:A,PADRON!A$2:A1010,0)-1,0,1,1) )  ,  ,    offset(PADRON!B$2,match(A:A,PADRON!A$2:A1010,0)-1,0,1,1))</f>
        <v/>
      </c>
      <c r="C815" s="368"/>
      <c r="E815" t="str">
        <f t="shared" si="1"/>
        <v/>
      </c>
      <c r="F815" s="369"/>
      <c r="G815" s="320"/>
      <c r="H815" s="320"/>
      <c r="I815" s="320">
        <f t="shared" si="2"/>
        <v>0</v>
      </c>
      <c r="J815" s="368"/>
    </row>
    <row r="816">
      <c r="B816" t="str">
        <f>if(   iserror(offset(PADRON!B$2,match(A:A,PADRON!A$2:A1010,0)-1,0,1,1) )  ,  ,    offset(PADRON!B$2,match(A:A,PADRON!A$2:A1010,0)-1,0,1,1))</f>
        <v/>
      </c>
      <c r="C816" s="368"/>
      <c r="E816" t="str">
        <f t="shared" si="1"/>
        <v/>
      </c>
      <c r="F816" s="369"/>
      <c r="G816" s="320"/>
      <c r="H816" s="320"/>
      <c r="I816" s="320">
        <f t="shared" si="2"/>
        <v>0</v>
      </c>
      <c r="J816" s="368"/>
    </row>
    <row r="817">
      <c r="B817" t="str">
        <f>if(   iserror(offset(PADRON!B$2,match(A:A,PADRON!A$2:A1010,0)-1,0,1,1) )  ,  ,    offset(PADRON!B$2,match(A:A,PADRON!A$2:A1010,0)-1,0,1,1))</f>
        <v/>
      </c>
      <c r="C817" s="368"/>
      <c r="E817" t="str">
        <f t="shared" si="1"/>
        <v/>
      </c>
      <c r="F817" s="369"/>
      <c r="G817" s="320"/>
      <c r="H817" s="320"/>
      <c r="I817" s="320">
        <f t="shared" si="2"/>
        <v>0</v>
      </c>
      <c r="J817" s="368"/>
    </row>
    <row r="818">
      <c r="B818" t="str">
        <f>if(   iserror(offset(PADRON!B$2,match(A:A,PADRON!A$2:A1010,0)-1,0,1,1) )  ,  ,    offset(PADRON!B$2,match(A:A,PADRON!A$2:A1010,0)-1,0,1,1))</f>
        <v/>
      </c>
      <c r="C818" s="368"/>
      <c r="E818" t="str">
        <f t="shared" si="1"/>
        <v/>
      </c>
      <c r="F818" s="369"/>
      <c r="G818" s="320"/>
      <c r="H818" s="320"/>
      <c r="I818" s="320">
        <f t="shared" si="2"/>
        <v>0</v>
      </c>
      <c r="J818" s="368"/>
    </row>
    <row r="819">
      <c r="B819" t="str">
        <f>if(   iserror(offset(PADRON!B$2,match(A:A,PADRON!A$2:A1010,0)-1,0,1,1) )  ,  ,    offset(PADRON!B$2,match(A:A,PADRON!A$2:A1010,0)-1,0,1,1))</f>
        <v/>
      </c>
      <c r="C819" s="368"/>
      <c r="E819" t="str">
        <f t="shared" si="1"/>
        <v/>
      </c>
      <c r="F819" s="369"/>
      <c r="G819" s="320"/>
      <c r="H819" s="320"/>
      <c r="I819" s="320">
        <f t="shared" si="2"/>
        <v>0</v>
      </c>
      <c r="J819" s="368"/>
    </row>
    <row r="820">
      <c r="B820" t="str">
        <f>if(   iserror(offset(PADRON!B$2,match(A:A,PADRON!A$2:A1010,0)-1,0,1,1) )  ,  ,    offset(PADRON!B$2,match(A:A,PADRON!A$2:A1010,0)-1,0,1,1))</f>
        <v/>
      </c>
      <c r="C820" s="368"/>
      <c r="E820" t="str">
        <f t="shared" si="1"/>
        <v/>
      </c>
      <c r="F820" s="369"/>
      <c r="G820" s="320"/>
      <c r="H820" s="320"/>
      <c r="I820" s="320">
        <f t="shared" si="2"/>
        <v>0</v>
      </c>
      <c r="J820" s="368"/>
    </row>
    <row r="821">
      <c r="B821" t="str">
        <f>if(   iserror(offset(PADRON!B$2,match(A:A,PADRON!A$2:A1010,0)-1,0,1,1) )  ,  ,    offset(PADRON!B$2,match(A:A,PADRON!A$2:A1010,0)-1,0,1,1))</f>
        <v/>
      </c>
      <c r="C821" s="368"/>
      <c r="E821" t="str">
        <f t="shared" si="1"/>
        <v/>
      </c>
      <c r="F821" s="369"/>
      <c r="G821" s="320"/>
      <c r="H821" s="320"/>
      <c r="I821" s="320">
        <f t="shared" si="2"/>
        <v>0</v>
      </c>
      <c r="J821" s="368"/>
    </row>
    <row r="822">
      <c r="B822" t="str">
        <f>if(   iserror(offset(PADRON!B$2,match(A:A,PADRON!A$2:A1010,0)-1,0,1,1) )  ,  ,    offset(PADRON!B$2,match(A:A,PADRON!A$2:A1010,0)-1,0,1,1))</f>
        <v/>
      </c>
      <c r="C822" s="368"/>
      <c r="E822" t="str">
        <f t="shared" si="1"/>
        <v/>
      </c>
      <c r="F822" s="369"/>
      <c r="G822" s="320"/>
      <c r="H822" s="320"/>
      <c r="I822" s="320">
        <f t="shared" si="2"/>
        <v>0</v>
      </c>
      <c r="J822" s="368"/>
    </row>
    <row r="823">
      <c r="B823" t="str">
        <f>if(   iserror(offset(PADRON!B$2,match(A:A,PADRON!A$2:A1010,0)-1,0,1,1) )  ,  ,    offset(PADRON!B$2,match(A:A,PADRON!A$2:A1010,0)-1,0,1,1))</f>
        <v/>
      </c>
      <c r="C823" s="368"/>
      <c r="E823" t="str">
        <f t="shared" si="1"/>
        <v/>
      </c>
      <c r="F823" s="369"/>
      <c r="G823" s="320"/>
      <c r="H823" s="320"/>
      <c r="I823" s="320">
        <f t="shared" si="2"/>
        <v>0</v>
      </c>
      <c r="J823" s="368"/>
    </row>
    <row r="824">
      <c r="B824" t="str">
        <f>if(   iserror(offset(PADRON!B$2,match(A:A,PADRON!A$2:A1010,0)-1,0,1,1) )  ,  ,    offset(PADRON!B$2,match(A:A,PADRON!A$2:A1010,0)-1,0,1,1))</f>
        <v/>
      </c>
      <c r="C824" s="368"/>
      <c r="E824" t="str">
        <f t="shared" si="1"/>
        <v/>
      </c>
      <c r="F824" s="369"/>
      <c r="G824" s="320"/>
      <c r="H824" s="320"/>
      <c r="I824" s="320">
        <f t="shared" si="2"/>
        <v>0</v>
      </c>
      <c r="J824" s="368"/>
    </row>
    <row r="825">
      <c r="B825" t="str">
        <f>if(   iserror(offset(PADRON!B$2,match(A:A,PADRON!A$2:A1010,0)-1,0,1,1) )  ,  ,    offset(PADRON!B$2,match(A:A,PADRON!A$2:A1010,0)-1,0,1,1))</f>
        <v/>
      </c>
      <c r="C825" s="368"/>
      <c r="E825" t="str">
        <f t="shared" si="1"/>
        <v/>
      </c>
      <c r="F825" s="369"/>
      <c r="G825" s="320"/>
      <c r="H825" s="320"/>
      <c r="I825" s="320">
        <f t="shared" si="2"/>
        <v>0</v>
      </c>
      <c r="J825" s="368"/>
    </row>
    <row r="826">
      <c r="B826" t="str">
        <f>if(   iserror(offset(PADRON!B$2,match(A:A,PADRON!A$2:A1010,0)-1,0,1,1) )  ,  ,    offset(PADRON!B$2,match(A:A,PADRON!A$2:A1010,0)-1,0,1,1))</f>
        <v/>
      </c>
      <c r="C826" s="368"/>
      <c r="E826" t="str">
        <f t="shared" si="1"/>
        <v/>
      </c>
      <c r="F826" s="369"/>
      <c r="G826" s="320"/>
      <c r="H826" s="320"/>
      <c r="I826" s="320">
        <f t="shared" si="2"/>
        <v>0</v>
      </c>
      <c r="J826" s="368"/>
    </row>
    <row r="827">
      <c r="B827" t="str">
        <f>if(   iserror(offset(PADRON!B$2,match(A:A,PADRON!A$2:A1010,0)-1,0,1,1) )  ,  ,    offset(PADRON!B$2,match(A:A,PADRON!A$2:A1010,0)-1,0,1,1))</f>
        <v/>
      </c>
      <c r="C827" s="368"/>
      <c r="E827" t="str">
        <f t="shared" si="1"/>
        <v/>
      </c>
      <c r="F827" s="369"/>
      <c r="G827" s="320"/>
      <c r="H827" s="320"/>
      <c r="I827" s="320">
        <f t="shared" si="2"/>
        <v>0</v>
      </c>
      <c r="J827" s="368"/>
    </row>
    <row r="828">
      <c r="B828" t="str">
        <f>if(   iserror(offset(PADRON!B$2,match(A:A,PADRON!A$2:A1010,0)-1,0,1,1) )  ,  ,    offset(PADRON!B$2,match(A:A,PADRON!A$2:A1010,0)-1,0,1,1))</f>
        <v/>
      </c>
      <c r="C828" s="368"/>
      <c r="E828" t="str">
        <f t="shared" si="1"/>
        <v/>
      </c>
      <c r="F828" s="369"/>
      <c r="G828" s="320"/>
      <c r="H828" s="320"/>
      <c r="I828" s="320">
        <f t="shared" si="2"/>
        <v>0</v>
      </c>
      <c r="J828" s="368"/>
    </row>
    <row r="829">
      <c r="B829" t="str">
        <f>if(   iserror(offset(PADRON!B$2,match(A:A,PADRON!A$2:A1010,0)-1,0,1,1) )  ,  ,    offset(PADRON!B$2,match(A:A,PADRON!A$2:A1010,0)-1,0,1,1))</f>
        <v/>
      </c>
      <c r="C829" s="368"/>
      <c r="E829" t="str">
        <f t="shared" si="1"/>
        <v/>
      </c>
      <c r="F829" s="369"/>
      <c r="G829" s="320"/>
      <c r="H829" s="320"/>
      <c r="I829" s="320">
        <f t="shared" si="2"/>
        <v>0</v>
      </c>
      <c r="J829" s="368"/>
    </row>
    <row r="830">
      <c r="B830" t="str">
        <f>if(   iserror(offset(PADRON!B$2,match(A:A,PADRON!A$2:A1010,0)-1,0,1,1) )  ,  ,    offset(PADRON!B$2,match(A:A,PADRON!A$2:A1010,0)-1,0,1,1))</f>
        <v/>
      </c>
      <c r="C830" s="368"/>
      <c r="E830" t="str">
        <f t="shared" si="1"/>
        <v/>
      </c>
      <c r="F830" s="369"/>
      <c r="G830" s="320"/>
      <c r="H830" s="320"/>
      <c r="I830" s="320">
        <f t="shared" si="2"/>
        <v>0</v>
      </c>
      <c r="J830" s="368"/>
    </row>
    <row r="831">
      <c r="B831" t="str">
        <f>if(   iserror(offset(PADRON!B$2,match(A:A,PADRON!A$2:A1010,0)-1,0,1,1) )  ,  ,    offset(PADRON!B$2,match(A:A,PADRON!A$2:A1010,0)-1,0,1,1))</f>
        <v/>
      </c>
      <c r="C831" s="368"/>
      <c r="E831" t="str">
        <f t="shared" si="1"/>
        <v/>
      </c>
      <c r="F831" s="369"/>
      <c r="G831" s="320"/>
      <c r="H831" s="320"/>
      <c r="I831" s="320">
        <f t="shared" si="2"/>
        <v>0</v>
      </c>
      <c r="J831" s="368"/>
    </row>
    <row r="832">
      <c r="B832" t="str">
        <f>if(   iserror(offset(PADRON!B$2,match(A:A,PADRON!A$2:A1010,0)-1,0,1,1) )  ,  ,    offset(PADRON!B$2,match(A:A,PADRON!A$2:A1010,0)-1,0,1,1))</f>
        <v/>
      </c>
      <c r="C832" s="368"/>
      <c r="E832" t="str">
        <f t="shared" si="1"/>
        <v/>
      </c>
      <c r="F832" s="369"/>
      <c r="G832" s="320"/>
      <c r="H832" s="320"/>
      <c r="I832" s="320">
        <f t="shared" si="2"/>
        <v>0</v>
      </c>
      <c r="J832" s="368"/>
    </row>
    <row r="833">
      <c r="B833" t="str">
        <f>if(   iserror(offset(PADRON!B$2,match(A:A,PADRON!A$2:A1010,0)-1,0,1,1) )  ,  ,    offset(PADRON!B$2,match(A:A,PADRON!A$2:A1010,0)-1,0,1,1))</f>
        <v/>
      </c>
      <c r="C833" s="368"/>
      <c r="E833" t="str">
        <f t="shared" si="1"/>
        <v/>
      </c>
      <c r="F833" s="369"/>
      <c r="G833" s="320"/>
      <c r="H833" s="320"/>
      <c r="I833" s="320">
        <f t="shared" si="2"/>
        <v>0</v>
      </c>
      <c r="J833" s="368"/>
    </row>
    <row r="834">
      <c r="B834" t="str">
        <f>if(   iserror(offset(PADRON!B$2,match(A:A,PADRON!A$2:A1010,0)-1,0,1,1) )  ,  ,    offset(PADRON!B$2,match(A:A,PADRON!A$2:A1010,0)-1,0,1,1))</f>
        <v/>
      </c>
      <c r="C834" s="368"/>
      <c r="E834" t="str">
        <f t="shared" si="1"/>
        <v/>
      </c>
      <c r="F834" s="369"/>
      <c r="G834" s="320"/>
      <c r="H834" s="320"/>
      <c r="I834" s="320">
        <f t="shared" si="2"/>
        <v>0</v>
      </c>
      <c r="J834" s="368"/>
    </row>
    <row r="835">
      <c r="B835" t="str">
        <f>if(   iserror(offset(PADRON!B$2,match(A:A,PADRON!A$2:A1010,0)-1,0,1,1) )  ,  ,    offset(PADRON!B$2,match(A:A,PADRON!A$2:A1010,0)-1,0,1,1))</f>
        <v/>
      </c>
      <c r="C835" s="368"/>
      <c r="E835" t="str">
        <f t="shared" si="1"/>
        <v/>
      </c>
      <c r="F835" s="369"/>
      <c r="G835" s="320"/>
      <c r="H835" s="320"/>
      <c r="I835" s="320">
        <f t="shared" si="2"/>
        <v>0</v>
      </c>
      <c r="J835" s="368"/>
    </row>
    <row r="836">
      <c r="B836" t="str">
        <f>if(   iserror(offset(PADRON!B$2,match(A:A,PADRON!A$2:A1010,0)-1,0,1,1) )  ,  ,    offset(PADRON!B$2,match(A:A,PADRON!A$2:A1010,0)-1,0,1,1))</f>
        <v/>
      </c>
      <c r="C836" s="368"/>
      <c r="E836" t="str">
        <f t="shared" si="1"/>
        <v/>
      </c>
      <c r="F836" s="369"/>
      <c r="G836" s="320"/>
      <c r="H836" s="320"/>
      <c r="I836" s="320">
        <f t="shared" si="2"/>
        <v>0</v>
      </c>
      <c r="J836" s="368"/>
    </row>
    <row r="837">
      <c r="B837" t="str">
        <f>if(   iserror(offset(PADRON!B$2,match(A:A,PADRON!A$2:A1010,0)-1,0,1,1) )  ,  ,    offset(PADRON!B$2,match(A:A,PADRON!A$2:A1010,0)-1,0,1,1))</f>
        <v/>
      </c>
      <c r="C837" s="368"/>
      <c r="E837" t="str">
        <f t="shared" si="1"/>
        <v/>
      </c>
      <c r="F837" s="369"/>
      <c r="G837" s="320"/>
      <c r="H837" s="320"/>
      <c r="I837" s="320">
        <f t="shared" si="2"/>
        <v>0</v>
      </c>
      <c r="J837" s="368"/>
    </row>
    <row r="838">
      <c r="B838" t="str">
        <f>if(   iserror(offset(PADRON!B$2,match(A:A,PADRON!A$2:A1010,0)-1,0,1,1) )  ,  ,    offset(PADRON!B$2,match(A:A,PADRON!A$2:A1010,0)-1,0,1,1))</f>
        <v/>
      </c>
      <c r="C838" s="368"/>
      <c r="E838" t="str">
        <f t="shared" si="1"/>
        <v/>
      </c>
      <c r="F838" s="369"/>
      <c r="G838" s="320"/>
      <c r="H838" s="320"/>
      <c r="I838" s="320">
        <f t="shared" si="2"/>
        <v>0</v>
      </c>
      <c r="J838" s="368"/>
    </row>
    <row r="839">
      <c r="B839" t="str">
        <f>if(   iserror(offset(PADRON!B$2,match(A:A,PADRON!A$2:A1010,0)-1,0,1,1) )  ,  ,    offset(PADRON!B$2,match(A:A,PADRON!A$2:A1010,0)-1,0,1,1))</f>
        <v/>
      </c>
      <c r="C839" s="368"/>
      <c r="E839" t="str">
        <f t="shared" si="1"/>
        <v/>
      </c>
      <c r="F839" s="369"/>
      <c r="G839" s="320"/>
      <c r="H839" s="320"/>
      <c r="I839" s="320">
        <f t="shared" si="2"/>
        <v>0</v>
      </c>
      <c r="J839" s="368"/>
    </row>
    <row r="840">
      <c r="B840" t="str">
        <f>if(   iserror(offset(PADRON!B$2,match(A:A,PADRON!A$2:A1010,0)-1,0,1,1) )  ,  ,    offset(PADRON!B$2,match(A:A,PADRON!A$2:A1010,0)-1,0,1,1))</f>
        <v/>
      </c>
      <c r="C840" s="368"/>
      <c r="E840" t="str">
        <f t="shared" si="1"/>
        <v/>
      </c>
      <c r="F840" s="369"/>
      <c r="G840" s="320"/>
      <c r="H840" s="320"/>
      <c r="I840" s="320">
        <f t="shared" si="2"/>
        <v>0</v>
      </c>
      <c r="J840" s="368"/>
    </row>
    <row r="841">
      <c r="B841" t="str">
        <f>if(   iserror(offset(PADRON!B$2,match(A:A,PADRON!A$2:A1010,0)-1,0,1,1) )  ,  ,    offset(PADRON!B$2,match(A:A,PADRON!A$2:A1010,0)-1,0,1,1))</f>
        <v/>
      </c>
      <c r="C841" s="368"/>
      <c r="E841" t="str">
        <f t="shared" si="1"/>
        <v/>
      </c>
      <c r="F841" s="369"/>
      <c r="G841" s="320"/>
      <c r="H841" s="320"/>
      <c r="I841" s="320">
        <f t="shared" si="2"/>
        <v>0</v>
      </c>
      <c r="J841" s="368"/>
    </row>
    <row r="842">
      <c r="B842" t="str">
        <f>if(   iserror(offset(PADRON!B$2,match(A:A,PADRON!A$2:A1010,0)-1,0,1,1) )  ,  ,    offset(PADRON!B$2,match(A:A,PADRON!A$2:A1010,0)-1,0,1,1))</f>
        <v/>
      </c>
      <c r="C842" s="368"/>
      <c r="E842" t="str">
        <f t="shared" si="1"/>
        <v/>
      </c>
      <c r="F842" s="369"/>
      <c r="G842" s="320"/>
      <c r="H842" s="320"/>
      <c r="I842" s="320">
        <f t="shared" si="2"/>
        <v>0</v>
      </c>
      <c r="J842" s="368"/>
    </row>
    <row r="843">
      <c r="B843" t="str">
        <f>if(   iserror(offset(PADRON!B$2,match(A:A,PADRON!A$2:A1010,0)-1,0,1,1) )  ,  ,    offset(PADRON!B$2,match(A:A,PADRON!A$2:A1010,0)-1,0,1,1))</f>
        <v/>
      </c>
      <c r="C843" s="368"/>
      <c r="E843" t="str">
        <f t="shared" si="1"/>
        <v/>
      </c>
      <c r="F843" s="369"/>
      <c r="G843" s="320"/>
      <c r="H843" s="320"/>
      <c r="I843" s="320">
        <f t="shared" si="2"/>
        <v>0</v>
      </c>
      <c r="J843" s="368"/>
    </row>
    <row r="844">
      <c r="B844" t="str">
        <f>if(   iserror(offset(PADRON!B$2,match(A:A,PADRON!A$2:A1010,0)-1,0,1,1) )  ,  ,    offset(PADRON!B$2,match(A:A,PADRON!A$2:A1010,0)-1,0,1,1))</f>
        <v/>
      </c>
      <c r="C844" s="368"/>
      <c r="E844" t="str">
        <f t="shared" si="1"/>
        <v/>
      </c>
      <c r="F844" s="369"/>
      <c r="G844" s="320"/>
      <c r="H844" s="320"/>
      <c r="I844" s="320">
        <f t="shared" si="2"/>
        <v>0</v>
      </c>
      <c r="J844" s="368"/>
    </row>
    <row r="845">
      <c r="B845" t="str">
        <f>if(   iserror(offset(PADRON!B$2,match(A:A,PADRON!A$2:A1010,0)-1,0,1,1) )  ,  ,    offset(PADRON!B$2,match(A:A,PADRON!A$2:A1010,0)-1,0,1,1))</f>
        <v/>
      </c>
      <c r="C845" s="368"/>
      <c r="E845" t="str">
        <f t="shared" si="1"/>
        <v/>
      </c>
      <c r="F845" s="369"/>
      <c r="G845" s="320"/>
      <c r="H845" s="320"/>
      <c r="I845" s="320">
        <f t="shared" si="2"/>
        <v>0</v>
      </c>
      <c r="J845" s="368"/>
    </row>
    <row r="846">
      <c r="B846" t="str">
        <f>if(   iserror(offset(PADRON!B$2,match(A:A,PADRON!A$2:A1010,0)-1,0,1,1) )  ,  ,    offset(PADRON!B$2,match(A:A,PADRON!A$2:A1010,0)-1,0,1,1))</f>
        <v/>
      </c>
      <c r="C846" s="368"/>
      <c r="E846" t="str">
        <f t="shared" si="1"/>
        <v/>
      </c>
      <c r="F846" s="369"/>
      <c r="G846" s="320"/>
      <c r="H846" s="320"/>
      <c r="I846" s="320">
        <f t="shared" si="2"/>
        <v>0</v>
      </c>
      <c r="J846" s="368"/>
    </row>
    <row r="847">
      <c r="B847" t="str">
        <f>if(   iserror(offset(PADRON!B$2,match(A:A,PADRON!A$2:A1010,0)-1,0,1,1) )  ,  ,    offset(PADRON!B$2,match(A:A,PADRON!A$2:A1010,0)-1,0,1,1))</f>
        <v/>
      </c>
      <c r="C847" s="368"/>
      <c r="E847" t="str">
        <f t="shared" si="1"/>
        <v/>
      </c>
      <c r="F847" s="369"/>
      <c r="G847" s="320"/>
      <c r="H847" s="320"/>
      <c r="I847" s="320">
        <f t="shared" si="2"/>
        <v>0</v>
      </c>
      <c r="J847" s="368"/>
    </row>
    <row r="848">
      <c r="B848" t="str">
        <f>if(   iserror(offset(PADRON!B$2,match(A:A,PADRON!A$2:A1010,0)-1,0,1,1) )  ,  ,    offset(PADRON!B$2,match(A:A,PADRON!A$2:A1010,0)-1,0,1,1))</f>
        <v/>
      </c>
      <c r="C848" s="368"/>
      <c r="E848" t="str">
        <f t="shared" si="1"/>
        <v/>
      </c>
      <c r="F848" s="369"/>
      <c r="G848" s="320"/>
      <c r="H848" s="320"/>
      <c r="I848" s="320">
        <f t="shared" si="2"/>
        <v>0</v>
      </c>
      <c r="J848" s="368"/>
    </row>
    <row r="849">
      <c r="B849" t="str">
        <f>if(   iserror(offset(PADRON!B$2,match(A:A,PADRON!A$2:A1010,0)-1,0,1,1) )  ,  ,    offset(PADRON!B$2,match(A:A,PADRON!A$2:A1010,0)-1,0,1,1))</f>
        <v/>
      </c>
      <c r="C849" s="368"/>
      <c r="E849" t="str">
        <f t="shared" si="1"/>
        <v/>
      </c>
      <c r="F849" s="369"/>
      <c r="G849" s="320"/>
      <c r="H849" s="320"/>
      <c r="I849" s="320">
        <f t="shared" si="2"/>
        <v>0</v>
      </c>
      <c r="J849" s="368"/>
    </row>
    <row r="850">
      <c r="B850" t="str">
        <f>if(   iserror(offset(PADRON!B$2,match(A:A,PADRON!A$2:A1010,0)-1,0,1,1) )  ,  ,    offset(PADRON!B$2,match(A:A,PADRON!A$2:A1010,0)-1,0,1,1))</f>
        <v/>
      </c>
      <c r="C850" s="368"/>
      <c r="E850" t="str">
        <f t="shared" si="1"/>
        <v/>
      </c>
      <c r="F850" s="369"/>
      <c r="G850" s="320"/>
      <c r="H850" s="320"/>
      <c r="I850" s="320">
        <f t="shared" si="2"/>
        <v>0</v>
      </c>
      <c r="J850" s="368"/>
    </row>
    <row r="851">
      <c r="B851" t="str">
        <f>if(   iserror(offset(PADRON!B$2,match(A:A,PADRON!A$2:A1010,0)-1,0,1,1) )  ,  ,    offset(PADRON!B$2,match(A:A,PADRON!A$2:A1010,0)-1,0,1,1))</f>
        <v/>
      </c>
      <c r="C851" s="368"/>
      <c r="E851" t="str">
        <f t="shared" si="1"/>
        <v/>
      </c>
      <c r="F851" s="369"/>
      <c r="G851" s="320"/>
      <c r="H851" s="320"/>
      <c r="I851" s="320">
        <f t="shared" si="2"/>
        <v>0</v>
      </c>
      <c r="J851" s="368"/>
    </row>
    <row r="852">
      <c r="B852" t="str">
        <f>if(   iserror(offset(PADRON!B$2,match(A:A,PADRON!A$2:A1010,0)-1,0,1,1) )  ,  ,    offset(PADRON!B$2,match(A:A,PADRON!A$2:A1010,0)-1,0,1,1))</f>
        <v/>
      </c>
      <c r="C852" s="368"/>
      <c r="E852" t="str">
        <f t="shared" si="1"/>
        <v/>
      </c>
      <c r="F852" s="369"/>
      <c r="G852" s="320"/>
      <c r="H852" s="320"/>
      <c r="I852" s="320">
        <f t="shared" si="2"/>
        <v>0</v>
      </c>
      <c r="J852" s="368"/>
    </row>
    <row r="853">
      <c r="B853" t="str">
        <f>if(   iserror(offset(PADRON!B$2,match(A:A,PADRON!A$2:A1010,0)-1,0,1,1) )  ,  ,    offset(PADRON!B$2,match(A:A,PADRON!A$2:A1010,0)-1,0,1,1))</f>
        <v/>
      </c>
      <c r="C853" s="368"/>
      <c r="E853" t="str">
        <f t="shared" si="1"/>
        <v/>
      </c>
      <c r="F853" s="369"/>
      <c r="G853" s="320"/>
      <c r="H853" s="320"/>
      <c r="I853" s="320">
        <f t="shared" si="2"/>
        <v>0</v>
      </c>
      <c r="J853" s="368"/>
    </row>
    <row r="854">
      <c r="B854" t="str">
        <f>if(   iserror(offset(PADRON!B$2,match(A:A,PADRON!A$2:A1010,0)-1,0,1,1) )  ,  ,    offset(PADRON!B$2,match(A:A,PADRON!A$2:A1010,0)-1,0,1,1))</f>
        <v/>
      </c>
      <c r="C854" s="368"/>
      <c r="E854" t="str">
        <f t="shared" si="1"/>
        <v/>
      </c>
      <c r="F854" s="369"/>
      <c r="G854" s="320"/>
      <c r="H854" s="320"/>
      <c r="I854" s="320">
        <f t="shared" si="2"/>
        <v>0</v>
      </c>
      <c r="J854" s="368"/>
    </row>
    <row r="855">
      <c r="B855" t="str">
        <f>if(   iserror(offset(PADRON!B$2,match(A:A,PADRON!A$2:A1010,0)-1,0,1,1) )  ,  ,    offset(PADRON!B$2,match(A:A,PADRON!A$2:A1010,0)-1,0,1,1))</f>
        <v/>
      </c>
      <c r="C855" s="368"/>
      <c r="E855" t="str">
        <f t="shared" si="1"/>
        <v/>
      </c>
      <c r="F855" s="369"/>
      <c r="G855" s="320"/>
      <c r="H855" s="320"/>
      <c r="I855" s="320">
        <f t="shared" si="2"/>
        <v>0</v>
      </c>
      <c r="J855" s="368"/>
    </row>
    <row r="856">
      <c r="B856" t="str">
        <f>if(   iserror(offset(PADRON!B$2,match(A:A,PADRON!A$2:A1010,0)-1,0,1,1) )  ,  ,    offset(PADRON!B$2,match(A:A,PADRON!A$2:A1010,0)-1,0,1,1))</f>
        <v/>
      </c>
      <c r="C856" s="368"/>
      <c r="E856" t="str">
        <f t="shared" si="1"/>
        <v/>
      </c>
      <c r="F856" s="369"/>
      <c r="G856" s="320"/>
      <c r="H856" s="320"/>
      <c r="I856" s="320">
        <f t="shared" si="2"/>
        <v>0</v>
      </c>
      <c r="J856" s="368"/>
    </row>
    <row r="857">
      <c r="B857" t="str">
        <f>if(   iserror(offset(PADRON!B$2,match(A:A,PADRON!A$2:A1010,0)-1,0,1,1) )  ,  ,    offset(PADRON!B$2,match(A:A,PADRON!A$2:A1010,0)-1,0,1,1))</f>
        <v/>
      </c>
      <c r="C857" s="368"/>
      <c r="E857" t="str">
        <f t="shared" si="1"/>
        <v/>
      </c>
      <c r="F857" s="369"/>
      <c r="G857" s="320"/>
      <c r="H857" s="320"/>
      <c r="I857" s="320">
        <f t="shared" si="2"/>
        <v>0</v>
      </c>
      <c r="J857" s="368"/>
    </row>
    <row r="858">
      <c r="B858" t="str">
        <f>if(   iserror(offset(PADRON!B$2,match(A:A,PADRON!A$2:A1010,0)-1,0,1,1) )  ,  ,    offset(PADRON!B$2,match(A:A,PADRON!A$2:A1010,0)-1,0,1,1))</f>
        <v/>
      </c>
      <c r="C858" s="368"/>
      <c r="E858" t="str">
        <f t="shared" si="1"/>
        <v/>
      </c>
      <c r="F858" s="369"/>
      <c r="G858" s="320"/>
      <c r="H858" s="320"/>
      <c r="I858" s="320">
        <f t="shared" si="2"/>
        <v>0</v>
      </c>
      <c r="J858" s="368"/>
    </row>
    <row r="859">
      <c r="B859" t="str">
        <f>if(   iserror(offset(PADRON!B$2,match(A:A,PADRON!A$2:A1010,0)-1,0,1,1) )  ,  ,    offset(PADRON!B$2,match(A:A,PADRON!A$2:A1010,0)-1,0,1,1))</f>
        <v/>
      </c>
      <c r="C859" s="368"/>
      <c r="E859" t="str">
        <f t="shared" si="1"/>
        <v/>
      </c>
      <c r="F859" s="369"/>
      <c r="G859" s="320"/>
      <c r="H859" s="320"/>
      <c r="I859" s="320">
        <f t="shared" si="2"/>
        <v>0</v>
      </c>
      <c r="J859" s="368"/>
    </row>
    <row r="860">
      <c r="B860" t="str">
        <f>if(   iserror(offset(PADRON!B$2,match(A:A,PADRON!A$2:A1010,0)-1,0,1,1) )  ,  ,    offset(PADRON!B$2,match(A:A,PADRON!A$2:A1010,0)-1,0,1,1))</f>
        <v/>
      </c>
      <c r="C860" s="368"/>
      <c r="E860" t="str">
        <f t="shared" si="1"/>
        <v/>
      </c>
      <c r="F860" s="369"/>
      <c r="G860" s="320"/>
      <c r="H860" s="320"/>
      <c r="I860" s="320">
        <f t="shared" si="2"/>
        <v>0</v>
      </c>
      <c r="J860" s="368"/>
    </row>
    <row r="861">
      <c r="B861" t="str">
        <f>if(   iserror(offset(PADRON!B$2,match(A:A,PADRON!A$2:A1010,0)-1,0,1,1) )  ,  ,    offset(PADRON!B$2,match(A:A,PADRON!A$2:A1010,0)-1,0,1,1))</f>
        <v/>
      </c>
      <c r="C861" s="368"/>
      <c r="E861" t="str">
        <f t="shared" si="1"/>
        <v/>
      </c>
      <c r="F861" s="369"/>
      <c r="G861" s="320"/>
      <c r="H861" s="320"/>
      <c r="I861" s="320">
        <f t="shared" si="2"/>
        <v>0</v>
      </c>
      <c r="J861" s="368"/>
    </row>
    <row r="862">
      <c r="B862" t="str">
        <f>if(   iserror(offset(PADRON!B$2,match(A:A,PADRON!A$2:A1010,0)-1,0,1,1) )  ,  ,    offset(PADRON!B$2,match(A:A,PADRON!A$2:A1010,0)-1,0,1,1))</f>
        <v/>
      </c>
      <c r="C862" s="368"/>
      <c r="E862" t="str">
        <f t="shared" si="1"/>
        <v/>
      </c>
      <c r="F862" s="369"/>
      <c r="G862" s="320"/>
      <c r="H862" s="320"/>
      <c r="I862" s="320">
        <f t="shared" si="2"/>
        <v>0</v>
      </c>
      <c r="J862" s="368"/>
    </row>
    <row r="863">
      <c r="B863" t="str">
        <f>if(   iserror(offset(PADRON!B$2,match(A:A,PADRON!A$2:A1010,0)-1,0,1,1) )  ,  ,    offset(PADRON!B$2,match(A:A,PADRON!A$2:A1010,0)-1,0,1,1))</f>
        <v/>
      </c>
      <c r="C863" s="368"/>
      <c r="E863" t="str">
        <f t="shared" si="1"/>
        <v/>
      </c>
      <c r="F863" s="369"/>
      <c r="G863" s="320"/>
      <c r="H863" s="320"/>
      <c r="I863" s="320">
        <f t="shared" si="2"/>
        <v>0</v>
      </c>
      <c r="J863" s="368"/>
    </row>
    <row r="864">
      <c r="B864" t="str">
        <f>if(   iserror(offset(PADRON!B$2,match(A:A,PADRON!A$2:A1010,0)-1,0,1,1) )  ,  ,    offset(PADRON!B$2,match(A:A,PADRON!A$2:A1010,0)-1,0,1,1))</f>
        <v/>
      </c>
      <c r="C864" s="368"/>
      <c r="E864" t="str">
        <f t="shared" si="1"/>
        <v/>
      </c>
      <c r="F864" s="369"/>
      <c r="G864" s="320"/>
      <c r="H864" s="320"/>
      <c r="I864" s="320">
        <f t="shared" si="2"/>
        <v>0</v>
      </c>
      <c r="J864" s="368"/>
    </row>
    <row r="865">
      <c r="B865" t="str">
        <f>if(   iserror(offset(PADRON!B$2,match(A:A,PADRON!A$2:A1010,0)-1,0,1,1) )  ,  ,    offset(PADRON!B$2,match(A:A,PADRON!A$2:A1010,0)-1,0,1,1))</f>
        <v/>
      </c>
      <c r="C865" s="368"/>
      <c r="E865" t="str">
        <f t="shared" si="1"/>
        <v/>
      </c>
      <c r="F865" s="369"/>
      <c r="G865" s="320"/>
      <c r="H865" s="320"/>
      <c r="I865" s="320">
        <f t="shared" si="2"/>
        <v>0</v>
      </c>
      <c r="J865" s="368"/>
    </row>
    <row r="866">
      <c r="B866" t="str">
        <f>if(   iserror(offset(PADRON!B$2,match(A:A,PADRON!A$2:A1010,0)-1,0,1,1) )  ,  ,    offset(PADRON!B$2,match(A:A,PADRON!A$2:A1010,0)-1,0,1,1))</f>
        <v/>
      </c>
      <c r="C866" s="368"/>
      <c r="E866" t="str">
        <f t="shared" si="1"/>
        <v/>
      </c>
      <c r="F866" s="369"/>
      <c r="G866" s="320"/>
      <c r="H866" s="320"/>
      <c r="I866" s="320">
        <f t="shared" si="2"/>
        <v>0</v>
      </c>
      <c r="J866" s="368"/>
    </row>
    <row r="867">
      <c r="B867" t="str">
        <f>if(   iserror(offset(PADRON!B$2,match(A:A,PADRON!A$2:A1010,0)-1,0,1,1) )  ,  ,    offset(PADRON!B$2,match(A:A,PADRON!A$2:A1010,0)-1,0,1,1))</f>
        <v/>
      </c>
      <c r="C867" s="368"/>
      <c r="E867" t="str">
        <f t="shared" si="1"/>
        <v/>
      </c>
      <c r="F867" s="369"/>
      <c r="G867" s="320"/>
      <c r="H867" s="320"/>
      <c r="I867" s="320">
        <f t="shared" si="2"/>
        <v>0</v>
      </c>
      <c r="J867" s="368"/>
    </row>
    <row r="868">
      <c r="B868" t="str">
        <f>if(   iserror(offset(PADRON!B$2,match(A:A,PADRON!A$2:A1010,0)-1,0,1,1) )  ,  ,    offset(PADRON!B$2,match(A:A,PADRON!A$2:A1010,0)-1,0,1,1))</f>
        <v/>
      </c>
      <c r="C868" s="368"/>
      <c r="E868" t="str">
        <f t="shared" si="1"/>
        <v/>
      </c>
      <c r="F868" s="369"/>
      <c r="G868" s="320"/>
      <c r="H868" s="320"/>
      <c r="I868" s="320">
        <f t="shared" si="2"/>
        <v>0</v>
      </c>
      <c r="J868" s="368"/>
    </row>
    <row r="869">
      <c r="B869" t="str">
        <f>if(   iserror(offset(PADRON!B$2,match(A:A,PADRON!A$2:A1010,0)-1,0,1,1) )  ,  ,    offset(PADRON!B$2,match(A:A,PADRON!A$2:A1010,0)-1,0,1,1))</f>
        <v/>
      </c>
      <c r="C869" s="368"/>
      <c r="E869" t="str">
        <f t="shared" si="1"/>
        <v/>
      </c>
      <c r="F869" s="369"/>
      <c r="G869" s="320"/>
      <c r="H869" s="320"/>
      <c r="I869" s="320">
        <f t="shared" si="2"/>
        <v>0</v>
      </c>
      <c r="J869" s="368"/>
    </row>
    <row r="870">
      <c r="B870" t="str">
        <f>if(   iserror(offset(PADRON!B$2,match(A:A,PADRON!A$2:A1010,0)-1,0,1,1) )  ,  ,    offset(PADRON!B$2,match(A:A,PADRON!A$2:A1010,0)-1,0,1,1))</f>
        <v/>
      </c>
      <c r="C870" s="368"/>
      <c r="E870" t="str">
        <f t="shared" si="1"/>
        <v/>
      </c>
      <c r="F870" s="369"/>
      <c r="G870" s="320"/>
      <c r="H870" s="320"/>
      <c r="I870" s="320">
        <f t="shared" si="2"/>
        <v>0</v>
      </c>
      <c r="J870" s="368"/>
    </row>
    <row r="871">
      <c r="B871" t="str">
        <f>if(   iserror(offset(PADRON!B$2,match(A:A,PADRON!A$2:A1010,0)-1,0,1,1) )  ,  ,    offset(PADRON!B$2,match(A:A,PADRON!A$2:A1010,0)-1,0,1,1))</f>
        <v/>
      </c>
      <c r="C871" s="368"/>
      <c r="E871" t="str">
        <f t="shared" si="1"/>
        <v/>
      </c>
      <c r="F871" s="369"/>
      <c r="G871" s="320"/>
      <c r="H871" s="320"/>
      <c r="I871" s="320">
        <f t="shared" si="2"/>
        <v>0</v>
      </c>
      <c r="J871" s="368"/>
    </row>
    <row r="872">
      <c r="B872" t="str">
        <f>if(   iserror(offset(PADRON!B$2,match(A:A,PADRON!A$2:A1010,0)-1,0,1,1) )  ,  ,    offset(PADRON!B$2,match(A:A,PADRON!A$2:A1010,0)-1,0,1,1))</f>
        <v/>
      </c>
      <c r="C872" s="368"/>
      <c r="E872" t="str">
        <f t="shared" si="1"/>
        <v/>
      </c>
      <c r="F872" s="369"/>
      <c r="G872" s="320"/>
      <c r="H872" s="320"/>
      <c r="I872" s="320">
        <f t="shared" si="2"/>
        <v>0</v>
      </c>
      <c r="J872" s="368"/>
    </row>
    <row r="873">
      <c r="B873" t="str">
        <f>if(   iserror(offset(PADRON!B$2,match(A:A,PADRON!A$2:A1010,0)-1,0,1,1) )  ,  ,    offset(PADRON!B$2,match(A:A,PADRON!A$2:A1010,0)-1,0,1,1))</f>
        <v/>
      </c>
      <c r="C873" s="368"/>
      <c r="E873" t="str">
        <f t="shared" si="1"/>
        <v/>
      </c>
      <c r="F873" s="369"/>
      <c r="G873" s="320"/>
      <c r="H873" s="320"/>
      <c r="I873" s="320">
        <f t="shared" si="2"/>
        <v>0</v>
      </c>
      <c r="J873" s="368"/>
    </row>
    <row r="874">
      <c r="B874" t="str">
        <f>if(   iserror(offset(PADRON!B$2,match(A:A,PADRON!A$2:A1010,0)-1,0,1,1) )  ,  ,    offset(PADRON!B$2,match(A:A,PADRON!A$2:A1010,0)-1,0,1,1))</f>
        <v/>
      </c>
      <c r="C874" s="368"/>
      <c r="E874" t="str">
        <f t="shared" si="1"/>
        <v/>
      </c>
      <c r="F874" s="369"/>
      <c r="G874" s="320"/>
      <c r="H874" s="320"/>
      <c r="I874" s="320">
        <f t="shared" si="2"/>
        <v>0</v>
      </c>
      <c r="J874" s="368"/>
    </row>
    <row r="875">
      <c r="B875" t="str">
        <f>if(   iserror(offset(PADRON!B$2,match(A:A,PADRON!A$2:A1010,0)-1,0,1,1) )  ,  ,    offset(PADRON!B$2,match(A:A,PADRON!A$2:A1010,0)-1,0,1,1))</f>
        <v/>
      </c>
      <c r="C875" s="368"/>
      <c r="E875" t="str">
        <f t="shared" si="1"/>
        <v/>
      </c>
      <c r="F875" s="369"/>
      <c r="G875" s="320"/>
      <c r="H875" s="320"/>
      <c r="I875" s="320">
        <f t="shared" si="2"/>
        <v>0</v>
      </c>
      <c r="J875" s="368"/>
    </row>
    <row r="876">
      <c r="B876" t="str">
        <f>if(   iserror(offset(PADRON!B$2,match(A:A,PADRON!A$2:A1010,0)-1,0,1,1) )  ,  ,    offset(PADRON!B$2,match(A:A,PADRON!A$2:A1010,0)-1,0,1,1))</f>
        <v/>
      </c>
      <c r="C876" s="368"/>
      <c r="E876" t="str">
        <f t="shared" si="1"/>
        <v/>
      </c>
      <c r="F876" s="369"/>
      <c r="G876" s="320"/>
      <c r="H876" s="320"/>
      <c r="I876" s="320">
        <f t="shared" si="2"/>
        <v>0</v>
      </c>
      <c r="J876" s="368"/>
    </row>
    <row r="877">
      <c r="B877" t="str">
        <f>if(   iserror(offset(PADRON!B$2,match(A:A,PADRON!A$2:A1010,0)-1,0,1,1) )  ,  ,    offset(PADRON!B$2,match(A:A,PADRON!A$2:A1010,0)-1,0,1,1))</f>
        <v/>
      </c>
      <c r="C877" s="368"/>
      <c r="E877" t="str">
        <f t="shared" si="1"/>
        <v/>
      </c>
      <c r="F877" s="369"/>
      <c r="G877" s="320"/>
      <c r="H877" s="320"/>
      <c r="I877" s="320">
        <f t="shared" si="2"/>
        <v>0</v>
      </c>
      <c r="J877" s="368"/>
    </row>
    <row r="878">
      <c r="B878" t="str">
        <f>if(   iserror(offset(PADRON!B$2,match(A:A,PADRON!A$2:A1010,0)-1,0,1,1) )  ,  ,    offset(PADRON!B$2,match(A:A,PADRON!A$2:A1010,0)-1,0,1,1))</f>
        <v/>
      </c>
      <c r="C878" s="368"/>
      <c r="E878" t="str">
        <f t="shared" si="1"/>
        <v/>
      </c>
      <c r="F878" s="369"/>
      <c r="G878" s="320"/>
      <c r="H878" s="320"/>
      <c r="I878" s="320">
        <f t="shared" si="2"/>
        <v>0</v>
      </c>
      <c r="J878" s="368"/>
    </row>
    <row r="879">
      <c r="B879" t="str">
        <f>if(   iserror(offset(PADRON!B$2,match(A:A,PADRON!A$2:A1010,0)-1,0,1,1) )  ,  ,    offset(PADRON!B$2,match(A:A,PADRON!A$2:A1010,0)-1,0,1,1))</f>
        <v/>
      </c>
      <c r="C879" s="368"/>
      <c r="E879" t="str">
        <f t="shared" si="1"/>
        <v/>
      </c>
      <c r="F879" s="369"/>
      <c r="G879" s="320"/>
      <c r="H879" s="320"/>
      <c r="I879" s="320">
        <f t="shared" si="2"/>
        <v>0</v>
      </c>
      <c r="J879" s="368"/>
    </row>
    <row r="880">
      <c r="B880" t="str">
        <f>if(   iserror(offset(PADRON!B$2,match(A:A,PADRON!A$2:A1010,0)-1,0,1,1) )  ,  ,    offset(PADRON!B$2,match(A:A,PADRON!A$2:A1010,0)-1,0,1,1))</f>
        <v/>
      </c>
      <c r="C880" s="368"/>
      <c r="E880" t="str">
        <f t="shared" si="1"/>
        <v/>
      </c>
      <c r="F880" s="369"/>
      <c r="G880" s="320"/>
      <c r="H880" s="320"/>
      <c r="I880" s="320">
        <f t="shared" si="2"/>
        <v>0</v>
      </c>
      <c r="J880" s="368"/>
    </row>
    <row r="881">
      <c r="B881" t="str">
        <f>if(   iserror(offset(PADRON!B$2,match(A:A,PADRON!A$2:A1010,0)-1,0,1,1) )  ,  ,    offset(PADRON!B$2,match(A:A,PADRON!A$2:A1010,0)-1,0,1,1))</f>
        <v/>
      </c>
      <c r="C881" s="368"/>
      <c r="E881" t="str">
        <f t="shared" si="1"/>
        <v/>
      </c>
      <c r="F881" s="369"/>
      <c r="G881" s="320"/>
      <c r="H881" s="320"/>
      <c r="I881" s="320">
        <f t="shared" si="2"/>
        <v>0</v>
      </c>
      <c r="J881" s="368"/>
    </row>
    <row r="882">
      <c r="B882" t="str">
        <f>if(   iserror(offset(PADRON!B$2,match(A:A,PADRON!A$2:A1010,0)-1,0,1,1) )  ,  ,    offset(PADRON!B$2,match(A:A,PADRON!A$2:A1010,0)-1,0,1,1))</f>
        <v/>
      </c>
      <c r="C882" s="368"/>
      <c r="E882" t="str">
        <f t="shared" si="1"/>
        <v/>
      </c>
      <c r="F882" s="369"/>
      <c r="G882" s="320"/>
      <c r="H882" s="320"/>
      <c r="I882" s="320">
        <f t="shared" si="2"/>
        <v>0</v>
      </c>
      <c r="J882" s="368"/>
    </row>
    <row r="883">
      <c r="B883" t="str">
        <f>if(   iserror(offset(PADRON!B$2,match(A:A,PADRON!A$2:A1010,0)-1,0,1,1) )  ,  ,    offset(PADRON!B$2,match(A:A,PADRON!A$2:A1010,0)-1,0,1,1))</f>
        <v/>
      </c>
      <c r="C883" s="368"/>
      <c r="E883" t="str">
        <f t="shared" si="1"/>
        <v/>
      </c>
      <c r="F883" s="369"/>
      <c r="G883" s="320"/>
      <c r="H883" s="320"/>
      <c r="I883" s="320">
        <f t="shared" si="2"/>
        <v>0</v>
      </c>
      <c r="J883" s="368"/>
    </row>
    <row r="884">
      <c r="B884" t="str">
        <f>if(   iserror(offset(PADRON!B$2,match(A:A,PADRON!A$2:A1010,0)-1,0,1,1) )  ,  ,    offset(PADRON!B$2,match(A:A,PADRON!A$2:A1010,0)-1,0,1,1))</f>
        <v/>
      </c>
      <c r="C884" s="368"/>
      <c r="E884" t="str">
        <f t="shared" si="1"/>
        <v/>
      </c>
      <c r="F884" s="369"/>
      <c r="G884" s="320"/>
      <c r="H884" s="320"/>
      <c r="I884" s="320">
        <f t="shared" si="2"/>
        <v>0</v>
      </c>
      <c r="J884" s="368"/>
    </row>
    <row r="885">
      <c r="B885" t="str">
        <f>if(   iserror(offset(PADRON!B$2,match(A:A,PADRON!A$2:A1010,0)-1,0,1,1) )  ,  ,    offset(PADRON!B$2,match(A:A,PADRON!A$2:A1010,0)-1,0,1,1))</f>
        <v/>
      </c>
      <c r="C885" s="368"/>
      <c r="E885" t="str">
        <f t="shared" si="1"/>
        <v/>
      </c>
      <c r="F885" s="369"/>
      <c r="G885" s="320"/>
      <c r="H885" s="320"/>
      <c r="I885" s="320">
        <f t="shared" si="2"/>
        <v>0</v>
      </c>
      <c r="J885" s="368"/>
    </row>
    <row r="886">
      <c r="B886" t="str">
        <f>if(   iserror(offset(PADRON!B$2,match(A:A,PADRON!A$2:A1010,0)-1,0,1,1) )  ,  ,    offset(PADRON!B$2,match(A:A,PADRON!A$2:A1010,0)-1,0,1,1))</f>
        <v/>
      </c>
      <c r="C886" s="368"/>
      <c r="E886" t="str">
        <f t="shared" si="1"/>
        <v/>
      </c>
      <c r="F886" s="369"/>
      <c r="G886" s="320"/>
      <c r="H886" s="320"/>
      <c r="I886" s="320">
        <f t="shared" si="2"/>
        <v>0</v>
      </c>
      <c r="J886" s="368"/>
    </row>
    <row r="887">
      <c r="B887" t="str">
        <f>if(   iserror(offset(PADRON!B$2,match(A:A,PADRON!A$2:A1010,0)-1,0,1,1) )  ,  ,    offset(PADRON!B$2,match(A:A,PADRON!A$2:A1010,0)-1,0,1,1))</f>
        <v/>
      </c>
      <c r="C887" s="368"/>
      <c r="E887" t="str">
        <f t="shared" si="1"/>
        <v/>
      </c>
      <c r="F887" s="369"/>
      <c r="G887" s="320"/>
      <c r="H887" s="320"/>
      <c r="I887" s="320">
        <f t="shared" si="2"/>
        <v>0</v>
      </c>
      <c r="J887" s="368"/>
    </row>
    <row r="888">
      <c r="B888" t="str">
        <f>if(   iserror(offset(PADRON!B$2,match(A:A,PADRON!A$2:A1010,0)-1,0,1,1) )  ,  ,    offset(PADRON!B$2,match(A:A,PADRON!A$2:A1010,0)-1,0,1,1))</f>
        <v/>
      </c>
      <c r="C888" s="368"/>
      <c r="E888" t="str">
        <f t="shared" si="1"/>
        <v/>
      </c>
      <c r="F888" s="369"/>
      <c r="G888" s="320"/>
      <c r="H888" s="320"/>
      <c r="I888" s="320">
        <f t="shared" si="2"/>
        <v>0</v>
      </c>
      <c r="J888" s="368"/>
    </row>
    <row r="889">
      <c r="B889" t="str">
        <f>if(   iserror(offset(PADRON!B$2,match(A:A,PADRON!A$2:A1010,0)-1,0,1,1) )  ,  ,    offset(PADRON!B$2,match(A:A,PADRON!A$2:A1010,0)-1,0,1,1))</f>
        <v/>
      </c>
      <c r="C889" s="368"/>
      <c r="E889" t="str">
        <f t="shared" si="1"/>
        <v/>
      </c>
      <c r="F889" s="369"/>
      <c r="G889" s="320"/>
      <c r="H889" s="320"/>
      <c r="I889" s="320">
        <f t="shared" si="2"/>
        <v>0</v>
      </c>
      <c r="J889" s="368"/>
    </row>
    <row r="890">
      <c r="B890" t="str">
        <f>if(   iserror(offset(PADRON!B$2,match(A:A,PADRON!A$2:A1010,0)-1,0,1,1) )  ,  ,    offset(PADRON!B$2,match(A:A,PADRON!A$2:A1010,0)-1,0,1,1))</f>
        <v/>
      </c>
      <c r="C890" s="368"/>
      <c r="E890" t="str">
        <f t="shared" si="1"/>
        <v/>
      </c>
      <c r="F890" s="369"/>
      <c r="G890" s="320"/>
      <c r="H890" s="320"/>
      <c r="I890" s="320">
        <f t="shared" si="2"/>
        <v>0</v>
      </c>
      <c r="J890" s="368"/>
    </row>
    <row r="891">
      <c r="B891" t="str">
        <f>if(   iserror(offset(PADRON!B$2,match(A:A,PADRON!A$2:A1010,0)-1,0,1,1) )  ,  ,    offset(PADRON!B$2,match(A:A,PADRON!A$2:A1010,0)-1,0,1,1))</f>
        <v/>
      </c>
      <c r="C891" s="368"/>
      <c r="E891" t="str">
        <f t="shared" si="1"/>
        <v/>
      </c>
      <c r="F891" s="369"/>
      <c r="G891" s="320"/>
      <c r="H891" s="320"/>
      <c r="I891" s="320">
        <f t="shared" si="2"/>
        <v>0</v>
      </c>
      <c r="J891" s="368"/>
    </row>
    <row r="892">
      <c r="B892" t="str">
        <f>if(   iserror(offset(PADRON!B$2,match(A:A,PADRON!A$2:A1010,0)-1,0,1,1) )  ,  ,    offset(PADRON!B$2,match(A:A,PADRON!A$2:A1010,0)-1,0,1,1))</f>
        <v/>
      </c>
      <c r="C892" s="368"/>
      <c r="E892" t="str">
        <f t="shared" si="1"/>
        <v/>
      </c>
      <c r="F892" s="369"/>
      <c r="G892" s="320"/>
      <c r="H892" s="320"/>
      <c r="I892" s="320">
        <f t="shared" si="2"/>
        <v>0</v>
      </c>
      <c r="J892" s="368"/>
    </row>
    <row r="893">
      <c r="B893" t="str">
        <f>if(   iserror(offset(PADRON!B$2,match(A:A,PADRON!A$2:A1010,0)-1,0,1,1) )  ,  ,    offset(PADRON!B$2,match(A:A,PADRON!A$2:A1010,0)-1,0,1,1))</f>
        <v/>
      </c>
      <c r="C893" s="368"/>
      <c r="E893" t="str">
        <f t="shared" si="1"/>
        <v/>
      </c>
      <c r="F893" s="369"/>
      <c r="G893" s="320"/>
      <c r="H893" s="320"/>
      <c r="I893" s="320">
        <f t="shared" si="2"/>
        <v>0</v>
      </c>
      <c r="J893" s="368"/>
    </row>
    <row r="894">
      <c r="B894" t="str">
        <f>if(   iserror(offset(PADRON!B$2,match(A:A,PADRON!A$2:A1010,0)-1,0,1,1) )  ,  ,    offset(PADRON!B$2,match(A:A,PADRON!A$2:A1010,0)-1,0,1,1))</f>
        <v/>
      </c>
      <c r="C894" s="368"/>
      <c r="E894" t="str">
        <f t="shared" si="1"/>
        <v/>
      </c>
      <c r="F894" s="369"/>
      <c r="G894" s="320"/>
      <c r="H894" s="320"/>
      <c r="I894" s="320">
        <f t="shared" si="2"/>
        <v>0</v>
      </c>
      <c r="J894" s="368"/>
    </row>
    <row r="895">
      <c r="B895" t="str">
        <f>if(   iserror(offset(PADRON!B$2,match(A:A,PADRON!A$2:A1010,0)-1,0,1,1) )  ,  ,    offset(PADRON!B$2,match(A:A,PADRON!A$2:A1010,0)-1,0,1,1))</f>
        <v/>
      </c>
      <c r="C895" s="368"/>
      <c r="E895" t="str">
        <f t="shared" si="1"/>
        <v/>
      </c>
      <c r="F895" s="369"/>
      <c r="G895" s="320"/>
      <c r="H895" s="320"/>
      <c r="I895" s="320">
        <f t="shared" si="2"/>
        <v>0</v>
      </c>
      <c r="J895" s="368"/>
    </row>
    <row r="896">
      <c r="B896" t="str">
        <f>if(   iserror(offset(PADRON!B$2,match(A:A,PADRON!A$2:A1010,0)-1,0,1,1) )  ,  ,    offset(PADRON!B$2,match(A:A,PADRON!A$2:A1010,0)-1,0,1,1))</f>
        <v/>
      </c>
      <c r="C896" s="368"/>
      <c r="E896" t="str">
        <f t="shared" si="1"/>
        <v/>
      </c>
      <c r="F896" s="369"/>
      <c r="G896" s="320"/>
      <c r="H896" s="320"/>
      <c r="I896" s="320">
        <f t="shared" si="2"/>
        <v>0</v>
      </c>
      <c r="J896" s="368"/>
    </row>
    <row r="897">
      <c r="B897" t="str">
        <f>if(   iserror(offset(PADRON!B$2,match(A:A,PADRON!A$2:A1010,0)-1,0,1,1) )  ,  ,    offset(PADRON!B$2,match(A:A,PADRON!A$2:A1010,0)-1,0,1,1))</f>
        <v/>
      </c>
      <c r="C897" s="368"/>
      <c r="E897" t="str">
        <f t="shared" si="1"/>
        <v/>
      </c>
      <c r="F897" s="369"/>
      <c r="G897" s="320"/>
      <c r="H897" s="320"/>
      <c r="I897" s="320">
        <f t="shared" si="2"/>
        <v>0</v>
      </c>
      <c r="J897" s="368"/>
    </row>
    <row r="898">
      <c r="B898" t="str">
        <f>if(   iserror(offset(PADRON!B$2,match(A:A,PADRON!A$2:A1010,0)-1,0,1,1) )  ,  ,    offset(PADRON!B$2,match(A:A,PADRON!A$2:A1010,0)-1,0,1,1))</f>
        <v/>
      </c>
      <c r="C898" s="368"/>
      <c r="E898" t="str">
        <f t="shared" si="1"/>
        <v/>
      </c>
      <c r="F898" s="369"/>
      <c r="G898" s="320"/>
      <c r="H898" s="320"/>
      <c r="I898" s="320">
        <f t="shared" si="2"/>
        <v>0</v>
      </c>
      <c r="J898" s="368"/>
    </row>
    <row r="899">
      <c r="B899" t="str">
        <f>if(   iserror(offset(PADRON!B$2,match(A:A,PADRON!A$2:A1010,0)-1,0,1,1) )  ,  ,    offset(PADRON!B$2,match(A:A,PADRON!A$2:A1010,0)-1,0,1,1))</f>
        <v/>
      </c>
      <c r="C899" s="368"/>
      <c r="E899" t="str">
        <f t="shared" si="1"/>
        <v/>
      </c>
      <c r="F899" s="369"/>
      <c r="G899" s="320"/>
      <c r="H899" s="320"/>
      <c r="I899" s="320">
        <f t="shared" si="2"/>
        <v>0</v>
      </c>
      <c r="J899" s="368"/>
    </row>
    <row r="900">
      <c r="B900" t="str">
        <f>if(   iserror(offset(PADRON!B$2,match(A:A,PADRON!A$2:A1010,0)-1,0,1,1) )  ,  ,    offset(PADRON!B$2,match(A:A,PADRON!A$2:A1010,0)-1,0,1,1))</f>
        <v/>
      </c>
      <c r="C900" s="368"/>
      <c r="E900" t="str">
        <f t="shared" si="1"/>
        <v/>
      </c>
      <c r="F900" s="369"/>
      <c r="G900" s="320"/>
      <c r="H900" s="320"/>
      <c r="I900" s="320">
        <f t="shared" si="2"/>
        <v>0</v>
      </c>
      <c r="J900" s="368"/>
    </row>
    <row r="901">
      <c r="B901" t="str">
        <f>if(   iserror(offset(PADRON!B$2,match(A:A,PADRON!A$2:A1010,0)-1,0,1,1) )  ,  ,    offset(PADRON!B$2,match(A:A,PADRON!A$2:A1010,0)-1,0,1,1))</f>
        <v/>
      </c>
      <c r="C901" s="368"/>
      <c r="E901" t="str">
        <f t="shared" si="1"/>
        <v/>
      </c>
      <c r="F901" s="369"/>
      <c r="G901" s="320"/>
      <c r="H901" s="320"/>
      <c r="I901" s="320">
        <f t="shared" si="2"/>
        <v>0</v>
      </c>
      <c r="J901" s="368"/>
    </row>
    <row r="902">
      <c r="B902" t="str">
        <f>if(   iserror(offset(PADRON!B$2,match(A:A,PADRON!A$2:A1010,0)-1,0,1,1) )  ,  ,    offset(PADRON!B$2,match(A:A,PADRON!A$2:A1010,0)-1,0,1,1))</f>
        <v/>
      </c>
      <c r="C902" s="368"/>
      <c r="E902" t="str">
        <f t="shared" si="1"/>
        <v/>
      </c>
      <c r="F902" s="369"/>
      <c r="G902" s="320"/>
      <c r="H902" s="320"/>
      <c r="I902" s="320">
        <f t="shared" si="2"/>
        <v>0</v>
      </c>
      <c r="J902" s="368"/>
    </row>
    <row r="903">
      <c r="B903" t="str">
        <f>if(   iserror(offset(PADRON!B$2,match(A:A,PADRON!A$2:A1010,0)-1,0,1,1) )  ,  ,    offset(PADRON!B$2,match(A:A,PADRON!A$2:A1010,0)-1,0,1,1))</f>
        <v/>
      </c>
      <c r="C903" s="368"/>
      <c r="E903" t="str">
        <f t="shared" si="1"/>
        <v/>
      </c>
      <c r="F903" s="369"/>
      <c r="G903" s="320"/>
      <c r="H903" s="320"/>
      <c r="I903" s="320">
        <f t="shared" si="2"/>
        <v>0</v>
      </c>
      <c r="J903" s="368"/>
    </row>
    <row r="904">
      <c r="B904" t="str">
        <f>if(   iserror(offset(PADRON!B$2,match(A:A,PADRON!A$2:A1010,0)-1,0,1,1) )  ,  ,    offset(PADRON!B$2,match(A:A,PADRON!A$2:A1010,0)-1,0,1,1))</f>
        <v/>
      </c>
      <c r="C904" s="368"/>
      <c r="E904" t="str">
        <f t="shared" si="1"/>
        <v/>
      </c>
      <c r="F904" s="369"/>
      <c r="G904" s="320"/>
      <c r="H904" s="320"/>
      <c r="I904" s="320">
        <f t="shared" si="2"/>
        <v>0</v>
      </c>
      <c r="J904" s="368"/>
    </row>
    <row r="905">
      <c r="B905" t="str">
        <f>if(   iserror(offset(PADRON!B$2,match(A:A,PADRON!A$2:A1010,0)-1,0,1,1) )  ,  ,    offset(PADRON!B$2,match(A:A,PADRON!A$2:A1010,0)-1,0,1,1))</f>
        <v/>
      </c>
      <c r="C905" s="368"/>
      <c r="E905" t="str">
        <f t="shared" si="1"/>
        <v/>
      </c>
      <c r="F905" s="369"/>
      <c r="G905" s="320"/>
      <c r="H905" s="320"/>
      <c r="I905" s="320">
        <f t="shared" si="2"/>
        <v>0</v>
      </c>
      <c r="J905" s="368"/>
    </row>
    <row r="906">
      <c r="B906" t="str">
        <f>if(   iserror(offset(PADRON!B$2,match(A:A,PADRON!A$2:A1010,0)-1,0,1,1) )  ,  ,    offset(PADRON!B$2,match(A:A,PADRON!A$2:A1010,0)-1,0,1,1))</f>
        <v/>
      </c>
      <c r="C906" s="368"/>
      <c r="E906" t="str">
        <f t="shared" si="1"/>
        <v/>
      </c>
      <c r="F906" s="369"/>
      <c r="G906" s="320"/>
      <c r="H906" s="320"/>
      <c r="I906" s="320">
        <f t="shared" si="2"/>
        <v>0</v>
      </c>
      <c r="J906" s="368"/>
    </row>
    <row r="907">
      <c r="B907" t="str">
        <f>if(   iserror(offset(PADRON!B$2,match(A:A,PADRON!A$2:A1010,0)-1,0,1,1) )  ,  ,    offset(PADRON!B$2,match(A:A,PADRON!A$2:A1010,0)-1,0,1,1))</f>
        <v/>
      </c>
      <c r="C907" s="368"/>
      <c r="E907" t="str">
        <f t="shared" si="1"/>
        <v/>
      </c>
      <c r="F907" s="369"/>
      <c r="G907" s="320"/>
      <c r="H907" s="320"/>
      <c r="I907" s="320">
        <f t="shared" si="2"/>
        <v>0</v>
      </c>
      <c r="J907" s="368"/>
    </row>
    <row r="908">
      <c r="B908" t="str">
        <f>if(   iserror(offset(PADRON!B$2,match(A:A,PADRON!A$2:A1010,0)-1,0,1,1) )  ,  ,    offset(PADRON!B$2,match(A:A,PADRON!A$2:A1010,0)-1,0,1,1))</f>
        <v/>
      </c>
      <c r="C908" s="368"/>
      <c r="E908" t="str">
        <f t="shared" si="1"/>
        <v/>
      </c>
      <c r="F908" s="369"/>
      <c r="G908" s="320"/>
      <c r="H908" s="320"/>
      <c r="I908" s="320">
        <f t="shared" si="2"/>
        <v>0</v>
      </c>
      <c r="J908" s="368"/>
    </row>
    <row r="909">
      <c r="B909" t="str">
        <f>if(   iserror(offset(PADRON!B$2,match(A:A,PADRON!A$2:A1010,0)-1,0,1,1) )  ,  ,    offset(PADRON!B$2,match(A:A,PADRON!A$2:A1010,0)-1,0,1,1))</f>
        <v/>
      </c>
      <c r="C909" s="368"/>
      <c r="E909" t="str">
        <f t="shared" si="1"/>
        <v/>
      </c>
      <c r="F909" s="369"/>
      <c r="G909" s="320"/>
      <c r="H909" s="320"/>
      <c r="I909" s="320">
        <f t="shared" si="2"/>
        <v>0</v>
      </c>
      <c r="J909" s="368"/>
    </row>
    <row r="910">
      <c r="B910" t="str">
        <f>if(   iserror(offset(PADRON!B$2,match(A:A,PADRON!A$2:A1010,0)-1,0,1,1) )  ,  ,    offset(PADRON!B$2,match(A:A,PADRON!A$2:A1010,0)-1,0,1,1))</f>
        <v/>
      </c>
      <c r="C910" s="368"/>
      <c r="E910" t="str">
        <f t="shared" si="1"/>
        <v/>
      </c>
      <c r="F910" s="369"/>
      <c r="G910" s="320"/>
      <c r="H910" s="320"/>
      <c r="I910" s="320">
        <f t="shared" si="2"/>
        <v>0</v>
      </c>
      <c r="J910" s="368"/>
    </row>
    <row r="911">
      <c r="B911" t="str">
        <f>if(   iserror(offset(PADRON!B$2,match(A:A,PADRON!A$2:A1010,0)-1,0,1,1) )  ,  ,    offset(PADRON!B$2,match(A:A,PADRON!A$2:A1010,0)-1,0,1,1))</f>
        <v/>
      </c>
      <c r="C911" s="368"/>
      <c r="E911" t="str">
        <f t="shared" si="1"/>
        <v/>
      </c>
      <c r="F911" s="369"/>
      <c r="G911" s="320"/>
      <c r="H911" s="320"/>
      <c r="I911" s="320">
        <f t="shared" si="2"/>
        <v>0</v>
      </c>
      <c r="J911" s="368"/>
    </row>
    <row r="912">
      <c r="B912" t="str">
        <f>if(   iserror(offset(PADRON!B$2,match(A:A,PADRON!A$2:A1010,0)-1,0,1,1) )  ,  ,    offset(PADRON!B$2,match(A:A,PADRON!A$2:A1010,0)-1,0,1,1))</f>
        <v/>
      </c>
      <c r="C912" s="368"/>
      <c r="E912" t="str">
        <f t="shared" si="1"/>
        <v/>
      </c>
      <c r="F912" s="369"/>
      <c r="G912" s="320"/>
      <c r="H912" s="320"/>
      <c r="I912" s="320">
        <f t="shared" si="2"/>
        <v>0</v>
      </c>
      <c r="J912" s="368"/>
    </row>
    <row r="913">
      <c r="B913" t="str">
        <f>if(   iserror(offset(PADRON!B$2,match(A:A,PADRON!A$2:A1010,0)-1,0,1,1) )  ,  ,    offset(PADRON!B$2,match(A:A,PADRON!A$2:A1010,0)-1,0,1,1))</f>
        <v/>
      </c>
      <c r="C913" s="368"/>
      <c r="E913" t="str">
        <f t="shared" si="1"/>
        <v/>
      </c>
      <c r="F913" s="369"/>
      <c r="G913" s="320"/>
      <c r="H913" s="320"/>
      <c r="I913" s="320">
        <f t="shared" si="2"/>
        <v>0</v>
      </c>
      <c r="J913" s="368"/>
    </row>
    <row r="914">
      <c r="B914" t="str">
        <f>if(   iserror(offset(PADRON!B$2,match(A:A,PADRON!A$2:A1010,0)-1,0,1,1) )  ,  ,    offset(PADRON!B$2,match(A:A,PADRON!A$2:A1010,0)-1,0,1,1))</f>
        <v/>
      </c>
      <c r="C914" s="368"/>
      <c r="E914" t="str">
        <f t="shared" si="1"/>
        <v/>
      </c>
      <c r="F914" s="369"/>
      <c r="G914" s="320"/>
      <c r="H914" s="320"/>
      <c r="I914" s="320">
        <f t="shared" si="2"/>
        <v>0</v>
      </c>
      <c r="J914" s="368"/>
    </row>
    <row r="915">
      <c r="B915" t="str">
        <f>if(   iserror(offset(PADRON!B$2,match(A:A,PADRON!A$2:A1010,0)-1,0,1,1) )  ,  ,    offset(PADRON!B$2,match(A:A,PADRON!A$2:A1010,0)-1,0,1,1))</f>
        <v/>
      </c>
      <c r="C915" s="368"/>
      <c r="E915" t="str">
        <f t="shared" si="1"/>
        <v/>
      </c>
      <c r="F915" s="369"/>
      <c r="G915" s="320"/>
      <c r="H915" s="320"/>
      <c r="I915" s="320">
        <f t="shared" si="2"/>
        <v>0</v>
      </c>
      <c r="J915" s="368"/>
    </row>
    <row r="916">
      <c r="B916" t="str">
        <f>if(   iserror(offset(PADRON!B$2,match(A:A,PADRON!A$2:A1010,0)-1,0,1,1) )  ,  ,    offset(PADRON!B$2,match(A:A,PADRON!A$2:A1010,0)-1,0,1,1))</f>
        <v/>
      </c>
      <c r="C916" s="368"/>
      <c r="E916" t="str">
        <f t="shared" si="1"/>
        <v/>
      </c>
      <c r="F916" s="369"/>
      <c r="G916" s="320"/>
      <c r="H916" s="320"/>
      <c r="I916" s="320">
        <f t="shared" si="2"/>
        <v>0</v>
      </c>
      <c r="J916" s="368"/>
    </row>
    <row r="917">
      <c r="B917" t="str">
        <f>if(   iserror(offset(PADRON!B$2,match(A:A,PADRON!A$2:A1010,0)-1,0,1,1) )  ,  ,    offset(PADRON!B$2,match(A:A,PADRON!A$2:A1010,0)-1,0,1,1))</f>
        <v/>
      </c>
      <c r="C917" s="368"/>
      <c r="E917" t="str">
        <f t="shared" si="1"/>
        <v/>
      </c>
      <c r="F917" s="369"/>
      <c r="G917" s="320"/>
      <c r="H917" s="320"/>
      <c r="I917" s="320">
        <f t="shared" si="2"/>
        <v>0</v>
      </c>
      <c r="J917" s="368"/>
    </row>
    <row r="918">
      <c r="B918" t="str">
        <f>if(   iserror(offset(PADRON!B$2,match(A:A,PADRON!A$2:A1010,0)-1,0,1,1) )  ,  ,    offset(PADRON!B$2,match(A:A,PADRON!A$2:A1010,0)-1,0,1,1))</f>
        <v/>
      </c>
      <c r="C918" s="368"/>
      <c r="E918" t="str">
        <f t="shared" si="1"/>
        <v/>
      </c>
      <c r="F918" s="369"/>
      <c r="G918" s="320"/>
      <c r="H918" s="320"/>
      <c r="I918" s="320">
        <f t="shared" si="2"/>
        <v>0</v>
      </c>
      <c r="J918" s="368"/>
    </row>
    <row r="919">
      <c r="B919" t="str">
        <f>if(   iserror(offset(PADRON!B$2,match(A:A,PADRON!A$2:A1010,0)-1,0,1,1) )  ,  ,    offset(PADRON!B$2,match(A:A,PADRON!A$2:A1010,0)-1,0,1,1))</f>
        <v/>
      </c>
      <c r="C919" s="368"/>
      <c r="E919" t="str">
        <f t="shared" si="1"/>
        <v/>
      </c>
      <c r="F919" s="369"/>
      <c r="G919" s="320"/>
      <c r="H919" s="320"/>
      <c r="I919" s="320">
        <f t="shared" si="2"/>
        <v>0</v>
      </c>
      <c r="J919" s="368"/>
    </row>
    <row r="920">
      <c r="B920" t="str">
        <f>if(   iserror(offset(PADRON!B$2,match(A:A,PADRON!A$2:A1010,0)-1,0,1,1) )  ,  ,    offset(PADRON!B$2,match(A:A,PADRON!A$2:A1010,0)-1,0,1,1))</f>
        <v/>
      </c>
      <c r="C920" s="368"/>
      <c r="E920" t="str">
        <f t="shared" si="1"/>
        <v/>
      </c>
      <c r="F920" s="369"/>
      <c r="G920" s="320"/>
      <c r="H920" s="320"/>
      <c r="I920" s="320">
        <f t="shared" si="2"/>
        <v>0</v>
      </c>
      <c r="J920" s="368"/>
    </row>
    <row r="921">
      <c r="B921" t="str">
        <f>if(   iserror(offset(PADRON!B$2,match(A:A,PADRON!A$2:A1010,0)-1,0,1,1) )  ,  ,    offset(PADRON!B$2,match(A:A,PADRON!A$2:A1010,0)-1,0,1,1))</f>
        <v/>
      </c>
      <c r="C921" s="368"/>
      <c r="E921" t="str">
        <f t="shared" si="1"/>
        <v/>
      </c>
      <c r="F921" s="369"/>
      <c r="G921" s="320"/>
      <c r="H921" s="320"/>
      <c r="I921" s="320">
        <f t="shared" si="2"/>
        <v>0</v>
      </c>
      <c r="J921" s="368"/>
    </row>
    <row r="922">
      <c r="B922" t="str">
        <f>if(   iserror(offset(PADRON!B$2,match(A:A,PADRON!A$2:A1010,0)-1,0,1,1) )  ,  ,    offset(PADRON!B$2,match(A:A,PADRON!A$2:A1010,0)-1,0,1,1))</f>
        <v/>
      </c>
      <c r="C922" s="368"/>
      <c r="E922" t="str">
        <f t="shared" si="1"/>
        <v/>
      </c>
      <c r="F922" s="369"/>
      <c r="G922" s="320"/>
      <c r="H922" s="320"/>
      <c r="I922" s="320">
        <f t="shared" si="2"/>
        <v>0</v>
      </c>
      <c r="J922" s="368"/>
    </row>
    <row r="923">
      <c r="B923" t="str">
        <f>if(   iserror(offset(PADRON!B$2,match(A:A,PADRON!A$2:A1010,0)-1,0,1,1) )  ,  ,    offset(PADRON!B$2,match(A:A,PADRON!A$2:A1010,0)-1,0,1,1))</f>
        <v/>
      </c>
      <c r="C923" s="368"/>
      <c r="E923" t="str">
        <f t="shared" si="1"/>
        <v/>
      </c>
      <c r="F923" s="369"/>
      <c r="G923" s="320"/>
      <c r="H923" s="320"/>
      <c r="I923" s="320">
        <f t="shared" si="2"/>
        <v>0</v>
      </c>
      <c r="J923" s="368"/>
    </row>
    <row r="924">
      <c r="B924" t="str">
        <f>if(   iserror(offset(PADRON!B$2,match(A:A,PADRON!A$2:A1010,0)-1,0,1,1) )  ,  ,    offset(PADRON!B$2,match(A:A,PADRON!A$2:A1010,0)-1,0,1,1))</f>
        <v/>
      </c>
      <c r="C924" s="368"/>
      <c r="E924" t="str">
        <f t="shared" si="1"/>
        <v/>
      </c>
      <c r="F924" s="369"/>
      <c r="G924" s="320"/>
      <c r="H924" s="320"/>
      <c r="I924" s="320">
        <f t="shared" si="2"/>
        <v>0</v>
      </c>
      <c r="J924" s="368"/>
    </row>
    <row r="925">
      <c r="B925" t="str">
        <f>if(   iserror(offset(PADRON!B$2,match(A:A,PADRON!A$2:A1010,0)-1,0,1,1) )  ,  ,    offset(PADRON!B$2,match(A:A,PADRON!A$2:A1010,0)-1,0,1,1))</f>
        <v/>
      </c>
      <c r="C925" s="368"/>
      <c r="E925" t="str">
        <f t="shared" si="1"/>
        <v/>
      </c>
      <c r="F925" s="369"/>
      <c r="G925" s="320"/>
      <c r="H925" s="320"/>
      <c r="I925" s="320">
        <f t="shared" si="2"/>
        <v>0</v>
      </c>
      <c r="J925" s="368"/>
    </row>
    <row r="926">
      <c r="B926" t="str">
        <f>if(   iserror(offset(PADRON!B$2,match(A:A,PADRON!A$2:A1010,0)-1,0,1,1) )  ,  ,    offset(PADRON!B$2,match(A:A,PADRON!A$2:A1010,0)-1,0,1,1))</f>
        <v/>
      </c>
      <c r="C926" s="368"/>
      <c r="E926" t="str">
        <f t="shared" si="1"/>
        <v/>
      </c>
      <c r="F926" s="369"/>
      <c r="G926" s="320"/>
      <c r="H926" s="320"/>
      <c r="I926" s="320">
        <f t="shared" si="2"/>
        <v>0</v>
      </c>
      <c r="J926" s="368"/>
    </row>
    <row r="927">
      <c r="B927" t="str">
        <f>if(   iserror(offset(PADRON!B$2,match(A:A,PADRON!A$2:A1010,0)-1,0,1,1) )  ,  ,    offset(PADRON!B$2,match(A:A,PADRON!A$2:A1010,0)-1,0,1,1))</f>
        <v/>
      </c>
      <c r="C927" s="368"/>
      <c r="E927" t="str">
        <f t="shared" si="1"/>
        <v/>
      </c>
      <c r="F927" s="369"/>
      <c r="G927" s="320"/>
      <c r="H927" s="320"/>
      <c r="I927" s="320">
        <f t="shared" si="2"/>
        <v>0</v>
      </c>
      <c r="J927" s="368"/>
    </row>
    <row r="928">
      <c r="B928" t="str">
        <f>if(   iserror(offset(PADRON!B$2,match(A:A,PADRON!A$2:A1010,0)-1,0,1,1) )  ,  ,    offset(PADRON!B$2,match(A:A,PADRON!A$2:A1010,0)-1,0,1,1))</f>
        <v/>
      </c>
      <c r="C928" s="368"/>
      <c r="E928" t="str">
        <f t="shared" si="1"/>
        <v/>
      </c>
      <c r="F928" s="369"/>
      <c r="G928" s="320"/>
      <c r="H928" s="320"/>
      <c r="I928" s="320">
        <f t="shared" si="2"/>
        <v>0</v>
      </c>
      <c r="J928" s="368"/>
    </row>
    <row r="929">
      <c r="B929" t="str">
        <f>if(   iserror(offset(PADRON!B$2,match(A:A,PADRON!A$2:A1010,0)-1,0,1,1) )  ,  ,    offset(PADRON!B$2,match(A:A,PADRON!A$2:A1010,0)-1,0,1,1))</f>
        <v/>
      </c>
      <c r="C929" s="368"/>
      <c r="E929" t="str">
        <f t="shared" si="1"/>
        <v/>
      </c>
      <c r="F929" s="369"/>
      <c r="G929" s="320"/>
      <c r="H929" s="320"/>
      <c r="I929" s="320">
        <f t="shared" si="2"/>
        <v>0</v>
      </c>
      <c r="J929" s="368"/>
    </row>
    <row r="930">
      <c r="B930" t="str">
        <f>if(   iserror(offset(PADRON!B$2,match(A:A,PADRON!A$2:A1010,0)-1,0,1,1) )  ,  ,    offset(PADRON!B$2,match(A:A,PADRON!A$2:A1010,0)-1,0,1,1))</f>
        <v/>
      </c>
      <c r="C930" s="368"/>
      <c r="E930" t="str">
        <f t="shared" si="1"/>
        <v/>
      </c>
      <c r="F930" s="369"/>
      <c r="G930" s="320"/>
      <c r="H930" s="320"/>
      <c r="I930" s="320">
        <f t="shared" si="2"/>
        <v>0</v>
      </c>
      <c r="J930" s="368"/>
    </row>
    <row r="931">
      <c r="B931" t="str">
        <f>if(   iserror(offset(PADRON!B$2,match(A:A,PADRON!A$2:A1010,0)-1,0,1,1) )  ,  ,    offset(PADRON!B$2,match(A:A,PADRON!A$2:A1010,0)-1,0,1,1))</f>
        <v/>
      </c>
      <c r="C931" s="368"/>
      <c r="E931" t="str">
        <f t="shared" si="1"/>
        <v/>
      </c>
      <c r="F931" s="369"/>
      <c r="G931" s="320"/>
      <c r="H931" s="320"/>
      <c r="I931" s="320">
        <f t="shared" si="2"/>
        <v>0</v>
      </c>
      <c r="J931" s="368"/>
    </row>
    <row r="932">
      <c r="B932" t="str">
        <f>if(   iserror(offset(PADRON!B$2,match(A:A,PADRON!A$2:A1010,0)-1,0,1,1) )  ,  ,    offset(PADRON!B$2,match(A:A,PADRON!A$2:A1010,0)-1,0,1,1))</f>
        <v/>
      </c>
      <c r="C932" s="368"/>
      <c r="E932" t="str">
        <f t="shared" si="1"/>
        <v/>
      </c>
      <c r="F932" s="369"/>
      <c r="G932" s="320"/>
      <c r="H932" s="320"/>
      <c r="I932" s="320">
        <f t="shared" si="2"/>
        <v>0</v>
      </c>
      <c r="J932" s="368"/>
    </row>
    <row r="933">
      <c r="B933" t="str">
        <f>if(   iserror(offset(PADRON!B$2,match(A:A,PADRON!A$2:A1010,0)-1,0,1,1) )  ,  ,    offset(PADRON!B$2,match(A:A,PADRON!A$2:A1010,0)-1,0,1,1))</f>
        <v/>
      </c>
      <c r="C933" s="368"/>
      <c r="E933" t="str">
        <f t="shared" si="1"/>
        <v/>
      </c>
      <c r="F933" s="369"/>
      <c r="G933" s="320"/>
      <c r="H933" s="320"/>
      <c r="I933" s="320">
        <f t="shared" si="2"/>
        <v>0</v>
      </c>
      <c r="J933" s="368"/>
    </row>
    <row r="934">
      <c r="B934" t="str">
        <f>if(   iserror(offset(PADRON!B$2,match(A:A,PADRON!A$2:A1010,0)-1,0,1,1) )  ,  ,    offset(PADRON!B$2,match(A:A,PADRON!A$2:A1010,0)-1,0,1,1))</f>
        <v/>
      </c>
      <c r="C934" s="368"/>
      <c r="E934" t="str">
        <f t="shared" si="1"/>
        <v/>
      </c>
      <c r="F934" s="369"/>
      <c r="G934" s="320"/>
      <c r="H934" s="320"/>
      <c r="I934" s="320">
        <f t="shared" si="2"/>
        <v>0</v>
      </c>
      <c r="J934" s="368"/>
    </row>
    <row r="935">
      <c r="B935" t="str">
        <f>if(   iserror(offset(PADRON!B$2,match(A:A,PADRON!A$2:A1010,0)-1,0,1,1) )  ,  ,    offset(PADRON!B$2,match(A:A,PADRON!A$2:A1010,0)-1,0,1,1))</f>
        <v/>
      </c>
      <c r="C935" s="368"/>
      <c r="E935" t="str">
        <f t="shared" si="1"/>
        <v/>
      </c>
      <c r="F935" s="369"/>
      <c r="G935" s="320"/>
      <c r="H935" s="320"/>
      <c r="I935" s="320">
        <f t="shared" si="2"/>
        <v>0</v>
      </c>
      <c r="J935" s="368"/>
    </row>
    <row r="936">
      <c r="B936" t="str">
        <f>if(   iserror(offset(PADRON!B$2,match(A:A,PADRON!A$2:A1010,0)-1,0,1,1) )  ,  ,    offset(PADRON!B$2,match(A:A,PADRON!A$2:A1010,0)-1,0,1,1))</f>
        <v/>
      </c>
      <c r="C936" s="368"/>
      <c r="E936" t="str">
        <f t="shared" si="1"/>
        <v/>
      </c>
      <c r="F936" s="369"/>
      <c r="G936" s="320"/>
      <c r="H936" s="320"/>
      <c r="I936" s="320">
        <f t="shared" si="2"/>
        <v>0</v>
      </c>
      <c r="J936" s="368"/>
    </row>
    <row r="937">
      <c r="B937" t="str">
        <f>if(   iserror(offset(PADRON!B$2,match(A:A,PADRON!A$2:A1010,0)-1,0,1,1) )  ,  ,    offset(PADRON!B$2,match(A:A,PADRON!A$2:A1010,0)-1,0,1,1))</f>
        <v/>
      </c>
      <c r="C937" s="368"/>
      <c r="E937" t="str">
        <f t="shared" si="1"/>
        <v/>
      </c>
      <c r="F937" s="369"/>
      <c r="G937" s="320"/>
      <c r="H937" s="320"/>
      <c r="I937" s="320">
        <f t="shared" si="2"/>
        <v>0</v>
      </c>
      <c r="J937" s="368"/>
    </row>
    <row r="938">
      <c r="B938" t="str">
        <f>if(   iserror(offset(PADRON!B$2,match(A:A,PADRON!A$2:A1010,0)-1,0,1,1) )  ,  ,    offset(PADRON!B$2,match(A:A,PADRON!A$2:A1010,0)-1,0,1,1))</f>
        <v/>
      </c>
      <c r="C938" s="368"/>
      <c r="E938" t="str">
        <f t="shared" si="1"/>
        <v/>
      </c>
      <c r="F938" s="369"/>
      <c r="G938" s="320"/>
      <c r="H938" s="320"/>
      <c r="I938" s="320">
        <f t="shared" si="2"/>
        <v>0</v>
      </c>
      <c r="J938" s="368"/>
    </row>
    <row r="939">
      <c r="B939" t="str">
        <f>if(   iserror(offset(PADRON!B$2,match(A:A,PADRON!A$2:A1010,0)-1,0,1,1) )  ,  ,    offset(PADRON!B$2,match(A:A,PADRON!A$2:A1010,0)-1,0,1,1))</f>
        <v/>
      </c>
      <c r="C939" s="368"/>
      <c r="E939" t="str">
        <f t="shared" si="1"/>
        <v/>
      </c>
      <c r="F939" s="369"/>
      <c r="G939" s="320"/>
      <c r="H939" s="320"/>
      <c r="I939" s="320">
        <f t="shared" si="2"/>
        <v>0</v>
      </c>
      <c r="J939" s="368"/>
    </row>
    <row r="940">
      <c r="B940" t="str">
        <f>if(   iserror(offset(PADRON!B$2,match(A:A,PADRON!A$2:A1010,0)-1,0,1,1) )  ,  ,    offset(PADRON!B$2,match(A:A,PADRON!A$2:A1010,0)-1,0,1,1))</f>
        <v/>
      </c>
      <c r="C940" s="368"/>
      <c r="E940" t="str">
        <f t="shared" si="1"/>
        <v/>
      </c>
      <c r="F940" s="369"/>
      <c r="G940" s="320"/>
      <c r="H940" s="320"/>
      <c r="I940" s="320">
        <f t="shared" si="2"/>
        <v>0</v>
      </c>
      <c r="J940" s="368"/>
    </row>
    <row r="941">
      <c r="B941" t="str">
        <f>if(   iserror(offset(PADRON!B$2,match(A:A,PADRON!A$2:A1010,0)-1,0,1,1) )  ,  ,    offset(PADRON!B$2,match(A:A,PADRON!A$2:A1010,0)-1,0,1,1))</f>
        <v/>
      </c>
      <c r="C941" s="368"/>
      <c r="E941" t="str">
        <f t="shared" si="1"/>
        <v/>
      </c>
      <c r="F941" s="369"/>
      <c r="G941" s="320"/>
      <c r="H941" s="320"/>
      <c r="I941" s="320">
        <f t="shared" si="2"/>
        <v>0</v>
      </c>
      <c r="J941" s="368"/>
    </row>
    <row r="942">
      <c r="B942" t="str">
        <f>if(   iserror(offset(PADRON!B$2,match(A:A,PADRON!A$2:A1010,0)-1,0,1,1) )  ,  ,    offset(PADRON!B$2,match(A:A,PADRON!A$2:A1010,0)-1,0,1,1))</f>
        <v/>
      </c>
      <c r="C942" s="368"/>
      <c r="E942" t="str">
        <f t="shared" si="1"/>
        <v/>
      </c>
      <c r="F942" s="369"/>
      <c r="G942" s="320"/>
      <c r="H942" s="320"/>
      <c r="I942" s="320">
        <f t="shared" si="2"/>
        <v>0</v>
      </c>
      <c r="J942" s="368"/>
    </row>
    <row r="943">
      <c r="B943" t="str">
        <f>if(   iserror(offset(PADRON!B$2,match(A:A,PADRON!A$2:A1010,0)-1,0,1,1) )  ,  ,    offset(PADRON!B$2,match(A:A,PADRON!A$2:A1010,0)-1,0,1,1))</f>
        <v/>
      </c>
      <c r="C943" s="368"/>
      <c r="E943" t="str">
        <f t="shared" si="1"/>
        <v/>
      </c>
      <c r="F943" s="369"/>
      <c r="G943" s="320"/>
      <c r="H943" s="320"/>
      <c r="I943" s="320">
        <f t="shared" si="2"/>
        <v>0</v>
      </c>
      <c r="J943" s="368"/>
    </row>
    <row r="944">
      <c r="B944" t="str">
        <f>if(   iserror(offset(PADRON!B$2,match(A:A,PADRON!A$2:A1010,0)-1,0,1,1) )  ,  ,    offset(PADRON!B$2,match(A:A,PADRON!A$2:A1010,0)-1,0,1,1))</f>
        <v/>
      </c>
      <c r="C944" s="368"/>
      <c r="E944" t="str">
        <f t="shared" si="1"/>
        <v/>
      </c>
      <c r="F944" s="369"/>
      <c r="G944" s="320"/>
      <c r="H944" s="320"/>
      <c r="I944" s="320">
        <f t="shared" si="2"/>
        <v>0</v>
      </c>
      <c r="J944" s="368"/>
    </row>
    <row r="945">
      <c r="B945" t="str">
        <f>if(   iserror(offset(PADRON!B$2,match(A:A,PADRON!A$2:A1010,0)-1,0,1,1) )  ,  ,    offset(PADRON!B$2,match(A:A,PADRON!A$2:A1010,0)-1,0,1,1))</f>
        <v/>
      </c>
      <c r="C945" s="368"/>
      <c r="E945" t="str">
        <f t="shared" si="1"/>
        <v/>
      </c>
      <c r="F945" s="369"/>
      <c r="G945" s="320"/>
      <c r="H945" s="320"/>
      <c r="I945" s="320">
        <f t="shared" si="2"/>
        <v>0</v>
      </c>
      <c r="J945" s="368"/>
    </row>
    <row r="946">
      <c r="B946" t="str">
        <f>if(   iserror(offset(PADRON!B$2,match(A:A,PADRON!A$2:A1010,0)-1,0,1,1) )  ,  ,    offset(PADRON!B$2,match(A:A,PADRON!A$2:A1010,0)-1,0,1,1))</f>
        <v/>
      </c>
      <c r="C946" s="368"/>
      <c r="E946" t="str">
        <f t="shared" si="1"/>
        <v/>
      </c>
      <c r="F946" s="369"/>
      <c r="G946" s="320"/>
      <c r="H946" s="320"/>
      <c r="I946" s="320">
        <f t="shared" si="2"/>
        <v>0</v>
      </c>
      <c r="J946" s="368"/>
    </row>
    <row r="947">
      <c r="B947" t="str">
        <f>if(   iserror(offset(PADRON!B$2,match(A:A,PADRON!A$2:A1010,0)-1,0,1,1) )  ,  ,    offset(PADRON!B$2,match(A:A,PADRON!A$2:A1010,0)-1,0,1,1))</f>
        <v/>
      </c>
      <c r="C947" s="368"/>
      <c r="E947" t="str">
        <f t="shared" si="1"/>
        <v/>
      </c>
      <c r="F947" s="369"/>
      <c r="G947" s="320"/>
      <c r="H947" s="320"/>
      <c r="I947" s="320">
        <f t="shared" si="2"/>
        <v>0</v>
      </c>
      <c r="J947" s="368"/>
    </row>
    <row r="948">
      <c r="B948" t="str">
        <f>if(   iserror(offset(PADRON!B$2,match(A:A,PADRON!A$2:A1010,0)-1,0,1,1) )  ,  ,    offset(PADRON!B$2,match(A:A,PADRON!A$2:A1010,0)-1,0,1,1))</f>
        <v/>
      </c>
      <c r="C948" s="368"/>
      <c r="E948" t="str">
        <f t="shared" si="1"/>
        <v/>
      </c>
      <c r="F948" s="369"/>
      <c r="G948" s="320"/>
      <c r="H948" s="320"/>
      <c r="I948" s="320">
        <f t="shared" si="2"/>
        <v>0</v>
      </c>
      <c r="J948" s="368"/>
    </row>
    <row r="949">
      <c r="B949" t="str">
        <f>if(   iserror(offset(PADRON!B$2,match(A:A,PADRON!A$2:A1010,0)-1,0,1,1) )  ,  ,    offset(PADRON!B$2,match(A:A,PADRON!A$2:A1010,0)-1,0,1,1))</f>
        <v/>
      </c>
      <c r="C949" s="368"/>
      <c r="E949" t="str">
        <f t="shared" si="1"/>
        <v/>
      </c>
      <c r="F949" s="369"/>
      <c r="G949" s="320"/>
      <c r="H949" s="320"/>
      <c r="I949" s="320">
        <f t="shared" si="2"/>
        <v>0</v>
      </c>
      <c r="J949" s="368"/>
    </row>
    <row r="950">
      <c r="B950" t="str">
        <f>if(   iserror(offset(PADRON!B$2,match(A:A,PADRON!A$2:A1010,0)-1,0,1,1) )  ,  ,    offset(PADRON!B$2,match(A:A,PADRON!A$2:A1010,0)-1,0,1,1))</f>
        <v/>
      </c>
      <c r="C950" s="368"/>
      <c r="E950" t="str">
        <f t="shared" si="1"/>
        <v/>
      </c>
      <c r="F950" s="369"/>
      <c r="G950" s="320"/>
      <c r="H950" s="320"/>
      <c r="I950" s="320">
        <f t="shared" si="2"/>
        <v>0</v>
      </c>
      <c r="J950" s="368"/>
    </row>
    <row r="951">
      <c r="B951" t="str">
        <f>if(   iserror(offset(PADRON!B$2,match(A:A,PADRON!A$2:A1010,0)-1,0,1,1) )  ,  ,    offset(PADRON!B$2,match(A:A,PADRON!A$2:A1010,0)-1,0,1,1))</f>
        <v/>
      </c>
      <c r="C951" s="368"/>
      <c r="E951" t="str">
        <f t="shared" si="1"/>
        <v/>
      </c>
      <c r="F951" s="369"/>
      <c r="G951" s="320"/>
      <c r="H951" s="320"/>
      <c r="I951" s="320">
        <f t="shared" si="2"/>
        <v>0</v>
      </c>
      <c r="J951" s="368"/>
    </row>
    <row r="952">
      <c r="B952" t="str">
        <f>if(   iserror(offset(PADRON!B$2,match(A:A,PADRON!A$2:A1010,0)-1,0,1,1) )  ,  ,    offset(PADRON!B$2,match(A:A,PADRON!A$2:A1010,0)-1,0,1,1))</f>
        <v/>
      </c>
      <c r="C952" s="368"/>
      <c r="E952" t="str">
        <f t="shared" si="1"/>
        <v/>
      </c>
      <c r="F952" s="369"/>
      <c r="G952" s="320"/>
      <c r="H952" s="320"/>
      <c r="I952" s="320">
        <f t="shared" si="2"/>
        <v>0</v>
      </c>
      <c r="J952" s="368"/>
    </row>
    <row r="953">
      <c r="B953" t="str">
        <f>if(   iserror(offset(PADRON!B$2,match(A:A,PADRON!A$2:A1010,0)-1,0,1,1) )  ,  ,    offset(PADRON!B$2,match(A:A,PADRON!A$2:A1010,0)-1,0,1,1))</f>
        <v/>
      </c>
      <c r="C953" s="368"/>
      <c r="E953" t="str">
        <f t="shared" si="1"/>
        <v/>
      </c>
      <c r="F953" s="369"/>
      <c r="G953" s="320"/>
      <c r="H953" s="320"/>
      <c r="I953" s="320">
        <f t="shared" si="2"/>
        <v>0</v>
      </c>
      <c r="J953" s="368"/>
    </row>
    <row r="954">
      <c r="B954" t="str">
        <f>if(   iserror(offset(PADRON!B$2,match(A:A,PADRON!A$2:A1010,0)-1,0,1,1) )  ,  ,    offset(PADRON!B$2,match(A:A,PADRON!A$2:A1010,0)-1,0,1,1))</f>
        <v/>
      </c>
      <c r="C954" s="368"/>
      <c r="E954" t="str">
        <f t="shared" si="1"/>
        <v/>
      </c>
      <c r="F954" s="369"/>
      <c r="G954" s="320"/>
      <c r="H954" s="320"/>
      <c r="I954" s="320">
        <f t="shared" si="2"/>
        <v>0</v>
      </c>
      <c r="J954" s="368"/>
    </row>
    <row r="955">
      <c r="B955" t="str">
        <f>if(   iserror(offset(PADRON!B$2,match(A:A,PADRON!A$2:A1010,0)-1,0,1,1) )  ,  ,    offset(PADRON!B$2,match(A:A,PADRON!A$2:A1010,0)-1,0,1,1))</f>
        <v/>
      </c>
      <c r="C955" s="368"/>
      <c r="E955" t="str">
        <f t="shared" si="1"/>
        <v/>
      </c>
      <c r="F955" s="369"/>
      <c r="G955" s="320"/>
      <c r="H955" s="320"/>
      <c r="I955" s="320">
        <f t="shared" si="2"/>
        <v>0</v>
      </c>
      <c r="J955" s="368"/>
    </row>
    <row r="956">
      <c r="B956" t="str">
        <f>if(   iserror(offset(PADRON!B$2,match(A:A,PADRON!A$2:A1010,0)-1,0,1,1) )  ,  ,    offset(PADRON!B$2,match(A:A,PADRON!A$2:A1010,0)-1,0,1,1))</f>
        <v/>
      </c>
      <c r="C956" s="368"/>
      <c r="E956" t="str">
        <f t="shared" si="1"/>
        <v/>
      </c>
      <c r="F956" s="369"/>
      <c r="G956" s="320"/>
      <c r="H956" s="320"/>
      <c r="I956" s="320">
        <f t="shared" si="2"/>
        <v>0</v>
      </c>
      <c r="J956" s="368"/>
    </row>
    <row r="957">
      <c r="B957" t="str">
        <f>if(   iserror(offset(PADRON!B$2,match(A:A,PADRON!A$2:A1010,0)-1,0,1,1) )  ,  ,    offset(PADRON!B$2,match(A:A,PADRON!A$2:A1010,0)-1,0,1,1))</f>
        <v/>
      </c>
      <c r="C957" s="368"/>
      <c r="E957" t="str">
        <f t="shared" si="1"/>
        <v/>
      </c>
      <c r="F957" s="369"/>
      <c r="G957" s="320"/>
      <c r="H957" s="320"/>
      <c r="I957" s="320">
        <f t="shared" si="2"/>
        <v>0</v>
      </c>
      <c r="J957" s="368"/>
    </row>
    <row r="958">
      <c r="B958" t="str">
        <f>if(   iserror(offset(PADRON!B$2,match(A:A,PADRON!A$2:A1010,0)-1,0,1,1) )  ,  ,    offset(PADRON!B$2,match(A:A,PADRON!A$2:A1010,0)-1,0,1,1))</f>
        <v/>
      </c>
      <c r="C958" s="368"/>
      <c r="E958" t="str">
        <f t="shared" si="1"/>
        <v/>
      </c>
      <c r="F958" s="369"/>
      <c r="G958" s="320"/>
      <c r="H958" s="320"/>
      <c r="I958" s="320">
        <f t="shared" si="2"/>
        <v>0</v>
      </c>
      <c r="J958" s="368"/>
    </row>
    <row r="959">
      <c r="B959" t="str">
        <f>if(   iserror(offset(PADRON!B$2,match(A:A,PADRON!A$2:A1010,0)-1,0,1,1) )  ,  ,    offset(PADRON!B$2,match(A:A,PADRON!A$2:A1010,0)-1,0,1,1))</f>
        <v/>
      </c>
      <c r="C959" s="368"/>
      <c r="E959" t="str">
        <f t="shared" si="1"/>
        <v/>
      </c>
      <c r="F959" s="369"/>
      <c r="G959" s="320"/>
      <c r="H959" s="320"/>
      <c r="I959" s="320">
        <f t="shared" si="2"/>
        <v>0</v>
      </c>
      <c r="J959" s="368"/>
    </row>
    <row r="960">
      <c r="B960" t="str">
        <f>if(   iserror(offset(PADRON!B$2,match(A:A,PADRON!A$2:A1010,0)-1,0,1,1) )  ,  ,    offset(PADRON!B$2,match(A:A,PADRON!A$2:A1010,0)-1,0,1,1))</f>
        <v/>
      </c>
      <c r="C960" s="368"/>
      <c r="E960" t="str">
        <f t="shared" si="1"/>
        <v/>
      </c>
      <c r="F960" s="369"/>
      <c r="G960" s="320"/>
      <c r="H960" s="320"/>
      <c r="I960" s="320">
        <f t="shared" si="2"/>
        <v>0</v>
      </c>
      <c r="J960" s="368"/>
    </row>
    <row r="961">
      <c r="B961" t="str">
        <f>if(   iserror(offset(PADRON!B$2,match(A:A,PADRON!A$2:A1010,0)-1,0,1,1) )  ,  ,    offset(PADRON!B$2,match(A:A,PADRON!A$2:A1010,0)-1,0,1,1))</f>
        <v/>
      </c>
      <c r="C961" s="368"/>
      <c r="E961" t="str">
        <f t="shared" si="1"/>
        <v/>
      </c>
      <c r="F961" s="369"/>
      <c r="G961" s="320"/>
      <c r="H961" s="320"/>
      <c r="I961" s="320">
        <f t="shared" si="2"/>
        <v>0</v>
      </c>
      <c r="J961" s="368"/>
    </row>
    <row r="962">
      <c r="B962" t="str">
        <f>if(   iserror(offset(PADRON!B$2,match(A:A,PADRON!A$2:A1010,0)-1,0,1,1) )  ,  ,    offset(PADRON!B$2,match(A:A,PADRON!A$2:A1010,0)-1,0,1,1))</f>
        <v/>
      </c>
      <c r="C962" s="368"/>
      <c r="E962" t="str">
        <f t="shared" si="1"/>
        <v/>
      </c>
      <c r="F962" s="369"/>
      <c r="G962" s="320"/>
      <c r="H962" s="320"/>
      <c r="I962" s="320">
        <f t="shared" si="2"/>
        <v>0</v>
      </c>
      <c r="J962" s="368"/>
    </row>
    <row r="963">
      <c r="B963" t="str">
        <f>if(   iserror(offset(PADRON!B$2,match(A:A,PADRON!A$2:A1010,0)-1,0,1,1) )  ,  ,    offset(PADRON!B$2,match(A:A,PADRON!A$2:A1010,0)-1,0,1,1))</f>
        <v/>
      </c>
      <c r="C963" s="368"/>
      <c r="E963" t="str">
        <f t="shared" si="1"/>
        <v/>
      </c>
      <c r="F963" s="369"/>
      <c r="G963" s="320"/>
      <c r="H963" s="320"/>
      <c r="I963" s="320">
        <f t="shared" si="2"/>
        <v>0</v>
      </c>
      <c r="J963" s="368"/>
    </row>
    <row r="964">
      <c r="B964" t="str">
        <f>if(   iserror(offset(PADRON!B$2,match(A:A,PADRON!A$2:A1010,0)-1,0,1,1) )  ,  ,    offset(PADRON!B$2,match(A:A,PADRON!A$2:A1010,0)-1,0,1,1))</f>
        <v/>
      </c>
      <c r="C964" s="368"/>
      <c r="E964" t="str">
        <f t="shared" si="1"/>
        <v/>
      </c>
      <c r="F964" s="369"/>
      <c r="G964" s="320"/>
      <c r="H964" s="320"/>
      <c r="I964" s="320">
        <f t="shared" si="2"/>
        <v>0</v>
      </c>
      <c r="J964" s="368"/>
    </row>
    <row r="965">
      <c r="B965" t="str">
        <f>if(   iserror(offset(PADRON!B$2,match(A:A,PADRON!A$2:A1010,0)-1,0,1,1) )  ,  ,    offset(PADRON!B$2,match(A:A,PADRON!A$2:A1010,0)-1,0,1,1))</f>
        <v/>
      </c>
      <c r="C965" s="368"/>
      <c r="E965" t="str">
        <f t="shared" si="1"/>
        <v/>
      </c>
      <c r="F965" s="369"/>
      <c r="G965" s="320"/>
      <c r="H965" s="320"/>
      <c r="I965" s="320">
        <f t="shared" si="2"/>
        <v>0</v>
      </c>
      <c r="J965" s="368"/>
    </row>
    <row r="966">
      <c r="B966" t="str">
        <f>if(   iserror(offset(PADRON!B$2,match(A:A,PADRON!A$2:A1010,0)-1,0,1,1) )  ,  ,    offset(PADRON!B$2,match(A:A,PADRON!A$2:A1010,0)-1,0,1,1))</f>
        <v/>
      </c>
      <c r="C966" s="368"/>
      <c r="E966" t="str">
        <f t="shared" si="1"/>
        <v/>
      </c>
      <c r="F966" s="369"/>
      <c r="G966" s="320"/>
      <c r="H966" s="320"/>
      <c r="I966" s="320">
        <f t="shared" si="2"/>
        <v>0</v>
      </c>
      <c r="J966" s="368"/>
    </row>
    <row r="967">
      <c r="B967" t="str">
        <f>if(   iserror(offset(PADRON!B$2,match(A:A,PADRON!A$2:A1010,0)-1,0,1,1) )  ,  ,    offset(PADRON!B$2,match(A:A,PADRON!A$2:A1010,0)-1,0,1,1))</f>
        <v/>
      </c>
      <c r="C967" s="368"/>
      <c r="E967" t="str">
        <f t="shared" si="1"/>
        <v/>
      </c>
      <c r="F967" s="369"/>
      <c r="G967" s="320"/>
      <c r="H967" s="320"/>
      <c r="I967" s="320">
        <f t="shared" si="2"/>
        <v>0</v>
      </c>
      <c r="J967" s="368"/>
    </row>
    <row r="968">
      <c r="B968" t="str">
        <f>if(   iserror(offset(PADRON!B$2,match(A:A,PADRON!A$2:A1010,0)-1,0,1,1) )  ,  ,    offset(PADRON!B$2,match(A:A,PADRON!A$2:A1010,0)-1,0,1,1))</f>
        <v/>
      </c>
      <c r="C968" s="368"/>
      <c r="E968" t="str">
        <f t="shared" si="1"/>
        <v/>
      </c>
      <c r="F968" s="369"/>
      <c r="G968" s="320"/>
      <c r="H968" s="320"/>
      <c r="I968" s="320">
        <f t="shared" si="2"/>
        <v>0</v>
      </c>
      <c r="J968" s="368"/>
    </row>
    <row r="969">
      <c r="B969" t="str">
        <f>if(   iserror(offset(PADRON!B$2,match(A:A,PADRON!A$2:A1010,0)-1,0,1,1) )  ,  ,    offset(PADRON!B$2,match(A:A,PADRON!A$2:A1010,0)-1,0,1,1))</f>
        <v/>
      </c>
      <c r="C969" s="368"/>
      <c r="E969" t="str">
        <f t="shared" si="1"/>
        <v/>
      </c>
      <c r="F969" s="369"/>
      <c r="G969" s="320"/>
      <c r="H969" s="320"/>
      <c r="I969" s="320">
        <f t="shared" si="2"/>
        <v>0</v>
      </c>
      <c r="J969" s="368"/>
    </row>
    <row r="970">
      <c r="B970" t="str">
        <f>if(   iserror(offset(PADRON!B$2,match(A:A,PADRON!A$2:A1010,0)-1,0,1,1) )  ,  ,    offset(PADRON!B$2,match(A:A,PADRON!A$2:A1010,0)-1,0,1,1))</f>
        <v/>
      </c>
      <c r="C970" s="368"/>
      <c r="E970" t="str">
        <f t="shared" si="1"/>
        <v/>
      </c>
      <c r="F970" s="369"/>
      <c r="G970" s="320"/>
      <c r="H970" s="320"/>
      <c r="I970" s="320">
        <f t="shared" si="2"/>
        <v>0</v>
      </c>
      <c r="J970" s="368"/>
    </row>
    <row r="971">
      <c r="B971" t="str">
        <f>if(   iserror(offset(PADRON!B$2,match(A:A,PADRON!A$2:A1010,0)-1,0,1,1) )  ,  ,    offset(PADRON!B$2,match(A:A,PADRON!A$2:A1010,0)-1,0,1,1))</f>
        <v/>
      </c>
      <c r="C971" s="368"/>
      <c r="E971" t="str">
        <f t="shared" si="1"/>
        <v/>
      </c>
      <c r="F971" s="369"/>
      <c r="G971" s="320"/>
      <c r="H971" s="320"/>
      <c r="I971" s="320">
        <f t="shared" si="2"/>
        <v>0</v>
      </c>
      <c r="J971" s="368"/>
    </row>
    <row r="972">
      <c r="B972" t="str">
        <f>if(   iserror(offset(PADRON!B$2,match(A:A,PADRON!A$2:A1010,0)-1,0,1,1) )  ,  ,    offset(PADRON!B$2,match(A:A,PADRON!A$2:A1010,0)-1,0,1,1))</f>
        <v/>
      </c>
      <c r="C972" s="368"/>
      <c r="E972" t="str">
        <f t="shared" si="1"/>
        <v/>
      </c>
      <c r="F972" s="369"/>
      <c r="G972" s="320"/>
      <c r="H972" s="320"/>
      <c r="I972" s="320">
        <f t="shared" si="2"/>
        <v>0</v>
      </c>
      <c r="J972" s="368"/>
    </row>
    <row r="973">
      <c r="B973" t="str">
        <f>if(   iserror(offset(PADRON!B$2,match(A:A,PADRON!A$2:A1010,0)-1,0,1,1) )  ,  ,    offset(PADRON!B$2,match(A:A,PADRON!A$2:A1010,0)-1,0,1,1))</f>
        <v/>
      </c>
      <c r="C973" s="368"/>
      <c r="E973" t="str">
        <f t="shared" si="1"/>
        <v/>
      </c>
      <c r="F973" s="369"/>
      <c r="G973" s="320"/>
      <c r="H973" s="320"/>
      <c r="I973" s="320">
        <f t="shared" si="2"/>
        <v>0</v>
      </c>
      <c r="J973" s="368"/>
    </row>
    <row r="974">
      <c r="B974" t="str">
        <f>if(   iserror(offset(PADRON!B$2,match(A:A,PADRON!A$2:A1010,0)-1,0,1,1) )  ,  ,    offset(PADRON!B$2,match(A:A,PADRON!A$2:A1010,0)-1,0,1,1))</f>
        <v/>
      </c>
      <c r="C974" s="368"/>
      <c r="E974" t="str">
        <f t="shared" si="1"/>
        <v/>
      </c>
      <c r="F974" s="369"/>
      <c r="G974" s="320"/>
      <c r="H974" s="320"/>
      <c r="I974" s="320">
        <f t="shared" si="2"/>
        <v>0</v>
      </c>
      <c r="J974" s="368"/>
    </row>
    <row r="975">
      <c r="B975" t="str">
        <f>if(   iserror(offset(PADRON!B$2,match(A:A,PADRON!A$2:A1010,0)-1,0,1,1) )  ,  ,    offset(PADRON!B$2,match(A:A,PADRON!A$2:A1010,0)-1,0,1,1))</f>
        <v/>
      </c>
      <c r="C975" s="368"/>
      <c r="E975" t="str">
        <f t="shared" si="1"/>
        <v/>
      </c>
      <c r="F975" s="369"/>
      <c r="G975" s="320"/>
      <c r="H975" s="320"/>
      <c r="I975" s="320">
        <f t="shared" si="2"/>
        <v>0</v>
      </c>
      <c r="J975" s="368"/>
    </row>
    <row r="976">
      <c r="B976" t="str">
        <f>if(   iserror(offset(PADRON!B$2,match(A:A,PADRON!A$2:A1010,0)-1,0,1,1) )  ,  ,    offset(PADRON!B$2,match(A:A,PADRON!A$2:A1010,0)-1,0,1,1))</f>
        <v/>
      </c>
      <c r="C976" s="368"/>
      <c r="E976" t="str">
        <f t="shared" si="1"/>
        <v/>
      </c>
      <c r="F976" s="369"/>
      <c r="G976" s="320"/>
      <c r="H976" s="320"/>
      <c r="I976" s="320">
        <f t="shared" si="2"/>
        <v>0</v>
      </c>
      <c r="J976" s="368"/>
    </row>
    <row r="977">
      <c r="B977" t="str">
        <f>if(   iserror(offset(PADRON!B$2,match(A:A,PADRON!A$2:A1010,0)-1,0,1,1) )  ,  ,    offset(PADRON!B$2,match(A:A,PADRON!A$2:A1010,0)-1,0,1,1))</f>
        <v/>
      </c>
      <c r="C977" s="368"/>
      <c r="E977" t="str">
        <f t="shared" si="1"/>
        <v/>
      </c>
      <c r="F977" s="369"/>
      <c r="G977" s="320"/>
      <c r="H977" s="320"/>
      <c r="I977" s="320">
        <f t="shared" si="2"/>
        <v>0</v>
      </c>
      <c r="J977" s="368"/>
    </row>
    <row r="978">
      <c r="B978" t="str">
        <f>if(   iserror(offset(PADRON!B$2,match(A:A,PADRON!A$2:A1010,0)-1,0,1,1) )  ,  ,    offset(PADRON!B$2,match(A:A,PADRON!A$2:A1010,0)-1,0,1,1))</f>
        <v/>
      </c>
      <c r="C978" s="368"/>
      <c r="E978" t="str">
        <f t="shared" si="1"/>
        <v/>
      </c>
      <c r="F978" s="369"/>
      <c r="G978" s="320"/>
      <c r="H978" s="320"/>
      <c r="I978" s="320">
        <f t="shared" si="2"/>
        <v>0</v>
      </c>
      <c r="J978" s="368"/>
    </row>
    <row r="979">
      <c r="B979" t="str">
        <f>if(   iserror(offset(PADRON!B$2,match(A:A,PADRON!A$2:A1010,0)-1,0,1,1) )  ,  ,    offset(PADRON!B$2,match(A:A,PADRON!A$2:A1010,0)-1,0,1,1))</f>
        <v/>
      </c>
      <c r="C979" s="368"/>
      <c r="E979" t="str">
        <f t="shared" si="1"/>
        <v/>
      </c>
      <c r="F979" s="369"/>
      <c r="G979" s="320"/>
      <c r="H979" s="320"/>
      <c r="I979" s="320">
        <f t="shared" si="2"/>
        <v>0</v>
      </c>
      <c r="J979" s="368"/>
    </row>
    <row r="980">
      <c r="B980" t="str">
        <f>if(   iserror(offset(PADRON!B$2,match(A:A,PADRON!A$2:A1010,0)-1,0,1,1) )  ,  ,    offset(PADRON!B$2,match(A:A,PADRON!A$2:A1010,0)-1,0,1,1))</f>
        <v/>
      </c>
      <c r="C980" s="368"/>
      <c r="E980" t="str">
        <f t="shared" si="1"/>
        <v/>
      </c>
      <c r="F980" s="369"/>
      <c r="G980" s="320"/>
      <c r="H980" s="320"/>
      <c r="I980" s="320">
        <f t="shared" si="2"/>
        <v>0</v>
      </c>
      <c r="J980" s="368"/>
    </row>
    <row r="981">
      <c r="B981" t="str">
        <f>if(   iserror(offset(PADRON!B$2,match(A:A,PADRON!A$2:A1010,0)-1,0,1,1) )  ,  ,    offset(PADRON!B$2,match(A:A,PADRON!A$2:A1010,0)-1,0,1,1))</f>
        <v/>
      </c>
      <c r="C981" s="368"/>
      <c r="E981" t="str">
        <f t="shared" si="1"/>
        <v/>
      </c>
      <c r="F981" s="369"/>
      <c r="G981" s="320"/>
      <c r="H981" s="320"/>
      <c r="I981" s="320">
        <f t="shared" si="2"/>
        <v>0</v>
      </c>
      <c r="J981" s="368"/>
    </row>
    <row r="982">
      <c r="B982" t="str">
        <f>if(   iserror(offset(PADRON!B$2,match(A:A,PADRON!A$2:A1010,0)-1,0,1,1) )  ,  ,    offset(PADRON!B$2,match(A:A,PADRON!A$2:A1010,0)-1,0,1,1))</f>
        <v/>
      </c>
      <c r="C982" s="368"/>
      <c r="E982" t="str">
        <f t="shared" si="1"/>
        <v/>
      </c>
      <c r="F982" s="369"/>
      <c r="G982" s="320"/>
      <c r="H982" s="320"/>
      <c r="I982" s="320">
        <f t="shared" si="2"/>
        <v>0</v>
      </c>
      <c r="J982" s="368"/>
    </row>
    <row r="983">
      <c r="B983" t="str">
        <f>if(   iserror(offset(PADRON!B$2,match(A:A,PADRON!A$2:A1010,0)-1,0,1,1) )  ,  ,    offset(PADRON!B$2,match(A:A,PADRON!A$2:A1010,0)-1,0,1,1))</f>
        <v/>
      </c>
      <c r="C983" s="368"/>
      <c r="E983" t="str">
        <f t="shared" si="1"/>
        <v/>
      </c>
      <c r="F983" s="369"/>
      <c r="G983" s="320"/>
      <c r="H983" s="320"/>
      <c r="I983" s="320">
        <f t="shared" si="2"/>
        <v>0</v>
      </c>
      <c r="J983" s="368"/>
    </row>
    <row r="984">
      <c r="B984" t="str">
        <f>if(   iserror(offset(PADRON!B$2,match(A:A,PADRON!A$2:A1010,0)-1,0,1,1) )  ,  ,    offset(PADRON!B$2,match(A:A,PADRON!A$2:A1010,0)-1,0,1,1))</f>
        <v/>
      </c>
      <c r="C984" s="368"/>
      <c r="E984" t="str">
        <f t="shared" si="1"/>
        <v/>
      </c>
      <c r="F984" s="369"/>
      <c r="G984" s="320"/>
      <c r="H984" s="320"/>
      <c r="I984" s="320">
        <f t="shared" si="2"/>
        <v>0</v>
      </c>
      <c r="J984" s="368"/>
    </row>
    <row r="985">
      <c r="B985" t="str">
        <f>if(   iserror(offset(PADRON!B$2,match(A:A,PADRON!A$2:A1010,0)-1,0,1,1) )  ,  ,    offset(PADRON!B$2,match(A:A,PADRON!A$2:A1010,0)-1,0,1,1))</f>
        <v/>
      </c>
      <c r="C985" s="368"/>
      <c r="E985" t="str">
        <f t="shared" si="1"/>
        <v/>
      </c>
      <c r="F985" s="369"/>
      <c r="G985" s="320"/>
      <c r="H985" s="320"/>
      <c r="I985" s="320">
        <f t="shared" si="2"/>
        <v>0</v>
      </c>
      <c r="J985" s="368"/>
    </row>
    <row r="986">
      <c r="B986" t="str">
        <f>if(   iserror(offset(PADRON!B$2,match(A:A,PADRON!A$2:A1010,0)-1,0,1,1) )  ,  ,    offset(PADRON!B$2,match(A:A,PADRON!A$2:A1010,0)-1,0,1,1))</f>
        <v/>
      </c>
      <c r="C986" s="368"/>
      <c r="E986" t="str">
        <f t="shared" si="1"/>
        <v/>
      </c>
      <c r="F986" s="369"/>
      <c r="G986" s="320"/>
      <c r="H986" s="320"/>
      <c r="I986" s="320">
        <f t="shared" si="2"/>
        <v>0</v>
      </c>
      <c r="J986" s="368"/>
    </row>
    <row r="987">
      <c r="B987" t="str">
        <f>if(   iserror(offset(PADRON!B$2,match(A:A,PADRON!A$2:A1010,0)-1,0,1,1) )  ,  ,    offset(PADRON!B$2,match(A:A,PADRON!A$2:A1010,0)-1,0,1,1))</f>
        <v/>
      </c>
      <c r="C987" s="368"/>
      <c r="E987" t="str">
        <f t="shared" si="1"/>
        <v/>
      </c>
      <c r="F987" s="369"/>
      <c r="G987" s="320"/>
      <c r="H987" s="320"/>
      <c r="I987" s="320">
        <f t="shared" si="2"/>
        <v>0</v>
      </c>
      <c r="J987" s="368"/>
    </row>
    <row r="988">
      <c r="B988" t="str">
        <f>if(   iserror(offset(PADRON!B$2,match(A:A,PADRON!A$2:A1010,0)-1,0,1,1) )  ,  ,    offset(PADRON!B$2,match(A:A,PADRON!A$2:A1010,0)-1,0,1,1))</f>
        <v/>
      </c>
      <c r="C988" s="368"/>
      <c r="E988" t="str">
        <f t="shared" si="1"/>
        <v/>
      </c>
      <c r="F988" s="369"/>
      <c r="G988" s="320"/>
      <c r="H988" s="320"/>
      <c r="I988" s="320">
        <f t="shared" si="2"/>
        <v>0</v>
      </c>
      <c r="J988" s="368"/>
    </row>
    <row r="989">
      <c r="B989" t="str">
        <f>if(   iserror(offset(PADRON!B$2,match(A:A,PADRON!A$2:A1010,0)-1,0,1,1) )  ,  ,    offset(PADRON!B$2,match(A:A,PADRON!A$2:A1010,0)-1,0,1,1))</f>
        <v/>
      </c>
      <c r="C989" s="368"/>
      <c r="E989" t="str">
        <f t="shared" si="1"/>
        <v/>
      </c>
      <c r="F989" s="369"/>
      <c r="G989" s="320"/>
      <c r="H989" s="320"/>
      <c r="I989" s="320">
        <f t="shared" si="2"/>
        <v>0</v>
      </c>
      <c r="J989" s="368"/>
    </row>
    <row r="990">
      <c r="B990" t="str">
        <f>if(   iserror(offset(PADRON!B$2,match(A:A,PADRON!A$2:A1010,0)-1,0,1,1) )  ,  ,    offset(PADRON!B$2,match(A:A,PADRON!A$2:A1010,0)-1,0,1,1))</f>
        <v/>
      </c>
      <c r="C990" s="368"/>
      <c r="E990" t="str">
        <f t="shared" si="1"/>
        <v/>
      </c>
      <c r="F990" s="369"/>
      <c r="G990" s="320"/>
      <c r="H990" s="320"/>
      <c r="I990" s="320">
        <f t="shared" si="2"/>
        <v>0</v>
      </c>
      <c r="J990" s="368"/>
    </row>
    <row r="991">
      <c r="B991" t="str">
        <f>if(   iserror(offset(PADRON!B$2,match(A:A,PADRON!A$2:A1010,0)-1,0,1,1) )  ,  ,    offset(PADRON!B$2,match(A:A,PADRON!A$2:A1010,0)-1,0,1,1))</f>
        <v/>
      </c>
      <c r="C991" s="368"/>
      <c r="E991" t="str">
        <f t="shared" si="1"/>
        <v/>
      </c>
      <c r="F991" s="369"/>
      <c r="G991" s="320"/>
      <c r="H991" s="320"/>
      <c r="I991" s="320">
        <f t="shared" si="2"/>
        <v>0</v>
      </c>
      <c r="J991" s="368"/>
    </row>
    <row r="992">
      <c r="B992" t="str">
        <f>if(   iserror(offset(PADRON!B$2,match(A:A,PADRON!A$2:A1010,0)-1,0,1,1) )  ,  ,    offset(PADRON!B$2,match(A:A,PADRON!A$2:A1010,0)-1,0,1,1))</f>
        <v/>
      </c>
      <c r="C992" s="368"/>
      <c r="E992" t="str">
        <f t="shared" si="1"/>
        <v/>
      </c>
      <c r="F992" s="369"/>
      <c r="G992" s="320"/>
      <c r="H992" s="320"/>
      <c r="I992" s="320">
        <f t="shared" si="2"/>
        <v>0</v>
      </c>
      <c r="J992" s="368"/>
    </row>
    <row r="993">
      <c r="B993" t="str">
        <f>if(   iserror(offset(PADRON!B$2,match(A:A,PADRON!A$2:A1010,0)-1,0,1,1) )  ,  ,    offset(PADRON!B$2,match(A:A,PADRON!A$2:A1010,0)-1,0,1,1))</f>
        <v/>
      </c>
      <c r="C993" s="368"/>
      <c r="E993" t="str">
        <f t="shared" si="1"/>
        <v/>
      </c>
      <c r="F993" s="369"/>
      <c r="G993" s="320"/>
      <c r="H993" s="320"/>
      <c r="I993" s="320">
        <f t="shared" si="2"/>
        <v>0</v>
      </c>
      <c r="J993" s="368"/>
    </row>
    <row r="994">
      <c r="B994" t="str">
        <f>if(   iserror(offset(PADRON!B$2,match(A:A,PADRON!A$2:A1010,0)-1,0,1,1) )  ,  ,    offset(PADRON!B$2,match(A:A,PADRON!A$2:A1010,0)-1,0,1,1))</f>
        <v/>
      </c>
      <c r="C994" s="368"/>
      <c r="E994" t="str">
        <f t="shared" si="1"/>
        <v/>
      </c>
      <c r="F994" s="369"/>
      <c r="G994" s="320"/>
      <c r="H994" s="320"/>
      <c r="I994" s="320">
        <f t="shared" si="2"/>
        <v>0</v>
      </c>
      <c r="J994" s="368"/>
    </row>
    <row r="995">
      <c r="B995" t="str">
        <f>if(   iserror(offset(PADRON!B$2,match(A:A,PADRON!A$2:A1010,0)-1,0,1,1) )  ,  ,    offset(PADRON!B$2,match(A:A,PADRON!A$2:A1010,0)-1,0,1,1))</f>
        <v/>
      </c>
      <c r="C995" s="368"/>
      <c r="E995" t="str">
        <f t="shared" si="1"/>
        <v/>
      </c>
      <c r="F995" s="369"/>
      <c r="G995" s="320"/>
      <c r="H995" s="320"/>
      <c r="I995" s="320">
        <f t="shared" si="2"/>
        <v>0</v>
      </c>
      <c r="J995" s="368"/>
    </row>
    <row r="996">
      <c r="B996" t="str">
        <f>if(   iserror(offset(PADRON!B$2,match(A:A,PADRON!A$2:A1010,0)-1,0,1,1) )  ,  ,    offset(PADRON!B$2,match(A:A,PADRON!A$2:A1010,0)-1,0,1,1))</f>
        <v/>
      </c>
      <c r="C996" s="368"/>
      <c r="E996" t="str">
        <f t="shared" si="1"/>
        <v/>
      </c>
      <c r="F996" s="369"/>
      <c r="G996" s="320"/>
      <c r="H996" s="320"/>
      <c r="I996" s="320">
        <f t="shared" si="2"/>
        <v>0</v>
      </c>
      <c r="J996" s="368"/>
    </row>
    <row r="997">
      <c r="B997" t="str">
        <f>if(   iserror(offset(PADRON!B$2,match(A:A,PADRON!A$2:A1010,0)-1,0,1,1) )  ,  ,    offset(PADRON!B$2,match(A:A,PADRON!A$2:A1010,0)-1,0,1,1))</f>
        <v/>
      </c>
      <c r="C997" s="368"/>
      <c r="E997" t="str">
        <f t="shared" si="1"/>
        <v/>
      </c>
      <c r="F997" s="369"/>
      <c r="G997" s="320"/>
      <c r="H997" s="320"/>
      <c r="I997" s="320">
        <f t="shared" si="2"/>
        <v>0</v>
      </c>
      <c r="J997" s="368"/>
    </row>
    <row r="998">
      <c r="B998" t="str">
        <f>if(   iserror(offset(PADRON!B$2,match(A:A,PADRON!A$2:A1010,0)-1,0,1,1) )  ,  ,    offset(PADRON!B$2,match(A:A,PADRON!A$2:A1010,0)-1,0,1,1))</f>
        <v/>
      </c>
      <c r="C998" s="368"/>
      <c r="E998" t="str">
        <f t="shared" si="1"/>
        <v/>
      </c>
      <c r="F998" s="369"/>
      <c r="G998" s="320"/>
      <c r="H998" s="320"/>
      <c r="I998" s="320">
        <f t="shared" si="2"/>
        <v>0</v>
      </c>
      <c r="J998" s="368"/>
    </row>
    <row r="999">
      <c r="B999" t="str">
        <f>if(   iserror(offset(PADRON!B$2,match(A:A,PADRON!A$2:A1010,0)-1,0,1,1) )  ,  ,    offset(PADRON!B$2,match(A:A,PADRON!A$2:A1010,0)-1,0,1,1))</f>
        <v/>
      </c>
      <c r="C999" s="368"/>
      <c r="E999" t="str">
        <f t="shared" si="1"/>
        <v/>
      </c>
      <c r="F999" s="369"/>
      <c r="G999" s="320"/>
      <c r="H999" s="320"/>
      <c r="I999" s="320">
        <f t="shared" si="2"/>
        <v>0</v>
      </c>
      <c r="J999" s="368"/>
    </row>
    <row r="1000">
      <c r="B1000" t="str">
        <f>if(   iserror(offset(PADRON!B$2,match(A:A,PADRON!A$2:A1010,0)-1,0,1,1) )  ,  ,    offset(PADRON!B$2,match(A:A,PADRON!A$2:A1010,0)-1,0,1,1))</f>
        <v/>
      </c>
      <c r="C1000" s="368"/>
      <c r="E1000" t="str">
        <f t="shared" si="1"/>
        <v/>
      </c>
      <c r="F1000" s="369"/>
      <c r="G1000" s="320"/>
      <c r="H1000" s="320"/>
      <c r="I1000" s="320">
        <f t="shared" si="2"/>
        <v>0</v>
      </c>
      <c r="J1000" s="368"/>
    </row>
    <row r="1001">
      <c r="F1001" s="320"/>
      <c r="G1001" s="320"/>
      <c r="H1001" s="320"/>
      <c r="I1001" s="320">
        <f t="shared" si="2"/>
        <v>0</v>
      </c>
    </row>
    <row r="1002">
      <c r="F1002" s="320"/>
      <c r="G1002" s="320"/>
      <c r="H1002" s="320"/>
      <c r="I1002" s="320">
        <f t="shared" si="2"/>
        <v>0</v>
      </c>
    </row>
    <row r="1003">
      <c r="F1003" s="320"/>
      <c r="G1003" s="320"/>
      <c r="H1003" s="320"/>
      <c r="I1003" s="320">
        <f t="shared" si="2"/>
        <v>0</v>
      </c>
    </row>
    <row r="1004">
      <c r="F1004" s="320"/>
      <c r="G1004" s="320"/>
      <c r="H1004" s="320"/>
      <c r="I1004" s="320">
        <f t="shared" si="2"/>
        <v>0</v>
      </c>
    </row>
    <row r="1005">
      <c r="F1005" s="320"/>
      <c r="G1005" s="320"/>
      <c r="H1005" s="320"/>
      <c r="I1005" s="320">
        <f t="shared" si="2"/>
        <v>0</v>
      </c>
    </row>
    <row r="1006">
      <c r="F1006" s="320"/>
      <c r="G1006" s="320"/>
      <c r="H1006" s="320"/>
      <c r="I1006" s="320">
        <f t="shared" si="2"/>
        <v>0</v>
      </c>
    </row>
    <row r="1007">
      <c r="F1007" s="320"/>
      <c r="G1007" s="320"/>
      <c r="H1007" s="320"/>
      <c r="I1007" s="320">
        <f t="shared" si="2"/>
        <v>0</v>
      </c>
    </row>
    <row r="1008">
      <c r="F1008" s="320"/>
      <c r="G1008" s="320"/>
      <c r="H1008" s="320"/>
      <c r="I1008" s="320">
        <f t="shared" si="2"/>
        <v>0</v>
      </c>
    </row>
    <row r="1009">
      <c r="F1009" s="320"/>
      <c r="G1009" s="320"/>
      <c r="H1009" s="320"/>
      <c r="I1009" s="320">
        <f t="shared" si="2"/>
        <v>0</v>
      </c>
    </row>
    <row r="1010">
      <c r="F1010" s="320"/>
      <c r="G1010" s="320"/>
      <c r="H1010" s="320"/>
      <c r="I1010" s="320">
        <f t="shared" si="2"/>
        <v>0</v>
      </c>
    </row>
  </sheetData>
  <mergeCells count="7">
    <mergeCell ref="A1:A2"/>
    <mergeCell ref="B1:B2"/>
    <mergeCell ref="C1:C2"/>
    <mergeCell ref="D1:D2"/>
    <mergeCell ref="E1:E2"/>
    <mergeCell ref="F1:I1"/>
    <mergeCell ref="J1:M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0">
        <v>41395.0</v>
      </c>
      <c r="B1" s="371">
        <f t="array" ref="B1:B1240">sort(PADRON!A2:A1565,1,true)</f>
        <v>5</v>
      </c>
      <c r="C1" s="372" t="str">
        <f t="array" ref="C1:C90">sort('CUNAS-KAYAK'!A2:A1565,1,true)</f>
        <v>K01</v>
      </c>
    </row>
    <row r="2">
      <c r="A2" s="370">
        <v>41426.0</v>
      </c>
      <c r="B2" s="371">
        <v>6.0</v>
      </c>
      <c r="C2" s="372" t="s">
        <v>4295</v>
      </c>
    </row>
    <row r="3">
      <c r="A3" s="370">
        <v>41456.0</v>
      </c>
      <c r="B3" s="371">
        <v>7.0</v>
      </c>
      <c r="C3" s="372" t="s">
        <v>4296</v>
      </c>
    </row>
    <row r="4">
      <c r="A4" s="370">
        <v>41487.0</v>
      </c>
      <c r="B4" s="371">
        <v>12.0</v>
      </c>
      <c r="C4" s="372" t="s">
        <v>204</v>
      </c>
    </row>
    <row r="5">
      <c r="A5" s="370">
        <v>41518.0</v>
      </c>
      <c r="B5" s="371">
        <v>13.0</v>
      </c>
      <c r="C5" s="371" t="s">
        <v>245</v>
      </c>
    </row>
    <row r="6">
      <c r="A6" s="370">
        <v>41548.0</v>
      </c>
      <c r="B6" s="371">
        <v>14.0</v>
      </c>
      <c r="C6" s="371" t="s">
        <v>4297</v>
      </c>
    </row>
    <row r="7">
      <c r="A7" s="370">
        <v>41579.0</v>
      </c>
      <c r="B7" s="371">
        <v>25.0</v>
      </c>
      <c r="C7" s="372" t="s">
        <v>4298</v>
      </c>
    </row>
    <row r="8">
      <c r="A8" s="370">
        <v>41609.0</v>
      </c>
      <c r="B8" s="371">
        <v>45.0</v>
      </c>
      <c r="C8" s="372" t="s">
        <v>4299</v>
      </c>
    </row>
    <row r="9">
      <c r="A9" s="370">
        <v>41640.0</v>
      </c>
      <c r="B9" s="371">
        <v>52.0</v>
      </c>
      <c r="C9" s="371" t="s">
        <v>185</v>
      </c>
    </row>
    <row r="10">
      <c r="A10" s="370">
        <v>41671.0</v>
      </c>
      <c r="B10" s="371">
        <v>53.0</v>
      </c>
      <c r="C10" s="372" t="s">
        <v>96</v>
      </c>
    </row>
    <row r="11">
      <c r="A11" s="370">
        <v>41699.0</v>
      </c>
      <c r="B11" s="371">
        <v>68.0</v>
      </c>
      <c r="C11" s="372" t="s">
        <v>4300</v>
      </c>
    </row>
    <row r="12">
      <c r="A12" s="370">
        <v>41730.0</v>
      </c>
      <c r="B12" s="371">
        <v>164.0</v>
      </c>
      <c r="C12" s="372" t="s">
        <v>241</v>
      </c>
    </row>
    <row r="13">
      <c r="A13" s="370">
        <v>41760.0</v>
      </c>
      <c r="B13" s="371">
        <v>184.0</v>
      </c>
      <c r="C13" s="371" t="s">
        <v>4301</v>
      </c>
    </row>
    <row r="14">
      <c r="A14" s="370">
        <v>41791.0</v>
      </c>
      <c r="B14" s="371">
        <v>253.0</v>
      </c>
      <c r="C14" s="371" t="s">
        <v>156</v>
      </c>
    </row>
    <row r="15">
      <c r="A15" s="370">
        <v>41821.0</v>
      </c>
      <c r="B15" s="371">
        <v>275.0</v>
      </c>
      <c r="C15" s="371" t="s">
        <v>4302</v>
      </c>
    </row>
    <row r="16">
      <c r="A16" s="370">
        <v>41852.0</v>
      </c>
      <c r="B16" s="371">
        <v>362.0</v>
      </c>
      <c r="C16" s="371" t="s">
        <v>307</v>
      </c>
    </row>
    <row r="17">
      <c r="A17" s="370">
        <v>41883.0</v>
      </c>
      <c r="B17" s="371">
        <v>389.0</v>
      </c>
      <c r="C17" s="371" t="s">
        <v>4303</v>
      </c>
    </row>
    <row r="18">
      <c r="A18" s="370">
        <v>41913.0</v>
      </c>
      <c r="B18" s="371">
        <v>449.0</v>
      </c>
      <c r="C18" s="371" t="s">
        <v>152</v>
      </c>
    </row>
    <row r="19">
      <c r="A19" s="370">
        <v>41944.0</v>
      </c>
      <c r="B19" s="371">
        <v>504.0</v>
      </c>
      <c r="C19" s="371" t="s">
        <v>83</v>
      </c>
    </row>
    <row r="20">
      <c r="A20" s="370">
        <v>41974.0</v>
      </c>
      <c r="B20" s="371">
        <v>508.0</v>
      </c>
      <c r="C20" s="371" t="s">
        <v>376</v>
      </c>
    </row>
    <row r="21">
      <c r="A21" s="370">
        <v>42005.0</v>
      </c>
      <c r="B21" s="371">
        <v>512.0</v>
      </c>
      <c r="C21" s="372" t="s">
        <v>162</v>
      </c>
    </row>
    <row r="22">
      <c r="A22" s="370">
        <v>42036.0</v>
      </c>
      <c r="B22" s="371">
        <v>531.0</v>
      </c>
      <c r="C22" s="372" t="s">
        <v>4304</v>
      </c>
    </row>
    <row r="23">
      <c r="A23" s="370">
        <v>42064.0</v>
      </c>
      <c r="B23" s="371">
        <v>538.0</v>
      </c>
      <c r="C23" s="371" t="s">
        <v>4305</v>
      </c>
    </row>
    <row r="24">
      <c r="A24" s="373">
        <v>42095.0</v>
      </c>
      <c r="B24" s="371">
        <v>580.0</v>
      </c>
      <c r="C24" s="372" t="s">
        <v>287</v>
      </c>
    </row>
    <row r="25">
      <c r="A25" s="373">
        <v>42125.0</v>
      </c>
      <c r="B25" s="371">
        <v>582.0</v>
      </c>
      <c r="C25" s="371" t="s">
        <v>4306</v>
      </c>
    </row>
    <row r="26">
      <c r="A26" s="373">
        <v>42156.0</v>
      </c>
      <c r="B26" s="371">
        <v>584.0</v>
      </c>
      <c r="C26" s="371" t="s">
        <v>203</v>
      </c>
    </row>
    <row r="27">
      <c r="A27" s="373">
        <v>42186.0</v>
      </c>
      <c r="B27" s="371">
        <v>585.0</v>
      </c>
      <c r="C27" s="371" t="s">
        <v>4307</v>
      </c>
    </row>
    <row r="28">
      <c r="A28" s="373">
        <v>42217.0</v>
      </c>
      <c r="B28" s="371">
        <v>593.0</v>
      </c>
      <c r="C28" s="371" t="s">
        <v>4308</v>
      </c>
    </row>
    <row r="29">
      <c r="A29" s="370"/>
      <c r="B29" s="371">
        <v>598.0</v>
      </c>
      <c r="C29" s="372" t="s">
        <v>4309</v>
      </c>
    </row>
    <row r="30">
      <c r="A30" s="370"/>
      <c r="B30" s="371">
        <v>605.0</v>
      </c>
      <c r="C30" s="372" t="s">
        <v>4310</v>
      </c>
    </row>
    <row r="31">
      <c r="A31" s="370"/>
      <c r="B31" s="371">
        <v>610.0</v>
      </c>
      <c r="C31" s="372" t="s">
        <v>4311</v>
      </c>
    </row>
    <row r="32">
      <c r="A32" s="370"/>
      <c r="B32" s="371">
        <v>624.0</v>
      </c>
      <c r="C32" s="372" t="s">
        <v>4312</v>
      </c>
    </row>
    <row r="33">
      <c r="A33" s="370"/>
      <c r="B33" s="371">
        <v>657.0</v>
      </c>
      <c r="C33" s="372" t="s">
        <v>4313</v>
      </c>
    </row>
    <row r="34">
      <c r="A34" s="370"/>
      <c r="B34" s="371">
        <v>661.0</v>
      </c>
      <c r="C34" s="372" t="s">
        <v>214</v>
      </c>
    </row>
    <row r="35">
      <c r="A35" s="370"/>
      <c r="B35" s="371">
        <v>666.0</v>
      </c>
      <c r="C35" s="371" t="s">
        <v>4314</v>
      </c>
    </row>
    <row r="36">
      <c r="A36" s="370"/>
      <c r="B36" s="371">
        <v>693.0</v>
      </c>
      <c r="C36" s="371" t="s">
        <v>4315</v>
      </c>
    </row>
    <row r="37">
      <c r="A37" s="370"/>
      <c r="B37" s="371">
        <v>697.0</v>
      </c>
      <c r="C37" s="371" t="s">
        <v>4316</v>
      </c>
    </row>
    <row r="38">
      <c r="A38" s="370"/>
      <c r="B38" s="371">
        <v>699.0</v>
      </c>
      <c r="C38" s="371" t="s">
        <v>189</v>
      </c>
    </row>
    <row r="39">
      <c r="A39" s="370"/>
      <c r="B39" s="371">
        <v>700.0</v>
      </c>
      <c r="C39" s="372" t="s">
        <v>4317</v>
      </c>
    </row>
    <row r="40">
      <c r="A40" s="370"/>
      <c r="B40" s="371">
        <v>706.0</v>
      </c>
      <c r="C40" s="371" t="s">
        <v>4318</v>
      </c>
    </row>
    <row r="41">
      <c r="A41" s="370"/>
      <c r="B41" s="371">
        <v>707.0</v>
      </c>
      <c r="C41" s="371" t="s">
        <v>401</v>
      </c>
    </row>
    <row r="42">
      <c r="A42" s="370"/>
      <c r="B42" s="371">
        <v>726.0</v>
      </c>
      <c r="C42" s="371" t="s">
        <v>406</v>
      </c>
    </row>
    <row r="43">
      <c r="A43" s="370"/>
      <c r="B43" s="371">
        <v>732.0</v>
      </c>
      <c r="C43" s="371" t="s">
        <v>348</v>
      </c>
    </row>
    <row r="44">
      <c r="A44" s="370"/>
      <c r="B44" s="371">
        <v>745.0</v>
      </c>
      <c r="C44" s="372" t="s">
        <v>4319</v>
      </c>
    </row>
    <row r="45">
      <c r="A45" s="370"/>
      <c r="B45" s="371">
        <v>752.0</v>
      </c>
      <c r="C45" s="371" t="s">
        <v>4320</v>
      </c>
    </row>
    <row r="46">
      <c r="A46" s="370"/>
      <c r="B46" s="371">
        <v>771.0</v>
      </c>
      <c r="C46" s="371" t="s">
        <v>4321</v>
      </c>
    </row>
    <row r="47">
      <c r="A47" s="370"/>
      <c r="B47" s="371">
        <v>780.0</v>
      </c>
      <c r="C47" s="371" t="s">
        <v>4322</v>
      </c>
    </row>
    <row r="48">
      <c r="A48" s="370"/>
      <c r="B48" s="371">
        <v>782.0</v>
      </c>
      <c r="C48" s="371" t="s">
        <v>409</v>
      </c>
    </row>
    <row r="49">
      <c r="A49" s="370"/>
      <c r="B49" s="371">
        <v>801.0</v>
      </c>
      <c r="C49" s="371" t="s">
        <v>4323</v>
      </c>
    </row>
    <row r="50">
      <c r="A50" s="370"/>
      <c r="B50" s="371">
        <v>802.0</v>
      </c>
      <c r="C50" s="371" t="s">
        <v>157</v>
      </c>
    </row>
    <row r="51">
      <c r="A51" s="370"/>
      <c r="B51" s="371">
        <v>811.0</v>
      </c>
      <c r="C51" s="371" t="s">
        <v>4324</v>
      </c>
    </row>
    <row r="52">
      <c r="A52" s="370"/>
      <c r="B52" s="371">
        <v>813.0</v>
      </c>
      <c r="C52" s="371" t="s">
        <v>4325</v>
      </c>
    </row>
    <row r="53">
      <c r="A53" s="370"/>
      <c r="B53" s="371">
        <v>829.0</v>
      </c>
      <c r="C53" s="371" t="s">
        <v>212</v>
      </c>
    </row>
    <row r="54">
      <c r="A54" s="370"/>
      <c r="B54" s="371">
        <v>834.0</v>
      </c>
      <c r="C54" s="371" t="s">
        <v>114</v>
      </c>
    </row>
    <row r="55">
      <c r="A55" s="370"/>
      <c r="B55" s="371">
        <v>838.0</v>
      </c>
      <c r="C55" s="371" t="s">
        <v>4326</v>
      </c>
    </row>
    <row r="56">
      <c r="A56" s="370"/>
      <c r="B56" s="371">
        <v>850.0</v>
      </c>
      <c r="C56" s="371" t="s">
        <v>462</v>
      </c>
    </row>
    <row r="57">
      <c r="A57" s="370"/>
      <c r="B57" s="371">
        <v>861.0</v>
      </c>
      <c r="C57" s="371" t="s">
        <v>4327</v>
      </c>
    </row>
    <row r="58">
      <c r="A58" s="370"/>
      <c r="B58" s="371">
        <v>866.0</v>
      </c>
      <c r="C58" s="371" t="s">
        <v>455</v>
      </c>
    </row>
    <row r="59">
      <c r="A59" s="370"/>
      <c r="B59" s="371">
        <v>869.0</v>
      </c>
      <c r="C59" s="371" t="s">
        <v>4328</v>
      </c>
    </row>
    <row r="60">
      <c r="A60" s="370"/>
      <c r="B60" s="371">
        <v>894.0</v>
      </c>
      <c r="C60" s="371" t="s">
        <v>193</v>
      </c>
    </row>
    <row r="61">
      <c r="A61" s="370"/>
      <c r="B61" s="371">
        <v>908.0</v>
      </c>
      <c r="C61" s="371" t="s">
        <v>4329</v>
      </c>
    </row>
    <row r="62">
      <c r="A62" s="370"/>
      <c r="B62" s="371">
        <v>913.0</v>
      </c>
      <c r="C62" s="371" t="s">
        <v>4330</v>
      </c>
    </row>
    <row r="63">
      <c r="A63" s="370"/>
      <c r="B63" s="371">
        <v>918.0</v>
      </c>
      <c r="C63" s="371" t="s">
        <v>457</v>
      </c>
    </row>
    <row r="64">
      <c r="A64" s="370"/>
      <c r="B64" s="371">
        <v>927.0</v>
      </c>
      <c r="C64" s="371" t="s">
        <v>139</v>
      </c>
    </row>
    <row r="65">
      <c r="A65" s="370"/>
      <c r="B65" s="371">
        <v>934.0</v>
      </c>
      <c r="C65" s="371" t="s">
        <v>4331</v>
      </c>
    </row>
    <row r="66">
      <c r="A66" s="370"/>
      <c r="B66" s="371">
        <v>943.0</v>
      </c>
      <c r="C66" s="371" t="s">
        <v>422</v>
      </c>
    </row>
    <row r="67">
      <c r="A67" s="370"/>
      <c r="B67" s="371">
        <v>965.0</v>
      </c>
      <c r="C67" s="371" t="s">
        <v>4332</v>
      </c>
    </row>
    <row r="68">
      <c r="A68" s="370"/>
      <c r="B68" s="371">
        <v>976.0</v>
      </c>
      <c r="C68" s="371" t="s">
        <v>4333</v>
      </c>
    </row>
    <row r="69">
      <c r="A69" s="370"/>
      <c r="B69" s="371">
        <v>977.0</v>
      </c>
      <c r="C69" s="371" t="s">
        <v>4334</v>
      </c>
    </row>
    <row r="70">
      <c r="A70" s="370"/>
      <c r="B70" s="371">
        <v>982.0</v>
      </c>
      <c r="C70" s="371" t="s">
        <v>4335</v>
      </c>
    </row>
    <row r="71">
      <c r="A71" s="370"/>
      <c r="B71" s="371">
        <v>984.0</v>
      </c>
      <c r="C71" s="371" t="s">
        <v>4336</v>
      </c>
    </row>
    <row r="72">
      <c r="A72" s="370"/>
      <c r="B72" s="371">
        <v>988.0</v>
      </c>
      <c r="C72" s="371" t="s">
        <v>4337</v>
      </c>
    </row>
    <row r="73">
      <c r="A73" s="370"/>
      <c r="B73" s="371">
        <v>993.0</v>
      </c>
      <c r="C73" s="371" t="s">
        <v>196</v>
      </c>
    </row>
    <row r="74">
      <c r="A74" s="370"/>
      <c r="B74" s="371">
        <v>1007.0</v>
      </c>
      <c r="C74" s="371" t="s">
        <v>197</v>
      </c>
    </row>
    <row r="75">
      <c r="A75" s="370"/>
      <c r="B75" s="371">
        <v>1025.0</v>
      </c>
      <c r="C75" s="371" t="s">
        <v>198</v>
      </c>
    </row>
    <row r="76">
      <c r="A76" s="370"/>
      <c r="B76" s="371">
        <v>1028.0</v>
      </c>
      <c r="C76" s="371" t="s">
        <v>474</v>
      </c>
    </row>
    <row r="77">
      <c r="A77" s="370"/>
      <c r="B77" s="371">
        <v>1041.0</v>
      </c>
      <c r="C77" s="371" t="s">
        <v>317</v>
      </c>
    </row>
    <row r="78">
      <c r="A78" s="370"/>
      <c r="B78" s="371">
        <v>1043.0</v>
      </c>
      <c r="C78" s="371" t="s">
        <v>4338</v>
      </c>
    </row>
    <row r="79">
      <c r="A79" s="370"/>
      <c r="B79" s="371">
        <v>1044.0</v>
      </c>
      <c r="C79" s="371" t="s">
        <v>4339</v>
      </c>
    </row>
    <row r="80">
      <c r="A80" s="370"/>
      <c r="B80" s="371">
        <v>1047.0</v>
      </c>
      <c r="C80" s="371" t="s">
        <v>431</v>
      </c>
    </row>
    <row r="81">
      <c r="A81" s="370"/>
      <c r="B81" s="371">
        <v>1048.0</v>
      </c>
      <c r="C81" s="371" t="s">
        <v>472</v>
      </c>
    </row>
    <row r="82">
      <c r="A82" s="370"/>
      <c r="B82" s="371">
        <v>1050.0</v>
      </c>
      <c r="C82" s="371" t="s">
        <v>4340</v>
      </c>
    </row>
    <row r="83">
      <c r="A83" s="370"/>
      <c r="B83" s="371">
        <v>1051.0</v>
      </c>
      <c r="C83" s="371"/>
    </row>
    <row r="84">
      <c r="A84" s="370"/>
      <c r="B84" s="371">
        <v>1052.0</v>
      </c>
      <c r="C84" s="371"/>
    </row>
    <row r="85">
      <c r="A85" s="370"/>
      <c r="B85" s="371">
        <v>1055.0</v>
      </c>
      <c r="C85" s="371"/>
    </row>
    <row r="86">
      <c r="A86" s="370"/>
      <c r="B86" s="371">
        <v>1059.0</v>
      </c>
      <c r="C86" s="371"/>
    </row>
    <row r="87">
      <c r="A87" s="370"/>
      <c r="B87" s="371">
        <v>1060.0</v>
      </c>
      <c r="C87" s="371"/>
    </row>
    <row r="88">
      <c r="A88" s="370"/>
      <c r="B88" s="371">
        <v>1066.0</v>
      </c>
      <c r="C88" s="371"/>
    </row>
    <row r="89">
      <c r="A89" s="370"/>
      <c r="B89" s="371">
        <v>1067.0</v>
      </c>
      <c r="C89" s="371"/>
    </row>
    <row r="90">
      <c r="A90" s="370"/>
      <c r="B90" s="371">
        <v>1070.0</v>
      </c>
      <c r="C90" s="371"/>
    </row>
    <row r="91">
      <c r="A91" s="370"/>
      <c r="B91" s="371">
        <v>1073.0</v>
      </c>
      <c r="C91" s="371"/>
    </row>
    <row r="92">
      <c r="A92" s="370"/>
      <c r="B92" s="371">
        <v>1074.0</v>
      </c>
      <c r="C92" s="371"/>
    </row>
    <row r="93">
      <c r="A93" s="370"/>
      <c r="B93" s="371">
        <v>1078.0</v>
      </c>
      <c r="C93" s="371"/>
    </row>
    <row r="94">
      <c r="A94" s="370"/>
      <c r="B94" s="371">
        <v>1080.0</v>
      </c>
      <c r="C94" s="371"/>
    </row>
    <row r="95">
      <c r="A95" s="370"/>
      <c r="B95" s="371">
        <v>1088.0</v>
      </c>
      <c r="C95" s="371"/>
    </row>
    <row r="96">
      <c r="A96" s="370"/>
      <c r="B96" s="371">
        <v>1089.0</v>
      </c>
      <c r="C96" s="371"/>
    </row>
    <row r="97">
      <c r="A97" s="370"/>
      <c r="B97" s="371">
        <v>1097.0</v>
      </c>
      <c r="C97" s="371"/>
    </row>
    <row r="98">
      <c r="A98" s="370"/>
      <c r="B98" s="371">
        <v>1099.0</v>
      </c>
      <c r="C98" s="371"/>
    </row>
    <row r="99">
      <c r="A99" s="370"/>
      <c r="B99" s="371">
        <v>1101.0</v>
      </c>
      <c r="C99" s="371"/>
    </row>
    <row r="100">
      <c r="A100" s="370"/>
      <c r="B100" s="371">
        <v>1112.0</v>
      </c>
      <c r="C100" s="371"/>
    </row>
    <row r="101">
      <c r="A101" s="370"/>
      <c r="B101" s="371">
        <v>1113.0</v>
      </c>
      <c r="C101" s="371"/>
    </row>
    <row r="102">
      <c r="A102" s="370"/>
      <c r="B102" s="371">
        <v>1122.0</v>
      </c>
      <c r="C102" s="371"/>
    </row>
    <row r="103">
      <c r="A103" s="370"/>
      <c r="B103" s="371">
        <v>1126.0</v>
      </c>
      <c r="C103" s="371"/>
    </row>
    <row r="104">
      <c r="A104" s="370"/>
      <c r="B104" s="371">
        <v>1127.0</v>
      </c>
      <c r="C104" s="371"/>
    </row>
    <row r="105">
      <c r="A105" s="370"/>
      <c r="B105" s="371">
        <v>1133.0</v>
      </c>
      <c r="C105" s="371"/>
    </row>
    <row r="106">
      <c r="A106" s="370"/>
      <c r="B106" s="371">
        <v>1134.0</v>
      </c>
      <c r="C106" s="371"/>
    </row>
    <row r="107">
      <c r="A107" s="370"/>
      <c r="B107" s="371">
        <v>1138.0</v>
      </c>
      <c r="C107" s="371"/>
    </row>
    <row r="108">
      <c r="A108" s="370"/>
      <c r="B108" s="371">
        <v>1139.0</v>
      </c>
      <c r="C108" s="371"/>
    </row>
    <row r="109">
      <c r="A109" s="370"/>
      <c r="B109" s="371">
        <v>1141.0</v>
      </c>
      <c r="C109" s="371"/>
    </row>
    <row r="110">
      <c r="A110" s="370"/>
      <c r="B110" s="371">
        <v>1147.0</v>
      </c>
      <c r="C110" s="371"/>
    </row>
    <row r="111">
      <c r="A111" s="370"/>
      <c r="B111" s="371">
        <v>1151.0</v>
      </c>
      <c r="C111" s="371"/>
    </row>
    <row r="112">
      <c r="A112" s="370"/>
      <c r="B112" s="371">
        <v>1153.0</v>
      </c>
      <c r="C112" s="371"/>
    </row>
    <row r="113">
      <c r="A113" s="370"/>
      <c r="B113" s="371">
        <v>1156.0</v>
      </c>
      <c r="C113" s="371"/>
    </row>
    <row r="114">
      <c r="A114" s="370"/>
      <c r="B114" s="371">
        <v>1157.0</v>
      </c>
      <c r="C114" s="371"/>
    </row>
    <row r="115">
      <c r="A115" s="370"/>
      <c r="B115" s="371">
        <v>1165.0</v>
      </c>
      <c r="C115" s="371"/>
    </row>
    <row r="116">
      <c r="A116" s="370"/>
      <c r="B116" s="371">
        <v>1166.0</v>
      </c>
      <c r="C116" s="371"/>
    </row>
    <row r="117">
      <c r="A117" s="370"/>
      <c r="B117" s="371">
        <v>1167.0</v>
      </c>
      <c r="C117" s="371"/>
    </row>
    <row r="118">
      <c r="A118" s="370"/>
      <c r="B118" s="371">
        <v>1169.0</v>
      </c>
      <c r="C118" s="371"/>
    </row>
    <row r="119">
      <c r="A119" s="370"/>
      <c r="B119" s="371">
        <v>1173.0</v>
      </c>
      <c r="C119" s="371"/>
    </row>
    <row r="120">
      <c r="A120" s="370"/>
      <c r="B120" s="371">
        <v>1175.0</v>
      </c>
      <c r="C120" s="371"/>
    </row>
    <row r="121">
      <c r="A121" s="370"/>
      <c r="B121" s="371">
        <v>1177.0</v>
      </c>
      <c r="C121" s="371"/>
    </row>
    <row r="122">
      <c r="A122" s="370"/>
      <c r="B122" s="371">
        <v>1178.0</v>
      </c>
      <c r="C122" s="371"/>
    </row>
    <row r="123">
      <c r="A123" s="370"/>
      <c r="B123" s="371">
        <v>1179.0</v>
      </c>
      <c r="C123" s="371"/>
    </row>
    <row r="124">
      <c r="A124" s="370"/>
      <c r="B124" s="371">
        <v>1181.0</v>
      </c>
      <c r="C124" s="371"/>
    </row>
    <row r="125">
      <c r="A125" s="370"/>
      <c r="B125" s="371">
        <v>1184.0</v>
      </c>
      <c r="C125" s="371"/>
    </row>
    <row r="126">
      <c r="A126" s="370"/>
      <c r="B126" s="371">
        <v>1185.0</v>
      </c>
      <c r="C126" s="371"/>
    </row>
    <row r="127">
      <c r="A127" s="370"/>
      <c r="B127" s="371">
        <v>1186.0</v>
      </c>
      <c r="C127" s="371"/>
    </row>
    <row r="128">
      <c r="A128" s="370"/>
      <c r="B128" s="371">
        <v>1187.0</v>
      </c>
      <c r="C128" s="371"/>
    </row>
    <row r="129">
      <c r="A129" s="370"/>
      <c r="B129" s="371">
        <v>1189.0</v>
      </c>
      <c r="C129" s="371"/>
    </row>
    <row r="130">
      <c r="A130" s="370"/>
      <c r="B130" s="371">
        <v>1190.0</v>
      </c>
      <c r="C130" s="371"/>
    </row>
    <row r="131">
      <c r="A131" s="370"/>
      <c r="B131" s="371">
        <v>1191.0</v>
      </c>
      <c r="C131" s="371"/>
    </row>
    <row r="132">
      <c r="A132" s="370"/>
      <c r="B132" s="371">
        <v>1194.0</v>
      </c>
      <c r="C132" s="371"/>
    </row>
    <row r="133">
      <c r="A133" s="370"/>
      <c r="B133" s="371">
        <v>1200.0</v>
      </c>
      <c r="C133" s="371"/>
    </row>
    <row r="134">
      <c r="A134" s="370"/>
      <c r="B134" s="371">
        <v>1203.0</v>
      </c>
      <c r="C134" s="371"/>
    </row>
    <row r="135">
      <c r="A135" s="370"/>
      <c r="B135" s="371">
        <v>1204.0</v>
      </c>
      <c r="C135" s="371"/>
    </row>
    <row r="136">
      <c r="A136" s="370"/>
      <c r="B136" s="371">
        <v>1213.0</v>
      </c>
      <c r="C136" s="371"/>
    </row>
    <row r="137">
      <c r="A137" s="370"/>
      <c r="B137" s="371">
        <v>1215.0</v>
      </c>
      <c r="C137" s="371"/>
    </row>
    <row r="138">
      <c r="A138" s="370"/>
      <c r="B138" s="371">
        <v>1216.0</v>
      </c>
      <c r="C138" s="371"/>
    </row>
    <row r="139">
      <c r="A139" s="370"/>
      <c r="B139" s="371">
        <v>1218.0</v>
      </c>
      <c r="C139" s="371"/>
    </row>
    <row r="140">
      <c r="A140" s="370"/>
      <c r="B140" s="371">
        <v>1220.0</v>
      </c>
      <c r="C140" s="371"/>
    </row>
    <row r="141">
      <c r="A141" s="370"/>
      <c r="B141" s="371">
        <v>1221.0</v>
      </c>
      <c r="C141" s="371"/>
    </row>
    <row r="142">
      <c r="A142" s="370"/>
      <c r="B142" s="371">
        <v>1224.0</v>
      </c>
      <c r="C142" s="371"/>
    </row>
    <row r="143">
      <c r="A143" s="370"/>
      <c r="B143" s="371">
        <v>1231.0</v>
      </c>
      <c r="C143" s="371"/>
    </row>
    <row r="144">
      <c r="A144" s="370"/>
      <c r="B144" s="371">
        <v>1232.0</v>
      </c>
      <c r="C144" s="371"/>
    </row>
    <row r="145">
      <c r="A145" s="370"/>
      <c r="B145" s="371">
        <v>1234.0</v>
      </c>
      <c r="C145" s="371"/>
    </row>
    <row r="146">
      <c r="A146" s="370"/>
      <c r="B146" s="371">
        <v>1235.0</v>
      </c>
      <c r="C146" s="371"/>
    </row>
    <row r="147">
      <c r="A147" s="370"/>
      <c r="B147" s="371">
        <v>1242.0</v>
      </c>
      <c r="C147" s="371"/>
    </row>
    <row r="148">
      <c r="A148" s="370"/>
      <c r="B148" s="371">
        <v>1244.0</v>
      </c>
      <c r="C148" s="371"/>
    </row>
    <row r="149">
      <c r="A149" s="370"/>
      <c r="B149" s="371">
        <v>1246.0</v>
      </c>
      <c r="C149" s="371"/>
    </row>
    <row r="150">
      <c r="A150" s="370"/>
      <c r="B150" s="371">
        <v>1249.0</v>
      </c>
      <c r="C150" s="371"/>
    </row>
    <row r="151">
      <c r="A151" s="370"/>
      <c r="B151" s="371">
        <v>1250.0</v>
      </c>
      <c r="C151" s="371"/>
    </row>
    <row r="152">
      <c r="A152" s="370"/>
      <c r="B152" s="371">
        <v>1251.0</v>
      </c>
      <c r="C152" s="371"/>
    </row>
    <row r="153">
      <c r="A153" s="370"/>
      <c r="B153" s="371">
        <v>1253.0</v>
      </c>
      <c r="C153" s="371"/>
    </row>
    <row r="154">
      <c r="A154" s="370"/>
      <c r="B154" s="371">
        <v>1255.0</v>
      </c>
      <c r="C154" s="371"/>
    </row>
    <row r="155">
      <c r="A155" s="370"/>
      <c r="B155" s="371">
        <v>1256.0</v>
      </c>
      <c r="C155" s="371"/>
    </row>
    <row r="156">
      <c r="A156" s="370"/>
      <c r="B156" s="371">
        <v>1257.0</v>
      </c>
      <c r="C156" s="371"/>
    </row>
    <row r="157">
      <c r="A157" s="370"/>
      <c r="B157" s="371">
        <v>1259.0</v>
      </c>
      <c r="C157" s="371"/>
    </row>
    <row r="158">
      <c r="A158" s="370"/>
      <c r="B158" s="371">
        <v>1260.0</v>
      </c>
      <c r="C158" s="371"/>
    </row>
    <row r="159">
      <c r="A159" s="370"/>
      <c r="B159" s="371">
        <v>1267.0</v>
      </c>
      <c r="C159" s="371"/>
    </row>
    <row r="160">
      <c r="A160" s="370"/>
      <c r="B160" s="371">
        <v>1267.0</v>
      </c>
      <c r="C160" s="371"/>
    </row>
    <row r="161">
      <c r="A161" s="370"/>
      <c r="B161" s="371">
        <v>1268.0</v>
      </c>
      <c r="C161" s="371"/>
    </row>
    <row r="162">
      <c r="A162" s="370"/>
      <c r="B162" s="371">
        <v>1269.0</v>
      </c>
      <c r="C162" s="371"/>
    </row>
    <row r="163">
      <c r="A163" s="370"/>
      <c r="B163" s="371">
        <v>1271.0</v>
      </c>
      <c r="C163" s="371"/>
    </row>
    <row r="164">
      <c r="A164" s="370"/>
      <c r="B164" s="371">
        <v>1273.0</v>
      </c>
      <c r="C164" s="371"/>
    </row>
    <row r="165">
      <c r="A165" s="370"/>
      <c r="B165" s="371">
        <v>1274.0</v>
      </c>
      <c r="C165" s="371"/>
    </row>
    <row r="166">
      <c r="A166" s="370"/>
      <c r="B166" s="371">
        <v>1275.0</v>
      </c>
      <c r="C166" s="371"/>
    </row>
    <row r="167">
      <c r="A167" s="370"/>
      <c r="B167" s="371">
        <v>1276.0</v>
      </c>
      <c r="C167" s="371"/>
    </row>
    <row r="168">
      <c r="A168" s="370"/>
      <c r="B168" s="371">
        <v>1279.0</v>
      </c>
      <c r="C168" s="371"/>
    </row>
    <row r="169">
      <c r="A169" s="370"/>
      <c r="B169" s="371">
        <v>1280.0</v>
      </c>
      <c r="C169" s="371"/>
    </row>
    <row r="170">
      <c r="A170" s="370"/>
      <c r="B170" s="371">
        <v>1281.0</v>
      </c>
      <c r="C170" s="371"/>
    </row>
    <row r="171">
      <c r="A171" s="370"/>
      <c r="B171" s="371">
        <v>1284.0</v>
      </c>
      <c r="C171" s="371"/>
    </row>
    <row r="172">
      <c r="A172" s="370"/>
      <c r="B172" s="371">
        <v>1285.0</v>
      </c>
      <c r="C172" s="371"/>
    </row>
    <row r="173">
      <c r="A173" s="370"/>
      <c r="B173" s="371">
        <v>1288.0</v>
      </c>
      <c r="C173" s="371"/>
    </row>
    <row r="174">
      <c r="A174" s="370"/>
      <c r="B174" s="371">
        <v>1290.0</v>
      </c>
      <c r="C174" s="371"/>
    </row>
    <row r="175">
      <c r="A175" s="370"/>
      <c r="B175" s="371">
        <v>1291.0</v>
      </c>
      <c r="C175" s="371"/>
    </row>
    <row r="176">
      <c r="A176" s="370"/>
      <c r="B176" s="371">
        <v>1292.0</v>
      </c>
      <c r="C176" s="371"/>
    </row>
    <row r="177">
      <c r="A177" s="370"/>
      <c r="B177" s="371">
        <v>1293.0</v>
      </c>
      <c r="C177" s="371"/>
    </row>
    <row r="178">
      <c r="A178" s="370"/>
      <c r="B178" s="371">
        <v>1294.0</v>
      </c>
      <c r="C178" s="371"/>
    </row>
    <row r="179">
      <c r="A179" s="370"/>
      <c r="B179" s="371">
        <v>1295.0</v>
      </c>
      <c r="C179" s="371"/>
    </row>
    <row r="180">
      <c r="A180" s="370"/>
      <c r="B180" s="371">
        <v>1296.0</v>
      </c>
      <c r="C180" s="371"/>
    </row>
    <row r="181">
      <c r="A181" s="370"/>
      <c r="B181" s="371">
        <v>1297.0</v>
      </c>
      <c r="C181" s="371"/>
    </row>
    <row r="182">
      <c r="A182" s="370"/>
      <c r="B182" s="371">
        <v>1298.0</v>
      </c>
      <c r="C182" s="371"/>
    </row>
    <row r="183">
      <c r="A183" s="370"/>
      <c r="B183" s="371">
        <v>1299.0</v>
      </c>
      <c r="C183" s="371"/>
    </row>
    <row r="184">
      <c r="A184" s="370"/>
      <c r="B184" s="371">
        <v>1300.0</v>
      </c>
      <c r="C184" s="371"/>
    </row>
    <row r="185">
      <c r="A185" s="370"/>
      <c r="B185" s="371">
        <v>1301.0</v>
      </c>
      <c r="C185" s="371"/>
    </row>
    <row r="186">
      <c r="A186" s="370"/>
      <c r="B186" s="371">
        <v>1302.0</v>
      </c>
      <c r="C186" s="371"/>
    </row>
    <row r="187">
      <c r="A187" s="370"/>
      <c r="B187" s="371">
        <v>1303.0</v>
      </c>
      <c r="C187" s="371"/>
    </row>
    <row r="188">
      <c r="A188" s="370"/>
      <c r="B188" s="371">
        <v>1304.0</v>
      </c>
      <c r="C188" s="371"/>
    </row>
    <row r="189">
      <c r="A189" s="370"/>
      <c r="B189" s="371">
        <v>1305.0</v>
      </c>
      <c r="C189" s="371"/>
    </row>
    <row r="190">
      <c r="A190" s="370"/>
      <c r="B190" s="371">
        <v>1306.0</v>
      </c>
      <c r="C190" s="371"/>
    </row>
    <row r="191">
      <c r="A191" s="370"/>
      <c r="B191" s="371">
        <v>1307.0</v>
      </c>
      <c r="C191" s="371"/>
    </row>
    <row r="192">
      <c r="A192" s="370"/>
      <c r="B192" s="371">
        <v>1308.0</v>
      </c>
      <c r="C192" s="371"/>
    </row>
    <row r="193">
      <c r="A193" s="370"/>
      <c r="B193" s="371">
        <v>1309.0</v>
      </c>
      <c r="C193" s="371"/>
    </row>
    <row r="194">
      <c r="A194" s="370"/>
      <c r="B194" s="371">
        <v>1310.0</v>
      </c>
      <c r="C194" s="371"/>
    </row>
    <row r="195">
      <c r="A195" s="370"/>
      <c r="B195" s="371">
        <v>1311.0</v>
      </c>
      <c r="C195" s="371"/>
    </row>
    <row r="196">
      <c r="A196" s="370"/>
      <c r="B196" s="371">
        <v>1312.0</v>
      </c>
      <c r="C196" s="371"/>
    </row>
    <row r="197">
      <c r="A197" s="370"/>
      <c r="B197" s="371">
        <v>1313.0</v>
      </c>
      <c r="C197" s="371"/>
    </row>
    <row r="198">
      <c r="A198" s="370"/>
      <c r="B198" s="371">
        <v>1316.0</v>
      </c>
      <c r="C198" s="371"/>
    </row>
    <row r="199">
      <c r="A199" s="370"/>
      <c r="B199" s="371">
        <v>1317.0</v>
      </c>
      <c r="C199" s="371"/>
    </row>
    <row r="200">
      <c r="A200" s="370"/>
      <c r="B200" s="371">
        <v>1318.0</v>
      </c>
      <c r="C200" s="371"/>
    </row>
    <row r="201">
      <c r="A201" s="370"/>
      <c r="B201" s="371">
        <v>1320.0</v>
      </c>
      <c r="C201" s="371"/>
    </row>
    <row r="202">
      <c r="A202" s="370"/>
      <c r="B202" s="371">
        <v>1321.0</v>
      </c>
      <c r="C202" s="371"/>
    </row>
    <row r="203">
      <c r="A203" s="370"/>
      <c r="B203" s="371">
        <v>1322.0</v>
      </c>
      <c r="C203" s="371"/>
    </row>
    <row r="204">
      <c r="A204" s="370"/>
      <c r="B204" s="371">
        <v>1323.0</v>
      </c>
      <c r="C204" s="371"/>
    </row>
    <row r="205">
      <c r="A205" s="370"/>
      <c r="B205" s="371">
        <v>1324.0</v>
      </c>
      <c r="C205" s="371"/>
    </row>
    <row r="206">
      <c r="A206" s="370"/>
      <c r="B206" s="371">
        <v>1327.0</v>
      </c>
      <c r="C206" s="371"/>
    </row>
    <row r="207">
      <c r="A207" s="370"/>
      <c r="B207" s="371">
        <v>1328.0</v>
      </c>
      <c r="C207" s="371"/>
    </row>
    <row r="208">
      <c r="A208" s="370"/>
      <c r="B208" s="371">
        <v>1329.0</v>
      </c>
      <c r="C208" s="371"/>
    </row>
    <row r="209">
      <c r="A209" s="370"/>
      <c r="B209" s="371">
        <v>1330.0</v>
      </c>
      <c r="C209" s="371"/>
    </row>
    <row r="210">
      <c r="A210" s="370"/>
      <c r="B210" s="371">
        <v>1331.0</v>
      </c>
      <c r="C210" s="371"/>
    </row>
    <row r="211">
      <c r="A211" s="370"/>
      <c r="B211" s="371">
        <v>1333.0</v>
      </c>
      <c r="C211" s="371"/>
    </row>
    <row r="212">
      <c r="A212" s="370"/>
      <c r="B212" s="371">
        <v>1334.0</v>
      </c>
      <c r="C212" s="371"/>
    </row>
    <row r="213">
      <c r="A213" s="370"/>
      <c r="B213" s="371">
        <v>1335.0</v>
      </c>
      <c r="C213" s="371"/>
    </row>
    <row r="214">
      <c r="A214" s="370"/>
      <c r="B214" s="371">
        <v>1337.0</v>
      </c>
      <c r="C214" s="371"/>
    </row>
    <row r="215">
      <c r="A215" s="370"/>
      <c r="B215" s="371">
        <v>1339.0</v>
      </c>
      <c r="C215" s="371"/>
    </row>
    <row r="216">
      <c r="A216" s="370"/>
      <c r="B216" s="371">
        <v>1340.0</v>
      </c>
      <c r="C216" s="371"/>
    </row>
    <row r="217">
      <c r="A217" s="370"/>
      <c r="B217" s="371">
        <v>1341.0</v>
      </c>
      <c r="C217" s="371"/>
    </row>
    <row r="218">
      <c r="A218" s="370"/>
      <c r="B218" s="371">
        <v>1342.0</v>
      </c>
      <c r="C218" s="371"/>
    </row>
    <row r="219">
      <c r="A219" s="370"/>
      <c r="B219" s="371">
        <v>1343.0</v>
      </c>
      <c r="C219" s="371"/>
    </row>
    <row r="220">
      <c r="A220" s="370"/>
      <c r="B220" s="371">
        <v>1344.0</v>
      </c>
      <c r="C220" s="371"/>
    </row>
    <row r="221">
      <c r="A221" s="370"/>
      <c r="B221" s="371">
        <v>1345.0</v>
      </c>
      <c r="C221" s="371"/>
    </row>
    <row r="222">
      <c r="A222" s="370"/>
      <c r="B222" s="371">
        <v>1347.0</v>
      </c>
      <c r="C222" s="371"/>
    </row>
    <row r="223">
      <c r="A223" s="370"/>
      <c r="B223" s="371">
        <v>1349.0</v>
      </c>
      <c r="C223" s="371"/>
    </row>
    <row r="224">
      <c r="A224" s="370"/>
      <c r="B224" s="371">
        <v>1350.0</v>
      </c>
      <c r="C224" s="371"/>
    </row>
    <row r="225">
      <c r="A225" s="370"/>
      <c r="B225" s="371">
        <v>1351.0</v>
      </c>
      <c r="C225" s="371"/>
    </row>
    <row r="226">
      <c r="A226" s="370"/>
      <c r="B226" s="371">
        <v>1352.0</v>
      </c>
      <c r="C226" s="371"/>
    </row>
    <row r="227">
      <c r="A227" s="370"/>
      <c r="B227" s="371">
        <v>1354.0</v>
      </c>
      <c r="C227" s="371"/>
    </row>
    <row r="228">
      <c r="A228" s="370"/>
      <c r="B228" s="371">
        <v>1356.0</v>
      </c>
      <c r="C228" s="371"/>
    </row>
    <row r="229">
      <c r="A229" s="370"/>
      <c r="B229" s="371">
        <v>1357.0</v>
      </c>
      <c r="C229" s="371"/>
    </row>
    <row r="230">
      <c r="A230" s="370"/>
      <c r="B230" s="371">
        <v>1358.0</v>
      </c>
      <c r="C230" s="371"/>
    </row>
    <row r="231">
      <c r="A231" s="370"/>
      <c r="B231" s="371">
        <v>1361.0</v>
      </c>
      <c r="C231" s="371"/>
    </row>
    <row r="232">
      <c r="A232" s="370"/>
      <c r="B232" s="371">
        <v>1362.0</v>
      </c>
      <c r="C232" s="371"/>
    </row>
    <row r="233">
      <c r="A233" s="370"/>
      <c r="B233" s="371">
        <v>1363.0</v>
      </c>
      <c r="C233" s="371"/>
    </row>
    <row r="234">
      <c r="A234" s="370"/>
      <c r="B234" s="371">
        <v>1364.0</v>
      </c>
      <c r="C234" s="371"/>
    </row>
    <row r="235">
      <c r="A235" s="370"/>
      <c r="B235" s="371">
        <v>1365.0</v>
      </c>
      <c r="C235" s="371"/>
    </row>
    <row r="236">
      <c r="A236" s="370"/>
      <c r="B236" s="371">
        <v>1366.0</v>
      </c>
      <c r="C236" s="371"/>
    </row>
    <row r="237">
      <c r="A237" s="370"/>
      <c r="B237" s="371">
        <v>1367.0</v>
      </c>
      <c r="C237" s="371"/>
    </row>
    <row r="238">
      <c r="A238" s="370"/>
      <c r="B238" s="371">
        <v>1368.0</v>
      </c>
      <c r="C238" s="371"/>
    </row>
    <row r="239">
      <c r="A239" s="370"/>
      <c r="B239" s="371">
        <v>1370.0</v>
      </c>
      <c r="C239" s="371"/>
    </row>
    <row r="240">
      <c r="A240" s="370"/>
      <c r="B240" s="371">
        <v>1371.0</v>
      </c>
      <c r="C240" s="371"/>
    </row>
    <row r="241">
      <c r="A241" s="370"/>
      <c r="B241" s="371">
        <v>1372.0</v>
      </c>
      <c r="C241" s="371"/>
    </row>
    <row r="242">
      <c r="A242" s="370"/>
      <c r="B242" s="371">
        <v>1374.0</v>
      </c>
      <c r="C242" s="371"/>
    </row>
    <row r="243">
      <c r="A243" s="370"/>
      <c r="B243" s="371">
        <v>1375.0</v>
      </c>
      <c r="C243" s="371"/>
    </row>
    <row r="244">
      <c r="A244" s="370"/>
      <c r="B244" s="371">
        <v>1376.0</v>
      </c>
      <c r="C244" s="371"/>
    </row>
    <row r="245">
      <c r="A245" s="370"/>
      <c r="B245" s="371">
        <v>1377.0</v>
      </c>
      <c r="C245" s="371"/>
    </row>
    <row r="246">
      <c r="A246" s="370"/>
      <c r="B246" s="371">
        <v>1378.0</v>
      </c>
      <c r="C246" s="371"/>
    </row>
    <row r="247">
      <c r="A247" s="370"/>
      <c r="B247" s="371">
        <v>1379.0</v>
      </c>
      <c r="C247" s="371"/>
    </row>
    <row r="248">
      <c r="A248" s="370"/>
      <c r="B248" s="371">
        <v>1380.0</v>
      </c>
      <c r="C248" s="371"/>
    </row>
    <row r="249">
      <c r="A249" s="370"/>
      <c r="B249" s="371">
        <v>1381.0</v>
      </c>
      <c r="C249" s="371"/>
    </row>
    <row r="250">
      <c r="A250" s="370"/>
      <c r="B250" s="371">
        <v>1382.0</v>
      </c>
      <c r="C250" s="371"/>
    </row>
    <row r="251">
      <c r="A251" s="370"/>
      <c r="B251" s="371">
        <v>1383.0</v>
      </c>
      <c r="C251" s="371"/>
    </row>
    <row r="252">
      <c r="A252" s="370"/>
      <c r="B252" s="371">
        <v>1384.0</v>
      </c>
      <c r="C252" s="371"/>
    </row>
    <row r="253">
      <c r="A253" s="370"/>
      <c r="B253" s="371">
        <v>1385.0</v>
      </c>
      <c r="C253" s="371"/>
    </row>
    <row r="254">
      <c r="A254" s="370"/>
      <c r="B254" s="371">
        <v>1386.0</v>
      </c>
      <c r="C254" s="371"/>
    </row>
    <row r="255">
      <c r="A255" s="370"/>
      <c r="B255" s="371">
        <v>1387.0</v>
      </c>
      <c r="C255" s="371"/>
    </row>
    <row r="256">
      <c r="A256" s="370"/>
      <c r="B256" s="371">
        <v>1388.0</v>
      </c>
      <c r="C256" s="371"/>
    </row>
    <row r="257">
      <c r="A257" s="370"/>
      <c r="B257" s="371">
        <v>1389.0</v>
      </c>
      <c r="C257" s="371"/>
    </row>
    <row r="258">
      <c r="A258" s="370"/>
      <c r="B258" s="371">
        <v>1390.0</v>
      </c>
      <c r="C258" s="371"/>
    </row>
    <row r="259">
      <c r="A259" s="370"/>
      <c r="B259" s="371">
        <v>1391.0</v>
      </c>
      <c r="C259" s="371"/>
    </row>
    <row r="260">
      <c r="A260" s="370"/>
      <c r="B260" s="371">
        <v>1392.0</v>
      </c>
      <c r="C260" s="371"/>
    </row>
    <row r="261">
      <c r="A261" s="370"/>
      <c r="B261" s="371">
        <v>1393.0</v>
      </c>
      <c r="C261" s="371"/>
    </row>
    <row r="262">
      <c r="A262" s="370"/>
      <c r="B262" s="371">
        <v>1394.0</v>
      </c>
      <c r="C262" s="371"/>
    </row>
    <row r="263">
      <c r="A263" s="370"/>
      <c r="B263" s="371">
        <v>1395.0</v>
      </c>
      <c r="C263" s="371"/>
    </row>
    <row r="264">
      <c r="A264" s="370"/>
      <c r="B264" s="371">
        <v>1396.0</v>
      </c>
      <c r="C264" s="371"/>
    </row>
    <row r="265">
      <c r="A265" s="370"/>
      <c r="B265" s="371">
        <v>1397.0</v>
      </c>
      <c r="C265" s="371"/>
    </row>
    <row r="266">
      <c r="A266" s="370"/>
      <c r="B266" s="371">
        <v>1398.0</v>
      </c>
      <c r="C266" s="371"/>
    </row>
    <row r="267">
      <c r="A267" s="370"/>
      <c r="B267" s="371">
        <v>1399.0</v>
      </c>
      <c r="C267" s="371"/>
    </row>
    <row r="268">
      <c r="A268" s="370"/>
      <c r="B268" s="371">
        <v>1400.0</v>
      </c>
      <c r="C268" s="371"/>
    </row>
    <row r="269">
      <c r="A269" s="370"/>
      <c r="B269" s="371">
        <v>1401.0</v>
      </c>
      <c r="C269" s="371"/>
    </row>
    <row r="270">
      <c r="A270" s="370"/>
      <c r="B270" s="371">
        <v>1402.0</v>
      </c>
      <c r="C270" s="371"/>
    </row>
    <row r="271">
      <c r="A271" s="370"/>
      <c r="B271" s="371">
        <v>1403.0</v>
      </c>
      <c r="C271" s="371"/>
    </row>
    <row r="272">
      <c r="A272" s="370"/>
      <c r="B272" s="371">
        <v>1404.0</v>
      </c>
      <c r="C272" s="371"/>
    </row>
    <row r="273">
      <c r="A273" s="370"/>
      <c r="B273" s="371">
        <v>1405.0</v>
      </c>
      <c r="C273" s="371"/>
    </row>
    <row r="274">
      <c r="A274" s="370"/>
      <c r="B274" s="371">
        <v>1406.0</v>
      </c>
      <c r="C274" s="371"/>
    </row>
    <row r="275">
      <c r="A275" s="370"/>
      <c r="B275" s="371">
        <v>1407.0</v>
      </c>
      <c r="C275" s="371"/>
    </row>
    <row r="276">
      <c r="A276" s="370"/>
      <c r="B276" s="371">
        <v>1408.0</v>
      </c>
      <c r="C276" s="371"/>
    </row>
    <row r="277">
      <c r="A277" s="370"/>
      <c r="B277" s="371">
        <v>1409.0</v>
      </c>
      <c r="C277" s="371"/>
    </row>
    <row r="278">
      <c r="A278" s="370"/>
      <c r="B278" s="371">
        <v>1410.0</v>
      </c>
      <c r="C278" s="371"/>
    </row>
    <row r="279">
      <c r="A279" s="370"/>
      <c r="B279" s="371">
        <v>1411.0</v>
      </c>
      <c r="C279" s="371"/>
    </row>
    <row r="280">
      <c r="A280" s="370"/>
      <c r="B280" s="371">
        <v>1412.0</v>
      </c>
      <c r="C280" s="371"/>
    </row>
    <row r="281">
      <c r="A281" s="370"/>
      <c r="B281" s="371">
        <v>1413.0</v>
      </c>
      <c r="C281" s="371"/>
    </row>
    <row r="282">
      <c r="A282" s="370"/>
      <c r="B282" s="371">
        <v>1414.0</v>
      </c>
      <c r="C282" s="371"/>
    </row>
    <row r="283">
      <c r="A283" s="370"/>
      <c r="B283" s="371">
        <v>1415.0</v>
      </c>
      <c r="C283" s="371"/>
    </row>
    <row r="284">
      <c r="A284" s="370"/>
      <c r="B284" s="371">
        <v>1416.0</v>
      </c>
      <c r="C284" s="371"/>
    </row>
    <row r="285">
      <c r="A285" s="370"/>
      <c r="B285" s="371">
        <v>1417.0</v>
      </c>
      <c r="C285" s="371"/>
    </row>
    <row r="286">
      <c r="A286" s="370"/>
      <c r="B286" s="371">
        <v>1418.0</v>
      </c>
      <c r="C286" s="371"/>
    </row>
    <row r="287">
      <c r="A287" s="370"/>
      <c r="B287" s="371">
        <v>1419.0</v>
      </c>
      <c r="C287" s="371"/>
    </row>
    <row r="288">
      <c r="A288" s="370"/>
      <c r="B288" s="371">
        <v>1420.0</v>
      </c>
      <c r="C288" s="371"/>
    </row>
    <row r="289">
      <c r="A289" s="370"/>
      <c r="B289" s="371">
        <v>1421.0</v>
      </c>
      <c r="C289" s="371"/>
    </row>
    <row r="290">
      <c r="A290" s="370"/>
      <c r="B290" s="371">
        <v>1422.0</v>
      </c>
      <c r="C290" s="371"/>
    </row>
    <row r="291">
      <c r="A291" s="370"/>
      <c r="B291" s="371">
        <v>1423.0</v>
      </c>
      <c r="C291" s="371"/>
    </row>
    <row r="292">
      <c r="A292" s="370"/>
      <c r="B292" s="371">
        <v>1424.0</v>
      </c>
      <c r="C292" s="371"/>
    </row>
    <row r="293">
      <c r="A293" s="370"/>
      <c r="B293" s="371">
        <v>1425.0</v>
      </c>
      <c r="C293" s="371"/>
    </row>
    <row r="294">
      <c r="A294" s="370"/>
      <c r="B294" s="371">
        <v>1426.0</v>
      </c>
      <c r="C294" s="371"/>
    </row>
    <row r="295">
      <c r="A295" s="370"/>
      <c r="B295" s="371">
        <v>1427.0</v>
      </c>
      <c r="C295" s="371"/>
    </row>
    <row r="296">
      <c r="A296" s="370"/>
      <c r="B296" s="371">
        <v>1428.0</v>
      </c>
      <c r="C296" s="371"/>
    </row>
    <row r="297">
      <c r="A297" s="370"/>
      <c r="B297" s="371">
        <v>1429.0</v>
      </c>
      <c r="C297" s="371"/>
    </row>
    <row r="298">
      <c r="A298" s="370"/>
      <c r="B298" s="371">
        <v>1430.0</v>
      </c>
      <c r="C298" s="371"/>
    </row>
    <row r="299">
      <c r="A299" s="370"/>
      <c r="B299" s="371">
        <v>1431.0</v>
      </c>
      <c r="C299" s="371"/>
    </row>
    <row r="300">
      <c r="A300" s="370"/>
      <c r="B300" s="371">
        <v>1432.0</v>
      </c>
      <c r="C300" s="371"/>
    </row>
    <row r="301">
      <c r="A301" s="370"/>
      <c r="B301" s="371">
        <v>1433.0</v>
      </c>
      <c r="C301" s="371"/>
    </row>
    <row r="302">
      <c r="A302" s="370"/>
      <c r="B302" s="371">
        <v>1434.0</v>
      </c>
      <c r="C302" s="371"/>
    </row>
    <row r="303">
      <c r="A303" s="370"/>
      <c r="B303" s="371">
        <v>1435.0</v>
      </c>
      <c r="C303" s="371"/>
    </row>
    <row r="304">
      <c r="A304" s="370"/>
      <c r="B304" s="371">
        <v>1436.0</v>
      </c>
      <c r="C304" s="371"/>
    </row>
    <row r="305">
      <c r="A305" s="370"/>
      <c r="B305" s="371">
        <v>1437.0</v>
      </c>
      <c r="C305" s="371"/>
    </row>
    <row r="306">
      <c r="A306" s="370"/>
      <c r="B306" s="371">
        <v>1438.0</v>
      </c>
      <c r="C306" s="371"/>
    </row>
    <row r="307">
      <c r="A307" s="370"/>
      <c r="B307" s="371">
        <v>1439.0</v>
      </c>
      <c r="C307" s="371"/>
    </row>
    <row r="308">
      <c r="A308" s="370"/>
      <c r="B308" s="371">
        <v>1440.0</v>
      </c>
      <c r="C308" s="371"/>
    </row>
    <row r="309">
      <c r="A309" s="370"/>
      <c r="B309" s="371">
        <v>1441.0</v>
      </c>
      <c r="C309" s="371"/>
    </row>
    <row r="310">
      <c r="A310" s="370"/>
      <c r="B310" s="371">
        <v>1442.0</v>
      </c>
      <c r="C310" s="371"/>
    </row>
    <row r="311">
      <c r="A311" s="370"/>
      <c r="B311" s="371">
        <v>1443.0</v>
      </c>
      <c r="C311" s="371"/>
    </row>
    <row r="312">
      <c r="A312" s="370"/>
      <c r="B312" s="371">
        <v>1444.0</v>
      </c>
      <c r="C312" s="371"/>
    </row>
    <row r="313">
      <c r="A313" s="370"/>
      <c r="B313" s="371">
        <v>1445.0</v>
      </c>
      <c r="C313" s="371"/>
    </row>
    <row r="314">
      <c r="A314" s="370"/>
      <c r="B314" s="371">
        <v>1446.0</v>
      </c>
      <c r="C314" s="371"/>
    </row>
    <row r="315">
      <c r="A315" s="370"/>
      <c r="B315" s="371">
        <v>1447.0</v>
      </c>
      <c r="C315" s="371"/>
    </row>
    <row r="316">
      <c r="A316" s="370"/>
      <c r="B316" s="371">
        <v>1448.0</v>
      </c>
      <c r="C316" s="371"/>
    </row>
    <row r="317">
      <c r="A317" s="370"/>
      <c r="B317" s="371">
        <v>1449.0</v>
      </c>
      <c r="C317" s="371"/>
    </row>
    <row r="318">
      <c r="A318" s="370"/>
      <c r="B318" s="371">
        <v>1450.0</v>
      </c>
      <c r="C318" s="371"/>
    </row>
    <row r="319">
      <c r="A319" s="370"/>
      <c r="B319" s="371">
        <v>1451.0</v>
      </c>
      <c r="C319" s="371"/>
    </row>
    <row r="320">
      <c r="A320" s="370"/>
      <c r="B320" s="371">
        <v>1452.0</v>
      </c>
      <c r="C320" s="371"/>
    </row>
    <row r="321">
      <c r="A321" s="370"/>
      <c r="B321" s="371">
        <v>1453.0</v>
      </c>
      <c r="C321" s="371"/>
    </row>
    <row r="322">
      <c r="A322" s="370"/>
      <c r="B322" s="371">
        <v>1454.0</v>
      </c>
      <c r="C322" s="371"/>
    </row>
    <row r="323">
      <c r="A323" s="370"/>
      <c r="B323" s="371">
        <v>1455.0</v>
      </c>
      <c r="C323" s="371"/>
    </row>
    <row r="324">
      <c r="A324" s="370"/>
      <c r="B324" s="371">
        <v>1456.0</v>
      </c>
      <c r="C324" s="371"/>
    </row>
    <row r="325">
      <c r="A325" s="370"/>
      <c r="B325" s="371">
        <v>1457.0</v>
      </c>
      <c r="C325" s="371"/>
    </row>
    <row r="326">
      <c r="A326" s="370"/>
      <c r="B326" s="371">
        <v>1458.0</v>
      </c>
      <c r="C326" s="371"/>
    </row>
    <row r="327">
      <c r="A327" s="370"/>
      <c r="B327" s="371">
        <v>1459.0</v>
      </c>
      <c r="C327" s="371"/>
    </row>
    <row r="328">
      <c r="A328" s="370"/>
      <c r="B328" s="371">
        <v>1460.0</v>
      </c>
      <c r="C328" s="371"/>
    </row>
    <row r="329">
      <c r="A329" s="370"/>
      <c r="B329" s="371">
        <v>1461.0</v>
      </c>
      <c r="C329" s="371"/>
    </row>
    <row r="330">
      <c r="A330" s="370"/>
      <c r="B330" s="371">
        <v>1462.0</v>
      </c>
      <c r="C330" s="371"/>
    </row>
    <row r="331">
      <c r="A331" s="370"/>
      <c r="B331" s="371">
        <v>1463.0</v>
      </c>
      <c r="C331" s="371"/>
    </row>
    <row r="332">
      <c r="A332" s="370"/>
      <c r="B332" s="371">
        <v>1464.0</v>
      </c>
      <c r="C332" s="371"/>
    </row>
    <row r="333">
      <c r="A333" s="370"/>
      <c r="B333" s="371">
        <v>1465.0</v>
      </c>
      <c r="C333" s="371"/>
    </row>
    <row r="334">
      <c r="A334" s="370"/>
      <c r="B334" s="371">
        <v>1466.0</v>
      </c>
      <c r="C334" s="371"/>
    </row>
    <row r="335">
      <c r="A335" s="370"/>
      <c r="B335" s="371">
        <v>1467.0</v>
      </c>
      <c r="C335" s="371"/>
    </row>
    <row r="336">
      <c r="A336" s="370"/>
      <c r="B336" s="371">
        <v>1468.0</v>
      </c>
      <c r="C336" s="371"/>
    </row>
    <row r="337">
      <c r="A337" s="370"/>
      <c r="B337" s="371">
        <v>1469.0</v>
      </c>
      <c r="C337" s="371"/>
    </row>
    <row r="338">
      <c r="A338" s="370"/>
      <c r="B338" s="371">
        <v>1470.0</v>
      </c>
      <c r="C338" s="371"/>
    </row>
    <row r="339">
      <c r="A339" s="370"/>
      <c r="B339" s="371">
        <v>1471.0</v>
      </c>
      <c r="C339" s="371"/>
    </row>
    <row r="340">
      <c r="A340" s="370"/>
      <c r="B340" s="371">
        <v>1472.0</v>
      </c>
      <c r="C340" s="371"/>
    </row>
    <row r="341">
      <c r="A341" s="370"/>
      <c r="B341" s="371">
        <v>1473.0</v>
      </c>
      <c r="C341" s="371"/>
    </row>
    <row r="342">
      <c r="A342" s="370"/>
      <c r="B342" s="371">
        <v>1474.0</v>
      </c>
      <c r="C342" s="371"/>
    </row>
    <row r="343">
      <c r="A343" s="370"/>
      <c r="B343" s="371">
        <v>1475.0</v>
      </c>
      <c r="C343" s="371"/>
    </row>
    <row r="344">
      <c r="A344" s="370"/>
      <c r="B344" s="371">
        <v>1476.0</v>
      </c>
      <c r="C344" s="371"/>
    </row>
    <row r="345">
      <c r="A345" s="370"/>
      <c r="B345" s="371">
        <v>1477.0</v>
      </c>
      <c r="C345" s="371"/>
    </row>
    <row r="346">
      <c r="A346" s="370"/>
      <c r="B346" s="371">
        <v>1478.0</v>
      </c>
      <c r="C346" s="371"/>
    </row>
    <row r="347">
      <c r="A347" s="370"/>
      <c r="B347" s="371">
        <v>1479.0</v>
      </c>
      <c r="C347" s="371"/>
    </row>
    <row r="348">
      <c r="A348" s="370"/>
      <c r="B348" s="371">
        <v>1480.0</v>
      </c>
      <c r="C348" s="371"/>
    </row>
    <row r="349">
      <c r="A349" s="370"/>
      <c r="B349" s="371">
        <v>1481.0</v>
      </c>
      <c r="C349" s="371"/>
    </row>
    <row r="350">
      <c r="A350" s="370"/>
      <c r="B350" s="371">
        <v>1482.0</v>
      </c>
      <c r="C350" s="371"/>
    </row>
    <row r="351">
      <c r="A351" s="370"/>
      <c r="B351" s="371">
        <v>1483.0</v>
      </c>
      <c r="C351" s="371"/>
    </row>
    <row r="352">
      <c r="A352" s="370"/>
      <c r="B352" s="371">
        <v>1484.0</v>
      </c>
      <c r="C352" s="371"/>
    </row>
    <row r="353">
      <c r="A353" s="370"/>
      <c r="B353" s="371">
        <v>1485.0</v>
      </c>
      <c r="C353" s="371"/>
    </row>
    <row r="354">
      <c r="A354" s="370"/>
      <c r="B354" s="371">
        <v>1486.0</v>
      </c>
      <c r="C354" s="371"/>
    </row>
    <row r="355">
      <c r="A355" s="370"/>
      <c r="B355" s="371">
        <v>1487.0</v>
      </c>
      <c r="C355" s="371"/>
    </row>
    <row r="356">
      <c r="A356" s="370"/>
      <c r="B356" s="371">
        <v>1488.0</v>
      </c>
      <c r="C356" s="371"/>
    </row>
    <row r="357">
      <c r="A357" s="370"/>
      <c r="B357" s="371">
        <v>1489.0</v>
      </c>
      <c r="C357" s="371"/>
    </row>
    <row r="358">
      <c r="A358" s="370"/>
      <c r="B358" s="371">
        <v>1490.0</v>
      </c>
      <c r="C358" s="371"/>
    </row>
    <row r="359">
      <c r="A359" s="370"/>
      <c r="B359" s="371">
        <v>1491.0</v>
      </c>
      <c r="C359" s="371"/>
    </row>
    <row r="360">
      <c r="A360" s="370"/>
      <c r="B360" s="371">
        <v>1492.0</v>
      </c>
      <c r="C360" s="371"/>
    </row>
    <row r="361">
      <c r="A361" s="370"/>
      <c r="B361" s="371">
        <v>1493.0</v>
      </c>
      <c r="C361" s="371"/>
    </row>
    <row r="362">
      <c r="A362" s="370"/>
      <c r="B362" s="371">
        <v>1494.0</v>
      </c>
      <c r="C362" s="371"/>
    </row>
    <row r="363">
      <c r="A363" s="370"/>
      <c r="B363" s="371">
        <v>1495.0</v>
      </c>
      <c r="C363" s="371"/>
    </row>
    <row r="364">
      <c r="A364" s="370"/>
      <c r="B364" s="371">
        <v>1496.0</v>
      </c>
      <c r="C364" s="371"/>
    </row>
    <row r="365">
      <c r="A365" s="370"/>
      <c r="B365" s="371">
        <v>1497.0</v>
      </c>
      <c r="C365" s="371"/>
    </row>
    <row r="366">
      <c r="A366" s="370"/>
      <c r="B366" s="371">
        <v>1498.0</v>
      </c>
      <c r="C366" s="371"/>
    </row>
    <row r="367">
      <c r="A367" s="370"/>
      <c r="B367" s="371">
        <v>1499.0</v>
      </c>
      <c r="C367" s="371"/>
    </row>
    <row r="368">
      <c r="A368" s="370"/>
      <c r="B368" s="371">
        <v>1500.0</v>
      </c>
      <c r="C368" s="371"/>
    </row>
    <row r="369">
      <c r="A369" s="370"/>
      <c r="B369" s="371">
        <v>1501.0</v>
      </c>
      <c r="C369" s="371"/>
    </row>
    <row r="370">
      <c r="A370" s="370"/>
      <c r="B370" s="371">
        <v>1502.0</v>
      </c>
      <c r="C370" s="371"/>
    </row>
    <row r="371">
      <c r="A371" s="370"/>
      <c r="B371" s="371">
        <v>1503.0</v>
      </c>
      <c r="C371" s="371"/>
    </row>
    <row r="372">
      <c r="A372" s="370"/>
      <c r="B372" s="371">
        <v>1504.0</v>
      </c>
      <c r="C372" s="371"/>
    </row>
    <row r="373">
      <c r="A373" s="370"/>
      <c r="B373" s="371">
        <v>1505.0</v>
      </c>
      <c r="C373" s="371"/>
    </row>
    <row r="374">
      <c r="A374" s="370"/>
      <c r="B374" s="371">
        <v>1507.0</v>
      </c>
      <c r="C374" s="371"/>
    </row>
    <row r="375">
      <c r="A375" s="370"/>
      <c r="B375" s="371">
        <v>1508.0</v>
      </c>
      <c r="C375" s="371"/>
    </row>
    <row r="376">
      <c r="A376" s="370"/>
      <c r="B376" s="371">
        <v>1509.0</v>
      </c>
      <c r="C376" s="371"/>
    </row>
    <row r="377">
      <c r="A377" s="370"/>
      <c r="B377" s="371">
        <v>1510.0</v>
      </c>
      <c r="C377" s="371"/>
    </row>
    <row r="378">
      <c r="A378" s="370"/>
      <c r="B378" s="371">
        <v>1511.0</v>
      </c>
      <c r="C378" s="371"/>
    </row>
    <row r="379">
      <c r="A379" s="370"/>
      <c r="B379" s="371">
        <v>1512.0</v>
      </c>
      <c r="C379" s="371"/>
    </row>
    <row r="380">
      <c r="A380" s="370"/>
      <c r="B380" s="371">
        <v>1514.0</v>
      </c>
      <c r="C380" s="371"/>
    </row>
    <row r="381">
      <c r="A381" s="370"/>
      <c r="B381" s="371">
        <v>1515.0</v>
      </c>
      <c r="C381" s="371"/>
    </row>
    <row r="382">
      <c r="A382" s="370"/>
      <c r="B382" s="371">
        <v>1516.0</v>
      </c>
      <c r="C382" s="371"/>
    </row>
    <row r="383">
      <c r="A383" s="370"/>
      <c r="B383" s="371">
        <v>1517.0</v>
      </c>
      <c r="C383" s="371"/>
    </row>
    <row r="384">
      <c r="A384" s="370"/>
      <c r="B384" s="371">
        <v>1518.0</v>
      </c>
      <c r="C384" s="371"/>
    </row>
    <row r="385">
      <c r="A385" s="370"/>
      <c r="B385" s="371">
        <v>1519.0</v>
      </c>
      <c r="C385" s="371"/>
    </row>
    <row r="386">
      <c r="A386" s="370"/>
      <c r="B386" s="371">
        <v>1520.0</v>
      </c>
      <c r="C386" s="371"/>
    </row>
    <row r="387">
      <c r="A387" s="370"/>
      <c r="B387" s="371">
        <v>1521.0</v>
      </c>
      <c r="C387" s="371"/>
    </row>
    <row r="388">
      <c r="A388" s="370"/>
      <c r="B388" s="371">
        <v>1522.0</v>
      </c>
      <c r="C388" s="371"/>
    </row>
    <row r="389">
      <c r="A389" s="370"/>
      <c r="B389" s="371">
        <v>1523.0</v>
      </c>
      <c r="C389" s="371"/>
    </row>
    <row r="390">
      <c r="A390" s="370"/>
      <c r="B390" s="371">
        <v>1524.0</v>
      </c>
      <c r="C390" s="371"/>
    </row>
    <row r="391">
      <c r="A391" s="370"/>
      <c r="B391" s="371">
        <v>1525.0</v>
      </c>
      <c r="C391" s="371"/>
    </row>
    <row r="392">
      <c r="A392" s="370"/>
      <c r="B392" s="371">
        <v>1526.0</v>
      </c>
      <c r="C392" s="371"/>
    </row>
    <row r="393">
      <c r="A393" s="370"/>
      <c r="B393" s="371">
        <v>1527.0</v>
      </c>
      <c r="C393" s="371"/>
    </row>
    <row r="394">
      <c r="A394" s="370"/>
      <c r="B394" s="371">
        <v>1528.0</v>
      </c>
      <c r="C394" s="371"/>
    </row>
    <row r="395">
      <c r="A395" s="370"/>
      <c r="B395" s="371">
        <v>1529.0</v>
      </c>
      <c r="C395" s="371"/>
    </row>
    <row r="396">
      <c r="A396" s="370"/>
      <c r="B396" s="371">
        <v>1530.0</v>
      </c>
      <c r="C396" s="371"/>
    </row>
    <row r="397">
      <c r="A397" s="370"/>
      <c r="B397" s="371">
        <v>1531.0</v>
      </c>
      <c r="C397" s="371"/>
    </row>
    <row r="398">
      <c r="A398" s="370"/>
      <c r="B398" s="371">
        <v>1532.0</v>
      </c>
      <c r="C398" s="371"/>
    </row>
    <row r="399">
      <c r="A399" s="370"/>
      <c r="B399" s="371">
        <v>1533.0</v>
      </c>
      <c r="C399" s="371"/>
    </row>
    <row r="400">
      <c r="A400" s="370"/>
      <c r="B400" s="371">
        <v>1534.0</v>
      </c>
      <c r="C400" s="371"/>
    </row>
    <row r="401">
      <c r="A401" s="370"/>
      <c r="B401" s="371">
        <v>1535.0</v>
      </c>
      <c r="C401" s="371"/>
    </row>
    <row r="402">
      <c r="A402" s="370"/>
      <c r="B402" s="371">
        <v>1536.0</v>
      </c>
      <c r="C402" s="371"/>
    </row>
    <row r="403">
      <c r="A403" s="370"/>
      <c r="B403" s="371">
        <v>1537.0</v>
      </c>
      <c r="C403" s="371"/>
    </row>
    <row r="404">
      <c r="A404" s="370"/>
      <c r="B404" s="371">
        <v>1538.0</v>
      </c>
      <c r="C404" s="371"/>
    </row>
    <row r="405">
      <c r="A405" s="370"/>
      <c r="B405" s="371">
        <v>1539.0</v>
      </c>
      <c r="C405" s="371"/>
    </row>
    <row r="406">
      <c r="A406" s="370"/>
      <c r="B406" s="371">
        <v>1540.0</v>
      </c>
      <c r="C406" s="371"/>
    </row>
    <row r="407">
      <c r="A407" s="370"/>
      <c r="B407" s="371">
        <v>1541.0</v>
      </c>
      <c r="C407" s="371"/>
    </row>
    <row r="408">
      <c r="A408" s="370"/>
      <c r="B408" s="371">
        <v>1542.0</v>
      </c>
      <c r="C408" s="371"/>
    </row>
    <row r="409">
      <c r="A409" s="370"/>
      <c r="B409" s="371">
        <v>1543.0</v>
      </c>
      <c r="C409" s="371"/>
    </row>
    <row r="410">
      <c r="A410" s="370"/>
      <c r="B410" s="371">
        <v>1544.0</v>
      </c>
      <c r="C410" s="371"/>
    </row>
    <row r="411">
      <c r="A411" s="370"/>
      <c r="B411" s="371">
        <v>1545.0</v>
      </c>
      <c r="C411" s="371"/>
    </row>
    <row r="412">
      <c r="A412" s="370"/>
      <c r="B412" s="371">
        <v>1546.0</v>
      </c>
      <c r="C412" s="371"/>
    </row>
    <row r="413">
      <c r="A413" s="370"/>
      <c r="B413" s="371">
        <v>1547.0</v>
      </c>
      <c r="C413" s="371"/>
    </row>
    <row r="414">
      <c r="A414" s="370"/>
      <c r="B414" s="371">
        <v>1548.0</v>
      </c>
      <c r="C414" s="371"/>
    </row>
    <row r="415">
      <c r="A415" s="370"/>
      <c r="B415" s="371">
        <v>1549.0</v>
      </c>
      <c r="C415" s="371"/>
    </row>
    <row r="416">
      <c r="A416" s="370"/>
      <c r="B416" s="371">
        <v>1550.0</v>
      </c>
      <c r="C416" s="371"/>
    </row>
    <row r="417">
      <c r="A417" s="370"/>
      <c r="B417" s="371">
        <v>1551.0</v>
      </c>
      <c r="C417" s="371"/>
    </row>
    <row r="418">
      <c r="A418" s="370"/>
      <c r="B418" s="371">
        <v>1552.0</v>
      </c>
      <c r="C418" s="371"/>
    </row>
    <row r="419">
      <c r="A419" s="370"/>
      <c r="B419" s="371">
        <v>1553.0</v>
      </c>
      <c r="C419" s="371"/>
    </row>
    <row r="420">
      <c r="A420" s="370"/>
      <c r="B420" s="371">
        <v>1554.0</v>
      </c>
      <c r="C420" s="371"/>
    </row>
    <row r="421">
      <c r="A421" s="370"/>
      <c r="B421" s="371">
        <v>1555.0</v>
      </c>
      <c r="C421" s="371"/>
    </row>
    <row r="422">
      <c r="A422" s="370"/>
      <c r="B422" s="371">
        <v>1556.0</v>
      </c>
      <c r="C422" s="371"/>
    </row>
    <row r="423">
      <c r="A423" s="370"/>
      <c r="B423" s="371">
        <v>1557.0</v>
      </c>
      <c r="C423" s="371"/>
    </row>
    <row r="424">
      <c r="A424" s="370"/>
      <c r="B424" s="371">
        <v>1558.0</v>
      </c>
      <c r="C424" s="371"/>
    </row>
    <row r="425">
      <c r="A425" s="370"/>
      <c r="B425" s="371">
        <v>1559.0</v>
      </c>
      <c r="C425" s="371"/>
    </row>
    <row r="426">
      <c r="A426" s="370"/>
      <c r="B426" s="371">
        <v>1560.0</v>
      </c>
      <c r="C426" s="371"/>
    </row>
    <row r="427">
      <c r="A427" s="370"/>
      <c r="B427" s="371">
        <v>1561.0</v>
      </c>
      <c r="C427" s="371"/>
    </row>
    <row r="428">
      <c r="A428" s="370"/>
      <c r="B428" s="371">
        <v>1562.0</v>
      </c>
      <c r="C428" s="371"/>
    </row>
    <row r="429">
      <c r="A429" s="370"/>
      <c r="B429" s="371">
        <v>1563.0</v>
      </c>
      <c r="C429" s="371"/>
    </row>
    <row r="430">
      <c r="A430" s="370"/>
      <c r="B430" s="371">
        <v>1564.0</v>
      </c>
      <c r="C430" s="371"/>
    </row>
    <row r="431">
      <c r="A431" s="370"/>
      <c r="B431" s="371">
        <v>1565.0</v>
      </c>
      <c r="C431" s="371"/>
    </row>
    <row r="432">
      <c r="A432" s="370"/>
      <c r="B432" s="371">
        <v>1566.0</v>
      </c>
      <c r="C432" s="371"/>
    </row>
    <row r="433">
      <c r="A433" s="370"/>
      <c r="B433" s="371">
        <v>1567.0</v>
      </c>
      <c r="C433" s="371"/>
    </row>
    <row r="434">
      <c r="A434" s="370"/>
      <c r="B434" s="371">
        <v>1568.0</v>
      </c>
      <c r="C434" s="371"/>
    </row>
    <row r="435">
      <c r="A435" s="370"/>
      <c r="B435" s="371">
        <v>1569.0</v>
      </c>
      <c r="C435" s="371"/>
    </row>
    <row r="436">
      <c r="A436" s="370"/>
      <c r="B436" s="371">
        <v>1570.0</v>
      </c>
      <c r="C436" s="371"/>
    </row>
    <row r="437">
      <c r="A437" s="370"/>
      <c r="B437" s="371">
        <v>1571.0</v>
      </c>
      <c r="C437" s="371"/>
    </row>
    <row r="438">
      <c r="A438" s="370"/>
      <c r="B438" s="371">
        <v>1572.0</v>
      </c>
      <c r="C438" s="371"/>
    </row>
    <row r="439">
      <c r="A439" s="370"/>
      <c r="B439" s="371">
        <v>1573.0</v>
      </c>
      <c r="C439" s="371"/>
    </row>
    <row r="440">
      <c r="A440" s="370"/>
      <c r="B440" s="371">
        <v>1574.0</v>
      </c>
      <c r="C440" s="371"/>
    </row>
    <row r="441">
      <c r="A441" s="370"/>
      <c r="B441" s="371">
        <v>1575.0</v>
      </c>
      <c r="C441" s="371"/>
    </row>
    <row r="442">
      <c r="A442" s="370"/>
      <c r="B442" s="371">
        <v>1576.0</v>
      </c>
      <c r="C442" s="371"/>
    </row>
    <row r="443">
      <c r="A443" s="370"/>
      <c r="B443" s="371">
        <v>1577.0</v>
      </c>
      <c r="C443" s="371"/>
    </row>
    <row r="444">
      <c r="A444" s="370"/>
      <c r="B444" s="371">
        <v>1579.0</v>
      </c>
      <c r="C444" s="371"/>
    </row>
    <row r="445">
      <c r="A445" s="370"/>
      <c r="B445" s="371">
        <v>1580.0</v>
      </c>
      <c r="C445" s="371"/>
    </row>
    <row r="446">
      <c r="A446" s="370"/>
      <c r="B446" s="371">
        <v>1581.0</v>
      </c>
      <c r="C446" s="371"/>
    </row>
    <row r="447">
      <c r="A447" s="370"/>
      <c r="B447" s="371">
        <v>1582.0</v>
      </c>
      <c r="C447" s="371"/>
    </row>
    <row r="448">
      <c r="A448" s="370"/>
      <c r="B448" s="371">
        <v>1583.0</v>
      </c>
      <c r="C448" s="371"/>
    </row>
    <row r="449">
      <c r="A449" s="370"/>
      <c r="B449" s="371">
        <v>1584.0</v>
      </c>
      <c r="C449" s="371"/>
    </row>
    <row r="450">
      <c r="A450" s="370"/>
      <c r="B450" s="371">
        <v>1585.0</v>
      </c>
      <c r="C450" s="371"/>
    </row>
    <row r="451">
      <c r="A451" s="370"/>
      <c r="B451" s="371">
        <v>1586.0</v>
      </c>
      <c r="C451" s="371"/>
    </row>
    <row r="452">
      <c r="A452" s="370"/>
      <c r="B452" s="371">
        <v>1587.0</v>
      </c>
      <c r="C452" s="371"/>
    </row>
    <row r="453">
      <c r="A453" s="370"/>
      <c r="B453" s="371">
        <v>1588.0</v>
      </c>
      <c r="C453" s="371"/>
    </row>
    <row r="454">
      <c r="A454" s="370"/>
      <c r="B454" s="371">
        <v>1589.0</v>
      </c>
      <c r="C454" s="371"/>
    </row>
    <row r="455">
      <c r="A455" s="370"/>
      <c r="B455" s="371">
        <v>1590.0</v>
      </c>
      <c r="C455" s="371"/>
    </row>
    <row r="456">
      <c r="A456" s="370"/>
      <c r="B456" s="371">
        <v>1591.0</v>
      </c>
      <c r="C456" s="371"/>
    </row>
    <row r="457">
      <c r="A457" s="370"/>
      <c r="B457" s="371">
        <v>1592.0</v>
      </c>
      <c r="C457" s="371"/>
    </row>
    <row r="458">
      <c r="A458" s="370"/>
      <c r="B458" s="371">
        <v>1593.0</v>
      </c>
      <c r="C458" s="371"/>
    </row>
    <row r="459">
      <c r="A459" s="370"/>
      <c r="B459" s="371">
        <v>1594.0</v>
      </c>
      <c r="C459" s="371"/>
    </row>
    <row r="460">
      <c r="A460" s="370"/>
      <c r="B460" s="371">
        <v>1595.0</v>
      </c>
      <c r="C460" s="371"/>
    </row>
    <row r="461">
      <c r="A461" s="370"/>
      <c r="B461" s="371">
        <v>1596.0</v>
      </c>
      <c r="C461" s="371"/>
    </row>
    <row r="462">
      <c r="A462" s="370"/>
      <c r="B462" s="371">
        <v>1597.0</v>
      </c>
      <c r="C462" s="371"/>
    </row>
    <row r="463">
      <c r="A463" s="370"/>
      <c r="B463" s="371">
        <v>1598.0</v>
      </c>
      <c r="C463" s="371"/>
    </row>
    <row r="464">
      <c r="A464" s="370"/>
      <c r="B464" s="371">
        <v>1599.0</v>
      </c>
      <c r="C464" s="371"/>
    </row>
    <row r="465">
      <c r="A465" s="370"/>
      <c r="B465" s="371">
        <v>1600.0</v>
      </c>
      <c r="C465" s="371"/>
    </row>
    <row r="466">
      <c r="A466" s="370"/>
      <c r="B466" s="371">
        <v>1601.0</v>
      </c>
      <c r="C466" s="371"/>
    </row>
    <row r="467">
      <c r="A467" s="370"/>
      <c r="B467" s="371">
        <v>1602.0</v>
      </c>
      <c r="C467" s="371"/>
    </row>
    <row r="468">
      <c r="A468" s="370"/>
      <c r="B468" s="371">
        <v>1603.0</v>
      </c>
      <c r="C468" s="371"/>
    </row>
    <row r="469">
      <c r="A469" s="370"/>
      <c r="B469" s="371">
        <v>1604.0</v>
      </c>
      <c r="C469" s="371"/>
    </row>
    <row r="470">
      <c r="A470" s="370"/>
      <c r="B470" s="371">
        <v>1605.0</v>
      </c>
      <c r="C470" s="371"/>
    </row>
    <row r="471">
      <c r="A471" s="370"/>
      <c r="B471" s="371">
        <v>1606.0</v>
      </c>
      <c r="C471" s="371"/>
    </row>
    <row r="472">
      <c r="A472" s="370"/>
      <c r="B472" s="371">
        <v>1608.0</v>
      </c>
      <c r="C472" s="371"/>
    </row>
    <row r="473">
      <c r="A473" s="370"/>
      <c r="B473" s="371">
        <v>1609.0</v>
      </c>
      <c r="C473" s="371"/>
    </row>
    <row r="474">
      <c r="A474" s="370"/>
      <c r="B474" s="371">
        <v>1610.0</v>
      </c>
      <c r="C474" s="371"/>
    </row>
    <row r="475">
      <c r="A475" s="370"/>
      <c r="B475" s="371">
        <v>1611.0</v>
      </c>
      <c r="C475" s="371"/>
    </row>
    <row r="476">
      <c r="A476" s="370"/>
      <c r="B476" s="371">
        <v>1612.0</v>
      </c>
      <c r="C476" s="371"/>
    </row>
    <row r="477">
      <c r="A477" s="370"/>
      <c r="B477" s="371">
        <v>1613.0</v>
      </c>
      <c r="C477" s="371"/>
    </row>
    <row r="478">
      <c r="A478" s="370"/>
      <c r="B478" s="371">
        <v>1614.0</v>
      </c>
      <c r="C478" s="371"/>
    </row>
    <row r="479">
      <c r="A479" s="370"/>
      <c r="B479" s="371">
        <v>1615.0</v>
      </c>
      <c r="C479" s="371"/>
    </row>
    <row r="480">
      <c r="A480" s="370"/>
      <c r="B480" s="371">
        <v>1616.0</v>
      </c>
      <c r="C480" s="371"/>
    </row>
    <row r="481">
      <c r="A481" s="370"/>
      <c r="B481" s="371">
        <v>1617.0</v>
      </c>
      <c r="C481" s="371"/>
    </row>
    <row r="482">
      <c r="A482" s="370"/>
      <c r="B482" s="371">
        <v>1618.0</v>
      </c>
      <c r="C482" s="371"/>
    </row>
    <row r="483">
      <c r="A483" s="370"/>
      <c r="B483" s="371">
        <v>1619.0</v>
      </c>
      <c r="C483" s="371"/>
    </row>
    <row r="484">
      <c r="A484" s="370"/>
      <c r="B484" s="371">
        <v>1620.0</v>
      </c>
      <c r="C484" s="371"/>
    </row>
    <row r="485">
      <c r="A485" s="370"/>
      <c r="B485" s="371">
        <v>1621.0</v>
      </c>
      <c r="C485" s="371"/>
    </row>
    <row r="486">
      <c r="A486" s="370"/>
      <c r="B486" s="371">
        <v>1622.0</v>
      </c>
      <c r="C486" s="371"/>
    </row>
    <row r="487">
      <c r="A487" s="370"/>
      <c r="B487" s="371">
        <v>1623.0</v>
      </c>
      <c r="C487" s="371"/>
    </row>
    <row r="488">
      <c r="A488" s="370"/>
      <c r="B488" s="371">
        <v>1624.0</v>
      </c>
      <c r="C488" s="371"/>
    </row>
    <row r="489">
      <c r="A489" s="370"/>
      <c r="B489" s="371">
        <v>1625.0</v>
      </c>
      <c r="C489" s="371"/>
    </row>
    <row r="490">
      <c r="A490" s="370"/>
      <c r="B490" s="371">
        <v>1626.0</v>
      </c>
      <c r="C490" s="371"/>
    </row>
    <row r="491">
      <c r="A491" s="370"/>
      <c r="B491" s="371">
        <v>1627.0</v>
      </c>
      <c r="C491" s="371"/>
    </row>
    <row r="492">
      <c r="A492" s="370"/>
      <c r="B492" s="371">
        <v>1628.0</v>
      </c>
      <c r="C492" s="371"/>
    </row>
    <row r="493">
      <c r="A493" s="370"/>
      <c r="B493" s="371">
        <v>1630.0</v>
      </c>
      <c r="C493" s="371"/>
    </row>
    <row r="494">
      <c r="A494" s="370"/>
      <c r="B494" s="371">
        <v>1631.0</v>
      </c>
      <c r="C494" s="371"/>
    </row>
    <row r="495">
      <c r="A495" s="370"/>
      <c r="B495" s="371">
        <v>1632.0</v>
      </c>
      <c r="C495" s="371"/>
    </row>
    <row r="496">
      <c r="A496" s="370"/>
      <c r="B496" s="371">
        <v>1633.0</v>
      </c>
      <c r="C496" s="371"/>
    </row>
    <row r="497">
      <c r="A497" s="370"/>
      <c r="B497" s="371">
        <v>1634.0</v>
      </c>
      <c r="C497" s="371"/>
    </row>
    <row r="498">
      <c r="A498" s="370"/>
      <c r="B498" s="371">
        <v>1635.0</v>
      </c>
      <c r="C498" s="371"/>
    </row>
    <row r="499">
      <c r="A499" s="370"/>
      <c r="B499" s="371">
        <v>1636.0</v>
      </c>
      <c r="C499" s="371"/>
    </row>
    <row r="500">
      <c r="A500" s="370"/>
      <c r="B500" s="371">
        <v>1637.0</v>
      </c>
      <c r="C500" s="371"/>
    </row>
    <row r="501">
      <c r="A501" s="370"/>
      <c r="B501" s="371">
        <v>1637.0</v>
      </c>
      <c r="C501" s="371"/>
    </row>
    <row r="502">
      <c r="A502" s="370"/>
      <c r="B502" s="371">
        <v>1638.0</v>
      </c>
      <c r="C502" s="371"/>
    </row>
    <row r="503">
      <c r="A503" s="370"/>
      <c r="B503" s="371">
        <v>1639.0</v>
      </c>
      <c r="C503" s="371"/>
    </row>
    <row r="504">
      <c r="A504" s="370"/>
      <c r="B504" s="371">
        <v>1640.0</v>
      </c>
      <c r="C504" s="371"/>
    </row>
    <row r="505">
      <c r="A505" s="370"/>
      <c r="B505" s="371">
        <v>1642.0</v>
      </c>
      <c r="C505" s="371"/>
    </row>
    <row r="506">
      <c r="A506" s="370"/>
      <c r="B506" s="371">
        <v>1643.0</v>
      </c>
      <c r="C506" s="371"/>
    </row>
    <row r="507">
      <c r="A507" s="370"/>
      <c r="B507" s="371">
        <v>1644.0</v>
      </c>
      <c r="C507" s="371"/>
    </row>
    <row r="508">
      <c r="A508" s="370"/>
      <c r="B508" s="371">
        <v>1645.0</v>
      </c>
      <c r="C508" s="371"/>
    </row>
    <row r="509">
      <c r="A509" s="370"/>
      <c r="B509" s="371">
        <v>1646.0</v>
      </c>
      <c r="C509" s="371"/>
    </row>
    <row r="510">
      <c r="A510" s="370"/>
      <c r="B510" s="371">
        <v>1648.0</v>
      </c>
      <c r="C510" s="371"/>
    </row>
    <row r="511">
      <c r="A511" s="370"/>
      <c r="B511" s="371">
        <v>1649.0</v>
      </c>
      <c r="C511" s="371"/>
    </row>
    <row r="512">
      <c r="A512" s="370"/>
      <c r="B512" s="371">
        <v>1651.0</v>
      </c>
      <c r="C512" s="371"/>
    </row>
    <row r="513">
      <c r="A513" s="370"/>
      <c r="B513" s="371">
        <v>1652.0</v>
      </c>
      <c r="C513" s="371"/>
    </row>
    <row r="514">
      <c r="A514" s="370"/>
      <c r="B514" s="371">
        <v>1653.0</v>
      </c>
      <c r="C514" s="371"/>
    </row>
    <row r="515">
      <c r="A515" s="370"/>
      <c r="B515" s="371">
        <v>1654.0</v>
      </c>
      <c r="C515" s="371"/>
    </row>
    <row r="516">
      <c r="A516" s="370"/>
      <c r="B516" s="371">
        <v>1655.0</v>
      </c>
      <c r="C516" s="371"/>
    </row>
    <row r="517">
      <c r="A517" s="370"/>
      <c r="B517" s="371">
        <v>1656.0</v>
      </c>
      <c r="C517" s="371"/>
    </row>
    <row r="518">
      <c r="A518" s="370"/>
      <c r="B518" s="371">
        <v>1657.0</v>
      </c>
      <c r="C518" s="371"/>
    </row>
    <row r="519">
      <c r="A519" s="370"/>
      <c r="B519" s="371">
        <v>1658.0</v>
      </c>
      <c r="C519" s="371"/>
    </row>
    <row r="520">
      <c r="A520" s="370"/>
      <c r="B520" s="371">
        <v>1659.0</v>
      </c>
      <c r="C520" s="371"/>
    </row>
    <row r="521">
      <c r="A521" s="370"/>
      <c r="B521" s="371">
        <v>1660.0</v>
      </c>
      <c r="C521" s="371"/>
    </row>
    <row r="522">
      <c r="A522" s="370"/>
      <c r="B522" s="371">
        <v>1661.0</v>
      </c>
      <c r="C522" s="371"/>
    </row>
    <row r="523">
      <c r="A523" s="370"/>
      <c r="B523" s="371">
        <v>1662.0</v>
      </c>
      <c r="C523" s="371"/>
    </row>
    <row r="524">
      <c r="A524" s="370"/>
      <c r="B524" s="371">
        <v>1663.0</v>
      </c>
      <c r="C524" s="371"/>
    </row>
    <row r="525">
      <c r="A525" s="370"/>
      <c r="B525" s="371">
        <v>1665.0</v>
      </c>
      <c r="C525" s="371"/>
    </row>
    <row r="526">
      <c r="A526" s="370"/>
      <c r="B526" s="371">
        <v>1666.0</v>
      </c>
      <c r="C526" s="371"/>
    </row>
    <row r="527">
      <c r="A527" s="370"/>
      <c r="B527" s="371">
        <v>1667.0</v>
      </c>
      <c r="C527" s="371"/>
    </row>
    <row r="528">
      <c r="A528" s="370"/>
      <c r="B528" s="371">
        <v>1668.0</v>
      </c>
      <c r="C528" s="371"/>
    </row>
    <row r="529">
      <c r="A529" s="370"/>
      <c r="B529" s="371">
        <v>1669.0</v>
      </c>
      <c r="C529" s="371"/>
    </row>
    <row r="530">
      <c r="A530" s="370"/>
      <c r="B530" s="371">
        <v>1670.0</v>
      </c>
      <c r="C530" s="371"/>
    </row>
    <row r="531">
      <c r="A531" s="370"/>
      <c r="B531" s="371">
        <v>1671.0</v>
      </c>
      <c r="C531" s="371"/>
    </row>
    <row r="532">
      <c r="A532" s="370"/>
      <c r="B532" s="371">
        <v>1672.0</v>
      </c>
      <c r="C532" s="371"/>
    </row>
    <row r="533">
      <c r="A533" s="370"/>
      <c r="B533" s="371">
        <v>1673.0</v>
      </c>
      <c r="C533" s="371"/>
    </row>
    <row r="534">
      <c r="A534" s="370"/>
      <c r="B534" s="371">
        <v>1674.0</v>
      </c>
      <c r="C534" s="371"/>
    </row>
    <row r="535">
      <c r="A535" s="370"/>
      <c r="B535" s="371">
        <v>1675.0</v>
      </c>
      <c r="C535" s="371"/>
    </row>
    <row r="536">
      <c r="A536" s="370"/>
      <c r="B536" s="371">
        <v>1676.0</v>
      </c>
      <c r="C536" s="371"/>
    </row>
    <row r="537">
      <c r="A537" s="370"/>
      <c r="B537" s="371">
        <v>1677.0</v>
      </c>
      <c r="C537" s="371"/>
    </row>
    <row r="538">
      <c r="A538" s="370"/>
      <c r="B538" s="371">
        <v>1678.0</v>
      </c>
      <c r="C538" s="371"/>
    </row>
    <row r="539">
      <c r="A539" s="370"/>
      <c r="B539" s="371">
        <v>1679.0</v>
      </c>
      <c r="C539" s="371"/>
    </row>
    <row r="540">
      <c r="A540" s="370"/>
      <c r="B540" s="371">
        <v>1680.0</v>
      </c>
      <c r="C540" s="371"/>
    </row>
    <row r="541">
      <c r="A541" s="370"/>
      <c r="B541" s="371">
        <v>1681.0</v>
      </c>
      <c r="C541" s="371"/>
    </row>
    <row r="542">
      <c r="A542" s="370"/>
      <c r="B542" s="371">
        <v>1682.0</v>
      </c>
      <c r="C542" s="371"/>
    </row>
    <row r="543">
      <c r="A543" s="370"/>
      <c r="B543" s="371">
        <v>1683.0</v>
      </c>
      <c r="C543" s="371"/>
    </row>
    <row r="544">
      <c r="A544" s="370"/>
      <c r="B544" s="371">
        <v>1684.0</v>
      </c>
      <c r="C544" s="371"/>
    </row>
    <row r="545">
      <c r="A545" s="370"/>
      <c r="B545" s="371">
        <v>1685.0</v>
      </c>
      <c r="C545" s="371"/>
    </row>
    <row r="546">
      <c r="A546" s="370"/>
      <c r="B546" s="371">
        <v>1686.0</v>
      </c>
      <c r="C546" s="371"/>
    </row>
    <row r="547">
      <c r="A547" s="370"/>
      <c r="B547" s="371">
        <v>1687.0</v>
      </c>
      <c r="C547" s="371"/>
    </row>
    <row r="548">
      <c r="A548" s="370"/>
      <c r="B548" s="371">
        <v>1688.0</v>
      </c>
      <c r="C548" s="371"/>
    </row>
    <row r="549">
      <c r="A549" s="370"/>
      <c r="B549" s="371">
        <v>1689.0</v>
      </c>
      <c r="C549" s="371"/>
    </row>
    <row r="550">
      <c r="A550" s="370"/>
      <c r="B550" s="371">
        <v>1691.0</v>
      </c>
      <c r="C550" s="371"/>
    </row>
    <row r="551">
      <c r="A551" s="370"/>
      <c r="B551" s="371">
        <v>1692.0</v>
      </c>
      <c r="C551" s="371"/>
    </row>
    <row r="552">
      <c r="A552" s="370"/>
      <c r="B552" s="371">
        <v>1693.0</v>
      </c>
      <c r="C552" s="371"/>
    </row>
    <row r="553">
      <c r="A553" s="370"/>
      <c r="B553" s="371">
        <v>1694.0</v>
      </c>
      <c r="C553" s="371"/>
    </row>
    <row r="554">
      <c r="A554" s="370"/>
      <c r="B554" s="371">
        <v>1695.0</v>
      </c>
      <c r="C554" s="371"/>
    </row>
    <row r="555">
      <c r="A555" s="370"/>
      <c r="B555" s="371">
        <v>1696.0</v>
      </c>
      <c r="C555" s="371"/>
    </row>
    <row r="556">
      <c r="A556" s="370"/>
      <c r="B556" s="371">
        <v>1697.0</v>
      </c>
      <c r="C556" s="371"/>
    </row>
    <row r="557">
      <c r="A557" s="370"/>
      <c r="B557" s="371">
        <v>1698.0</v>
      </c>
      <c r="C557" s="371"/>
    </row>
    <row r="558">
      <c r="A558" s="370"/>
      <c r="B558" s="371">
        <v>1699.0</v>
      </c>
      <c r="C558" s="371"/>
    </row>
    <row r="559">
      <c r="A559" s="370"/>
      <c r="B559" s="371">
        <v>1700.0</v>
      </c>
      <c r="C559" s="371"/>
    </row>
    <row r="560">
      <c r="A560" s="370"/>
      <c r="B560" s="371">
        <v>1700.0</v>
      </c>
      <c r="C560" s="371"/>
    </row>
    <row r="561">
      <c r="A561" s="370"/>
      <c r="B561" s="371">
        <v>1701.0</v>
      </c>
      <c r="C561" s="371"/>
    </row>
    <row r="562">
      <c r="A562" s="370"/>
      <c r="B562" s="371">
        <v>1703.0</v>
      </c>
      <c r="C562" s="371"/>
    </row>
    <row r="563">
      <c r="A563" s="370"/>
      <c r="B563" s="371">
        <v>1704.0</v>
      </c>
      <c r="C563" s="371"/>
    </row>
    <row r="564">
      <c r="A564" s="370"/>
      <c r="B564" s="371">
        <v>1705.0</v>
      </c>
      <c r="C564" s="371"/>
    </row>
    <row r="565">
      <c r="A565" s="370"/>
      <c r="B565" s="371">
        <v>1706.0</v>
      </c>
      <c r="C565" s="371"/>
    </row>
    <row r="566">
      <c r="A566" s="370"/>
      <c r="B566" s="371">
        <v>1707.0</v>
      </c>
      <c r="C566" s="371"/>
    </row>
    <row r="567">
      <c r="A567" s="370"/>
      <c r="B567" s="371">
        <v>1708.0</v>
      </c>
      <c r="C567" s="371"/>
    </row>
    <row r="568">
      <c r="A568" s="370"/>
      <c r="B568" s="371">
        <v>1709.0</v>
      </c>
      <c r="C568" s="371"/>
    </row>
    <row r="569">
      <c r="A569" s="370"/>
      <c r="B569" s="371">
        <v>1710.0</v>
      </c>
      <c r="C569" s="371"/>
    </row>
    <row r="570">
      <c r="A570" s="370"/>
      <c r="B570" s="371">
        <v>1712.0</v>
      </c>
      <c r="C570" s="371"/>
    </row>
    <row r="571">
      <c r="A571" s="370"/>
      <c r="B571" s="371">
        <v>1713.0</v>
      </c>
      <c r="C571" s="371"/>
    </row>
    <row r="572">
      <c r="A572" s="370"/>
      <c r="B572" s="371">
        <v>1714.0</v>
      </c>
      <c r="C572" s="371"/>
    </row>
    <row r="573">
      <c r="A573" s="370"/>
      <c r="B573" s="371">
        <v>1715.0</v>
      </c>
      <c r="C573" s="371"/>
    </row>
    <row r="574">
      <c r="A574" s="370"/>
      <c r="B574" s="371">
        <v>1718.0</v>
      </c>
      <c r="C574" s="371"/>
    </row>
    <row r="575">
      <c r="A575" s="370"/>
      <c r="B575" s="371">
        <v>1719.0</v>
      </c>
      <c r="C575" s="371"/>
    </row>
    <row r="576">
      <c r="A576" s="370"/>
      <c r="B576" s="371">
        <v>1720.0</v>
      </c>
      <c r="C576" s="371"/>
    </row>
    <row r="577">
      <c r="A577" s="370"/>
      <c r="B577" s="371">
        <v>1721.0</v>
      </c>
      <c r="C577" s="371"/>
    </row>
    <row r="578">
      <c r="A578" s="370"/>
      <c r="B578" s="371">
        <v>1722.0</v>
      </c>
      <c r="C578" s="371"/>
    </row>
    <row r="579">
      <c r="A579" s="370"/>
      <c r="B579" s="371">
        <v>1723.0</v>
      </c>
      <c r="C579" s="371"/>
    </row>
    <row r="580">
      <c r="A580" s="370"/>
      <c r="B580" s="371">
        <v>1724.0</v>
      </c>
      <c r="C580" s="371"/>
    </row>
    <row r="581">
      <c r="A581" s="370"/>
      <c r="B581" s="371">
        <v>1725.0</v>
      </c>
      <c r="C581" s="371"/>
    </row>
    <row r="582">
      <c r="A582" s="370"/>
      <c r="B582" s="371">
        <v>1726.0</v>
      </c>
      <c r="C582" s="371"/>
    </row>
    <row r="583">
      <c r="A583" s="370"/>
      <c r="B583" s="371">
        <v>1727.0</v>
      </c>
      <c r="C583" s="371"/>
    </row>
    <row r="584">
      <c r="A584" s="370"/>
      <c r="B584" s="371">
        <v>1728.0</v>
      </c>
      <c r="C584" s="371"/>
    </row>
    <row r="585">
      <c r="A585" s="370"/>
      <c r="B585" s="371">
        <v>1729.0</v>
      </c>
      <c r="C585" s="371"/>
    </row>
    <row r="586">
      <c r="A586" s="370"/>
      <c r="B586" s="371">
        <v>1730.0</v>
      </c>
      <c r="C586" s="371"/>
    </row>
    <row r="587">
      <c r="A587" s="370"/>
      <c r="B587" s="371">
        <v>1731.0</v>
      </c>
      <c r="C587" s="371"/>
    </row>
    <row r="588">
      <c r="A588" s="370"/>
      <c r="B588" s="371">
        <v>1732.0</v>
      </c>
      <c r="C588" s="371"/>
    </row>
    <row r="589">
      <c r="A589" s="370"/>
      <c r="B589" s="371">
        <v>1733.0</v>
      </c>
      <c r="C589" s="371"/>
    </row>
    <row r="590">
      <c r="A590" s="370"/>
      <c r="B590" s="371">
        <v>1734.0</v>
      </c>
      <c r="C590" s="371"/>
    </row>
    <row r="591">
      <c r="A591" s="370"/>
      <c r="B591" s="371">
        <v>1735.0</v>
      </c>
      <c r="C591" s="371"/>
    </row>
    <row r="592">
      <c r="A592" s="370"/>
      <c r="B592" s="371">
        <v>1736.0</v>
      </c>
      <c r="C592" s="371"/>
    </row>
    <row r="593">
      <c r="A593" s="370"/>
      <c r="B593" s="371">
        <v>1737.0</v>
      </c>
      <c r="C593" s="371"/>
    </row>
    <row r="594">
      <c r="A594" s="370"/>
      <c r="B594" s="371">
        <v>1738.0</v>
      </c>
      <c r="C594" s="371"/>
    </row>
    <row r="595">
      <c r="A595" s="370"/>
      <c r="B595" s="371">
        <v>1739.0</v>
      </c>
      <c r="C595" s="371"/>
    </row>
    <row r="596">
      <c r="A596" s="370"/>
      <c r="B596" s="371">
        <v>1740.0</v>
      </c>
      <c r="C596" s="371"/>
    </row>
    <row r="597">
      <c r="A597" s="370"/>
      <c r="B597" s="371">
        <v>1741.0</v>
      </c>
      <c r="C597" s="371"/>
    </row>
    <row r="598">
      <c r="A598" s="370"/>
      <c r="B598" s="371">
        <v>1742.0</v>
      </c>
      <c r="C598" s="371"/>
    </row>
    <row r="599">
      <c r="A599" s="370"/>
      <c r="B599" s="371">
        <v>1743.0</v>
      </c>
      <c r="C599" s="371"/>
    </row>
    <row r="600">
      <c r="A600" s="370"/>
      <c r="B600" s="371">
        <v>1744.0</v>
      </c>
      <c r="C600" s="371"/>
    </row>
    <row r="601">
      <c r="A601" s="370"/>
      <c r="B601" s="371">
        <v>1745.0</v>
      </c>
      <c r="C601" s="371"/>
    </row>
    <row r="602">
      <c r="A602" s="370"/>
      <c r="B602" s="371">
        <v>1746.0</v>
      </c>
      <c r="C602" s="371"/>
    </row>
    <row r="603">
      <c r="A603" s="370"/>
      <c r="B603" s="371">
        <v>1747.0</v>
      </c>
      <c r="C603" s="371"/>
    </row>
    <row r="604">
      <c r="A604" s="370"/>
      <c r="B604" s="371">
        <v>1748.0</v>
      </c>
      <c r="C604" s="371"/>
    </row>
    <row r="605">
      <c r="A605" s="370"/>
      <c r="B605" s="371">
        <v>1749.0</v>
      </c>
      <c r="C605" s="371"/>
    </row>
    <row r="606">
      <c r="A606" s="370"/>
      <c r="B606" s="371">
        <v>1750.0</v>
      </c>
      <c r="C606" s="371"/>
    </row>
    <row r="607">
      <c r="A607" s="370"/>
      <c r="B607" s="371">
        <v>1751.0</v>
      </c>
      <c r="C607" s="371"/>
    </row>
    <row r="608">
      <c r="A608" s="370"/>
      <c r="B608" s="371">
        <v>1752.0</v>
      </c>
      <c r="C608" s="371"/>
    </row>
    <row r="609">
      <c r="A609" s="370"/>
      <c r="B609" s="371">
        <v>1753.0</v>
      </c>
      <c r="C609" s="371"/>
    </row>
    <row r="610">
      <c r="A610" s="370"/>
      <c r="B610" s="371">
        <v>1754.0</v>
      </c>
      <c r="C610" s="371"/>
    </row>
    <row r="611">
      <c r="A611" s="370"/>
      <c r="B611" s="371">
        <v>1755.0</v>
      </c>
      <c r="C611" s="371"/>
    </row>
    <row r="612">
      <c r="A612" s="370"/>
      <c r="B612" s="371">
        <v>1756.0</v>
      </c>
      <c r="C612" s="371"/>
    </row>
    <row r="613">
      <c r="A613" s="370"/>
      <c r="B613" s="371">
        <v>1757.0</v>
      </c>
      <c r="C613" s="371"/>
    </row>
    <row r="614">
      <c r="A614" s="370"/>
      <c r="B614" s="371">
        <v>1758.0</v>
      </c>
      <c r="C614" s="371"/>
    </row>
    <row r="615">
      <c r="A615" s="370"/>
      <c r="B615" s="371">
        <v>1759.0</v>
      </c>
      <c r="C615" s="371"/>
    </row>
    <row r="616">
      <c r="A616" s="370"/>
      <c r="B616" s="371">
        <v>1760.0</v>
      </c>
      <c r="C616" s="371"/>
    </row>
    <row r="617">
      <c r="A617" s="370"/>
      <c r="B617" s="371">
        <v>1761.0</v>
      </c>
      <c r="C617" s="371"/>
    </row>
    <row r="618">
      <c r="A618" s="370"/>
      <c r="B618" s="371">
        <v>1762.0</v>
      </c>
      <c r="C618" s="371"/>
    </row>
    <row r="619">
      <c r="A619" s="370"/>
      <c r="B619" s="371">
        <v>1763.0</v>
      </c>
      <c r="C619" s="371"/>
    </row>
    <row r="620">
      <c r="A620" s="370"/>
      <c r="B620" s="371">
        <v>1764.0</v>
      </c>
      <c r="C620" s="371"/>
    </row>
    <row r="621">
      <c r="A621" s="370"/>
      <c r="B621" s="371">
        <v>1765.0</v>
      </c>
      <c r="C621" s="371"/>
    </row>
    <row r="622">
      <c r="A622" s="370"/>
      <c r="B622" s="371">
        <v>1766.0</v>
      </c>
      <c r="C622" s="371"/>
    </row>
    <row r="623">
      <c r="A623" s="370"/>
      <c r="B623" s="371">
        <v>1767.0</v>
      </c>
      <c r="C623" s="371"/>
    </row>
    <row r="624">
      <c r="A624" s="370"/>
      <c r="B624" s="371">
        <v>1768.0</v>
      </c>
      <c r="C624" s="371"/>
    </row>
    <row r="625">
      <c r="A625" s="370"/>
      <c r="B625" s="371">
        <v>1769.0</v>
      </c>
      <c r="C625" s="371"/>
    </row>
    <row r="626">
      <c r="A626" s="370"/>
      <c r="B626" s="371">
        <v>1770.0</v>
      </c>
      <c r="C626" s="371"/>
    </row>
    <row r="627">
      <c r="A627" s="370"/>
      <c r="B627" s="371">
        <v>1771.0</v>
      </c>
      <c r="C627" s="371"/>
    </row>
    <row r="628">
      <c r="A628" s="370"/>
      <c r="B628" s="371">
        <v>1772.0</v>
      </c>
      <c r="C628" s="371"/>
    </row>
    <row r="629">
      <c r="A629" s="370"/>
      <c r="B629" s="371">
        <v>1773.0</v>
      </c>
      <c r="C629" s="371"/>
    </row>
    <row r="630">
      <c r="A630" s="370"/>
      <c r="B630" s="371">
        <v>1774.0</v>
      </c>
      <c r="C630" s="371"/>
    </row>
    <row r="631">
      <c r="A631" s="370"/>
      <c r="B631" s="371">
        <v>1776.0</v>
      </c>
      <c r="C631" s="371"/>
    </row>
    <row r="632">
      <c r="A632" s="370"/>
      <c r="B632" s="371">
        <v>1777.0</v>
      </c>
      <c r="C632" s="371"/>
    </row>
    <row r="633">
      <c r="A633" s="370"/>
      <c r="B633" s="371">
        <v>1778.0</v>
      </c>
      <c r="C633" s="371"/>
    </row>
    <row r="634">
      <c r="A634" s="370"/>
      <c r="B634" s="371">
        <v>1779.0</v>
      </c>
      <c r="C634" s="371"/>
    </row>
    <row r="635">
      <c r="A635" s="370"/>
      <c r="B635" s="371">
        <v>1780.0</v>
      </c>
      <c r="C635" s="371"/>
    </row>
    <row r="636">
      <c r="A636" s="370"/>
      <c r="B636" s="371">
        <v>1781.0</v>
      </c>
      <c r="C636" s="371"/>
    </row>
    <row r="637">
      <c r="A637" s="370"/>
      <c r="B637" s="371">
        <v>1782.0</v>
      </c>
      <c r="C637" s="371"/>
    </row>
    <row r="638">
      <c r="A638" s="370"/>
      <c r="B638" s="371">
        <v>1783.0</v>
      </c>
      <c r="C638" s="371"/>
    </row>
    <row r="639">
      <c r="A639" s="370"/>
      <c r="B639" s="371">
        <v>1784.0</v>
      </c>
      <c r="C639" s="371"/>
    </row>
    <row r="640">
      <c r="A640" s="370"/>
      <c r="B640" s="371">
        <v>1785.0</v>
      </c>
      <c r="C640" s="371"/>
    </row>
    <row r="641">
      <c r="A641" s="370"/>
      <c r="B641" s="371">
        <v>1786.0</v>
      </c>
      <c r="C641" s="371"/>
    </row>
    <row r="642">
      <c r="A642" s="370"/>
      <c r="B642" s="371">
        <v>1787.0</v>
      </c>
      <c r="C642" s="371"/>
    </row>
    <row r="643">
      <c r="A643" s="370"/>
      <c r="B643" s="371">
        <v>1788.0</v>
      </c>
      <c r="C643" s="371"/>
    </row>
    <row r="644">
      <c r="A644" s="370"/>
      <c r="B644" s="371">
        <v>1789.0</v>
      </c>
      <c r="C644" s="371"/>
    </row>
    <row r="645">
      <c r="A645" s="370"/>
      <c r="B645" s="371">
        <v>1790.0</v>
      </c>
      <c r="C645" s="371"/>
    </row>
    <row r="646">
      <c r="A646" s="370"/>
      <c r="B646" s="371">
        <v>1791.0</v>
      </c>
      <c r="C646" s="371"/>
    </row>
    <row r="647">
      <c r="A647" s="370"/>
      <c r="B647" s="371">
        <v>1792.0</v>
      </c>
      <c r="C647" s="371"/>
    </row>
    <row r="648">
      <c r="A648" s="370"/>
      <c r="B648" s="371">
        <v>1793.0</v>
      </c>
      <c r="C648" s="371"/>
    </row>
    <row r="649">
      <c r="A649" s="370"/>
      <c r="B649" s="371">
        <v>1794.0</v>
      </c>
      <c r="C649" s="371"/>
    </row>
    <row r="650">
      <c r="A650" s="370"/>
      <c r="B650" s="371">
        <v>1795.0</v>
      </c>
      <c r="C650" s="371"/>
    </row>
    <row r="651">
      <c r="A651" s="370"/>
      <c r="B651" s="371">
        <v>1796.0</v>
      </c>
      <c r="C651" s="371"/>
    </row>
    <row r="652">
      <c r="A652" s="370"/>
      <c r="B652" s="371">
        <v>1798.0</v>
      </c>
      <c r="C652" s="371"/>
    </row>
    <row r="653">
      <c r="A653" s="370"/>
      <c r="B653" s="371">
        <v>1799.0</v>
      </c>
      <c r="C653" s="371"/>
    </row>
    <row r="654">
      <c r="A654" s="370"/>
      <c r="B654" s="371">
        <v>1800.0</v>
      </c>
      <c r="C654" s="371"/>
    </row>
    <row r="655">
      <c r="A655" s="370"/>
      <c r="B655" s="371">
        <v>1801.0</v>
      </c>
      <c r="C655" s="371"/>
    </row>
    <row r="656">
      <c r="A656" s="370"/>
      <c r="B656" s="371">
        <v>1802.0</v>
      </c>
      <c r="C656" s="371"/>
    </row>
    <row r="657">
      <c r="A657" s="370"/>
      <c r="B657" s="371">
        <v>1803.0</v>
      </c>
      <c r="C657" s="371"/>
    </row>
    <row r="658">
      <c r="A658" s="370"/>
      <c r="B658" s="371">
        <v>1804.0</v>
      </c>
      <c r="C658" s="371"/>
    </row>
    <row r="659">
      <c r="A659" s="370"/>
      <c r="B659" s="371">
        <v>1805.0</v>
      </c>
      <c r="C659" s="371"/>
    </row>
    <row r="660">
      <c r="A660" s="370"/>
      <c r="B660" s="371">
        <v>1806.0</v>
      </c>
      <c r="C660" s="371"/>
    </row>
    <row r="661">
      <c r="A661" s="370"/>
      <c r="B661" s="371">
        <v>1807.0</v>
      </c>
      <c r="C661" s="371"/>
    </row>
    <row r="662">
      <c r="A662" s="370"/>
      <c r="B662" s="371">
        <v>1808.0</v>
      </c>
      <c r="C662" s="371"/>
    </row>
    <row r="663">
      <c r="A663" s="370"/>
      <c r="B663" s="371">
        <v>1809.0</v>
      </c>
      <c r="C663" s="371"/>
    </row>
    <row r="664">
      <c r="A664" s="370"/>
      <c r="B664" s="371">
        <v>1810.0</v>
      </c>
      <c r="C664" s="371"/>
    </row>
    <row r="665">
      <c r="A665" s="370"/>
      <c r="B665" s="371">
        <v>1811.0</v>
      </c>
      <c r="C665" s="371"/>
    </row>
    <row r="666">
      <c r="A666" s="370"/>
      <c r="B666" s="371">
        <v>1812.0</v>
      </c>
      <c r="C666" s="371"/>
    </row>
    <row r="667">
      <c r="A667" s="370"/>
      <c r="B667" s="371">
        <v>1813.0</v>
      </c>
      <c r="C667" s="371"/>
    </row>
    <row r="668">
      <c r="A668" s="370"/>
      <c r="B668" s="371">
        <v>1814.0</v>
      </c>
      <c r="C668" s="371"/>
    </row>
    <row r="669">
      <c r="A669" s="370"/>
      <c r="B669" s="371">
        <v>1815.0</v>
      </c>
      <c r="C669" s="371"/>
    </row>
    <row r="670">
      <c r="A670" s="370"/>
      <c r="B670" s="371">
        <v>1816.0</v>
      </c>
      <c r="C670" s="371"/>
    </row>
    <row r="671">
      <c r="A671" s="370"/>
      <c r="B671" s="371">
        <v>1817.0</v>
      </c>
      <c r="C671" s="371"/>
    </row>
    <row r="672">
      <c r="A672" s="370"/>
      <c r="B672" s="371">
        <v>1818.0</v>
      </c>
      <c r="C672" s="371"/>
    </row>
    <row r="673">
      <c r="A673" s="370"/>
      <c r="B673" s="371">
        <v>1819.0</v>
      </c>
      <c r="C673" s="371"/>
    </row>
    <row r="674">
      <c r="A674" s="370"/>
      <c r="B674" s="371">
        <v>1820.0</v>
      </c>
      <c r="C674" s="371"/>
    </row>
    <row r="675">
      <c r="A675" s="370"/>
      <c r="B675" s="371">
        <v>1821.0</v>
      </c>
      <c r="C675" s="371"/>
    </row>
    <row r="676">
      <c r="A676" s="370"/>
      <c r="B676" s="371">
        <v>1822.0</v>
      </c>
      <c r="C676" s="371"/>
    </row>
    <row r="677">
      <c r="A677" s="370"/>
      <c r="B677" s="371">
        <v>1823.0</v>
      </c>
      <c r="C677" s="371"/>
    </row>
    <row r="678">
      <c r="A678" s="370"/>
      <c r="B678" s="371">
        <v>1824.0</v>
      </c>
      <c r="C678" s="371"/>
    </row>
    <row r="679">
      <c r="A679" s="370"/>
      <c r="B679" s="371">
        <v>1825.0</v>
      </c>
      <c r="C679" s="371"/>
    </row>
    <row r="680">
      <c r="A680" s="370"/>
      <c r="B680" s="371">
        <v>1826.0</v>
      </c>
      <c r="C680" s="371"/>
    </row>
    <row r="681">
      <c r="A681" s="370"/>
      <c r="B681" s="371">
        <v>1827.0</v>
      </c>
      <c r="C681" s="371"/>
    </row>
    <row r="682">
      <c r="A682" s="370"/>
      <c r="B682" s="371">
        <v>1828.0</v>
      </c>
      <c r="C682" s="371"/>
    </row>
    <row r="683">
      <c r="A683" s="370"/>
      <c r="B683" s="371">
        <v>1829.0</v>
      </c>
      <c r="C683" s="371"/>
    </row>
    <row r="684">
      <c r="A684" s="370"/>
      <c r="B684" s="371">
        <v>1830.0</v>
      </c>
      <c r="C684" s="371"/>
    </row>
    <row r="685">
      <c r="A685" s="370"/>
      <c r="B685" s="371">
        <v>1831.0</v>
      </c>
      <c r="C685" s="371"/>
    </row>
    <row r="686">
      <c r="A686" s="370"/>
      <c r="B686" s="371">
        <v>1832.0</v>
      </c>
      <c r="C686" s="371"/>
    </row>
    <row r="687">
      <c r="A687" s="370"/>
      <c r="B687" s="371">
        <v>1833.0</v>
      </c>
      <c r="C687" s="371"/>
    </row>
    <row r="688">
      <c r="A688" s="370"/>
      <c r="B688" s="371">
        <v>1834.0</v>
      </c>
      <c r="C688" s="371"/>
    </row>
    <row r="689">
      <c r="A689" s="370"/>
      <c r="B689" s="371">
        <v>1835.0</v>
      </c>
      <c r="C689" s="371"/>
    </row>
    <row r="690">
      <c r="A690" s="370"/>
      <c r="B690" s="371">
        <v>1836.0</v>
      </c>
      <c r="C690" s="371"/>
    </row>
    <row r="691">
      <c r="A691" s="370"/>
      <c r="B691" s="371">
        <v>1837.0</v>
      </c>
      <c r="C691" s="371"/>
    </row>
    <row r="692">
      <c r="A692" s="370"/>
      <c r="B692" s="371">
        <v>1838.0</v>
      </c>
      <c r="C692" s="371"/>
    </row>
    <row r="693">
      <c r="A693" s="370"/>
      <c r="B693" s="371">
        <v>1839.0</v>
      </c>
      <c r="C693" s="371"/>
    </row>
    <row r="694">
      <c r="A694" s="370"/>
      <c r="B694" s="371">
        <v>1840.0</v>
      </c>
      <c r="C694" s="371"/>
    </row>
    <row r="695">
      <c r="A695" s="370"/>
      <c r="B695" s="371">
        <v>1841.0</v>
      </c>
      <c r="C695" s="371"/>
    </row>
    <row r="696">
      <c r="A696" s="370"/>
      <c r="B696" s="371">
        <v>1842.0</v>
      </c>
      <c r="C696" s="371"/>
    </row>
    <row r="697">
      <c r="A697" s="370"/>
      <c r="B697" s="371">
        <v>1843.0</v>
      </c>
      <c r="C697" s="371"/>
    </row>
    <row r="698">
      <c r="A698" s="370"/>
      <c r="B698" s="371">
        <v>1844.0</v>
      </c>
      <c r="C698" s="371"/>
    </row>
    <row r="699">
      <c r="A699" s="370"/>
      <c r="B699" s="371">
        <v>1845.0</v>
      </c>
      <c r="C699" s="371"/>
    </row>
    <row r="700">
      <c r="A700" s="370"/>
      <c r="B700" s="371">
        <v>1846.0</v>
      </c>
      <c r="C700" s="371"/>
    </row>
    <row r="701">
      <c r="A701" s="370"/>
      <c r="B701" s="371">
        <v>1847.0</v>
      </c>
      <c r="C701" s="371"/>
    </row>
    <row r="702">
      <c r="A702" s="370"/>
      <c r="B702" s="371">
        <v>1848.0</v>
      </c>
      <c r="C702" s="371"/>
    </row>
    <row r="703">
      <c r="A703" s="370"/>
      <c r="B703" s="371">
        <v>1849.0</v>
      </c>
      <c r="C703" s="371"/>
    </row>
    <row r="704">
      <c r="A704" s="370"/>
      <c r="B704" s="371">
        <v>1850.0</v>
      </c>
      <c r="C704" s="371"/>
    </row>
    <row r="705">
      <c r="A705" s="370"/>
      <c r="B705" s="371">
        <v>1851.0</v>
      </c>
      <c r="C705" s="371"/>
    </row>
    <row r="706">
      <c r="A706" s="370"/>
      <c r="B706" s="371">
        <v>1852.0</v>
      </c>
      <c r="C706" s="371"/>
    </row>
    <row r="707">
      <c r="A707" s="370"/>
      <c r="B707" s="371">
        <v>1853.0</v>
      </c>
      <c r="C707" s="371"/>
    </row>
    <row r="708">
      <c r="A708" s="370"/>
      <c r="B708" s="371">
        <v>1854.0</v>
      </c>
      <c r="C708" s="371"/>
    </row>
    <row r="709">
      <c r="A709" s="370"/>
      <c r="B709" s="371">
        <v>1855.0</v>
      </c>
      <c r="C709" s="371"/>
    </row>
    <row r="710">
      <c r="A710" s="370"/>
      <c r="B710" s="371">
        <v>1856.0</v>
      </c>
      <c r="C710" s="371"/>
    </row>
    <row r="711">
      <c r="A711" s="370"/>
      <c r="B711" s="371">
        <v>1857.0</v>
      </c>
      <c r="C711" s="371"/>
    </row>
    <row r="712">
      <c r="A712" s="370"/>
      <c r="B712" s="371">
        <v>1858.0</v>
      </c>
      <c r="C712" s="371"/>
    </row>
    <row r="713">
      <c r="A713" s="370"/>
      <c r="B713" s="371">
        <v>1859.0</v>
      </c>
      <c r="C713" s="371"/>
    </row>
    <row r="714">
      <c r="A714" s="370"/>
      <c r="B714" s="371">
        <v>1860.0</v>
      </c>
      <c r="C714" s="371"/>
    </row>
    <row r="715">
      <c r="A715" s="370"/>
      <c r="B715" s="371">
        <v>1861.0</v>
      </c>
      <c r="C715" s="371"/>
    </row>
    <row r="716">
      <c r="A716" s="370"/>
      <c r="B716" s="371">
        <v>1862.0</v>
      </c>
      <c r="C716" s="371"/>
    </row>
    <row r="717">
      <c r="A717" s="370"/>
      <c r="B717" s="371">
        <v>1863.0</v>
      </c>
      <c r="C717" s="371"/>
    </row>
    <row r="718">
      <c r="A718" s="370"/>
      <c r="B718" s="371">
        <v>1864.0</v>
      </c>
      <c r="C718" s="371"/>
    </row>
    <row r="719">
      <c r="A719" s="370"/>
      <c r="B719" s="371">
        <v>1865.0</v>
      </c>
      <c r="C719" s="371"/>
    </row>
    <row r="720">
      <c r="A720" s="370"/>
      <c r="B720" s="371">
        <v>1866.0</v>
      </c>
      <c r="C720" s="371"/>
    </row>
    <row r="721">
      <c r="A721" s="370"/>
      <c r="B721" s="371">
        <v>1867.0</v>
      </c>
      <c r="C721" s="371"/>
    </row>
    <row r="722">
      <c r="A722" s="370"/>
      <c r="B722" s="371">
        <v>1868.0</v>
      </c>
      <c r="C722" s="371"/>
    </row>
    <row r="723">
      <c r="A723" s="370"/>
      <c r="B723" s="371">
        <v>1869.0</v>
      </c>
      <c r="C723" s="371"/>
    </row>
    <row r="724">
      <c r="A724" s="370"/>
      <c r="B724" s="371">
        <v>1870.0</v>
      </c>
      <c r="C724" s="371"/>
    </row>
    <row r="725">
      <c r="A725" s="370"/>
      <c r="B725" s="371">
        <v>1871.0</v>
      </c>
      <c r="C725" s="371"/>
    </row>
    <row r="726">
      <c r="A726" s="370"/>
      <c r="B726" s="371">
        <v>1872.0</v>
      </c>
      <c r="C726" s="371"/>
    </row>
    <row r="727">
      <c r="A727" s="370"/>
      <c r="B727" s="371">
        <v>1873.0</v>
      </c>
      <c r="C727" s="371"/>
    </row>
    <row r="728">
      <c r="A728" s="370"/>
      <c r="B728" s="371">
        <v>1874.0</v>
      </c>
      <c r="C728" s="371"/>
    </row>
    <row r="729">
      <c r="A729" s="370"/>
      <c r="B729" s="371">
        <v>1875.0</v>
      </c>
      <c r="C729" s="371"/>
    </row>
    <row r="730">
      <c r="A730" s="370"/>
      <c r="B730" s="371">
        <v>1876.0</v>
      </c>
      <c r="C730" s="371"/>
    </row>
    <row r="731">
      <c r="A731" s="370"/>
      <c r="B731" s="371">
        <v>1877.0</v>
      </c>
      <c r="C731" s="371"/>
    </row>
    <row r="732">
      <c r="A732" s="370"/>
      <c r="B732" s="371">
        <v>1878.0</v>
      </c>
      <c r="C732" s="371"/>
    </row>
    <row r="733">
      <c r="A733" s="370"/>
      <c r="B733" s="371">
        <v>1879.0</v>
      </c>
      <c r="C733" s="371"/>
    </row>
    <row r="734">
      <c r="A734" s="370"/>
      <c r="B734" s="371">
        <v>1880.0</v>
      </c>
      <c r="C734" s="371"/>
    </row>
    <row r="735">
      <c r="A735" s="370"/>
      <c r="B735" s="371">
        <v>1881.0</v>
      </c>
      <c r="C735" s="371"/>
    </row>
    <row r="736">
      <c r="A736" s="370"/>
      <c r="B736" s="371">
        <v>1882.0</v>
      </c>
      <c r="C736" s="371"/>
    </row>
    <row r="737">
      <c r="A737" s="370"/>
      <c r="B737" s="371">
        <v>1883.0</v>
      </c>
      <c r="C737" s="371"/>
    </row>
    <row r="738">
      <c r="A738" s="370"/>
      <c r="B738" s="371">
        <v>1884.0</v>
      </c>
      <c r="C738" s="371"/>
    </row>
    <row r="739">
      <c r="A739" s="370"/>
      <c r="B739" s="371">
        <v>1885.0</v>
      </c>
      <c r="C739" s="371"/>
    </row>
    <row r="740">
      <c r="A740" s="370"/>
      <c r="B740" s="371">
        <v>1886.0</v>
      </c>
      <c r="C740" s="371"/>
    </row>
    <row r="741">
      <c r="A741" s="370"/>
      <c r="B741" s="371">
        <v>1887.0</v>
      </c>
      <c r="C741" s="371"/>
    </row>
    <row r="742">
      <c r="A742" s="370"/>
      <c r="B742" s="371">
        <v>1888.0</v>
      </c>
      <c r="C742" s="371"/>
    </row>
    <row r="743">
      <c r="A743" s="370"/>
      <c r="B743" s="371">
        <v>1889.0</v>
      </c>
      <c r="C743" s="371"/>
    </row>
    <row r="744">
      <c r="A744" s="370"/>
      <c r="B744" s="371">
        <v>1890.0</v>
      </c>
      <c r="C744" s="371"/>
    </row>
    <row r="745">
      <c r="A745" s="370"/>
      <c r="B745" s="371">
        <v>1891.0</v>
      </c>
      <c r="C745" s="371"/>
    </row>
    <row r="746">
      <c r="A746" s="370"/>
      <c r="B746" s="371">
        <v>1892.0</v>
      </c>
      <c r="C746" s="371"/>
    </row>
    <row r="747">
      <c r="A747" s="370"/>
      <c r="B747" s="371">
        <v>1893.0</v>
      </c>
      <c r="C747" s="371"/>
    </row>
    <row r="748">
      <c r="A748" s="370"/>
      <c r="B748" s="371">
        <v>1894.0</v>
      </c>
      <c r="C748" s="371"/>
    </row>
    <row r="749">
      <c r="A749" s="370"/>
      <c r="B749" s="371">
        <v>1895.0</v>
      </c>
      <c r="C749" s="371"/>
    </row>
    <row r="750">
      <c r="A750" s="370"/>
      <c r="B750" s="371">
        <v>1896.0</v>
      </c>
      <c r="C750" s="371"/>
    </row>
    <row r="751">
      <c r="A751" s="370"/>
      <c r="B751" s="371">
        <v>1897.0</v>
      </c>
      <c r="C751" s="371"/>
    </row>
    <row r="752">
      <c r="A752" s="370"/>
      <c r="B752" s="371">
        <v>1898.0</v>
      </c>
      <c r="C752" s="371"/>
    </row>
    <row r="753">
      <c r="A753" s="370"/>
      <c r="B753" s="371">
        <v>1899.0</v>
      </c>
      <c r="C753" s="371"/>
    </row>
    <row r="754">
      <c r="A754" s="370"/>
      <c r="B754" s="371">
        <v>1900.0</v>
      </c>
      <c r="C754" s="371"/>
    </row>
    <row r="755">
      <c r="A755" s="370"/>
      <c r="B755" s="371">
        <v>1901.0</v>
      </c>
      <c r="C755" s="371"/>
    </row>
    <row r="756">
      <c r="A756" s="370"/>
      <c r="B756" s="371">
        <v>1902.0</v>
      </c>
      <c r="C756" s="371"/>
    </row>
    <row r="757">
      <c r="A757" s="370"/>
      <c r="B757" s="371">
        <v>1903.0</v>
      </c>
      <c r="C757" s="371"/>
    </row>
    <row r="758">
      <c r="A758" s="370"/>
      <c r="B758" s="371">
        <v>1904.0</v>
      </c>
      <c r="C758" s="371"/>
    </row>
    <row r="759">
      <c r="A759" s="370"/>
      <c r="B759" s="371">
        <v>1905.0</v>
      </c>
      <c r="C759" s="371"/>
    </row>
    <row r="760">
      <c r="A760" s="370"/>
      <c r="B760" s="371">
        <v>1906.0</v>
      </c>
      <c r="C760" s="371"/>
    </row>
    <row r="761">
      <c r="A761" s="370"/>
      <c r="B761" s="371">
        <v>1907.0</v>
      </c>
      <c r="C761" s="371"/>
    </row>
    <row r="762">
      <c r="A762" s="370"/>
      <c r="B762" s="371">
        <v>1908.0</v>
      </c>
      <c r="C762" s="371"/>
    </row>
    <row r="763">
      <c r="A763" s="370"/>
      <c r="B763" s="371">
        <v>1909.0</v>
      </c>
      <c r="C763" s="371"/>
    </row>
    <row r="764">
      <c r="A764" s="370"/>
      <c r="B764" s="371">
        <v>1910.0</v>
      </c>
      <c r="C764" s="371"/>
    </row>
    <row r="765">
      <c r="A765" s="370"/>
      <c r="B765" s="371">
        <v>1911.0</v>
      </c>
      <c r="C765" s="371"/>
    </row>
    <row r="766">
      <c r="A766" s="370"/>
      <c r="B766" s="371">
        <v>1912.0</v>
      </c>
      <c r="C766" s="371"/>
    </row>
    <row r="767">
      <c r="A767" s="370"/>
      <c r="B767" s="371">
        <v>1913.0</v>
      </c>
      <c r="C767" s="371"/>
    </row>
    <row r="768">
      <c r="A768" s="370"/>
      <c r="B768" s="371">
        <v>1914.0</v>
      </c>
      <c r="C768" s="371"/>
    </row>
    <row r="769">
      <c r="A769" s="370"/>
      <c r="B769" s="371">
        <v>1915.0</v>
      </c>
      <c r="C769" s="371"/>
    </row>
    <row r="770">
      <c r="A770" s="370"/>
      <c r="B770" s="371">
        <v>1916.0</v>
      </c>
      <c r="C770" s="371"/>
    </row>
    <row r="771">
      <c r="A771" s="370"/>
      <c r="B771" s="371">
        <v>1917.0</v>
      </c>
      <c r="C771" s="371"/>
    </row>
    <row r="772">
      <c r="A772" s="370"/>
      <c r="B772" s="371">
        <v>1918.0</v>
      </c>
      <c r="C772" s="371"/>
    </row>
    <row r="773">
      <c r="A773" s="370"/>
      <c r="B773" s="371">
        <v>1919.0</v>
      </c>
      <c r="C773" s="371"/>
    </row>
    <row r="774">
      <c r="A774" s="370"/>
      <c r="B774" s="371">
        <v>1920.0</v>
      </c>
      <c r="C774" s="371"/>
    </row>
    <row r="775">
      <c r="A775" s="370"/>
      <c r="B775" s="371">
        <v>1921.0</v>
      </c>
      <c r="C775" s="371"/>
    </row>
    <row r="776">
      <c r="A776" s="370"/>
      <c r="B776" s="371">
        <v>1922.0</v>
      </c>
      <c r="C776" s="371"/>
    </row>
    <row r="777">
      <c r="A777" s="370"/>
      <c r="B777" s="371">
        <v>1923.0</v>
      </c>
      <c r="C777" s="371"/>
    </row>
    <row r="778">
      <c r="A778" s="370"/>
      <c r="B778" s="371">
        <v>1924.0</v>
      </c>
      <c r="C778" s="371"/>
    </row>
    <row r="779">
      <c r="A779" s="370"/>
      <c r="B779" s="371">
        <v>1925.0</v>
      </c>
      <c r="C779" s="371"/>
    </row>
    <row r="780">
      <c r="A780" s="370"/>
      <c r="B780" s="371">
        <v>1926.0</v>
      </c>
      <c r="C780" s="371"/>
    </row>
    <row r="781">
      <c r="A781" s="370"/>
      <c r="B781" s="371">
        <v>1927.0</v>
      </c>
      <c r="C781" s="371"/>
    </row>
    <row r="782">
      <c r="A782" s="370"/>
      <c r="B782" s="371">
        <v>1928.0</v>
      </c>
      <c r="C782" s="371"/>
    </row>
    <row r="783">
      <c r="A783" s="370"/>
      <c r="B783" s="371">
        <v>1929.0</v>
      </c>
      <c r="C783" s="371"/>
    </row>
    <row r="784">
      <c r="A784" s="370"/>
      <c r="B784" s="371">
        <v>1930.0</v>
      </c>
      <c r="C784" s="371"/>
    </row>
    <row r="785">
      <c r="A785" s="370"/>
      <c r="B785" s="371">
        <v>1931.0</v>
      </c>
      <c r="C785" s="371"/>
    </row>
    <row r="786">
      <c r="A786" s="370"/>
      <c r="B786" s="371">
        <v>1932.0</v>
      </c>
      <c r="C786" s="371"/>
    </row>
    <row r="787">
      <c r="A787" s="370"/>
      <c r="B787" s="371">
        <v>1934.0</v>
      </c>
      <c r="C787" s="371"/>
    </row>
    <row r="788">
      <c r="A788" s="370"/>
      <c r="B788" s="371">
        <v>1935.0</v>
      </c>
      <c r="C788" s="371"/>
    </row>
    <row r="789">
      <c r="A789" s="370"/>
      <c r="B789" s="371">
        <v>1936.0</v>
      </c>
      <c r="C789" s="371"/>
    </row>
    <row r="790">
      <c r="A790" s="370"/>
      <c r="B790" s="371">
        <v>1937.0</v>
      </c>
      <c r="C790" s="371"/>
    </row>
    <row r="791">
      <c r="A791" s="370"/>
      <c r="B791" s="371">
        <v>1938.0</v>
      </c>
      <c r="C791" s="371"/>
    </row>
    <row r="792">
      <c r="A792" s="370"/>
      <c r="B792" s="371">
        <v>1939.0</v>
      </c>
      <c r="C792" s="371"/>
    </row>
    <row r="793">
      <c r="A793" s="370"/>
      <c r="B793" s="371">
        <v>1940.0</v>
      </c>
      <c r="C793" s="371"/>
    </row>
    <row r="794">
      <c r="A794" s="370"/>
      <c r="B794" s="371">
        <v>1941.0</v>
      </c>
      <c r="C794" s="371"/>
    </row>
    <row r="795">
      <c r="A795" s="370"/>
      <c r="B795" s="371">
        <v>1942.0</v>
      </c>
      <c r="C795" s="371"/>
    </row>
    <row r="796">
      <c r="A796" s="370"/>
      <c r="B796" s="371">
        <v>1943.0</v>
      </c>
      <c r="C796" s="371"/>
    </row>
    <row r="797">
      <c r="A797" s="370"/>
      <c r="B797" s="371">
        <v>1944.0</v>
      </c>
      <c r="C797" s="371"/>
    </row>
    <row r="798">
      <c r="A798" s="370"/>
      <c r="B798" s="371">
        <v>1945.0</v>
      </c>
      <c r="C798" s="371"/>
    </row>
    <row r="799">
      <c r="A799" s="370"/>
      <c r="B799" s="371">
        <v>1946.0</v>
      </c>
      <c r="C799" s="371"/>
    </row>
    <row r="800">
      <c r="A800" s="370"/>
      <c r="B800" s="371">
        <v>1947.0</v>
      </c>
      <c r="C800" s="371"/>
    </row>
    <row r="801">
      <c r="A801" s="370"/>
      <c r="B801" s="371">
        <v>1948.0</v>
      </c>
      <c r="C801" s="371"/>
    </row>
    <row r="802">
      <c r="A802" s="370"/>
      <c r="B802" s="371">
        <v>1949.0</v>
      </c>
      <c r="C802" s="371"/>
    </row>
    <row r="803">
      <c r="A803" s="370"/>
      <c r="B803" s="371">
        <v>1950.0</v>
      </c>
      <c r="C803" s="371"/>
    </row>
    <row r="804">
      <c r="A804" s="370"/>
      <c r="B804" s="371">
        <v>1951.0</v>
      </c>
      <c r="C804" s="371"/>
    </row>
    <row r="805">
      <c r="A805" s="370"/>
      <c r="B805" s="371">
        <v>1952.0</v>
      </c>
      <c r="C805" s="371"/>
    </row>
    <row r="806">
      <c r="A806" s="370"/>
      <c r="B806" s="371">
        <v>1953.0</v>
      </c>
      <c r="C806" s="371"/>
    </row>
    <row r="807">
      <c r="A807" s="370"/>
      <c r="B807" s="371">
        <v>1954.0</v>
      </c>
      <c r="C807" s="371"/>
    </row>
    <row r="808">
      <c r="A808" s="370"/>
      <c r="B808" s="371">
        <v>1955.0</v>
      </c>
      <c r="C808" s="371"/>
    </row>
    <row r="809">
      <c r="A809" s="370"/>
      <c r="B809" s="371">
        <v>1956.0</v>
      </c>
      <c r="C809" s="371"/>
    </row>
    <row r="810">
      <c r="A810" s="370"/>
      <c r="B810" s="371">
        <v>1957.0</v>
      </c>
      <c r="C810" s="371"/>
    </row>
    <row r="811">
      <c r="A811" s="370"/>
      <c r="B811" s="371">
        <v>1958.0</v>
      </c>
      <c r="C811" s="371"/>
    </row>
    <row r="812">
      <c r="A812" s="370"/>
      <c r="B812" s="371">
        <v>1959.0</v>
      </c>
      <c r="C812" s="371"/>
    </row>
    <row r="813">
      <c r="A813" s="370"/>
      <c r="B813" s="371">
        <v>1960.0</v>
      </c>
      <c r="C813" s="371"/>
    </row>
    <row r="814">
      <c r="A814" s="370"/>
      <c r="B814" s="371">
        <v>1961.0</v>
      </c>
      <c r="C814" s="371"/>
    </row>
    <row r="815">
      <c r="A815" s="370"/>
      <c r="B815" s="371">
        <v>1962.0</v>
      </c>
      <c r="C815" s="371"/>
    </row>
    <row r="816">
      <c r="A816" s="370"/>
      <c r="B816" s="371">
        <v>1963.0</v>
      </c>
      <c r="C816" s="371"/>
    </row>
    <row r="817">
      <c r="A817" s="370"/>
      <c r="B817" s="371">
        <v>1964.0</v>
      </c>
      <c r="C817" s="371"/>
    </row>
    <row r="818">
      <c r="A818" s="370"/>
      <c r="B818" s="371">
        <v>1965.0</v>
      </c>
      <c r="C818" s="371"/>
    </row>
    <row r="819">
      <c r="A819" s="370"/>
      <c r="B819" s="371">
        <v>1966.0</v>
      </c>
      <c r="C819" s="371"/>
    </row>
    <row r="820">
      <c r="A820" s="370"/>
      <c r="B820" s="371">
        <v>1967.0</v>
      </c>
      <c r="C820" s="371"/>
    </row>
    <row r="821">
      <c r="A821" s="370"/>
      <c r="B821" s="371">
        <v>1968.0</v>
      </c>
      <c r="C821" s="371"/>
    </row>
    <row r="822">
      <c r="A822" s="370"/>
      <c r="B822" s="371">
        <v>1969.0</v>
      </c>
      <c r="C822" s="371"/>
    </row>
    <row r="823">
      <c r="A823" s="370"/>
      <c r="B823" s="371">
        <v>1970.0</v>
      </c>
      <c r="C823" s="371"/>
    </row>
    <row r="824">
      <c r="A824" s="370"/>
      <c r="B824" s="371">
        <v>1971.0</v>
      </c>
      <c r="C824" s="371"/>
    </row>
    <row r="825">
      <c r="A825" s="370"/>
      <c r="B825" s="371">
        <v>1972.0</v>
      </c>
      <c r="C825" s="371"/>
    </row>
    <row r="826">
      <c r="A826" s="370"/>
      <c r="B826" s="371">
        <v>1973.0</v>
      </c>
      <c r="C826" s="371"/>
    </row>
    <row r="827">
      <c r="A827" s="370"/>
      <c r="B827" s="371">
        <v>1974.0</v>
      </c>
      <c r="C827" s="371"/>
    </row>
    <row r="828">
      <c r="A828" s="370"/>
      <c r="B828" s="371">
        <v>1975.0</v>
      </c>
      <c r="C828" s="371"/>
    </row>
    <row r="829">
      <c r="A829" s="370"/>
      <c r="B829" s="371">
        <v>1976.0</v>
      </c>
      <c r="C829" s="371"/>
    </row>
    <row r="830">
      <c r="A830" s="370"/>
      <c r="B830" s="371">
        <v>1977.0</v>
      </c>
      <c r="C830" s="371"/>
    </row>
    <row r="831">
      <c r="A831" s="370"/>
      <c r="B831" s="371">
        <v>1978.0</v>
      </c>
      <c r="C831" s="371"/>
    </row>
    <row r="832">
      <c r="A832" s="370"/>
      <c r="B832" s="371">
        <v>1979.0</v>
      </c>
      <c r="C832" s="371"/>
    </row>
    <row r="833">
      <c r="A833" s="370"/>
      <c r="B833" s="371">
        <v>1980.0</v>
      </c>
      <c r="C833" s="371"/>
    </row>
    <row r="834">
      <c r="A834" s="370"/>
      <c r="B834" s="371">
        <v>1981.0</v>
      </c>
      <c r="C834" s="371"/>
    </row>
    <row r="835">
      <c r="A835" s="370"/>
      <c r="B835" s="371">
        <v>1982.0</v>
      </c>
      <c r="C835" s="371"/>
    </row>
    <row r="836">
      <c r="A836" s="370"/>
      <c r="B836" s="371">
        <v>1983.0</v>
      </c>
      <c r="C836" s="371"/>
    </row>
    <row r="837">
      <c r="A837" s="370"/>
      <c r="B837" s="371">
        <v>1984.0</v>
      </c>
      <c r="C837" s="371"/>
    </row>
    <row r="838">
      <c r="A838" s="370"/>
      <c r="B838" s="371">
        <v>1985.0</v>
      </c>
      <c r="C838" s="371"/>
    </row>
    <row r="839">
      <c r="A839" s="370"/>
      <c r="B839" s="371">
        <v>1985.0</v>
      </c>
      <c r="C839" s="371"/>
    </row>
    <row r="840">
      <c r="A840" s="370"/>
      <c r="B840" s="371">
        <v>1986.0</v>
      </c>
      <c r="C840" s="371"/>
    </row>
    <row r="841">
      <c r="A841" s="370"/>
      <c r="B841" s="371">
        <v>1987.0</v>
      </c>
      <c r="C841" s="371"/>
    </row>
    <row r="842">
      <c r="A842" s="370"/>
      <c r="B842" s="371">
        <v>1988.0</v>
      </c>
      <c r="C842" s="371"/>
    </row>
    <row r="843">
      <c r="A843" s="370"/>
      <c r="B843" s="371">
        <v>1989.0</v>
      </c>
      <c r="C843" s="371"/>
    </row>
    <row r="844">
      <c r="A844" s="370"/>
      <c r="B844" s="371">
        <v>1990.0</v>
      </c>
      <c r="C844" s="371"/>
    </row>
    <row r="845">
      <c r="A845" s="370"/>
      <c r="B845" s="371">
        <v>1991.0</v>
      </c>
      <c r="C845" s="371"/>
    </row>
    <row r="846">
      <c r="A846" s="370"/>
      <c r="B846" s="371">
        <v>1992.0</v>
      </c>
      <c r="C846" s="371"/>
    </row>
    <row r="847">
      <c r="A847" s="370"/>
      <c r="B847" s="371">
        <v>1993.0</v>
      </c>
      <c r="C847" s="371"/>
    </row>
    <row r="848">
      <c r="A848" s="370"/>
      <c r="B848" s="371">
        <v>1994.0</v>
      </c>
      <c r="C848" s="371"/>
    </row>
    <row r="849">
      <c r="A849" s="370"/>
      <c r="B849" s="371">
        <v>1995.0</v>
      </c>
      <c r="C849" s="371"/>
    </row>
    <row r="850">
      <c r="A850" s="370"/>
      <c r="B850" s="371">
        <v>1996.0</v>
      </c>
      <c r="C850" s="371"/>
    </row>
    <row r="851">
      <c r="A851" s="370"/>
      <c r="B851" s="371">
        <v>1997.0</v>
      </c>
      <c r="C851" s="371"/>
    </row>
    <row r="852">
      <c r="A852" s="370"/>
      <c r="B852" s="371">
        <v>1998.0</v>
      </c>
      <c r="C852" s="371"/>
    </row>
    <row r="853">
      <c r="A853" s="370"/>
      <c r="B853" s="371">
        <v>1999.0</v>
      </c>
      <c r="C853" s="371"/>
    </row>
    <row r="854">
      <c r="A854" s="370"/>
      <c r="B854" s="371">
        <v>2000.0</v>
      </c>
      <c r="C854" s="371"/>
    </row>
    <row r="855">
      <c r="A855" s="370"/>
      <c r="B855" s="371">
        <v>2001.0</v>
      </c>
      <c r="C855" s="371"/>
    </row>
    <row r="856">
      <c r="A856" s="370"/>
      <c r="B856" s="371">
        <v>2002.0</v>
      </c>
      <c r="C856" s="371"/>
    </row>
    <row r="857">
      <c r="A857" s="370"/>
      <c r="B857" s="371">
        <v>2003.0</v>
      </c>
      <c r="C857" s="371"/>
    </row>
    <row r="858">
      <c r="A858" s="370"/>
      <c r="B858" s="371">
        <v>2004.0</v>
      </c>
      <c r="C858" s="371"/>
    </row>
    <row r="859">
      <c r="A859" s="370"/>
      <c r="B859" s="371">
        <v>2005.0</v>
      </c>
      <c r="C859" s="371"/>
    </row>
    <row r="860">
      <c r="A860" s="370"/>
      <c r="B860" s="371">
        <v>2006.0</v>
      </c>
      <c r="C860" s="371"/>
    </row>
    <row r="861">
      <c r="A861" s="370"/>
      <c r="B861" s="371">
        <v>2007.0</v>
      </c>
      <c r="C861" s="371"/>
    </row>
    <row r="862">
      <c r="A862" s="370"/>
      <c r="B862" s="371">
        <v>2008.0</v>
      </c>
      <c r="C862" s="371"/>
    </row>
    <row r="863">
      <c r="A863" s="370"/>
      <c r="B863" s="371">
        <v>2009.0</v>
      </c>
      <c r="C863" s="371"/>
    </row>
    <row r="864">
      <c r="A864" s="370"/>
      <c r="B864" s="371">
        <v>2010.0</v>
      </c>
      <c r="C864" s="371"/>
    </row>
    <row r="865">
      <c r="A865" s="370"/>
      <c r="B865" s="371">
        <v>2011.0</v>
      </c>
      <c r="C865" s="371"/>
    </row>
    <row r="866">
      <c r="A866" s="370"/>
      <c r="B866" s="371">
        <v>2012.0</v>
      </c>
      <c r="C866" s="371"/>
    </row>
    <row r="867">
      <c r="A867" s="370"/>
      <c r="B867" s="371">
        <v>2013.0</v>
      </c>
      <c r="C867" s="371"/>
    </row>
    <row r="868">
      <c r="A868" s="370"/>
      <c r="B868" s="371">
        <v>2014.0</v>
      </c>
      <c r="C868" s="371"/>
    </row>
    <row r="869">
      <c r="A869" s="370"/>
      <c r="B869" s="371">
        <v>2015.0</v>
      </c>
      <c r="C869" s="371"/>
    </row>
    <row r="870">
      <c r="A870" s="370"/>
      <c r="B870" s="371">
        <v>2016.0</v>
      </c>
      <c r="C870" s="371"/>
    </row>
    <row r="871">
      <c r="A871" s="370"/>
      <c r="B871" s="371">
        <v>2017.0</v>
      </c>
      <c r="C871" s="371"/>
    </row>
    <row r="872">
      <c r="A872" s="370"/>
      <c r="B872" s="371">
        <v>2018.0</v>
      </c>
      <c r="C872" s="371"/>
    </row>
    <row r="873">
      <c r="A873" s="370"/>
      <c r="B873" s="371">
        <v>2019.0</v>
      </c>
      <c r="C873" s="371"/>
    </row>
    <row r="874">
      <c r="A874" s="370"/>
      <c r="B874" s="371">
        <v>2020.0</v>
      </c>
      <c r="C874" s="371"/>
    </row>
    <row r="875">
      <c r="A875" s="370"/>
      <c r="B875" s="371">
        <v>2021.0</v>
      </c>
      <c r="C875" s="371"/>
    </row>
    <row r="876">
      <c r="A876" s="370"/>
      <c r="B876" s="371">
        <v>2022.0</v>
      </c>
      <c r="C876" s="371"/>
    </row>
    <row r="877">
      <c r="A877" s="370"/>
      <c r="B877" s="371">
        <v>2023.0</v>
      </c>
      <c r="C877" s="371"/>
    </row>
    <row r="878">
      <c r="A878" s="370"/>
      <c r="B878" s="371">
        <v>2024.0</v>
      </c>
      <c r="C878" s="371"/>
    </row>
    <row r="879">
      <c r="A879" s="370"/>
      <c r="B879" s="371">
        <v>2025.0</v>
      </c>
      <c r="C879" s="371"/>
    </row>
    <row r="880">
      <c r="A880" s="370"/>
      <c r="B880" s="371">
        <v>2026.0</v>
      </c>
      <c r="C880" s="371"/>
    </row>
    <row r="881">
      <c r="A881" s="370"/>
      <c r="B881" s="371">
        <v>2027.0</v>
      </c>
      <c r="C881" s="371"/>
    </row>
    <row r="882">
      <c r="A882" s="370"/>
      <c r="B882" s="371">
        <v>2028.0</v>
      </c>
      <c r="C882" s="371"/>
    </row>
    <row r="883">
      <c r="A883" s="370"/>
      <c r="B883" s="371">
        <v>2029.0</v>
      </c>
      <c r="C883" s="371"/>
    </row>
    <row r="884">
      <c r="A884" s="370"/>
      <c r="B884" s="371">
        <v>2030.0</v>
      </c>
      <c r="C884" s="371"/>
    </row>
    <row r="885">
      <c r="A885" s="370"/>
      <c r="B885" s="371">
        <v>2031.0</v>
      </c>
      <c r="C885" s="371"/>
    </row>
    <row r="886">
      <c r="A886" s="370"/>
      <c r="B886" s="371">
        <v>2032.0</v>
      </c>
      <c r="C886" s="371"/>
    </row>
    <row r="887">
      <c r="A887" s="370"/>
      <c r="B887" s="371">
        <v>2033.0</v>
      </c>
      <c r="C887" s="371"/>
    </row>
    <row r="888">
      <c r="A888" s="370"/>
      <c r="B888" s="371">
        <v>2034.0</v>
      </c>
      <c r="C888" s="371"/>
    </row>
    <row r="889">
      <c r="A889" s="370"/>
      <c r="B889" s="371">
        <v>2035.0</v>
      </c>
      <c r="C889" s="371"/>
    </row>
    <row r="890">
      <c r="A890" s="370"/>
      <c r="B890" s="371">
        <v>2036.0</v>
      </c>
      <c r="C890" s="371"/>
    </row>
    <row r="891">
      <c r="A891" s="370"/>
      <c r="B891" s="371">
        <v>2037.0</v>
      </c>
      <c r="C891" s="371"/>
    </row>
    <row r="892">
      <c r="A892" s="370"/>
      <c r="B892" s="371">
        <v>2038.0</v>
      </c>
      <c r="C892" s="371"/>
    </row>
    <row r="893">
      <c r="A893" s="370"/>
      <c r="B893" s="371">
        <v>2039.0</v>
      </c>
      <c r="C893" s="371"/>
    </row>
    <row r="894">
      <c r="A894" s="370"/>
      <c r="B894" s="371">
        <v>2040.0</v>
      </c>
      <c r="C894" s="371"/>
    </row>
    <row r="895">
      <c r="A895" s="370"/>
      <c r="B895" s="371">
        <v>2041.0</v>
      </c>
      <c r="C895" s="371"/>
    </row>
    <row r="896">
      <c r="A896" s="370"/>
      <c r="B896" s="371">
        <v>2042.0</v>
      </c>
      <c r="C896" s="371"/>
    </row>
    <row r="897">
      <c r="A897" s="370"/>
      <c r="B897" s="371">
        <v>2043.0</v>
      </c>
      <c r="C897" s="371"/>
    </row>
    <row r="898">
      <c r="A898" s="370"/>
      <c r="B898" s="371">
        <v>2044.0</v>
      </c>
      <c r="C898" s="371"/>
    </row>
    <row r="899">
      <c r="A899" s="370"/>
      <c r="B899" s="371">
        <v>2045.0</v>
      </c>
      <c r="C899" s="371"/>
    </row>
    <row r="900">
      <c r="A900" s="370"/>
      <c r="B900" s="371">
        <v>2046.0</v>
      </c>
      <c r="C900" s="371"/>
    </row>
    <row r="901">
      <c r="A901" s="370"/>
      <c r="B901" s="371">
        <v>2047.0</v>
      </c>
      <c r="C901" s="371"/>
    </row>
    <row r="902">
      <c r="A902" s="370"/>
      <c r="B902" s="371">
        <v>2048.0</v>
      </c>
      <c r="C902" s="371"/>
    </row>
    <row r="903">
      <c r="A903" s="370"/>
      <c r="B903" s="371">
        <v>2049.0</v>
      </c>
      <c r="C903" s="371"/>
    </row>
    <row r="904">
      <c r="A904" s="370"/>
      <c r="B904" s="371">
        <v>2050.0</v>
      </c>
      <c r="C904" s="371"/>
    </row>
    <row r="905">
      <c r="A905" s="370"/>
      <c r="B905" s="371">
        <v>2051.0</v>
      </c>
      <c r="C905" s="371"/>
    </row>
    <row r="906">
      <c r="A906" s="370"/>
      <c r="B906" s="371">
        <v>2052.0</v>
      </c>
      <c r="C906" s="371"/>
    </row>
    <row r="907">
      <c r="A907" s="370"/>
      <c r="B907" s="371">
        <v>2053.0</v>
      </c>
      <c r="C907" s="371"/>
    </row>
    <row r="908">
      <c r="A908" s="370"/>
      <c r="B908" s="371">
        <v>2054.0</v>
      </c>
      <c r="C908" s="371"/>
    </row>
    <row r="909">
      <c r="A909" s="370"/>
      <c r="B909" s="371">
        <v>2055.0</v>
      </c>
      <c r="C909" s="371"/>
    </row>
    <row r="910">
      <c r="A910" s="370"/>
      <c r="B910" s="371">
        <v>2056.0</v>
      </c>
      <c r="C910" s="371"/>
    </row>
    <row r="911">
      <c r="A911" s="370"/>
      <c r="B911" s="371">
        <v>2057.0</v>
      </c>
      <c r="C911" s="371"/>
    </row>
    <row r="912">
      <c r="A912" s="370"/>
      <c r="B912" s="371">
        <v>2058.0</v>
      </c>
      <c r="C912" s="371"/>
    </row>
    <row r="913">
      <c r="A913" s="370"/>
      <c r="B913" s="371">
        <v>2059.0</v>
      </c>
      <c r="C913" s="371"/>
    </row>
    <row r="914">
      <c r="A914" s="370"/>
      <c r="B914" s="371">
        <v>2060.0</v>
      </c>
      <c r="C914" s="371"/>
    </row>
    <row r="915">
      <c r="A915" s="370"/>
      <c r="B915" s="371">
        <v>2061.0</v>
      </c>
      <c r="C915" s="371"/>
    </row>
    <row r="916">
      <c r="A916" s="370"/>
      <c r="B916" s="371">
        <v>2062.0</v>
      </c>
      <c r="C916" s="371"/>
    </row>
    <row r="917">
      <c r="A917" s="370"/>
      <c r="B917" s="371">
        <v>2063.0</v>
      </c>
      <c r="C917" s="371"/>
    </row>
    <row r="918">
      <c r="A918" s="370"/>
      <c r="B918" s="371">
        <v>2064.0</v>
      </c>
      <c r="C918" s="371"/>
    </row>
    <row r="919">
      <c r="A919" s="370"/>
      <c r="B919" s="371">
        <v>2065.0</v>
      </c>
      <c r="C919" s="371"/>
    </row>
    <row r="920">
      <c r="A920" s="370"/>
      <c r="B920" s="371">
        <v>2066.0</v>
      </c>
      <c r="C920" s="371"/>
    </row>
    <row r="921">
      <c r="A921" s="370"/>
      <c r="B921" s="371">
        <v>2067.0</v>
      </c>
      <c r="C921" s="371"/>
    </row>
    <row r="922">
      <c r="A922" s="370"/>
      <c r="B922" s="371">
        <v>2068.0</v>
      </c>
      <c r="C922" s="371"/>
    </row>
    <row r="923">
      <c r="A923" s="370"/>
      <c r="B923" s="371">
        <v>2069.0</v>
      </c>
      <c r="C923" s="371"/>
    </row>
    <row r="924">
      <c r="A924" s="370"/>
      <c r="B924" s="371">
        <v>2070.0</v>
      </c>
      <c r="C924" s="371"/>
    </row>
    <row r="925">
      <c r="A925" s="370"/>
      <c r="B925" s="371">
        <v>2071.0</v>
      </c>
      <c r="C925" s="371"/>
    </row>
    <row r="926">
      <c r="A926" s="370"/>
      <c r="B926" s="371">
        <v>2072.0</v>
      </c>
      <c r="C926" s="371"/>
    </row>
    <row r="927">
      <c r="A927" s="370"/>
      <c r="B927" s="371">
        <v>2073.0</v>
      </c>
      <c r="C927" s="371"/>
    </row>
    <row r="928">
      <c r="A928" s="370"/>
      <c r="B928" s="371">
        <v>2074.0</v>
      </c>
      <c r="C928" s="371"/>
    </row>
    <row r="929">
      <c r="A929" s="370"/>
      <c r="B929" s="371">
        <v>2075.0</v>
      </c>
      <c r="C929" s="371"/>
    </row>
    <row r="930">
      <c r="A930" s="370"/>
      <c r="B930" s="371">
        <v>2076.0</v>
      </c>
      <c r="C930" s="371"/>
    </row>
    <row r="931">
      <c r="A931" s="370"/>
      <c r="B931" s="371">
        <v>2077.0</v>
      </c>
      <c r="C931" s="371"/>
    </row>
    <row r="932">
      <c r="A932" s="370"/>
      <c r="B932" s="371">
        <v>2078.0</v>
      </c>
      <c r="C932" s="371"/>
    </row>
    <row r="933">
      <c r="A933" s="370"/>
      <c r="B933" s="371">
        <v>2079.0</v>
      </c>
      <c r="C933" s="371"/>
    </row>
    <row r="934">
      <c r="A934" s="370"/>
      <c r="B934" s="371">
        <v>2080.0</v>
      </c>
      <c r="C934" s="371"/>
    </row>
    <row r="935">
      <c r="A935" s="370"/>
      <c r="B935" s="371">
        <v>2081.0</v>
      </c>
      <c r="C935" s="371"/>
    </row>
    <row r="936">
      <c r="A936" s="370"/>
      <c r="B936" s="371">
        <v>2082.0</v>
      </c>
      <c r="C936" s="371"/>
    </row>
    <row r="937">
      <c r="A937" s="370"/>
      <c r="B937" s="371">
        <v>2083.0</v>
      </c>
      <c r="C937" s="371"/>
    </row>
    <row r="938">
      <c r="A938" s="370"/>
      <c r="B938" s="371">
        <v>2084.0</v>
      </c>
      <c r="C938" s="371"/>
    </row>
    <row r="939">
      <c r="A939" s="370"/>
      <c r="B939" s="371">
        <v>2085.0</v>
      </c>
      <c r="C939" s="371"/>
    </row>
    <row r="940">
      <c r="A940" s="370"/>
      <c r="B940" s="371">
        <v>2086.0</v>
      </c>
      <c r="C940" s="371"/>
    </row>
    <row r="941">
      <c r="A941" s="370"/>
      <c r="B941" s="371">
        <v>2087.0</v>
      </c>
      <c r="C941" s="371"/>
    </row>
    <row r="942">
      <c r="A942" s="370"/>
      <c r="B942" s="371">
        <v>2088.0</v>
      </c>
      <c r="C942" s="371"/>
    </row>
    <row r="943">
      <c r="A943" s="370"/>
      <c r="B943" s="371">
        <v>2089.0</v>
      </c>
      <c r="C943" s="371"/>
    </row>
    <row r="944">
      <c r="A944" s="370"/>
      <c r="B944" s="371">
        <v>2090.0</v>
      </c>
      <c r="C944" s="371"/>
    </row>
    <row r="945">
      <c r="A945" s="370"/>
      <c r="B945" s="371">
        <v>2091.0</v>
      </c>
      <c r="C945" s="371"/>
    </row>
    <row r="946">
      <c r="A946" s="370"/>
      <c r="B946" s="371">
        <v>2092.0</v>
      </c>
      <c r="C946" s="371"/>
    </row>
    <row r="947">
      <c r="A947" s="370"/>
      <c r="B947" s="371">
        <v>2093.0</v>
      </c>
      <c r="C947" s="371"/>
    </row>
    <row r="948">
      <c r="A948" s="370"/>
      <c r="B948" s="371">
        <v>2094.0</v>
      </c>
      <c r="C948" s="371"/>
    </row>
    <row r="949">
      <c r="A949" s="370"/>
      <c r="B949" s="371">
        <v>2095.0</v>
      </c>
      <c r="C949" s="371"/>
    </row>
    <row r="950">
      <c r="A950" s="370"/>
      <c r="B950" s="371">
        <v>2096.0</v>
      </c>
      <c r="C950" s="371"/>
    </row>
    <row r="951">
      <c r="A951" s="370"/>
      <c r="B951" s="371">
        <v>2097.0</v>
      </c>
      <c r="C951" s="371"/>
    </row>
    <row r="952">
      <c r="A952" s="370"/>
      <c r="B952" s="371">
        <v>2098.0</v>
      </c>
      <c r="C952" s="371"/>
    </row>
    <row r="953">
      <c r="A953" s="370"/>
      <c r="B953" s="371">
        <v>2099.0</v>
      </c>
      <c r="C953" s="371"/>
    </row>
    <row r="954">
      <c r="A954" s="370"/>
      <c r="B954" s="371">
        <v>2100.0</v>
      </c>
      <c r="C954" s="371"/>
    </row>
    <row r="955">
      <c r="A955" s="370"/>
      <c r="B955" s="371">
        <v>2101.0</v>
      </c>
      <c r="C955" s="371"/>
    </row>
    <row r="956">
      <c r="A956" s="370"/>
      <c r="B956" s="371">
        <v>2102.0</v>
      </c>
      <c r="C956" s="371"/>
    </row>
    <row r="957">
      <c r="A957" s="370"/>
      <c r="B957" s="371">
        <v>2103.0</v>
      </c>
      <c r="C957" s="371"/>
    </row>
    <row r="958">
      <c r="A958" s="370"/>
      <c r="B958" s="371">
        <v>2104.0</v>
      </c>
      <c r="C958" s="371"/>
    </row>
    <row r="959">
      <c r="A959" s="370"/>
      <c r="B959" s="371">
        <v>2105.0</v>
      </c>
      <c r="C959" s="371"/>
    </row>
    <row r="960">
      <c r="A960" s="370"/>
      <c r="B960" s="371">
        <v>2106.0</v>
      </c>
      <c r="C960" s="371"/>
    </row>
    <row r="961">
      <c r="A961" s="370"/>
      <c r="B961" s="371">
        <v>2107.0</v>
      </c>
      <c r="C961" s="371"/>
    </row>
    <row r="962">
      <c r="A962" s="370"/>
      <c r="B962" s="371">
        <v>2108.0</v>
      </c>
      <c r="C962" s="371"/>
    </row>
    <row r="963">
      <c r="A963" s="370"/>
      <c r="B963" s="371">
        <v>2109.0</v>
      </c>
      <c r="C963" s="371"/>
    </row>
    <row r="964">
      <c r="A964" s="370"/>
      <c r="B964" s="371">
        <v>2110.0</v>
      </c>
      <c r="C964" s="371"/>
    </row>
    <row r="965">
      <c r="A965" s="370"/>
      <c r="B965" s="371">
        <v>2111.0</v>
      </c>
      <c r="C965" s="371"/>
    </row>
    <row r="966">
      <c r="A966" s="370"/>
      <c r="B966" s="371">
        <v>2112.0</v>
      </c>
      <c r="C966" s="371"/>
    </row>
    <row r="967">
      <c r="A967" s="370"/>
      <c r="B967" s="371">
        <v>2113.0</v>
      </c>
      <c r="C967" s="371"/>
    </row>
    <row r="968">
      <c r="A968" s="370"/>
      <c r="B968" s="371">
        <v>2114.0</v>
      </c>
      <c r="C968" s="371"/>
    </row>
    <row r="969">
      <c r="A969" s="370"/>
      <c r="B969" s="371">
        <v>2115.0</v>
      </c>
      <c r="C969" s="371"/>
    </row>
    <row r="970">
      <c r="A970" s="370"/>
      <c r="B970" s="371">
        <v>2116.0</v>
      </c>
      <c r="C970" s="371"/>
    </row>
    <row r="971">
      <c r="A971" s="370"/>
      <c r="B971" s="371">
        <v>2117.0</v>
      </c>
      <c r="C971" s="371"/>
    </row>
    <row r="972">
      <c r="A972" s="370"/>
      <c r="B972" s="371">
        <v>2118.0</v>
      </c>
      <c r="C972" s="371"/>
    </row>
    <row r="973">
      <c r="A973" s="370"/>
      <c r="B973" s="371">
        <v>2119.0</v>
      </c>
      <c r="C973" s="371"/>
    </row>
    <row r="974">
      <c r="A974" s="370"/>
      <c r="B974" s="371">
        <v>2120.0</v>
      </c>
      <c r="C974" s="371"/>
    </row>
    <row r="975">
      <c r="A975" s="370"/>
      <c r="B975" s="371">
        <v>2121.0</v>
      </c>
      <c r="C975" s="371"/>
    </row>
    <row r="976">
      <c r="A976" s="370"/>
      <c r="B976" s="371">
        <v>2122.0</v>
      </c>
      <c r="C976" s="371"/>
    </row>
    <row r="977">
      <c r="A977" s="370"/>
      <c r="B977" s="371">
        <v>2123.0</v>
      </c>
      <c r="C977" s="371"/>
    </row>
    <row r="978">
      <c r="A978" s="370"/>
      <c r="B978" s="371">
        <v>2124.0</v>
      </c>
      <c r="C978" s="371"/>
    </row>
    <row r="979">
      <c r="A979" s="370"/>
      <c r="B979" s="371">
        <v>2125.0</v>
      </c>
      <c r="C979" s="371"/>
    </row>
    <row r="980">
      <c r="A980" s="370"/>
      <c r="B980" s="371">
        <v>2126.0</v>
      </c>
      <c r="C980" s="371"/>
    </row>
    <row r="981">
      <c r="A981" s="370"/>
      <c r="B981" s="371">
        <v>2127.0</v>
      </c>
      <c r="C981" s="371"/>
    </row>
    <row r="982">
      <c r="A982" s="370"/>
      <c r="B982" s="371">
        <v>2128.0</v>
      </c>
      <c r="C982" s="371"/>
    </row>
    <row r="983">
      <c r="A983" s="370"/>
      <c r="B983" s="371">
        <v>2129.0</v>
      </c>
      <c r="C983" s="371"/>
    </row>
    <row r="984">
      <c r="A984" s="370"/>
      <c r="B984" s="371">
        <v>2130.0</v>
      </c>
      <c r="C984" s="371"/>
    </row>
    <row r="985">
      <c r="A985" s="370"/>
      <c r="B985" s="371">
        <v>2131.0</v>
      </c>
      <c r="C985" s="371"/>
    </row>
    <row r="986">
      <c r="A986" s="370"/>
      <c r="B986" s="371">
        <v>2132.0</v>
      </c>
      <c r="C986" s="371"/>
    </row>
    <row r="987">
      <c r="A987" s="370"/>
      <c r="B987" s="371">
        <v>2133.0</v>
      </c>
      <c r="C987" s="371"/>
    </row>
    <row r="988">
      <c r="A988" s="370"/>
      <c r="B988" s="371">
        <v>2134.0</v>
      </c>
      <c r="C988" s="371"/>
    </row>
    <row r="989">
      <c r="A989" s="370"/>
      <c r="B989" s="371">
        <v>2135.0</v>
      </c>
      <c r="C989" s="371"/>
    </row>
    <row r="990">
      <c r="A990" s="370"/>
      <c r="B990" s="371">
        <v>2136.0</v>
      </c>
      <c r="C990" s="371"/>
    </row>
    <row r="991">
      <c r="A991" s="370"/>
      <c r="B991" s="371">
        <v>2137.0</v>
      </c>
      <c r="C991" s="371"/>
    </row>
    <row r="992">
      <c r="A992" s="370"/>
      <c r="B992" s="371">
        <v>2138.0</v>
      </c>
      <c r="C992" s="371"/>
    </row>
    <row r="993">
      <c r="A993" s="370"/>
      <c r="B993" s="371">
        <v>2139.0</v>
      </c>
      <c r="C993" s="371"/>
    </row>
    <row r="994">
      <c r="A994" s="370"/>
      <c r="B994" s="371">
        <v>2140.0</v>
      </c>
      <c r="C994" s="371"/>
    </row>
    <row r="995">
      <c r="A995" s="370"/>
      <c r="B995" s="371">
        <v>2141.0</v>
      </c>
      <c r="C995" s="371"/>
    </row>
    <row r="996">
      <c r="A996" s="370"/>
      <c r="B996" s="371">
        <v>2142.0</v>
      </c>
      <c r="C996" s="371"/>
    </row>
    <row r="997">
      <c r="A997" s="370"/>
      <c r="B997" s="371">
        <v>2143.0</v>
      </c>
      <c r="C997" s="371"/>
    </row>
    <row r="998">
      <c r="A998" s="370"/>
      <c r="B998" s="371">
        <v>2144.0</v>
      </c>
      <c r="C998" s="371"/>
    </row>
    <row r="999">
      <c r="A999" s="370"/>
      <c r="B999" s="371">
        <v>2145.0</v>
      </c>
      <c r="C999" s="371"/>
    </row>
    <row r="1000">
      <c r="A1000" s="370"/>
      <c r="B1000" s="371">
        <v>2146.0</v>
      </c>
      <c r="C1000" s="371"/>
    </row>
    <row r="1001">
      <c r="A1001" s="370"/>
      <c r="B1001" s="371">
        <v>2147.0</v>
      </c>
      <c r="C1001" s="371"/>
    </row>
    <row r="1002">
      <c r="A1002" s="370"/>
      <c r="B1002" s="371">
        <v>2148.0</v>
      </c>
      <c r="C1002" s="371"/>
    </row>
    <row r="1003">
      <c r="A1003" s="370"/>
      <c r="B1003" s="371">
        <v>2149.0</v>
      </c>
      <c r="C1003" s="371"/>
    </row>
    <row r="1004">
      <c r="A1004" s="370"/>
      <c r="B1004" s="371">
        <v>2150.0</v>
      </c>
      <c r="C1004" s="371"/>
    </row>
    <row r="1005">
      <c r="A1005" s="370"/>
      <c r="B1005" s="371">
        <v>2151.0</v>
      </c>
      <c r="C1005" s="371"/>
    </row>
    <row r="1006">
      <c r="A1006" s="370"/>
      <c r="B1006" s="371">
        <v>2152.0</v>
      </c>
      <c r="C1006" s="371"/>
    </row>
    <row r="1007">
      <c r="A1007" s="370"/>
      <c r="B1007" s="371">
        <v>2153.0</v>
      </c>
      <c r="C1007" s="371"/>
    </row>
    <row r="1008">
      <c r="A1008" s="370"/>
      <c r="B1008" s="371">
        <v>2154.0</v>
      </c>
      <c r="C1008" s="371"/>
    </row>
    <row r="1009">
      <c r="A1009" s="370"/>
      <c r="B1009" s="371">
        <v>2155.0</v>
      </c>
      <c r="C1009" s="371"/>
    </row>
    <row r="1010">
      <c r="A1010" s="370"/>
      <c r="B1010" s="371">
        <v>2156.0</v>
      </c>
      <c r="C1010" s="371"/>
    </row>
    <row r="1011">
      <c r="A1011" s="370"/>
      <c r="B1011" s="371">
        <v>2157.0</v>
      </c>
      <c r="C1011" s="371"/>
    </row>
    <row r="1012">
      <c r="A1012" s="370"/>
      <c r="B1012" s="371">
        <v>2158.0</v>
      </c>
      <c r="C1012" s="371"/>
    </row>
    <row r="1013">
      <c r="A1013" s="370"/>
      <c r="B1013" s="371">
        <v>2160.0</v>
      </c>
      <c r="C1013" s="371"/>
    </row>
    <row r="1014">
      <c r="A1014" s="370"/>
      <c r="B1014" s="371">
        <v>2161.0</v>
      </c>
      <c r="C1014" s="371"/>
    </row>
    <row r="1015">
      <c r="A1015" s="370"/>
      <c r="B1015" s="371">
        <v>2162.0</v>
      </c>
      <c r="C1015" s="371"/>
    </row>
    <row r="1016">
      <c r="A1016" s="370"/>
      <c r="B1016" s="371">
        <v>2163.0</v>
      </c>
      <c r="C1016" s="371"/>
    </row>
    <row r="1017">
      <c r="A1017" s="370"/>
      <c r="B1017" s="371">
        <v>2164.0</v>
      </c>
      <c r="C1017" s="371"/>
    </row>
    <row r="1018">
      <c r="A1018" s="370"/>
      <c r="B1018" s="371">
        <v>2165.0</v>
      </c>
      <c r="C1018" s="371"/>
    </row>
    <row r="1019">
      <c r="A1019" s="370"/>
      <c r="B1019" s="371">
        <v>2166.0</v>
      </c>
      <c r="C1019" s="371"/>
    </row>
    <row r="1020">
      <c r="A1020" s="370"/>
      <c r="B1020" s="371">
        <v>2167.0</v>
      </c>
      <c r="C1020" s="371"/>
    </row>
    <row r="1021">
      <c r="A1021" s="370"/>
      <c r="B1021" s="371">
        <v>2168.0</v>
      </c>
      <c r="C1021" s="371"/>
    </row>
    <row r="1022">
      <c r="A1022" s="370"/>
      <c r="B1022" s="371">
        <v>2169.0</v>
      </c>
      <c r="C1022" s="371"/>
    </row>
    <row r="1023">
      <c r="A1023" s="370"/>
      <c r="B1023" s="371">
        <v>2170.0</v>
      </c>
      <c r="C1023" s="371"/>
    </row>
    <row r="1024">
      <c r="A1024" s="370"/>
      <c r="B1024" s="371">
        <v>2171.0</v>
      </c>
      <c r="C1024" s="371"/>
    </row>
    <row r="1025">
      <c r="A1025" s="370"/>
      <c r="B1025" s="371">
        <v>2172.0</v>
      </c>
      <c r="C1025" s="371"/>
    </row>
    <row r="1026">
      <c r="A1026" s="370"/>
      <c r="B1026" s="371">
        <v>2173.0</v>
      </c>
      <c r="C1026" s="371"/>
    </row>
    <row r="1027">
      <c r="A1027" s="370"/>
      <c r="B1027" s="371">
        <v>2174.0</v>
      </c>
      <c r="C1027" s="371"/>
    </row>
    <row r="1028">
      <c r="A1028" s="370"/>
      <c r="B1028" s="371">
        <v>2175.0</v>
      </c>
      <c r="C1028" s="371"/>
    </row>
    <row r="1029">
      <c r="A1029" s="370"/>
      <c r="B1029" s="371">
        <v>2176.0</v>
      </c>
      <c r="C1029" s="371"/>
    </row>
    <row r="1030">
      <c r="A1030" s="370"/>
      <c r="B1030" s="371">
        <v>2177.0</v>
      </c>
      <c r="C1030" s="371"/>
    </row>
    <row r="1031">
      <c r="A1031" s="370"/>
      <c r="B1031" s="371">
        <v>2178.0</v>
      </c>
      <c r="C1031" s="371"/>
    </row>
    <row r="1032">
      <c r="A1032" s="370"/>
      <c r="B1032" s="371">
        <v>2179.0</v>
      </c>
      <c r="C1032" s="371"/>
    </row>
    <row r="1033">
      <c r="A1033" s="370"/>
      <c r="B1033" s="371">
        <v>2179.0</v>
      </c>
      <c r="C1033" s="371"/>
    </row>
    <row r="1034">
      <c r="A1034" s="370"/>
      <c r="B1034" s="371">
        <v>2180.0</v>
      </c>
      <c r="C1034" s="371"/>
    </row>
    <row r="1035">
      <c r="A1035" s="370"/>
      <c r="B1035" s="371">
        <v>2181.0</v>
      </c>
      <c r="C1035" s="371"/>
    </row>
    <row r="1036">
      <c r="A1036" s="370"/>
      <c r="B1036" s="371">
        <v>2182.0</v>
      </c>
      <c r="C1036" s="371"/>
    </row>
    <row r="1037">
      <c r="A1037" s="370"/>
      <c r="B1037" s="371">
        <v>2183.0</v>
      </c>
      <c r="C1037" s="371"/>
    </row>
    <row r="1038">
      <c r="A1038" s="370"/>
      <c r="B1038" s="371">
        <v>2184.0</v>
      </c>
      <c r="C1038" s="371"/>
    </row>
    <row r="1039">
      <c r="A1039" s="370"/>
      <c r="B1039" s="371">
        <v>2185.0</v>
      </c>
      <c r="C1039" s="371"/>
    </row>
    <row r="1040">
      <c r="A1040" s="370"/>
      <c r="B1040" s="371">
        <v>2186.0</v>
      </c>
      <c r="C1040" s="371"/>
    </row>
    <row r="1041">
      <c r="A1041" s="370"/>
      <c r="B1041" s="371">
        <v>2187.0</v>
      </c>
      <c r="C1041" s="371"/>
    </row>
    <row r="1042">
      <c r="A1042" s="370"/>
      <c r="B1042" s="371">
        <v>2188.0</v>
      </c>
      <c r="C1042" s="371"/>
    </row>
    <row r="1043">
      <c r="A1043" s="370"/>
      <c r="B1043" s="371">
        <v>2189.0</v>
      </c>
      <c r="C1043" s="371"/>
    </row>
    <row r="1044">
      <c r="A1044" s="370"/>
      <c r="B1044" s="371">
        <v>2190.0</v>
      </c>
      <c r="C1044" s="371"/>
    </row>
    <row r="1045">
      <c r="A1045" s="370"/>
      <c r="B1045" s="371">
        <v>2191.0</v>
      </c>
      <c r="C1045" s="371"/>
    </row>
    <row r="1046">
      <c r="A1046" s="370"/>
      <c r="B1046" s="371">
        <v>2192.0</v>
      </c>
      <c r="C1046" s="371"/>
    </row>
    <row r="1047">
      <c r="A1047" s="370"/>
      <c r="B1047" s="371">
        <v>2193.0</v>
      </c>
      <c r="C1047" s="371"/>
    </row>
    <row r="1048">
      <c r="A1048" s="370"/>
      <c r="B1048" s="371">
        <v>2194.0</v>
      </c>
      <c r="C1048" s="371"/>
    </row>
    <row r="1049">
      <c r="A1049" s="370"/>
      <c r="B1049" s="371">
        <v>2195.0</v>
      </c>
      <c r="C1049" s="371"/>
    </row>
    <row r="1050">
      <c r="A1050" s="370"/>
      <c r="B1050" s="371">
        <v>2196.0</v>
      </c>
      <c r="C1050" s="371"/>
    </row>
    <row r="1051">
      <c r="A1051" s="370"/>
      <c r="B1051" s="371">
        <v>2197.0</v>
      </c>
      <c r="C1051" s="371"/>
    </row>
    <row r="1052">
      <c r="A1052" s="370"/>
      <c r="B1052" s="371">
        <v>2198.0</v>
      </c>
      <c r="C1052" s="371"/>
    </row>
    <row r="1053">
      <c r="A1053" s="370"/>
      <c r="B1053" s="371">
        <v>2199.0</v>
      </c>
      <c r="C1053" s="371"/>
    </row>
    <row r="1054">
      <c r="A1054" s="370"/>
      <c r="B1054" s="371">
        <v>2200.0</v>
      </c>
      <c r="C1054" s="371"/>
    </row>
    <row r="1055">
      <c r="A1055" s="370"/>
      <c r="B1055" s="371">
        <v>2201.0</v>
      </c>
      <c r="C1055" s="371"/>
    </row>
    <row r="1056">
      <c r="A1056" s="370"/>
      <c r="B1056" s="371">
        <v>2202.0</v>
      </c>
      <c r="C1056" s="371"/>
    </row>
    <row r="1057">
      <c r="A1057" s="370"/>
      <c r="B1057" s="371">
        <v>2203.0</v>
      </c>
      <c r="C1057" s="371"/>
    </row>
    <row r="1058">
      <c r="A1058" s="370"/>
      <c r="B1058" s="371">
        <v>2204.0</v>
      </c>
      <c r="C1058" s="371"/>
    </row>
    <row r="1059">
      <c r="A1059" s="370"/>
      <c r="B1059" s="371">
        <v>2205.0</v>
      </c>
      <c r="C1059" s="371"/>
    </row>
    <row r="1060">
      <c r="A1060" s="370"/>
      <c r="B1060" s="371">
        <v>2206.0</v>
      </c>
      <c r="C1060" s="371"/>
    </row>
    <row r="1061">
      <c r="A1061" s="370"/>
      <c r="B1061" s="371">
        <v>2207.0</v>
      </c>
      <c r="C1061" s="371"/>
    </row>
    <row r="1062">
      <c r="A1062" s="370"/>
      <c r="B1062" s="371">
        <v>2208.0</v>
      </c>
      <c r="C1062" s="371"/>
    </row>
    <row r="1063">
      <c r="A1063" s="370"/>
      <c r="B1063" s="371">
        <v>2209.0</v>
      </c>
      <c r="C1063" s="371"/>
    </row>
    <row r="1064">
      <c r="A1064" s="370"/>
      <c r="B1064" s="371">
        <v>2210.0</v>
      </c>
      <c r="C1064" s="371"/>
    </row>
    <row r="1065">
      <c r="A1065" s="370"/>
      <c r="B1065" s="371">
        <v>2211.0</v>
      </c>
      <c r="C1065" s="371"/>
    </row>
    <row r="1066">
      <c r="A1066" s="370"/>
      <c r="B1066" s="371">
        <v>2212.0</v>
      </c>
      <c r="C1066" s="371"/>
    </row>
    <row r="1067">
      <c r="A1067" s="370"/>
      <c r="B1067" s="371">
        <v>2213.0</v>
      </c>
      <c r="C1067" s="371"/>
    </row>
    <row r="1068">
      <c r="A1068" s="370"/>
      <c r="B1068" s="371">
        <v>2214.0</v>
      </c>
      <c r="C1068" s="371"/>
    </row>
    <row r="1069">
      <c r="A1069" s="370"/>
      <c r="B1069" s="371">
        <v>2215.0</v>
      </c>
      <c r="C1069" s="371"/>
    </row>
    <row r="1070">
      <c r="A1070" s="370"/>
      <c r="B1070" s="371">
        <v>2216.0</v>
      </c>
      <c r="C1070" s="371"/>
    </row>
    <row r="1071">
      <c r="A1071" s="370"/>
      <c r="B1071" s="371">
        <v>2217.0</v>
      </c>
      <c r="C1071" s="371"/>
    </row>
    <row r="1072">
      <c r="A1072" s="370"/>
      <c r="B1072" s="371">
        <v>2218.0</v>
      </c>
      <c r="C1072" s="371"/>
    </row>
    <row r="1073">
      <c r="A1073" s="370"/>
      <c r="B1073" s="371">
        <v>2219.0</v>
      </c>
      <c r="C1073" s="371"/>
    </row>
    <row r="1074">
      <c r="A1074" s="370"/>
      <c r="B1074" s="371">
        <v>2220.0</v>
      </c>
      <c r="C1074" s="371"/>
    </row>
    <row r="1075">
      <c r="A1075" s="370"/>
      <c r="B1075" s="371">
        <v>2221.0</v>
      </c>
      <c r="C1075" s="371"/>
    </row>
    <row r="1076">
      <c r="A1076" s="370"/>
      <c r="B1076" s="371">
        <v>2222.0</v>
      </c>
      <c r="C1076" s="371"/>
    </row>
    <row r="1077">
      <c r="A1077" s="370"/>
      <c r="B1077" s="371">
        <v>2223.0</v>
      </c>
      <c r="C1077" s="371"/>
    </row>
    <row r="1078">
      <c r="A1078" s="370"/>
      <c r="B1078" s="371">
        <v>2224.0</v>
      </c>
      <c r="C1078" s="371"/>
    </row>
    <row r="1079">
      <c r="A1079" s="370"/>
      <c r="B1079" s="371">
        <v>2225.0</v>
      </c>
      <c r="C1079" s="371"/>
    </row>
    <row r="1080">
      <c r="A1080" s="370"/>
      <c r="B1080" s="371">
        <v>2226.0</v>
      </c>
      <c r="C1080" s="371"/>
    </row>
    <row r="1081">
      <c r="A1081" s="370"/>
      <c r="B1081" s="371">
        <v>2227.0</v>
      </c>
      <c r="C1081" s="371"/>
    </row>
    <row r="1082">
      <c r="A1082" s="370"/>
      <c r="B1082" s="371">
        <v>2228.0</v>
      </c>
      <c r="C1082" s="371"/>
    </row>
    <row r="1083">
      <c r="A1083" s="370"/>
      <c r="B1083" s="371">
        <v>2229.0</v>
      </c>
      <c r="C1083" s="371"/>
    </row>
    <row r="1084">
      <c r="A1084" s="370"/>
      <c r="B1084" s="371">
        <v>2230.0</v>
      </c>
      <c r="C1084" s="371"/>
    </row>
    <row r="1085">
      <c r="A1085" s="370"/>
      <c r="B1085" s="371">
        <v>2231.0</v>
      </c>
      <c r="C1085" s="371"/>
    </row>
    <row r="1086">
      <c r="A1086" s="370"/>
      <c r="B1086" s="371">
        <v>2232.0</v>
      </c>
      <c r="C1086" s="371"/>
    </row>
    <row r="1087">
      <c r="A1087" s="370"/>
      <c r="B1087" s="371">
        <v>2233.0</v>
      </c>
      <c r="C1087" s="371"/>
    </row>
    <row r="1088">
      <c r="A1088" s="370"/>
      <c r="B1088" s="371">
        <v>2234.0</v>
      </c>
      <c r="C1088" s="371"/>
    </row>
    <row r="1089">
      <c r="A1089" s="370"/>
      <c r="B1089" s="371">
        <v>2235.0</v>
      </c>
      <c r="C1089" s="371"/>
    </row>
    <row r="1090">
      <c r="A1090" s="370"/>
      <c r="B1090" s="371">
        <v>2236.0</v>
      </c>
      <c r="C1090" s="371"/>
    </row>
    <row r="1091">
      <c r="A1091" s="370"/>
      <c r="B1091" s="371">
        <v>2237.0</v>
      </c>
      <c r="C1091" s="371"/>
    </row>
    <row r="1092">
      <c r="A1092" s="370"/>
      <c r="B1092" s="371">
        <v>2238.0</v>
      </c>
      <c r="C1092" s="371"/>
    </row>
    <row r="1093">
      <c r="A1093" s="370"/>
      <c r="B1093" s="371">
        <v>2239.0</v>
      </c>
      <c r="C1093" s="371"/>
    </row>
    <row r="1094">
      <c r="A1094" s="370"/>
      <c r="B1094" s="371">
        <v>2240.0</v>
      </c>
      <c r="C1094" s="371"/>
    </row>
    <row r="1095">
      <c r="A1095" s="370"/>
      <c r="B1095" s="371">
        <v>2241.0</v>
      </c>
      <c r="C1095" s="371"/>
    </row>
    <row r="1096">
      <c r="A1096" s="370"/>
      <c r="B1096" s="371">
        <v>2242.0</v>
      </c>
      <c r="C1096" s="371"/>
    </row>
    <row r="1097">
      <c r="A1097" s="370"/>
      <c r="B1097" s="371">
        <v>2243.0</v>
      </c>
      <c r="C1097" s="371"/>
    </row>
    <row r="1098">
      <c r="A1098" s="370"/>
      <c r="B1098" s="371">
        <v>2244.0</v>
      </c>
      <c r="C1098" s="371"/>
    </row>
    <row r="1099">
      <c r="A1099" s="370"/>
      <c r="B1099" s="371">
        <v>2245.0</v>
      </c>
      <c r="C1099" s="371"/>
    </row>
    <row r="1100">
      <c r="A1100" s="370"/>
      <c r="B1100" s="371">
        <v>2246.0</v>
      </c>
      <c r="C1100" s="371"/>
    </row>
    <row r="1101">
      <c r="A1101" s="370"/>
      <c r="B1101" s="371">
        <v>2247.0</v>
      </c>
      <c r="C1101" s="371"/>
    </row>
    <row r="1102">
      <c r="A1102" s="370"/>
      <c r="B1102" s="371">
        <v>2248.0</v>
      </c>
      <c r="C1102" s="371"/>
    </row>
    <row r="1103">
      <c r="A1103" s="370"/>
      <c r="B1103" s="371">
        <v>2249.0</v>
      </c>
      <c r="C1103" s="371"/>
    </row>
    <row r="1104">
      <c r="A1104" s="370"/>
      <c r="B1104" s="371">
        <v>2250.0</v>
      </c>
      <c r="C1104" s="371"/>
    </row>
    <row r="1105">
      <c r="A1105" s="370"/>
      <c r="B1105" s="371">
        <v>2251.0</v>
      </c>
      <c r="C1105" s="371"/>
    </row>
    <row r="1106">
      <c r="A1106" s="370"/>
      <c r="B1106" s="371">
        <v>2252.0</v>
      </c>
      <c r="C1106" s="371"/>
    </row>
    <row r="1107">
      <c r="A1107" s="370"/>
      <c r="B1107" s="371">
        <v>2253.0</v>
      </c>
      <c r="C1107" s="371"/>
    </row>
    <row r="1108">
      <c r="A1108" s="370"/>
      <c r="B1108" s="371">
        <v>2254.0</v>
      </c>
      <c r="C1108" s="371"/>
    </row>
    <row r="1109">
      <c r="A1109" s="370"/>
      <c r="B1109" s="371">
        <v>2255.0</v>
      </c>
      <c r="C1109" s="371"/>
    </row>
    <row r="1110">
      <c r="A1110" s="370"/>
      <c r="B1110" s="371">
        <v>2256.0</v>
      </c>
      <c r="C1110" s="371"/>
    </row>
    <row r="1111">
      <c r="A1111" s="370"/>
      <c r="B1111" s="371">
        <v>2257.0</v>
      </c>
      <c r="C1111" s="371"/>
    </row>
    <row r="1112">
      <c r="A1112" s="370"/>
      <c r="B1112" s="371">
        <v>2258.0</v>
      </c>
      <c r="C1112" s="371"/>
    </row>
    <row r="1113">
      <c r="A1113" s="370"/>
      <c r="B1113" s="371">
        <v>2259.0</v>
      </c>
      <c r="C1113" s="371"/>
    </row>
    <row r="1114">
      <c r="A1114" s="370"/>
      <c r="B1114" s="371">
        <v>2260.0</v>
      </c>
      <c r="C1114" s="371"/>
    </row>
    <row r="1115">
      <c r="A1115" s="370"/>
      <c r="B1115" s="371">
        <v>2261.0</v>
      </c>
      <c r="C1115" s="371"/>
    </row>
    <row r="1116">
      <c r="A1116" s="370"/>
      <c r="B1116" s="371">
        <v>2262.0</v>
      </c>
      <c r="C1116" s="371"/>
    </row>
    <row r="1117">
      <c r="A1117" s="370"/>
      <c r="B1117" s="371">
        <v>2263.0</v>
      </c>
      <c r="C1117" s="371"/>
    </row>
    <row r="1118">
      <c r="A1118" s="370"/>
      <c r="B1118" s="371">
        <v>2264.0</v>
      </c>
      <c r="C1118" s="371"/>
    </row>
    <row r="1119">
      <c r="A1119" s="370"/>
      <c r="B1119" s="371">
        <v>2265.0</v>
      </c>
      <c r="C1119" s="371"/>
    </row>
    <row r="1120">
      <c r="A1120" s="370"/>
      <c r="B1120" s="371">
        <v>2266.0</v>
      </c>
      <c r="C1120" s="371"/>
    </row>
    <row r="1121">
      <c r="A1121" s="370"/>
      <c r="B1121" s="371">
        <v>2267.0</v>
      </c>
      <c r="C1121" s="371"/>
    </row>
    <row r="1122">
      <c r="A1122" s="370"/>
      <c r="B1122" s="371">
        <v>2268.0</v>
      </c>
      <c r="C1122" s="371"/>
    </row>
    <row r="1123">
      <c r="A1123" s="370"/>
      <c r="B1123" s="371">
        <v>2269.0</v>
      </c>
      <c r="C1123" s="371"/>
    </row>
    <row r="1124">
      <c r="A1124" s="370"/>
      <c r="B1124" s="371">
        <v>2270.0</v>
      </c>
      <c r="C1124" s="371"/>
    </row>
    <row r="1125">
      <c r="A1125" s="370"/>
      <c r="B1125" s="371">
        <v>2271.0</v>
      </c>
      <c r="C1125" s="371"/>
    </row>
    <row r="1126">
      <c r="A1126" s="370"/>
      <c r="B1126" s="371">
        <v>2272.0</v>
      </c>
      <c r="C1126" s="371"/>
    </row>
    <row r="1127">
      <c r="A1127" s="370"/>
      <c r="B1127" s="371">
        <v>2273.0</v>
      </c>
      <c r="C1127" s="371"/>
    </row>
    <row r="1128">
      <c r="A1128" s="370"/>
      <c r="B1128" s="371">
        <v>2274.0</v>
      </c>
      <c r="C1128" s="371"/>
    </row>
    <row r="1129">
      <c r="A1129" s="370"/>
      <c r="B1129" s="371">
        <v>2275.0</v>
      </c>
      <c r="C1129" s="371"/>
    </row>
    <row r="1130">
      <c r="A1130" s="370"/>
      <c r="B1130" s="371">
        <v>2276.0</v>
      </c>
      <c r="C1130" s="371"/>
    </row>
    <row r="1131">
      <c r="A1131" s="370"/>
      <c r="B1131" s="371">
        <v>2277.0</v>
      </c>
      <c r="C1131" s="371"/>
    </row>
    <row r="1132">
      <c r="A1132" s="370"/>
      <c r="B1132" s="371">
        <v>2278.0</v>
      </c>
      <c r="C1132" s="371"/>
    </row>
    <row r="1133">
      <c r="A1133" s="370"/>
      <c r="B1133" s="371">
        <v>2279.0</v>
      </c>
      <c r="C1133" s="371"/>
    </row>
    <row r="1134">
      <c r="A1134" s="370"/>
      <c r="B1134" s="371">
        <v>2280.0</v>
      </c>
      <c r="C1134" s="371"/>
    </row>
    <row r="1135">
      <c r="A1135" s="370"/>
      <c r="B1135" s="371">
        <v>2281.0</v>
      </c>
      <c r="C1135" s="371"/>
    </row>
    <row r="1136">
      <c r="A1136" s="370"/>
      <c r="B1136" s="371">
        <v>2282.0</v>
      </c>
      <c r="C1136" s="371"/>
    </row>
    <row r="1137">
      <c r="A1137" s="370"/>
      <c r="B1137" s="371">
        <v>2283.0</v>
      </c>
      <c r="C1137" s="371"/>
    </row>
    <row r="1138">
      <c r="A1138" s="370"/>
      <c r="B1138" s="371">
        <v>2284.0</v>
      </c>
      <c r="C1138" s="371"/>
    </row>
    <row r="1139">
      <c r="A1139" s="370"/>
      <c r="B1139" s="371">
        <v>2285.0</v>
      </c>
      <c r="C1139" s="371"/>
    </row>
    <row r="1140">
      <c r="A1140" s="370"/>
      <c r="B1140" s="371">
        <v>2286.0</v>
      </c>
      <c r="C1140" s="371"/>
    </row>
    <row r="1141">
      <c r="A1141" s="370"/>
      <c r="B1141" s="371">
        <v>2287.0</v>
      </c>
      <c r="C1141" s="371"/>
    </row>
    <row r="1142">
      <c r="A1142" s="370"/>
      <c r="B1142" s="371">
        <v>2288.0</v>
      </c>
      <c r="C1142" s="371"/>
    </row>
    <row r="1143">
      <c r="A1143" s="370"/>
      <c r="B1143" s="371">
        <v>2289.0</v>
      </c>
      <c r="C1143" s="371"/>
    </row>
    <row r="1144">
      <c r="A1144" s="370"/>
      <c r="B1144" s="371">
        <v>2290.0</v>
      </c>
      <c r="C1144" s="371"/>
    </row>
    <row r="1145">
      <c r="A1145" s="370"/>
      <c r="B1145" s="371">
        <v>2291.0</v>
      </c>
      <c r="C1145" s="371"/>
    </row>
    <row r="1146">
      <c r="A1146" s="370"/>
      <c r="B1146" s="371">
        <v>2292.0</v>
      </c>
      <c r="C1146" s="371"/>
    </row>
    <row r="1147">
      <c r="A1147" s="370"/>
      <c r="B1147" s="371">
        <v>2293.0</v>
      </c>
      <c r="C1147" s="371"/>
    </row>
    <row r="1148">
      <c r="A1148" s="370"/>
      <c r="B1148" s="371">
        <v>2294.0</v>
      </c>
      <c r="C1148" s="371"/>
    </row>
    <row r="1149">
      <c r="A1149" s="370"/>
      <c r="B1149" s="371">
        <v>2295.0</v>
      </c>
      <c r="C1149" s="371"/>
    </row>
    <row r="1150">
      <c r="A1150" s="370"/>
      <c r="B1150" s="371">
        <v>2296.0</v>
      </c>
      <c r="C1150" s="371"/>
    </row>
    <row r="1151">
      <c r="A1151" s="370"/>
      <c r="B1151" s="371">
        <v>2297.0</v>
      </c>
      <c r="C1151" s="371"/>
    </row>
    <row r="1152">
      <c r="A1152" s="370"/>
      <c r="B1152" s="371">
        <v>2298.0</v>
      </c>
      <c r="C1152" s="371"/>
    </row>
    <row r="1153">
      <c r="A1153" s="370"/>
      <c r="B1153" s="371">
        <v>2299.0</v>
      </c>
      <c r="C1153" s="371"/>
    </row>
    <row r="1154">
      <c r="A1154" s="370"/>
      <c r="B1154" s="371">
        <v>2300.0</v>
      </c>
      <c r="C1154" s="371"/>
    </row>
    <row r="1155">
      <c r="A1155" s="370"/>
      <c r="B1155" s="371">
        <v>2301.0</v>
      </c>
      <c r="C1155" s="371"/>
    </row>
    <row r="1156">
      <c r="A1156" s="370"/>
      <c r="B1156" s="371">
        <v>2302.0</v>
      </c>
      <c r="C1156" s="371"/>
    </row>
    <row r="1157">
      <c r="A1157" s="370"/>
      <c r="B1157" s="371">
        <v>2303.0</v>
      </c>
      <c r="C1157" s="371"/>
    </row>
    <row r="1158">
      <c r="A1158" s="370"/>
      <c r="B1158" s="371">
        <v>2304.0</v>
      </c>
      <c r="C1158" s="371"/>
    </row>
    <row r="1159">
      <c r="A1159" s="370"/>
      <c r="B1159" s="371">
        <v>2305.0</v>
      </c>
      <c r="C1159" s="371"/>
    </row>
    <row r="1160">
      <c r="A1160" s="370"/>
      <c r="B1160" s="371">
        <v>2306.0</v>
      </c>
      <c r="C1160" s="371"/>
    </row>
    <row r="1161">
      <c r="A1161" s="370"/>
      <c r="B1161" s="371">
        <v>2307.0</v>
      </c>
      <c r="C1161" s="371"/>
    </row>
    <row r="1162">
      <c r="A1162" s="370"/>
      <c r="B1162" s="371">
        <v>2308.0</v>
      </c>
      <c r="C1162" s="371"/>
    </row>
    <row r="1163">
      <c r="A1163" s="370"/>
      <c r="B1163" s="371">
        <v>2309.0</v>
      </c>
      <c r="C1163" s="371"/>
    </row>
    <row r="1164">
      <c r="A1164" s="370"/>
      <c r="B1164" s="371">
        <v>2310.0</v>
      </c>
      <c r="C1164" s="371"/>
    </row>
    <row r="1165">
      <c r="A1165" s="370"/>
      <c r="B1165" s="371">
        <v>2311.0</v>
      </c>
      <c r="C1165" s="371"/>
    </row>
    <row r="1166">
      <c r="A1166" s="370"/>
      <c r="B1166" s="371">
        <v>2312.0</v>
      </c>
      <c r="C1166" s="371"/>
    </row>
    <row r="1167">
      <c r="A1167" s="370"/>
      <c r="B1167" s="371">
        <v>2313.0</v>
      </c>
      <c r="C1167" s="371"/>
    </row>
    <row r="1168">
      <c r="A1168" s="370"/>
      <c r="B1168" s="371">
        <v>2314.0</v>
      </c>
      <c r="C1168" s="371"/>
    </row>
    <row r="1169">
      <c r="A1169" s="370"/>
      <c r="B1169" s="371">
        <v>2315.0</v>
      </c>
      <c r="C1169" s="371"/>
    </row>
    <row r="1170">
      <c r="A1170" s="370"/>
      <c r="B1170" s="371">
        <v>2316.0</v>
      </c>
      <c r="C1170" s="371"/>
    </row>
    <row r="1171">
      <c r="A1171" s="370"/>
      <c r="B1171" s="371">
        <v>2317.0</v>
      </c>
      <c r="C1171" s="371"/>
    </row>
    <row r="1172">
      <c r="A1172" s="370"/>
      <c r="B1172" s="371">
        <v>2318.0</v>
      </c>
      <c r="C1172" s="371"/>
    </row>
    <row r="1173">
      <c r="A1173" s="370"/>
      <c r="B1173" s="371">
        <v>2319.0</v>
      </c>
      <c r="C1173" s="371"/>
    </row>
    <row r="1174">
      <c r="A1174" s="370"/>
      <c r="B1174" s="371">
        <v>2320.0</v>
      </c>
      <c r="C1174" s="371"/>
    </row>
    <row r="1175">
      <c r="A1175" s="370"/>
      <c r="B1175" s="371">
        <v>2321.0</v>
      </c>
      <c r="C1175" s="371"/>
    </row>
    <row r="1176">
      <c r="A1176" s="370"/>
      <c r="B1176" s="371">
        <v>2322.0</v>
      </c>
      <c r="C1176" s="371"/>
    </row>
    <row r="1177">
      <c r="A1177" s="370"/>
      <c r="B1177" s="371">
        <v>2323.0</v>
      </c>
      <c r="C1177" s="371"/>
    </row>
    <row r="1178">
      <c r="A1178" s="370"/>
      <c r="B1178" s="371">
        <v>2324.0</v>
      </c>
      <c r="C1178" s="371"/>
    </row>
    <row r="1179">
      <c r="A1179" s="370"/>
      <c r="B1179" s="371">
        <v>2325.0</v>
      </c>
      <c r="C1179" s="371"/>
    </row>
    <row r="1180">
      <c r="A1180" s="370"/>
      <c r="B1180" s="371">
        <v>2326.0</v>
      </c>
      <c r="C1180" s="371"/>
    </row>
    <row r="1181">
      <c r="A1181" s="370"/>
      <c r="B1181" s="371">
        <v>2327.0</v>
      </c>
      <c r="C1181" s="371"/>
    </row>
    <row r="1182">
      <c r="A1182" s="370"/>
      <c r="B1182" s="371">
        <v>2328.0</v>
      </c>
      <c r="C1182" s="371"/>
    </row>
    <row r="1183">
      <c r="A1183" s="370"/>
      <c r="B1183" s="371">
        <v>2329.0</v>
      </c>
      <c r="C1183" s="371"/>
    </row>
    <row r="1184">
      <c r="A1184" s="370"/>
      <c r="B1184" s="371">
        <v>2330.0</v>
      </c>
      <c r="C1184" s="371"/>
    </row>
    <row r="1185">
      <c r="A1185" s="370"/>
      <c r="B1185" s="371">
        <v>2331.0</v>
      </c>
      <c r="C1185" s="371"/>
    </row>
    <row r="1186">
      <c r="A1186" s="370"/>
      <c r="B1186" s="371">
        <v>2332.0</v>
      </c>
      <c r="C1186" s="371"/>
    </row>
    <row r="1187">
      <c r="A1187" s="370"/>
      <c r="B1187" s="371">
        <v>2333.0</v>
      </c>
      <c r="C1187" s="371"/>
    </row>
    <row r="1188">
      <c r="A1188" s="370"/>
      <c r="B1188" s="371">
        <v>2334.0</v>
      </c>
      <c r="C1188" s="371"/>
    </row>
    <row r="1189">
      <c r="A1189" s="370"/>
      <c r="B1189" s="371">
        <v>2335.0</v>
      </c>
      <c r="C1189" s="371"/>
    </row>
    <row r="1190">
      <c r="A1190" s="370"/>
      <c r="B1190" s="371">
        <v>2336.0</v>
      </c>
      <c r="C1190" s="371"/>
    </row>
    <row r="1191">
      <c r="A1191" s="370"/>
      <c r="B1191" s="371">
        <v>2337.0</v>
      </c>
      <c r="C1191" s="371"/>
    </row>
    <row r="1192">
      <c r="A1192" s="370"/>
      <c r="B1192" s="371">
        <v>2338.0</v>
      </c>
      <c r="C1192" s="371"/>
    </row>
    <row r="1193">
      <c r="A1193" s="370"/>
      <c r="B1193" s="371">
        <v>2339.0</v>
      </c>
      <c r="C1193" s="371"/>
    </row>
    <row r="1194">
      <c r="A1194" s="370"/>
      <c r="B1194" s="371">
        <v>2340.0</v>
      </c>
      <c r="C1194" s="371"/>
    </row>
    <row r="1195">
      <c r="A1195" s="370"/>
      <c r="B1195" s="371">
        <v>2341.0</v>
      </c>
      <c r="C1195" s="371"/>
    </row>
    <row r="1196">
      <c r="A1196" s="370"/>
      <c r="B1196" s="371">
        <v>2342.0</v>
      </c>
      <c r="C1196" s="371"/>
    </row>
    <row r="1197">
      <c r="A1197" s="370"/>
      <c r="B1197" s="371">
        <v>2343.0</v>
      </c>
      <c r="C1197" s="371"/>
    </row>
    <row r="1198">
      <c r="A1198" s="370"/>
      <c r="B1198" s="371">
        <v>2344.0</v>
      </c>
      <c r="C1198" s="371"/>
    </row>
    <row r="1199">
      <c r="A1199" s="370"/>
      <c r="B1199" s="371">
        <v>2345.0</v>
      </c>
      <c r="C1199" s="371"/>
    </row>
    <row r="1200">
      <c r="A1200" s="370"/>
      <c r="B1200" s="371">
        <v>2346.0</v>
      </c>
      <c r="C1200" s="371"/>
    </row>
    <row r="1201">
      <c r="A1201" s="370"/>
      <c r="B1201" s="371">
        <v>2347.0</v>
      </c>
      <c r="C1201" s="371"/>
    </row>
    <row r="1202">
      <c r="A1202" s="370"/>
      <c r="B1202" s="371">
        <v>2348.0</v>
      </c>
      <c r="C1202" s="371"/>
    </row>
    <row r="1203">
      <c r="A1203" s="370"/>
      <c r="B1203" s="371">
        <v>2349.0</v>
      </c>
      <c r="C1203" s="371"/>
    </row>
    <row r="1204">
      <c r="A1204" s="370"/>
      <c r="B1204" s="371">
        <v>2350.0</v>
      </c>
      <c r="C1204" s="371"/>
    </row>
    <row r="1205">
      <c r="A1205" s="370"/>
      <c r="B1205" s="371">
        <v>2351.0</v>
      </c>
      <c r="C1205" s="371"/>
    </row>
    <row r="1206">
      <c r="A1206" s="370"/>
      <c r="B1206" s="371">
        <v>2353.0</v>
      </c>
      <c r="C1206" s="371"/>
    </row>
    <row r="1207">
      <c r="A1207" s="370"/>
      <c r="B1207" s="371">
        <v>2354.0</v>
      </c>
      <c r="C1207" s="371"/>
    </row>
    <row r="1208">
      <c r="A1208" s="370"/>
      <c r="B1208" s="371">
        <v>2355.0</v>
      </c>
      <c r="C1208" s="371"/>
    </row>
    <row r="1209">
      <c r="A1209" s="370"/>
      <c r="B1209" s="371">
        <v>2356.0</v>
      </c>
      <c r="C1209" s="371"/>
    </row>
    <row r="1210">
      <c r="A1210" s="370"/>
      <c r="B1210" s="371">
        <v>2357.0</v>
      </c>
      <c r="C1210" s="371"/>
    </row>
    <row r="1211">
      <c r="A1211" s="370"/>
      <c r="B1211" s="371">
        <v>2358.0</v>
      </c>
      <c r="C1211" s="371"/>
    </row>
    <row r="1212">
      <c r="A1212" s="370"/>
      <c r="B1212" s="371">
        <v>2359.0</v>
      </c>
      <c r="C1212" s="371"/>
    </row>
    <row r="1213">
      <c r="A1213" s="370"/>
      <c r="B1213" s="371">
        <v>2360.0</v>
      </c>
      <c r="C1213" s="371"/>
    </row>
    <row r="1214">
      <c r="A1214" s="370"/>
      <c r="B1214" s="371">
        <v>2361.0</v>
      </c>
      <c r="C1214" s="371"/>
    </row>
    <row r="1215">
      <c r="A1215" s="370"/>
      <c r="B1215" s="371">
        <v>2362.0</v>
      </c>
      <c r="C1215" s="371"/>
    </row>
    <row r="1216">
      <c r="A1216" s="370"/>
      <c r="B1216" s="371">
        <v>2363.0</v>
      </c>
      <c r="C1216" s="371"/>
    </row>
    <row r="1217">
      <c r="A1217" s="370"/>
      <c r="B1217" s="371">
        <v>2364.0</v>
      </c>
      <c r="C1217" s="371"/>
    </row>
    <row r="1218">
      <c r="A1218" s="370"/>
      <c r="B1218" s="371">
        <v>2365.0</v>
      </c>
      <c r="C1218" s="371"/>
    </row>
    <row r="1219">
      <c r="A1219" s="370"/>
      <c r="B1219" s="371">
        <v>2366.0</v>
      </c>
      <c r="C1219" s="371"/>
    </row>
    <row r="1220">
      <c r="A1220" s="370"/>
      <c r="B1220" s="371">
        <v>2367.0</v>
      </c>
      <c r="C1220" s="371"/>
    </row>
    <row r="1221">
      <c r="A1221" s="370"/>
      <c r="B1221" s="371">
        <v>2368.0</v>
      </c>
      <c r="C1221" s="371"/>
    </row>
    <row r="1222">
      <c r="A1222" s="370"/>
      <c r="B1222" s="371">
        <v>2369.0</v>
      </c>
      <c r="C1222" s="371"/>
    </row>
    <row r="1223">
      <c r="A1223" s="370"/>
      <c r="B1223" s="371">
        <v>2370.0</v>
      </c>
      <c r="C1223" s="371"/>
    </row>
    <row r="1224">
      <c r="A1224" s="370"/>
      <c r="B1224" s="371">
        <v>2371.0</v>
      </c>
      <c r="C1224" s="371"/>
    </row>
    <row r="1225">
      <c r="A1225" s="370"/>
      <c r="B1225" s="371">
        <v>2372.0</v>
      </c>
      <c r="C1225" s="371"/>
    </row>
    <row r="1226">
      <c r="A1226" s="370"/>
      <c r="B1226" s="371">
        <v>2373.0</v>
      </c>
      <c r="C1226" s="371"/>
    </row>
    <row r="1227">
      <c r="A1227" s="370"/>
      <c r="B1227" s="371">
        <v>2374.0</v>
      </c>
      <c r="C1227" s="371"/>
    </row>
    <row r="1228">
      <c r="A1228" s="370"/>
      <c r="B1228" s="371">
        <v>2375.0</v>
      </c>
      <c r="C1228" s="371"/>
    </row>
    <row r="1229">
      <c r="A1229" s="370"/>
      <c r="B1229" s="371">
        <v>2376.0</v>
      </c>
      <c r="C1229" s="371"/>
    </row>
    <row r="1230">
      <c r="A1230" s="370"/>
      <c r="B1230" s="371">
        <v>2377.0</v>
      </c>
      <c r="C1230" s="371"/>
    </row>
    <row r="1231">
      <c r="A1231" s="370"/>
      <c r="B1231" s="371">
        <v>2378.0</v>
      </c>
      <c r="C1231" s="371"/>
    </row>
    <row r="1232">
      <c r="A1232" s="370"/>
      <c r="B1232" s="371">
        <v>2379.0</v>
      </c>
      <c r="C1232" s="371"/>
    </row>
    <row r="1233">
      <c r="A1233" s="370"/>
      <c r="B1233" s="371">
        <v>2380.0</v>
      </c>
      <c r="C1233" s="371"/>
    </row>
    <row r="1234">
      <c r="A1234" s="370"/>
      <c r="B1234" s="371">
        <v>2381.0</v>
      </c>
      <c r="C1234" s="371"/>
    </row>
    <row r="1235">
      <c r="A1235" s="370"/>
      <c r="B1235" s="371">
        <v>2382.0</v>
      </c>
      <c r="C1235" s="371"/>
    </row>
    <row r="1236">
      <c r="A1236" s="370"/>
      <c r="B1236" s="371">
        <v>2383.0</v>
      </c>
      <c r="C1236" s="371"/>
    </row>
    <row r="1237">
      <c r="A1237" s="370"/>
      <c r="B1237" s="371">
        <v>2384.0</v>
      </c>
      <c r="C1237" s="371"/>
    </row>
    <row r="1238">
      <c r="A1238" s="370"/>
      <c r="B1238" s="371">
        <v>2385.0</v>
      </c>
      <c r="C1238" s="371"/>
    </row>
    <row r="1239">
      <c r="A1239" s="370"/>
      <c r="B1239" s="371">
        <v>2386.0</v>
      </c>
      <c r="C1239" s="371"/>
    </row>
    <row r="1240">
      <c r="A1240" s="370"/>
      <c r="B1240" s="371">
        <v>2387.0</v>
      </c>
      <c r="C1240" s="371"/>
    </row>
    <row r="1241">
      <c r="A1241" s="370"/>
      <c r="B1241" s="371"/>
      <c r="C1241" s="371"/>
    </row>
    <row r="1242">
      <c r="A1242" s="370"/>
      <c r="B1242" s="371"/>
      <c r="C1242" s="371"/>
    </row>
    <row r="1243">
      <c r="A1243" s="370"/>
      <c r="B1243" s="371"/>
      <c r="C1243" s="371"/>
    </row>
    <row r="1244">
      <c r="A1244" s="370"/>
      <c r="B1244" s="371"/>
      <c r="C1244" s="371"/>
    </row>
    <row r="1245">
      <c r="A1245" s="370"/>
      <c r="B1245" s="371"/>
      <c r="C1245" s="371"/>
    </row>
    <row r="1246">
      <c r="A1246" s="370"/>
      <c r="B1246" s="371"/>
      <c r="C1246" s="371"/>
    </row>
    <row r="1247">
      <c r="A1247" s="370"/>
      <c r="B1247" s="371"/>
      <c r="C1247" s="371"/>
    </row>
    <row r="1248">
      <c r="A1248" s="370"/>
      <c r="B1248" s="371"/>
      <c r="C1248" s="371"/>
    </row>
    <row r="1249">
      <c r="A1249" s="370"/>
      <c r="B1249" s="371"/>
      <c r="C1249" s="371"/>
    </row>
    <row r="1250">
      <c r="A1250" s="370"/>
      <c r="B1250" s="371"/>
      <c r="C1250" s="371"/>
    </row>
    <row r="1251">
      <c r="A1251" s="370"/>
      <c r="B1251" s="371"/>
      <c r="C1251" s="371"/>
    </row>
    <row r="1252">
      <c r="A1252" s="370"/>
      <c r="B1252" s="371"/>
      <c r="C1252" s="371"/>
    </row>
    <row r="1253">
      <c r="A1253" s="370"/>
      <c r="B1253" s="371"/>
      <c r="C1253" s="371"/>
    </row>
    <row r="1254">
      <c r="A1254" s="370"/>
      <c r="B1254" s="371"/>
      <c r="C1254" s="371"/>
    </row>
    <row r="1255">
      <c r="A1255" s="370"/>
      <c r="B1255" s="371"/>
      <c r="C1255" s="371"/>
    </row>
    <row r="1256">
      <c r="A1256" s="370"/>
      <c r="B1256" s="371"/>
      <c r="C1256" s="371"/>
    </row>
    <row r="1257">
      <c r="A1257" s="370"/>
      <c r="B1257" s="371"/>
      <c r="C1257" s="371"/>
    </row>
    <row r="1258">
      <c r="A1258" s="370"/>
      <c r="B1258" s="371"/>
      <c r="C1258" s="371"/>
    </row>
    <row r="1259">
      <c r="A1259" s="370"/>
      <c r="B1259" s="371"/>
      <c r="C1259" s="371"/>
    </row>
    <row r="1260">
      <c r="A1260" s="370"/>
      <c r="B1260" s="371"/>
      <c r="C1260" s="371"/>
    </row>
    <row r="1261">
      <c r="A1261" s="370"/>
      <c r="B1261" s="371"/>
      <c r="C1261" s="371"/>
    </row>
    <row r="1262">
      <c r="A1262" s="370"/>
      <c r="B1262" s="371"/>
      <c r="C1262" s="371"/>
    </row>
    <row r="1263">
      <c r="A1263" s="370"/>
      <c r="B1263" s="371"/>
      <c r="C1263" s="371"/>
    </row>
    <row r="1264">
      <c r="A1264" s="370"/>
      <c r="B1264" s="371"/>
      <c r="C1264" s="371"/>
    </row>
    <row r="1265">
      <c r="A1265" s="370"/>
      <c r="B1265" s="371"/>
      <c r="C1265" s="371"/>
    </row>
    <row r="1266">
      <c r="A1266" s="370"/>
      <c r="B1266" s="371"/>
      <c r="C1266" s="371"/>
    </row>
    <row r="1267">
      <c r="A1267" s="370"/>
      <c r="B1267" s="371"/>
      <c r="C1267" s="371"/>
    </row>
    <row r="1268">
      <c r="A1268" s="370"/>
      <c r="B1268" s="371"/>
      <c r="C1268" s="371"/>
    </row>
    <row r="1269">
      <c r="A1269" s="370"/>
      <c r="B1269" s="371"/>
      <c r="C1269" s="371"/>
    </row>
    <row r="1270">
      <c r="A1270" s="370"/>
      <c r="B1270" s="371"/>
      <c r="C1270" s="371"/>
    </row>
    <row r="1271">
      <c r="A1271" s="370"/>
      <c r="B1271" s="371"/>
      <c r="C1271" s="371"/>
    </row>
    <row r="1272">
      <c r="A1272" s="370"/>
      <c r="B1272" s="371"/>
      <c r="C1272" s="371"/>
    </row>
    <row r="1273">
      <c r="A1273" s="370"/>
      <c r="B1273" s="371"/>
      <c r="C1273" s="371"/>
    </row>
    <row r="1274">
      <c r="A1274" s="370"/>
      <c r="B1274" s="371"/>
      <c r="C1274" s="371"/>
    </row>
    <row r="1275">
      <c r="A1275" s="370"/>
      <c r="B1275" s="371"/>
      <c r="C1275" s="371"/>
    </row>
    <row r="1276">
      <c r="A1276" s="370"/>
      <c r="B1276" s="371"/>
      <c r="C1276" s="371"/>
    </row>
    <row r="1277">
      <c r="A1277" s="370"/>
      <c r="B1277" s="371"/>
      <c r="C1277" s="371"/>
    </row>
    <row r="1278">
      <c r="A1278" s="370"/>
      <c r="B1278" s="371"/>
      <c r="C1278" s="371"/>
    </row>
    <row r="1279">
      <c r="A1279" s="370"/>
      <c r="B1279" s="371"/>
      <c r="C1279" s="371"/>
    </row>
    <row r="1280">
      <c r="A1280" s="370"/>
      <c r="B1280" s="371"/>
      <c r="C1280" s="371"/>
    </row>
    <row r="1281">
      <c r="A1281" s="370"/>
      <c r="B1281" s="371"/>
      <c r="C1281" s="371"/>
    </row>
    <row r="1282">
      <c r="A1282" s="370"/>
      <c r="B1282" s="371"/>
      <c r="C1282" s="371"/>
    </row>
    <row r="1283">
      <c r="A1283" s="370"/>
      <c r="B1283" s="371"/>
      <c r="C1283" s="371"/>
    </row>
    <row r="1284">
      <c r="A1284" s="370"/>
      <c r="B1284" s="371"/>
      <c r="C1284" s="371"/>
    </row>
    <row r="1285">
      <c r="A1285" s="370"/>
      <c r="B1285" s="371"/>
      <c r="C1285" s="371"/>
    </row>
    <row r="1286">
      <c r="A1286" s="370"/>
      <c r="B1286" s="371"/>
      <c r="C1286" s="371"/>
    </row>
    <row r="1287">
      <c r="A1287" s="370"/>
      <c r="B1287" s="371"/>
      <c r="C1287" s="371"/>
    </row>
    <row r="1288">
      <c r="A1288" s="370"/>
      <c r="B1288" s="371"/>
      <c r="C1288" s="371"/>
    </row>
    <row r="1289">
      <c r="A1289" s="370"/>
      <c r="B1289" s="371"/>
      <c r="C1289" s="371"/>
    </row>
    <row r="1290">
      <c r="A1290" s="370"/>
      <c r="B1290" s="371"/>
      <c r="C1290" s="371"/>
    </row>
    <row r="1291">
      <c r="A1291" s="370"/>
      <c r="B1291" s="371"/>
      <c r="C1291" s="371"/>
    </row>
    <row r="1292">
      <c r="A1292" s="370"/>
      <c r="B1292" s="371"/>
      <c r="C1292" s="371"/>
    </row>
    <row r="1293">
      <c r="A1293" s="370"/>
      <c r="B1293" s="371"/>
      <c r="C1293" s="371"/>
    </row>
    <row r="1294">
      <c r="A1294" s="370"/>
      <c r="B1294" s="371"/>
      <c r="C1294" s="371"/>
    </row>
    <row r="1295">
      <c r="A1295" s="370"/>
      <c r="B1295" s="371"/>
      <c r="C1295" s="371"/>
    </row>
    <row r="1296">
      <c r="A1296" s="370"/>
      <c r="B1296" s="371"/>
      <c r="C1296" s="371"/>
    </row>
    <row r="1297">
      <c r="A1297" s="370"/>
      <c r="B1297" s="371"/>
      <c r="C1297" s="371"/>
    </row>
    <row r="1298">
      <c r="A1298" s="370"/>
      <c r="B1298" s="371"/>
      <c r="C1298" s="371"/>
    </row>
    <row r="1299">
      <c r="A1299" s="370"/>
      <c r="B1299" s="371"/>
      <c r="C1299" s="371"/>
    </row>
    <row r="1300">
      <c r="A1300" s="370"/>
      <c r="B1300" s="371"/>
      <c r="C1300" s="371"/>
    </row>
    <row r="1301">
      <c r="A1301" s="370"/>
      <c r="B1301" s="371"/>
      <c r="C1301" s="371"/>
    </row>
    <row r="1302">
      <c r="A1302" s="370"/>
      <c r="B1302" s="371"/>
      <c r="C1302" s="371"/>
    </row>
    <row r="1303">
      <c r="A1303" s="370"/>
      <c r="B1303" s="371"/>
      <c r="C1303" s="371"/>
    </row>
    <row r="1304">
      <c r="A1304" s="370"/>
      <c r="B1304" s="371"/>
      <c r="C1304" s="371"/>
    </row>
    <row r="1305">
      <c r="A1305" s="370"/>
      <c r="B1305" s="371"/>
      <c r="C1305" s="371"/>
    </row>
    <row r="1306">
      <c r="A1306" s="370"/>
      <c r="B1306" s="371"/>
      <c r="C1306" s="371"/>
    </row>
    <row r="1307">
      <c r="A1307" s="370"/>
      <c r="B1307" s="371"/>
      <c r="C1307" s="371"/>
    </row>
    <row r="1308">
      <c r="A1308" s="370"/>
      <c r="B1308" s="371"/>
      <c r="C1308" s="371"/>
    </row>
    <row r="1309">
      <c r="A1309" s="370"/>
      <c r="B1309" s="371"/>
      <c r="C1309" s="371"/>
    </row>
    <row r="1310">
      <c r="A1310" s="370"/>
      <c r="B1310" s="371"/>
      <c r="C1310" s="371"/>
    </row>
    <row r="1311">
      <c r="A1311" s="370"/>
      <c r="B1311" s="371"/>
      <c r="C1311" s="371"/>
    </row>
    <row r="1312">
      <c r="A1312" s="370"/>
      <c r="B1312" s="371"/>
      <c r="C1312" s="371"/>
    </row>
    <row r="1313">
      <c r="A1313" s="370"/>
      <c r="B1313" s="371"/>
      <c r="C1313" s="371"/>
    </row>
    <row r="1314">
      <c r="A1314" s="370"/>
      <c r="B1314" s="371"/>
      <c r="C1314" s="371"/>
    </row>
    <row r="1315">
      <c r="A1315" s="370"/>
      <c r="B1315" s="371"/>
      <c r="C1315" s="371"/>
    </row>
    <row r="1316">
      <c r="A1316" s="370"/>
      <c r="B1316" s="371"/>
      <c r="C1316" s="371"/>
    </row>
    <row r="1317">
      <c r="A1317" s="370"/>
      <c r="B1317" s="371"/>
      <c r="C1317" s="371"/>
    </row>
    <row r="1318">
      <c r="A1318" s="370"/>
      <c r="B1318" s="371"/>
      <c r="C1318" s="371"/>
    </row>
    <row r="1319">
      <c r="A1319" s="370"/>
      <c r="B1319" s="371"/>
      <c r="C1319" s="371"/>
    </row>
    <row r="1320">
      <c r="A1320" s="370"/>
      <c r="B1320" s="371"/>
      <c r="C1320" s="371"/>
    </row>
    <row r="1321">
      <c r="A1321" s="370"/>
      <c r="B1321" s="371"/>
      <c r="C1321" s="371"/>
    </row>
    <row r="1322">
      <c r="A1322" s="370"/>
      <c r="B1322" s="371"/>
      <c r="C1322" s="371"/>
    </row>
    <row r="1323">
      <c r="A1323" s="370"/>
      <c r="B1323" s="371"/>
      <c r="C1323" s="371"/>
    </row>
    <row r="1324">
      <c r="A1324" s="370"/>
      <c r="B1324" s="371"/>
      <c r="C1324" s="371"/>
    </row>
    <row r="1325">
      <c r="A1325" s="370"/>
      <c r="B1325" s="371"/>
      <c r="C1325" s="371"/>
    </row>
    <row r="1326">
      <c r="A1326" s="370"/>
      <c r="B1326" s="371"/>
      <c r="C1326" s="371"/>
    </row>
    <row r="1327">
      <c r="A1327" s="370"/>
      <c r="B1327" s="371"/>
      <c r="C1327" s="371"/>
    </row>
    <row r="1328">
      <c r="A1328" s="370"/>
      <c r="B1328" s="371"/>
      <c r="C1328" s="371"/>
    </row>
    <row r="1329">
      <c r="A1329" s="370"/>
      <c r="B1329" s="371"/>
      <c r="C1329" s="371"/>
    </row>
    <row r="1330">
      <c r="A1330" s="370"/>
      <c r="B1330" s="371"/>
      <c r="C1330" s="371"/>
    </row>
    <row r="1331">
      <c r="A1331" s="370"/>
      <c r="B1331" s="371"/>
      <c r="C1331" s="371"/>
    </row>
    <row r="1332">
      <c r="A1332" s="370"/>
      <c r="B1332" s="371"/>
      <c r="C1332" s="371"/>
    </row>
    <row r="1333">
      <c r="A1333" s="370"/>
      <c r="B1333" s="371"/>
      <c r="C1333" s="371"/>
    </row>
    <row r="1334">
      <c r="A1334" s="370"/>
      <c r="B1334" s="371"/>
      <c r="C1334" s="371"/>
    </row>
    <row r="1335">
      <c r="A1335" s="370"/>
      <c r="B1335" s="371"/>
      <c r="C1335" s="371"/>
    </row>
    <row r="1336">
      <c r="A1336" s="370"/>
      <c r="B1336" s="371"/>
      <c r="C1336" s="371"/>
    </row>
    <row r="1337">
      <c r="A1337" s="370"/>
      <c r="B1337" s="371"/>
      <c r="C1337" s="371"/>
    </row>
    <row r="1338">
      <c r="A1338" s="370"/>
      <c r="B1338" s="371"/>
      <c r="C1338" s="371"/>
    </row>
    <row r="1339">
      <c r="A1339" s="370"/>
      <c r="B1339" s="371"/>
      <c r="C1339" s="371"/>
    </row>
    <row r="1340">
      <c r="A1340" s="370"/>
      <c r="B1340" s="371"/>
      <c r="C1340" s="371"/>
    </row>
    <row r="1341">
      <c r="A1341" s="370"/>
      <c r="B1341" s="371"/>
      <c r="C1341" s="371"/>
    </row>
    <row r="1342">
      <c r="A1342" s="370"/>
      <c r="B1342" s="371"/>
      <c r="C1342" s="371"/>
    </row>
    <row r="1343">
      <c r="A1343" s="370"/>
      <c r="B1343" s="371"/>
      <c r="C1343" s="371"/>
    </row>
    <row r="1344">
      <c r="A1344" s="370"/>
      <c r="B1344" s="371"/>
      <c r="C1344" s="371"/>
    </row>
    <row r="1345">
      <c r="A1345" s="370"/>
      <c r="B1345" s="371"/>
      <c r="C1345" s="371"/>
    </row>
    <row r="1346">
      <c r="A1346" s="370"/>
      <c r="B1346" s="371"/>
      <c r="C1346" s="371"/>
    </row>
    <row r="1347">
      <c r="A1347" s="370"/>
      <c r="B1347" s="371"/>
      <c r="C1347" s="371"/>
    </row>
    <row r="1348">
      <c r="A1348" s="370"/>
      <c r="B1348" s="371"/>
      <c r="C1348" s="371"/>
    </row>
    <row r="1349">
      <c r="A1349" s="370"/>
      <c r="B1349" s="371"/>
      <c r="C1349" s="371"/>
    </row>
    <row r="1350">
      <c r="A1350" s="370"/>
      <c r="B1350" s="371"/>
      <c r="C1350" s="371"/>
    </row>
    <row r="1351">
      <c r="A1351" s="370"/>
      <c r="B1351" s="371"/>
      <c r="C1351" s="371"/>
    </row>
    <row r="1352">
      <c r="A1352" s="370"/>
      <c r="B1352" s="371"/>
      <c r="C1352" s="371"/>
    </row>
    <row r="1353">
      <c r="A1353" s="370"/>
      <c r="B1353" s="371"/>
      <c r="C1353" s="371"/>
    </row>
    <row r="1354">
      <c r="A1354" s="370"/>
      <c r="B1354" s="371"/>
      <c r="C1354" s="371"/>
    </row>
    <row r="1355">
      <c r="A1355" s="370"/>
      <c r="B1355" s="371"/>
      <c r="C1355" s="371"/>
    </row>
    <row r="1356">
      <c r="A1356" s="370"/>
      <c r="B1356" s="371"/>
      <c r="C1356" s="371"/>
    </row>
    <row r="1357">
      <c r="A1357" s="370"/>
      <c r="B1357" s="371"/>
      <c r="C1357" s="371"/>
    </row>
    <row r="1358">
      <c r="A1358" s="370"/>
      <c r="B1358" s="371"/>
      <c r="C1358" s="371"/>
    </row>
    <row r="1359">
      <c r="A1359" s="370"/>
      <c r="B1359" s="371"/>
      <c r="C1359" s="371"/>
    </row>
    <row r="1360">
      <c r="A1360" s="370"/>
      <c r="B1360" s="371"/>
      <c r="C1360" s="371"/>
    </row>
    <row r="1361">
      <c r="A1361" s="370"/>
      <c r="B1361" s="371"/>
      <c r="C1361" s="371"/>
    </row>
    <row r="1362">
      <c r="A1362" s="370"/>
      <c r="B1362" s="371"/>
      <c r="C1362" s="371"/>
    </row>
    <row r="1363">
      <c r="A1363" s="370"/>
      <c r="B1363" s="371"/>
      <c r="C1363" s="371"/>
    </row>
    <row r="1364">
      <c r="A1364" s="370"/>
      <c r="B1364" s="371"/>
      <c r="C1364" s="371"/>
    </row>
    <row r="1365">
      <c r="A1365" s="370"/>
      <c r="B1365" s="371"/>
      <c r="C1365" s="371"/>
    </row>
    <row r="1366">
      <c r="A1366" s="370"/>
      <c r="B1366" s="371"/>
      <c r="C1366" s="371"/>
    </row>
    <row r="1367">
      <c r="A1367" s="370"/>
      <c r="B1367" s="371"/>
      <c r="C1367" s="371"/>
    </row>
    <row r="1368">
      <c r="A1368" s="370"/>
      <c r="B1368" s="371"/>
      <c r="C1368" s="371"/>
    </row>
    <row r="1369">
      <c r="A1369" s="370"/>
      <c r="B1369" s="371"/>
      <c r="C1369" s="371"/>
    </row>
    <row r="1370">
      <c r="A1370" s="370"/>
      <c r="B1370" s="371"/>
      <c r="C1370" s="371"/>
    </row>
    <row r="1371">
      <c r="A1371" s="370"/>
      <c r="B1371" s="371"/>
      <c r="C1371" s="371"/>
    </row>
    <row r="1372">
      <c r="A1372" s="370"/>
      <c r="B1372" s="371"/>
      <c r="C1372" s="371"/>
    </row>
    <row r="1373">
      <c r="A1373" s="370"/>
      <c r="B1373" s="371"/>
      <c r="C1373" s="371"/>
    </row>
    <row r="1374">
      <c r="A1374" s="370"/>
      <c r="B1374" s="371"/>
      <c r="C1374" s="371"/>
    </row>
    <row r="1375">
      <c r="A1375" s="370"/>
      <c r="B1375" s="371"/>
      <c r="C1375" s="371"/>
    </row>
    <row r="1376">
      <c r="A1376" s="370"/>
      <c r="B1376" s="371"/>
      <c r="C1376" s="371"/>
    </row>
    <row r="1377">
      <c r="A1377" s="370"/>
      <c r="B1377" s="371"/>
      <c r="C1377" s="371"/>
    </row>
    <row r="1378">
      <c r="A1378" s="370"/>
      <c r="B1378" s="371"/>
      <c r="C1378" s="371"/>
    </row>
    <row r="1379">
      <c r="A1379" s="370"/>
      <c r="B1379" s="371"/>
      <c r="C1379" s="371"/>
    </row>
    <row r="1380">
      <c r="A1380" s="370"/>
      <c r="B1380" s="371"/>
      <c r="C1380" s="371"/>
    </row>
    <row r="1381">
      <c r="A1381" s="370"/>
      <c r="B1381" s="371"/>
      <c r="C1381" s="371"/>
    </row>
    <row r="1382">
      <c r="A1382" s="370"/>
      <c r="B1382" s="371"/>
      <c r="C1382" s="371"/>
    </row>
    <row r="1383">
      <c r="A1383" s="370"/>
      <c r="B1383" s="371"/>
      <c r="C1383" s="371"/>
    </row>
    <row r="1384">
      <c r="A1384" s="370"/>
      <c r="B1384" s="371"/>
      <c r="C1384" s="371"/>
    </row>
    <row r="1385">
      <c r="A1385" s="370"/>
      <c r="B1385" s="371"/>
      <c r="C1385" s="371"/>
    </row>
    <row r="1386">
      <c r="A1386" s="370"/>
      <c r="B1386" s="371"/>
      <c r="C1386" s="371"/>
    </row>
    <row r="1387">
      <c r="A1387" s="370"/>
      <c r="B1387" s="371"/>
      <c r="C1387" s="371"/>
    </row>
    <row r="1388">
      <c r="A1388" s="370"/>
      <c r="B1388" s="371"/>
      <c r="C1388" s="371"/>
    </row>
    <row r="1389">
      <c r="A1389" s="370"/>
      <c r="B1389" s="371"/>
      <c r="C1389" s="371"/>
    </row>
    <row r="1390">
      <c r="A1390" s="370"/>
      <c r="B1390" s="371"/>
      <c r="C1390" s="371"/>
    </row>
    <row r="1391">
      <c r="A1391" s="370"/>
      <c r="B1391" s="371"/>
      <c r="C1391" s="371"/>
    </row>
    <row r="1392">
      <c r="A1392" s="370"/>
      <c r="B1392" s="371"/>
      <c r="C1392" s="371"/>
    </row>
    <row r="1393">
      <c r="A1393" s="370"/>
      <c r="B1393" s="371"/>
      <c r="C1393" s="371"/>
    </row>
    <row r="1394">
      <c r="A1394" s="370"/>
      <c r="B1394" s="371"/>
      <c r="C1394" s="371"/>
    </row>
    <row r="1395">
      <c r="A1395" s="370"/>
      <c r="B1395" s="371"/>
      <c r="C1395" s="371"/>
    </row>
    <row r="1396">
      <c r="A1396" s="370"/>
      <c r="B1396" s="371"/>
      <c r="C1396" s="371"/>
    </row>
    <row r="1397">
      <c r="A1397" s="370"/>
      <c r="B1397" s="371"/>
      <c r="C1397" s="371"/>
    </row>
    <row r="1398">
      <c r="A1398" s="370"/>
      <c r="B1398" s="371"/>
      <c r="C1398" s="371"/>
    </row>
    <row r="1399">
      <c r="A1399" s="370"/>
      <c r="B1399" s="371"/>
      <c r="C1399" s="371"/>
    </row>
    <row r="1400">
      <c r="A1400" s="370"/>
      <c r="B1400" s="371"/>
      <c r="C1400" s="371"/>
    </row>
    <row r="1401">
      <c r="A1401" s="370"/>
      <c r="B1401" s="371"/>
      <c r="C1401" s="371"/>
    </row>
    <row r="1402">
      <c r="A1402" s="370"/>
      <c r="B1402" s="371"/>
      <c r="C1402" s="371"/>
    </row>
    <row r="1403">
      <c r="A1403" s="370"/>
      <c r="B1403" s="371"/>
      <c r="C1403" s="371"/>
    </row>
    <row r="1404">
      <c r="A1404" s="370"/>
      <c r="B1404" s="371"/>
      <c r="C1404" s="371"/>
    </row>
    <row r="1405">
      <c r="A1405" s="370"/>
      <c r="B1405" s="371"/>
      <c r="C1405" s="371"/>
    </row>
    <row r="1406">
      <c r="A1406" s="370"/>
      <c r="B1406" s="371"/>
      <c r="C1406" s="371"/>
    </row>
    <row r="1407">
      <c r="A1407" s="370"/>
      <c r="B1407" s="371"/>
      <c r="C1407" s="371"/>
    </row>
    <row r="1408">
      <c r="A1408" s="370"/>
      <c r="B1408" s="371"/>
      <c r="C1408" s="371"/>
    </row>
    <row r="1409">
      <c r="A1409" s="370"/>
      <c r="B1409" s="371"/>
      <c r="C1409" s="371"/>
    </row>
    <row r="1410">
      <c r="A1410" s="370"/>
      <c r="B1410" s="371"/>
      <c r="C1410" s="371"/>
    </row>
    <row r="1411">
      <c r="A1411" s="370"/>
      <c r="B1411" s="371"/>
      <c r="C1411" s="371"/>
    </row>
    <row r="1412">
      <c r="A1412" s="370"/>
      <c r="B1412" s="371"/>
      <c r="C1412" s="371"/>
    </row>
    <row r="1413">
      <c r="A1413" s="370"/>
      <c r="B1413" s="371"/>
      <c r="C1413" s="371"/>
    </row>
    <row r="1414">
      <c r="A1414" s="370"/>
      <c r="B1414" s="371"/>
      <c r="C1414" s="371"/>
    </row>
    <row r="1415">
      <c r="A1415" s="370"/>
      <c r="B1415" s="371"/>
      <c r="C1415" s="371"/>
    </row>
    <row r="1416">
      <c r="A1416" s="370"/>
      <c r="B1416" s="371"/>
      <c r="C1416" s="371"/>
    </row>
    <row r="1417">
      <c r="A1417" s="370"/>
      <c r="B1417" s="371"/>
      <c r="C1417" s="371"/>
    </row>
    <row r="1418">
      <c r="A1418" s="370"/>
      <c r="B1418" s="371"/>
      <c r="C1418" s="371"/>
    </row>
    <row r="1419">
      <c r="A1419" s="370"/>
      <c r="B1419" s="371"/>
      <c r="C1419" s="371"/>
    </row>
    <row r="1420">
      <c r="A1420" s="370"/>
      <c r="B1420" s="371"/>
      <c r="C1420" s="371"/>
    </row>
    <row r="1421">
      <c r="A1421" s="370"/>
      <c r="B1421" s="371"/>
      <c r="C1421" s="371"/>
    </row>
    <row r="1422">
      <c r="A1422" s="370"/>
      <c r="B1422" s="371"/>
      <c r="C1422" s="371"/>
    </row>
    <row r="1423">
      <c r="A1423" s="370"/>
      <c r="B1423" s="371"/>
      <c r="C1423" s="371"/>
    </row>
    <row r="1424">
      <c r="A1424" s="370"/>
      <c r="B1424" s="371"/>
      <c r="C1424" s="371"/>
    </row>
    <row r="1425">
      <c r="A1425" s="370"/>
      <c r="B1425" s="371"/>
      <c r="C1425" s="371"/>
    </row>
    <row r="1426">
      <c r="A1426" s="370"/>
      <c r="B1426" s="371"/>
      <c r="C1426" s="371"/>
    </row>
    <row r="1427">
      <c r="A1427" s="370"/>
      <c r="B1427" s="371"/>
      <c r="C1427" s="371"/>
    </row>
    <row r="1428">
      <c r="A1428" s="370"/>
      <c r="B1428" s="371"/>
      <c r="C1428" s="371"/>
    </row>
    <row r="1429">
      <c r="A1429" s="370"/>
      <c r="B1429" s="371"/>
      <c r="C1429" s="371"/>
    </row>
    <row r="1430">
      <c r="A1430" s="370"/>
      <c r="B1430" s="371"/>
      <c r="C1430" s="371"/>
    </row>
    <row r="1431">
      <c r="A1431" s="370"/>
      <c r="B1431" s="371"/>
      <c r="C1431" s="371"/>
    </row>
    <row r="1432">
      <c r="A1432" s="370"/>
      <c r="B1432" s="371"/>
      <c r="C1432" s="371"/>
    </row>
    <row r="1433">
      <c r="A1433" s="370"/>
      <c r="B1433" s="371"/>
      <c r="C1433" s="371"/>
    </row>
    <row r="1434">
      <c r="A1434" s="370"/>
      <c r="B1434" s="371"/>
      <c r="C1434" s="371"/>
    </row>
    <row r="1435">
      <c r="A1435" s="370"/>
      <c r="B1435" s="371"/>
      <c r="C1435" s="371"/>
    </row>
    <row r="1436">
      <c r="A1436" s="370"/>
      <c r="B1436" s="371"/>
      <c r="C1436" s="371"/>
    </row>
    <row r="1437">
      <c r="A1437" s="370"/>
      <c r="B1437" s="371"/>
      <c r="C1437" s="371"/>
    </row>
    <row r="1438">
      <c r="A1438" s="370"/>
      <c r="B1438" s="371"/>
      <c r="C1438" s="371"/>
    </row>
    <row r="1439">
      <c r="A1439" s="370"/>
      <c r="B1439" s="371"/>
      <c r="C1439" s="371"/>
    </row>
    <row r="1440">
      <c r="A1440" s="370"/>
      <c r="B1440" s="371"/>
      <c r="C1440" s="371"/>
    </row>
    <row r="1441">
      <c r="A1441" s="370"/>
      <c r="B1441" s="371"/>
      <c r="C1441" s="371"/>
    </row>
    <row r="1442">
      <c r="A1442" s="370"/>
      <c r="B1442" s="371"/>
      <c r="C1442" s="371"/>
    </row>
    <row r="1443">
      <c r="A1443" s="370"/>
      <c r="B1443" s="371"/>
      <c r="C1443" s="371"/>
    </row>
    <row r="1444">
      <c r="A1444" s="370"/>
      <c r="B1444" s="371"/>
      <c r="C1444" s="371"/>
    </row>
    <row r="1445">
      <c r="A1445" s="370"/>
      <c r="B1445" s="371"/>
      <c r="C1445" s="371"/>
    </row>
    <row r="1446">
      <c r="A1446" s="370"/>
      <c r="B1446" s="371"/>
      <c r="C1446" s="371"/>
    </row>
    <row r="1447">
      <c r="A1447" s="370"/>
      <c r="B1447" s="371"/>
      <c r="C1447" s="371"/>
    </row>
    <row r="1448">
      <c r="A1448" s="370"/>
      <c r="B1448" s="371"/>
      <c r="C1448" s="371"/>
    </row>
    <row r="1449">
      <c r="A1449" s="370"/>
      <c r="B1449" s="371"/>
      <c r="C1449" s="371"/>
    </row>
    <row r="1450">
      <c r="A1450" s="370"/>
      <c r="B1450" s="371"/>
      <c r="C1450" s="371"/>
    </row>
    <row r="1451">
      <c r="A1451" s="370"/>
      <c r="B1451" s="371"/>
      <c r="C1451" s="371"/>
    </row>
    <row r="1452">
      <c r="A1452" s="370"/>
      <c r="B1452" s="371"/>
      <c r="C1452" s="371"/>
    </row>
    <row r="1453">
      <c r="A1453" s="370"/>
      <c r="B1453" s="371"/>
      <c r="C1453" s="371"/>
    </row>
    <row r="1454">
      <c r="A1454" s="370"/>
      <c r="B1454" s="371"/>
      <c r="C1454" s="371"/>
    </row>
    <row r="1455">
      <c r="A1455" s="370"/>
      <c r="B1455" s="371"/>
      <c r="C1455" s="371"/>
    </row>
    <row r="1456">
      <c r="A1456" s="370"/>
      <c r="B1456" s="371"/>
      <c r="C1456" s="371"/>
    </row>
    <row r="1457">
      <c r="A1457" s="370"/>
      <c r="B1457" s="371"/>
      <c r="C1457" s="371"/>
    </row>
    <row r="1458">
      <c r="A1458" s="370"/>
      <c r="B1458" s="371"/>
      <c r="C1458" s="371"/>
    </row>
    <row r="1459">
      <c r="A1459" s="370"/>
      <c r="B1459" s="371"/>
      <c r="C1459" s="371"/>
    </row>
    <row r="1460">
      <c r="A1460" s="370"/>
      <c r="B1460" s="371"/>
      <c r="C1460" s="371"/>
    </row>
    <row r="1461">
      <c r="A1461" s="370"/>
      <c r="B1461" s="371"/>
      <c r="C1461" s="371"/>
    </row>
    <row r="1462">
      <c r="A1462" s="370"/>
      <c r="B1462" s="371"/>
      <c r="C1462" s="371"/>
    </row>
    <row r="1463">
      <c r="A1463" s="370"/>
      <c r="B1463" s="371"/>
      <c r="C1463" s="371"/>
    </row>
    <row r="1464">
      <c r="A1464" s="370"/>
      <c r="B1464" s="371"/>
      <c r="C1464" s="371"/>
    </row>
    <row r="1465">
      <c r="A1465" s="370"/>
      <c r="B1465" s="371"/>
      <c r="C1465" s="371"/>
    </row>
    <row r="1466">
      <c r="A1466" s="370"/>
      <c r="B1466" s="371"/>
      <c r="C1466" s="371"/>
    </row>
    <row r="1467">
      <c r="A1467" s="370"/>
      <c r="B1467" s="371"/>
      <c r="C1467" s="371"/>
    </row>
    <row r="1468">
      <c r="A1468" s="370"/>
      <c r="B1468" s="371"/>
      <c r="C1468" s="371"/>
    </row>
    <row r="1469">
      <c r="A1469" s="370"/>
      <c r="B1469" s="371"/>
      <c r="C1469" s="371"/>
    </row>
    <row r="1470">
      <c r="A1470" s="370"/>
      <c r="B1470" s="371"/>
      <c r="C1470" s="371"/>
    </row>
    <row r="1471">
      <c r="A1471" s="370"/>
      <c r="B1471" s="371"/>
      <c r="C1471" s="371"/>
    </row>
    <row r="1472">
      <c r="A1472" s="370"/>
      <c r="B1472" s="371"/>
      <c r="C1472" s="371"/>
    </row>
    <row r="1473">
      <c r="A1473" s="370"/>
      <c r="B1473" s="371"/>
      <c r="C1473" s="371"/>
    </row>
    <row r="1474">
      <c r="A1474" s="370"/>
      <c r="B1474" s="371"/>
      <c r="C1474" s="371"/>
    </row>
    <row r="1475">
      <c r="A1475" s="370"/>
      <c r="B1475" s="371"/>
      <c r="C1475" s="371"/>
    </row>
    <row r="1476">
      <c r="A1476" s="370"/>
      <c r="B1476" s="371"/>
      <c r="C1476" s="371"/>
    </row>
    <row r="1477">
      <c r="A1477" s="370"/>
      <c r="B1477" s="371"/>
      <c r="C1477" s="371"/>
    </row>
    <row r="1478">
      <c r="A1478" s="370"/>
      <c r="B1478" s="371"/>
      <c r="C1478" s="371"/>
    </row>
    <row r="1479">
      <c r="A1479" s="370"/>
      <c r="B1479" s="371"/>
      <c r="C1479" s="371"/>
    </row>
    <row r="1480">
      <c r="A1480" s="370"/>
      <c r="B1480" s="371"/>
      <c r="C1480" s="371"/>
    </row>
    <row r="1481">
      <c r="A1481" s="370"/>
      <c r="B1481" s="371"/>
      <c r="C1481" s="371"/>
    </row>
    <row r="1482">
      <c r="A1482" s="370"/>
      <c r="B1482" s="371"/>
      <c r="C1482" s="371"/>
    </row>
    <row r="1483">
      <c r="A1483" s="370"/>
      <c r="B1483" s="371"/>
      <c r="C1483" s="371"/>
    </row>
    <row r="1484">
      <c r="A1484" s="370"/>
      <c r="B1484" s="371"/>
      <c r="C1484" s="371"/>
    </row>
    <row r="1485">
      <c r="A1485" s="370"/>
      <c r="B1485" s="371"/>
      <c r="C1485" s="371"/>
    </row>
    <row r="1486">
      <c r="A1486" s="370"/>
      <c r="B1486" s="371"/>
      <c r="C1486" s="371"/>
    </row>
    <row r="1487">
      <c r="A1487" s="370"/>
      <c r="B1487" s="371"/>
      <c r="C1487" s="371"/>
    </row>
    <row r="1488">
      <c r="A1488" s="370"/>
      <c r="B1488" s="371"/>
      <c r="C1488" s="371"/>
    </row>
    <row r="1489">
      <c r="A1489" s="370"/>
      <c r="B1489" s="371"/>
      <c r="C1489" s="371"/>
    </row>
    <row r="1490">
      <c r="A1490" s="370"/>
      <c r="B1490" s="371"/>
      <c r="C1490" s="371"/>
    </row>
    <row r="1491">
      <c r="A1491" s="370"/>
      <c r="B1491" s="371"/>
      <c r="C1491" s="371"/>
    </row>
    <row r="1492">
      <c r="A1492" s="370"/>
      <c r="B1492" s="371"/>
      <c r="C1492" s="371"/>
    </row>
    <row r="1493">
      <c r="A1493" s="370"/>
      <c r="B1493" s="371"/>
      <c r="C1493" s="371"/>
    </row>
    <row r="1494">
      <c r="A1494" s="370"/>
      <c r="B1494" s="371"/>
      <c r="C1494" s="371"/>
    </row>
    <row r="1495">
      <c r="A1495" s="370"/>
      <c r="B1495" s="371"/>
      <c r="C1495" s="371"/>
    </row>
    <row r="1496">
      <c r="A1496" s="370"/>
      <c r="B1496" s="371"/>
      <c r="C1496" s="371"/>
    </row>
    <row r="1497">
      <c r="A1497" s="370"/>
      <c r="B1497" s="371"/>
      <c r="C1497" s="371"/>
    </row>
    <row r="1498">
      <c r="A1498" s="370"/>
      <c r="B1498" s="371"/>
      <c r="C1498" s="371"/>
    </row>
    <row r="1499">
      <c r="A1499" s="370"/>
      <c r="B1499" s="371"/>
      <c r="C1499" s="371"/>
    </row>
    <row r="1500">
      <c r="A1500" s="370"/>
      <c r="B1500" s="371"/>
      <c r="C1500" s="371"/>
    </row>
    <row r="1501">
      <c r="A1501" s="370"/>
      <c r="B1501" s="371"/>
      <c r="C1501" s="371"/>
    </row>
    <row r="1502">
      <c r="A1502" s="370"/>
      <c r="B1502" s="371"/>
      <c r="C1502" s="371"/>
    </row>
    <row r="1503">
      <c r="A1503" s="370"/>
      <c r="B1503" s="371"/>
      <c r="C1503" s="371"/>
    </row>
    <row r="1504">
      <c r="A1504" s="370"/>
      <c r="B1504" s="371"/>
      <c r="C1504" s="371"/>
    </row>
    <row r="1505">
      <c r="A1505" s="370"/>
      <c r="B1505" s="371"/>
      <c r="C1505" s="371"/>
    </row>
    <row r="1506">
      <c r="A1506" s="370"/>
      <c r="B1506" s="371"/>
      <c r="C1506" s="371"/>
    </row>
    <row r="1507">
      <c r="A1507" s="370"/>
      <c r="B1507" s="371"/>
      <c r="C1507" s="371"/>
    </row>
    <row r="1508">
      <c r="A1508" s="370"/>
      <c r="B1508" s="371"/>
      <c r="C1508" s="371"/>
    </row>
    <row r="1509">
      <c r="A1509" s="370"/>
      <c r="B1509" s="371"/>
      <c r="C1509" s="371"/>
    </row>
    <row r="1510">
      <c r="A1510" s="370"/>
      <c r="B1510" s="371"/>
      <c r="C1510" s="371"/>
    </row>
    <row r="1511">
      <c r="A1511" s="370"/>
      <c r="B1511" s="371"/>
      <c r="C1511" s="371"/>
    </row>
    <row r="1512">
      <c r="A1512" s="370"/>
      <c r="B1512" s="371"/>
      <c r="C1512" s="371"/>
    </row>
    <row r="1513">
      <c r="A1513" s="370"/>
      <c r="B1513" s="371"/>
      <c r="C1513" s="371"/>
    </row>
    <row r="1514">
      <c r="A1514" s="370"/>
      <c r="B1514" s="371"/>
      <c r="C1514" s="371"/>
    </row>
    <row r="1515">
      <c r="A1515" s="370"/>
      <c r="B1515" s="371"/>
      <c r="C1515" s="371"/>
    </row>
    <row r="1516">
      <c r="A1516" s="370"/>
      <c r="B1516" s="371"/>
      <c r="C1516" s="371"/>
    </row>
    <row r="1517">
      <c r="A1517" s="370"/>
      <c r="B1517" s="371"/>
      <c r="C1517" s="371"/>
    </row>
    <row r="1518">
      <c r="A1518" s="370"/>
      <c r="B1518" s="371"/>
      <c r="C1518" s="371"/>
    </row>
    <row r="1519">
      <c r="A1519" s="370"/>
      <c r="B1519" s="371"/>
      <c r="C1519" s="371"/>
    </row>
    <row r="1520">
      <c r="A1520" s="370"/>
      <c r="B1520" s="371"/>
      <c r="C1520" s="371"/>
    </row>
    <row r="1521">
      <c r="A1521" s="370"/>
      <c r="B1521" s="371"/>
      <c r="C1521" s="371"/>
    </row>
    <row r="1522">
      <c r="A1522" s="370"/>
      <c r="B1522" s="371"/>
      <c r="C1522" s="371"/>
    </row>
    <row r="1523">
      <c r="A1523" s="370"/>
      <c r="B1523" s="371"/>
      <c r="C1523" s="371"/>
    </row>
    <row r="1524">
      <c r="A1524" s="370"/>
      <c r="B1524" s="371"/>
      <c r="C1524" s="371"/>
    </row>
    <row r="1525">
      <c r="A1525" s="370"/>
      <c r="B1525" s="371"/>
      <c r="C1525" s="371"/>
    </row>
    <row r="1526">
      <c r="A1526" s="370"/>
      <c r="B1526" s="371"/>
      <c r="C1526" s="371"/>
    </row>
    <row r="1527">
      <c r="A1527" s="370"/>
      <c r="B1527" s="371"/>
      <c r="C1527" s="371"/>
    </row>
    <row r="1528">
      <c r="A1528" s="370"/>
      <c r="B1528" s="371"/>
      <c r="C1528" s="371"/>
    </row>
    <row r="1529">
      <c r="A1529" s="370"/>
      <c r="B1529" s="371"/>
      <c r="C1529" s="371"/>
    </row>
    <row r="1530">
      <c r="A1530" s="370"/>
      <c r="B1530" s="371"/>
      <c r="C1530" s="371"/>
    </row>
    <row r="1531">
      <c r="A1531" s="370"/>
      <c r="B1531" s="371"/>
      <c r="C1531" s="371"/>
    </row>
    <row r="1532">
      <c r="A1532" s="370"/>
      <c r="B1532" s="371"/>
      <c r="C1532" s="371"/>
    </row>
    <row r="1533">
      <c r="A1533" s="370"/>
      <c r="B1533" s="371"/>
      <c r="C1533" s="371"/>
    </row>
    <row r="1534">
      <c r="A1534" s="370"/>
      <c r="B1534" s="371"/>
      <c r="C1534" s="371"/>
    </row>
    <row r="1535">
      <c r="A1535" s="370"/>
      <c r="B1535" s="371"/>
      <c r="C1535" s="371"/>
    </row>
    <row r="1536">
      <c r="A1536" s="370"/>
      <c r="B1536" s="371"/>
      <c r="C1536" s="371"/>
    </row>
    <row r="1537">
      <c r="A1537" s="370"/>
      <c r="B1537" s="371"/>
      <c r="C1537" s="371"/>
    </row>
    <row r="1538">
      <c r="A1538" s="370"/>
      <c r="B1538" s="371"/>
      <c r="C1538" s="371"/>
    </row>
    <row r="1539">
      <c r="A1539" s="370"/>
      <c r="B1539" s="371"/>
      <c r="C1539" s="371"/>
    </row>
    <row r="1540">
      <c r="A1540" s="370"/>
      <c r="B1540" s="371"/>
      <c r="C1540" s="371"/>
    </row>
    <row r="1541">
      <c r="A1541" s="370"/>
      <c r="B1541" s="371"/>
      <c r="C1541" s="371"/>
    </row>
    <row r="1542">
      <c r="A1542" s="370"/>
      <c r="B1542" s="371"/>
      <c r="C1542" s="371"/>
    </row>
    <row r="1543">
      <c r="A1543" s="370"/>
      <c r="B1543" s="371"/>
      <c r="C1543" s="371"/>
    </row>
    <row r="1544">
      <c r="A1544" s="370"/>
      <c r="B1544" s="371"/>
      <c r="C1544" s="371"/>
    </row>
    <row r="1545">
      <c r="A1545" s="370"/>
      <c r="B1545" s="371"/>
      <c r="C1545" s="371"/>
    </row>
    <row r="1546">
      <c r="A1546" s="370"/>
      <c r="B1546" s="371"/>
      <c r="C1546" s="371"/>
    </row>
    <row r="1547">
      <c r="A1547" s="370"/>
      <c r="B1547" s="371"/>
      <c r="C1547" s="371"/>
    </row>
    <row r="1548">
      <c r="A1548" s="370"/>
      <c r="B1548" s="371"/>
      <c r="C1548" s="371"/>
    </row>
    <row r="1549">
      <c r="A1549" s="370"/>
      <c r="B1549" s="371"/>
      <c r="C1549" s="371"/>
    </row>
    <row r="1550">
      <c r="A1550" s="370"/>
      <c r="B1550" s="371"/>
      <c r="C1550" s="371"/>
    </row>
    <row r="1551">
      <c r="A1551" s="370"/>
      <c r="B1551" s="371"/>
      <c r="C1551" s="371"/>
    </row>
    <row r="1552">
      <c r="A1552" s="370"/>
      <c r="B1552" s="371"/>
      <c r="C1552" s="371"/>
    </row>
    <row r="1553">
      <c r="A1553" s="370"/>
      <c r="B1553" s="371"/>
      <c r="C1553" s="371"/>
    </row>
    <row r="1554">
      <c r="A1554" s="370"/>
      <c r="B1554" s="371"/>
      <c r="C1554" s="371"/>
    </row>
    <row r="1555">
      <c r="A1555" s="370"/>
      <c r="B1555" s="371"/>
      <c r="C1555" s="371"/>
    </row>
    <row r="1556">
      <c r="A1556" s="370"/>
      <c r="B1556" s="371"/>
      <c r="C1556" s="371"/>
    </row>
    <row r="1557">
      <c r="A1557" s="370"/>
      <c r="B1557" s="371"/>
      <c r="C1557" s="371"/>
    </row>
    <row r="1558">
      <c r="A1558" s="370"/>
      <c r="B1558" s="371"/>
      <c r="C1558" s="371"/>
    </row>
    <row r="1559">
      <c r="A1559" s="370"/>
      <c r="B1559" s="371"/>
      <c r="C1559" s="371"/>
    </row>
    <row r="1560">
      <c r="A1560" s="370"/>
      <c r="B1560" s="371"/>
      <c r="C1560" s="371"/>
    </row>
    <row r="1561">
      <c r="A1561" s="370"/>
      <c r="B1561" s="371"/>
      <c r="C1561" s="371"/>
    </row>
    <row r="1562">
      <c r="A1562" s="370"/>
      <c r="B1562" s="371"/>
      <c r="C1562" s="371"/>
    </row>
    <row r="1563">
      <c r="A1563" s="370"/>
      <c r="B1563" s="371"/>
      <c r="C1563" s="371"/>
    </row>
    <row r="1564">
      <c r="A1564" s="370"/>
      <c r="B1564" s="371"/>
      <c r="C1564" s="371"/>
    </row>
    <row r="1565">
      <c r="A1565" s="370"/>
      <c r="B1565" s="371"/>
      <c r="C1565" s="37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374" t="s">
        <v>743</v>
      </c>
    </row>
    <row r="2">
      <c r="A2" s="374" t="s">
        <v>2969</v>
      </c>
    </row>
    <row r="3">
      <c r="A3" s="374" t="s">
        <v>3294</v>
      </c>
    </row>
    <row r="4">
      <c r="A4" s="374" t="s">
        <v>3515</v>
      </c>
    </row>
    <row r="5">
      <c r="A5" s="374" t="s">
        <v>3507</v>
      </c>
    </row>
    <row r="6">
      <c r="A6" s="374" t="s">
        <v>3606</v>
      </c>
    </row>
    <row r="7">
      <c r="A7" s="374" t="s">
        <v>4341</v>
      </c>
    </row>
    <row r="8">
      <c r="A8" s="374" t="s">
        <v>3599</v>
      </c>
    </row>
    <row r="9">
      <c r="A9" s="374" t="s">
        <v>4342</v>
      </c>
    </row>
    <row r="10">
      <c r="A10" s="374" t="s">
        <v>1619</v>
      </c>
    </row>
    <row r="11">
      <c r="A11" s="374" t="s">
        <v>4343</v>
      </c>
    </row>
    <row r="12">
      <c r="A12" s="374" t="s">
        <v>4344</v>
      </c>
    </row>
    <row r="13">
      <c r="A13" s="374" t="s">
        <v>3764</v>
      </c>
    </row>
    <row r="14">
      <c r="A14" s="374" t="s">
        <v>4345</v>
      </c>
    </row>
    <row r="15">
      <c r="A15" s="374" t="s">
        <v>4346</v>
      </c>
    </row>
    <row r="16">
      <c r="A16" s="374" t="s">
        <v>2559</v>
      </c>
    </row>
    <row r="17">
      <c r="A17" s="374" t="s">
        <v>878</v>
      </c>
    </row>
    <row r="18">
      <c r="A18" s="374" t="s">
        <v>3662</v>
      </c>
    </row>
    <row r="19">
      <c r="A19" s="374" t="s">
        <v>2570</v>
      </c>
    </row>
    <row r="20">
      <c r="A20" s="374" t="s">
        <v>4347</v>
      </c>
    </row>
    <row r="21">
      <c r="A21" s="374" t="s">
        <v>3710</v>
      </c>
    </row>
    <row r="22">
      <c r="A22" s="374" t="s">
        <v>4348</v>
      </c>
    </row>
    <row r="23">
      <c r="A23" s="374" t="s">
        <v>4349</v>
      </c>
    </row>
    <row r="24">
      <c r="A24" s="374" t="s">
        <v>4350</v>
      </c>
    </row>
    <row r="25">
      <c r="A25" s="374" t="s">
        <v>1414</v>
      </c>
    </row>
    <row r="26">
      <c r="A26" s="374" t="s">
        <v>2647</v>
      </c>
    </row>
    <row r="27">
      <c r="A27" s="374" t="s">
        <v>4351</v>
      </c>
    </row>
    <row r="28">
      <c r="A28" s="374" t="s">
        <v>1833</v>
      </c>
    </row>
    <row r="29">
      <c r="A29" s="374" t="s">
        <v>4352</v>
      </c>
    </row>
    <row r="30">
      <c r="A30" s="374" t="s">
        <v>4353</v>
      </c>
    </row>
    <row r="31">
      <c r="A31" s="374" t="s">
        <v>4354</v>
      </c>
    </row>
    <row r="32">
      <c r="A32" s="374" t="s">
        <v>2528</v>
      </c>
    </row>
    <row r="33">
      <c r="A33" s="374" t="s">
        <v>1388</v>
      </c>
    </row>
    <row r="34">
      <c r="A34" s="374" t="s">
        <v>4355</v>
      </c>
    </row>
    <row r="35">
      <c r="A35" s="374" t="s">
        <v>4356</v>
      </c>
    </row>
    <row r="36">
      <c r="A36" s="374" t="s">
        <v>3274</v>
      </c>
    </row>
    <row r="37">
      <c r="A37" s="374" t="s">
        <v>575</v>
      </c>
    </row>
    <row r="38">
      <c r="A38" s="374" t="s">
        <v>2518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2" max="2" width="18.88"/>
    <col customWidth="1" min="3" max="3" width="33.0"/>
    <col customWidth="1" min="4" max="5" width="18.88"/>
    <col customWidth="1" min="6" max="6" width="38.88"/>
    <col customWidth="1" min="7" max="11" width="18.88"/>
  </cols>
  <sheetData>
    <row r="1">
      <c r="A1" t="s">
        <v>4357</v>
      </c>
      <c r="B1" s="189" t="s">
        <v>504</v>
      </c>
      <c r="C1" s="189" t="s">
        <v>25</v>
      </c>
      <c r="D1" s="375" t="s">
        <v>506</v>
      </c>
      <c r="E1" s="375" t="s">
        <v>507</v>
      </c>
      <c r="F1" s="375" t="s">
        <v>508</v>
      </c>
      <c r="G1" s="375" t="s">
        <v>4358</v>
      </c>
      <c r="H1" s="375" t="s">
        <v>4359</v>
      </c>
      <c r="I1" s="375" t="s">
        <v>511</v>
      </c>
      <c r="J1" s="375" t="s">
        <v>4360</v>
      </c>
      <c r="K1" s="375" t="s">
        <v>4361</v>
      </c>
    </row>
    <row r="2">
      <c r="A2" s="376">
        <v>42687.96903489583</v>
      </c>
      <c r="B2" s="3">
        <v>1610.0</v>
      </c>
      <c r="C2" s="3" t="s">
        <v>1467</v>
      </c>
      <c r="D2" s="3" t="s">
        <v>519</v>
      </c>
      <c r="E2" s="3" t="s">
        <v>770</v>
      </c>
      <c r="F2" s="3" t="s">
        <v>1468</v>
      </c>
      <c r="G2" s="3">
        <v>4711088.0</v>
      </c>
      <c r="I2" s="3" t="s">
        <v>1469</v>
      </c>
      <c r="J2" s="3" t="s">
        <v>4361</v>
      </c>
      <c r="K2" s="377"/>
    </row>
    <row r="3">
      <c r="A3" s="376">
        <v>42687.970594074075</v>
      </c>
      <c r="B3" s="3">
        <v>1612.0</v>
      </c>
      <c r="C3" s="3" t="s">
        <v>4362</v>
      </c>
      <c r="D3" s="3" t="s">
        <v>519</v>
      </c>
      <c r="E3" s="3" t="s">
        <v>709</v>
      </c>
      <c r="F3" s="3" t="s">
        <v>2654</v>
      </c>
      <c r="G3" s="3">
        <v>1.54096868E8</v>
      </c>
      <c r="I3" s="3" t="s">
        <v>2655</v>
      </c>
      <c r="J3" s="3" t="s">
        <v>4361</v>
      </c>
      <c r="K3" s="377"/>
    </row>
    <row r="4">
      <c r="A4" s="376">
        <v>42687.97221302083</v>
      </c>
      <c r="B4" s="3">
        <v>1612.0</v>
      </c>
      <c r="C4" s="3" t="s">
        <v>2900</v>
      </c>
      <c r="D4" s="3" t="s">
        <v>519</v>
      </c>
      <c r="E4" s="3" t="s">
        <v>527</v>
      </c>
      <c r="F4" s="3" t="s">
        <v>2901</v>
      </c>
      <c r="G4" s="3">
        <v>4890094.0</v>
      </c>
      <c r="I4" s="3" t="s">
        <v>2902</v>
      </c>
      <c r="J4" s="3" t="s">
        <v>4361</v>
      </c>
      <c r="K4" s="377"/>
    </row>
    <row r="5">
      <c r="A5" s="376">
        <v>42722.69443358797</v>
      </c>
      <c r="B5" s="3">
        <v>1613.0</v>
      </c>
      <c r="C5" s="3" t="s">
        <v>3890</v>
      </c>
      <c r="D5" s="3" t="s">
        <v>519</v>
      </c>
      <c r="E5" s="3" t="s">
        <v>520</v>
      </c>
      <c r="F5" s="3" t="s">
        <v>3891</v>
      </c>
      <c r="G5" s="3">
        <v>1.553116401E9</v>
      </c>
      <c r="J5" s="3" t="s">
        <v>4361</v>
      </c>
      <c r="K5" s="377"/>
    </row>
    <row r="6">
      <c r="A6" s="376">
        <v>42722.6954066551</v>
      </c>
      <c r="B6" s="3">
        <v>1614.0</v>
      </c>
      <c r="C6" s="3" t="s">
        <v>1275</v>
      </c>
      <c r="D6" s="3" t="s">
        <v>519</v>
      </c>
      <c r="E6" s="3" t="s">
        <v>527</v>
      </c>
      <c r="F6" s="3" t="s">
        <v>1276</v>
      </c>
      <c r="G6" s="3">
        <v>1.555806E8</v>
      </c>
      <c r="I6" s="3" t="s">
        <v>4363</v>
      </c>
      <c r="J6" s="3" t="s">
        <v>4361</v>
      </c>
      <c r="K6" s="377"/>
    </row>
    <row r="7">
      <c r="A7" s="376">
        <v>42722.69618421297</v>
      </c>
      <c r="B7" s="3">
        <v>1615.0</v>
      </c>
      <c r="C7" s="3" t="s">
        <v>3275</v>
      </c>
      <c r="D7" s="3" t="s">
        <v>519</v>
      </c>
      <c r="E7" s="3" t="s">
        <v>527</v>
      </c>
      <c r="F7" s="3" t="s">
        <v>3276</v>
      </c>
      <c r="G7" s="3">
        <v>4837645.0</v>
      </c>
      <c r="J7" s="3" t="s">
        <v>4361</v>
      </c>
      <c r="K7" s="377"/>
    </row>
    <row r="8">
      <c r="A8" s="376">
        <v>42722.69689212963</v>
      </c>
      <c r="B8" s="3">
        <v>1616.0</v>
      </c>
      <c r="C8" s="3" t="s">
        <v>2888</v>
      </c>
      <c r="D8" s="3" t="s">
        <v>519</v>
      </c>
      <c r="E8" s="3" t="s">
        <v>520</v>
      </c>
      <c r="F8" s="3" t="s">
        <v>2889</v>
      </c>
      <c r="G8" s="3">
        <v>4633299.0</v>
      </c>
      <c r="J8" s="3" t="s">
        <v>4361</v>
      </c>
      <c r="K8" s="377"/>
    </row>
    <row r="9">
      <c r="A9" s="376">
        <v>42736.872694398146</v>
      </c>
      <c r="B9" s="3">
        <v>1617.0</v>
      </c>
      <c r="C9" s="3" t="s">
        <v>1460</v>
      </c>
      <c r="D9" s="3" t="s">
        <v>519</v>
      </c>
      <c r="E9" s="3" t="s">
        <v>770</v>
      </c>
      <c r="F9" s="3" t="s">
        <v>1461</v>
      </c>
      <c r="G9" s="3">
        <v>1.55266888E8</v>
      </c>
      <c r="I9" s="3" t="s">
        <v>1462</v>
      </c>
      <c r="J9" s="3" t="s">
        <v>4361</v>
      </c>
      <c r="K9" s="377"/>
    </row>
    <row r="10">
      <c r="A10" s="376">
        <v>42750.75451056713</v>
      </c>
      <c r="B10" s="3">
        <v>1618.0</v>
      </c>
      <c r="C10" s="3" t="s">
        <v>3962</v>
      </c>
      <c r="D10" s="3" t="s">
        <v>519</v>
      </c>
      <c r="E10" s="3" t="s">
        <v>520</v>
      </c>
      <c r="F10" s="3" t="s">
        <v>3963</v>
      </c>
      <c r="G10" s="3" t="s">
        <v>3964</v>
      </c>
      <c r="I10" s="3" t="s">
        <v>3965</v>
      </c>
      <c r="J10" s="3" t="s">
        <v>4361</v>
      </c>
      <c r="K10" s="377"/>
    </row>
    <row r="11">
      <c r="A11" s="376">
        <v>42750.75576194444</v>
      </c>
      <c r="B11" s="3">
        <v>1619.0</v>
      </c>
      <c r="C11" s="3" t="s">
        <v>700</v>
      </c>
      <c r="D11" s="3" t="s">
        <v>519</v>
      </c>
      <c r="E11" s="3" t="s">
        <v>538</v>
      </c>
      <c r="F11" s="3" t="s">
        <v>701</v>
      </c>
      <c r="G11" s="3">
        <v>4272961.0</v>
      </c>
      <c r="I11" s="3" t="s">
        <v>702</v>
      </c>
      <c r="J11" s="3" t="s">
        <v>4361</v>
      </c>
      <c r="K11" s="377"/>
    </row>
    <row r="12">
      <c r="A12" s="376">
        <v>42768.53073038194</v>
      </c>
      <c r="B12" s="3">
        <v>1620.0</v>
      </c>
      <c r="C12" s="3" t="s">
        <v>2106</v>
      </c>
      <c r="D12" s="3" t="s">
        <v>519</v>
      </c>
      <c r="E12" s="3" t="s">
        <v>520</v>
      </c>
      <c r="F12" s="3" t="s">
        <v>2108</v>
      </c>
      <c r="G12" s="3">
        <v>1.55119711E8</v>
      </c>
      <c r="I12" s="3" t="s">
        <v>2109</v>
      </c>
      <c r="J12" s="3" t="s">
        <v>4361</v>
      </c>
      <c r="K12" s="377"/>
    </row>
    <row r="13">
      <c r="A13" s="376">
        <v>42778.57650996528</v>
      </c>
      <c r="B13" s="3">
        <v>1622.0</v>
      </c>
      <c r="C13" s="3" t="s">
        <v>3199</v>
      </c>
      <c r="D13" s="3" t="s">
        <v>519</v>
      </c>
      <c r="E13" s="3" t="s">
        <v>520</v>
      </c>
      <c r="F13" s="3" t="s">
        <v>3200</v>
      </c>
      <c r="G13" s="3">
        <v>1.54558746E8</v>
      </c>
      <c r="I13" s="3" t="s">
        <v>3201</v>
      </c>
      <c r="J13" s="3" t="s">
        <v>4361</v>
      </c>
      <c r="K13" s="377"/>
    </row>
    <row r="14">
      <c r="A14" s="376">
        <v>42778.575274884264</v>
      </c>
      <c r="B14" s="3">
        <v>1621.0</v>
      </c>
      <c r="C14" s="3" t="s">
        <v>2373</v>
      </c>
      <c r="D14" s="3" t="s">
        <v>519</v>
      </c>
      <c r="E14" s="3" t="s">
        <v>520</v>
      </c>
      <c r="F14" s="3" t="s">
        <v>2374</v>
      </c>
      <c r="G14" s="3">
        <v>1.5537088E8</v>
      </c>
      <c r="I14" s="3" t="s">
        <v>2375</v>
      </c>
      <c r="J14" s="3" t="s">
        <v>4361</v>
      </c>
      <c r="K14" s="377"/>
    </row>
    <row r="15">
      <c r="A15" s="376">
        <v>42778.5783372338</v>
      </c>
      <c r="B15" s="3">
        <v>1623.0</v>
      </c>
      <c r="C15" s="3" t="s">
        <v>1436</v>
      </c>
      <c r="D15" s="3" t="s">
        <v>519</v>
      </c>
      <c r="E15" s="3" t="s">
        <v>520</v>
      </c>
      <c r="F15" s="3" t="s">
        <v>1437</v>
      </c>
      <c r="G15" s="3">
        <v>1.56018989E8</v>
      </c>
      <c r="I15" s="3" t="s">
        <v>1438</v>
      </c>
      <c r="J15" s="3" t="s">
        <v>4361</v>
      </c>
      <c r="K15" s="377"/>
    </row>
    <row r="16">
      <c r="A16" s="376">
        <v>42778.57964596065</v>
      </c>
      <c r="B16" s="3">
        <v>1624.0</v>
      </c>
      <c r="C16" s="3" t="s">
        <v>1585</v>
      </c>
      <c r="D16" s="3" t="s">
        <v>519</v>
      </c>
      <c r="E16" s="3" t="s">
        <v>520</v>
      </c>
      <c r="F16" s="3" t="s">
        <v>1586</v>
      </c>
      <c r="G16" s="3">
        <v>1.5222644E7</v>
      </c>
      <c r="I16" s="3" t="s">
        <v>1587</v>
      </c>
      <c r="J16" s="3" t="s">
        <v>4361</v>
      </c>
      <c r="K16" s="377"/>
    </row>
    <row r="17">
      <c r="A17" s="376">
        <v>42778.58103149306</v>
      </c>
      <c r="B17" s="3">
        <v>1625.0</v>
      </c>
      <c r="C17" s="3" t="s">
        <v>1487</v>
      </c>
      <c r="D17" s="3" t="s">
        <v>519</v>
      </c>
      <c r="E17" s="3" t="s">
        <v>527</v>
      </c>
      <c r="F17" s="3" t="s">
        <v>1488</v>
      </c>
      <c r="G17" s="3">
        <v>1.55643099E8</v>
      </c>
      <c r="I17" s="3" t="s">
        <v>1489</v>
      </c>
      <c r="J17" s="3" t="s">
        <v>4361</v>
      </c>
      <c r="K17" s="377"/>
    </row>
    <row r="18">
      <c r="A18" s="376">
        <v>42778.58202240741</v>
      </c>
      <c r="B18" s="3">
        <v>1626.0</v>
      </c>
      <c r="C18" s="3" t="s">
        <v>1289</v>
      </c>
      <c r="D18" s="3" t="s">
        <v>3151</v>
      </c>
      <c r="E18" s="3" t="s">
        <v>709</v>
      </c>
      <c r="F18" s="3" t="s">
        <v>1290</v>
      </c>
      <c r="I18" s="3" t="s">
        <v>1291</v>
      </c>
      <c r="J18" s="3" t="s">
        <v>4361</v>
      </c>
      <c r="K18" s="377"/>
    </row>
    <row r="19">
      <c r="A19" s="376">
        <v>42778.58359435185</v>
      </c>
      <c r="B19" s="3">
        <v>1627.0</v>
      </c>
      <c r="C19" s="3" t="s">
        <v>3246</v>
      </c>
      <c r="D19" s="3" t="s">
        <v>519</v>
      </c>
      <c r="E19" s="3" t="s">
        <v>538</v>
      </c>
      <c r="F19" s="3" t="s">
        <v>3247</v>
      </c>
      <c r="G19" s="3">
        <v>1.55571055E8</v>
      </c>
      <c r="I19" s="3" t="s">
        <v>4364</v>
      </c>
      <c r="J19" s="3" t="s">
        <v>4361</v>
      </c>
      <c r="K19" s="377"/>
    </row>
    <row r="20">
      <c r="A20" s="376">
        <v>42797.86440175926</v>
      </c>
      <c r="B20" s="3">
        <v>1628.0</v>
      </c>
      <c r="C20" s="3" t="s">
        <v>2376</v>
      </c>
      <c r="D20" s="3" t="s">
        <v>519</v>
      </c>
      <c r="E20" s="3" t="s">
        <v>527</v>
      </c>
      <c r="F20" s="3" t="s">
        <v>2377</v>
      </c>
      <c r="I20" s="3" t="s">
        <v>2378</v>
      </c>
      <c r="J20" s="3" t="s">
        <v>4361</v>
      </c>
      <c r="K20" s="377"/>
    </row>
    <row r="21">
      <c r="A21" s="376">
        <v>42797.86655556713</v>
      </c>
      <c r="B21" s="3">
        <v>1629.0</v>
      </c>
      <c r="C21" s="3" t="s">
        <v>1456</v>
      </c>
      <c r="D21" s="3" t="s">
        <v>519</v>
      </c>
      <c r="E21" s="3" t="s">
        <v>709</v>
      </c>
      <c r="F21" s="3" t="s">
        <v>1457</v>
      </c>
      <c r="G21" s="3" t="s">
        <v>1458</v>
      </c>
      <c r="I21" s="3" t="s">
        <v>1459</v>
      </c>
      <c r="J21" s="3" t="s">
        <v>4361</v>
      </c>
      <c r="K21" s="377"/>
    </row>
    <row r="22">
      <c r="A22" s="376">
        <v>42797.86921481481</v>
      </c>
      <c r="B22" s="3">
        <v>1630.0</v>
      </c>
      <c r="C22" s="3" t="s">
        <v>978</v>
      </c>
      <c r="D22" s="3" t="s">
        <v>519</v>
      </c>
      <c r="E22" s="3" t="s">
        <v>709</v>
      </c>
      <c r="F22" s="3" t="s">
        <v>979</v>
      </c>
      <c r="I22" s="3" t="s">
        <v>980</v>
      </c>
      <c r="J22" s="3" t="s">
        <v>4361</v>
      </c>
      <c r="K22" s="377"/>
    </row>
    <row r="23">
      <c r="A23" s="376">
        <v>42797.87099484954</v>
      </c>
      <c r="B23" s="3">
        <v>1631.0</v>
      </c>
      <c r="C23" s="3" t="s">
        <v>2161</v>
      </c>
      <c r="D23" s="3" t="s">
        <v>519</v>
      </c>
      <c r="E23" s="3" t="s">
        <v>527</v>
      </c>
      <c r="F23" s="3" t="s">
        <v>2162</v>
      </c>
      <c r="G23" s="3">
        <v>1.55044504E8</v>
      </c>
      <c r="I23" s="3" t="s">
        <v>2163</v>
      </c>
      <c r="J23" s="3" t="s">
        <v>4361</v>
      </c>
      <c r="K23" s="377"/>
    </row>
    <row r="24">
      <c r="A24" s="376">
        <v>42821.427958043976</v>
      </c>
      <c r="B24" s="3">
        <v>1632.0</v>
      </c>
      <c r="C24" s="3" t="s">
        <v>639</v>
      </c>
      <c r="D24" s="3" t="s">
        <v>519</v>
      </c>
      <c r="E24" s="3" t="s">
        <v>527</v>
      </c>
      <c r="F24" s="3" t="s">
        <v>640</v>
      </c>
      <c r="G24" s="3">
        <v>1.54406784E8</v>
      </c>
      <c r="I24" s="3" t="s">
        <v>4365</v>
      </c>
      <c r="J24" s="3" t="s">
        <v>4361</v>
      </c>
      <c r="K24" s="377"/>
    </row>
    <row r="25">
      <c r="A25" s="376">
        <v>42821.43019601852</v>
      </c>
      <c r="B25" s="3">
        <v>1633.0</v>
      </c>
      <c r="C25" s="3" t="s">
        <v>3334</v>
      </c>
      <c r="D25" s="3" t="s">
        <v>519</v>
      </c>
      <c r="E25" s="3" t="s">
        <v>709</v>
      </c>
      <c r="F25" s="3" t="s">
        <v>3335</v>
      </c>
      <c r="G25" s="3">
        <v>1.55458285E8</v>
      </c>
      <c r="I25" s="3" t="s">
        <v>3336</v>
      </c>
      <c r="J25" s="3" t="s">
        <v>4361</v>
      </c>
      <c r="K25" s="377"/>
    </row>
    <row r="26">
      <c r="A26" s="376">
        <v>42821.431100891205</v>
      </c>
      <c r="B26" s="3">
        <v>1634.0</v>
      </c>
      <c r="C26" s="3" t="s">
        <v>4025</v>
      </c>
      <c r="D26" s="3" t="s">
        <v>519</v>
      </c>
      <c r="E26" s="3" t="s">
        <v>520</v>
      </c>
      <c r="F26" s="3" t="s">
        <v>4026</v>
      </c>
      <c r="G26" s="3">
        <v>1.54349831E8</v>
      </c>
      <c r="I26" s="3" t="s">
        <v>4027</v>
      </c>
      <c r="J26" s="3" t="s">
        <v>4361</v>
      </c>
      <c r="K26" s="377"/>
    </row>
    <row r="27">
      <c r="A27" s="376">
        <v>42821.432507986116</v>
      </c>
      <c r="B27" s="3">
        <v>1635.0</v>
      </c>
      <c r="C27" s="3" t="s">
        <v>3812</v>
      </c>
      <c r="D27" s="3" t="s">
        <v>519</v>
      </c>
      <c r="E27" s="3" t="s">
        <v>527</v>
      </c>
      <c r="F27" s="3" t="s">
        <v>3813</v>
      </c>
      <c r="G27" s="3">
        <v>1.5569263E8</v>
      </c>
      <c r="H27" s="3">
        <v>4709049.0</v>
      </c>
      <c r="I27" s="3" t="s">
        <v>3814</v>
      </c>
      <c r="J27" s="3" t="s">
        <v>4361</v>
      </c>
      <c r="K27" s="377"/>
    </row>
    <row r="28">
      <c r="A28" s="376">
        <v>42821.43345626157</v>
      </c>
      <c r="B28" s="3">
        <v>1636.0</v>
      </c>
      <c r="C28" s="3" t="s">
        <v>2618</v>
      </c>
      <c r="D28" s="3" t="s">
        <v>519</v>
      </c>
      <c r="E28" s="3" t="s">
        <v>520</v>
      </c>
      <c r="F28" s="3" t="s">
        <v>2619</v>
      </c>
      <c r="G28" s="3">
        <v>1.5647322E7</v>
      </c>
      <c r="I28" s="3" t="s">
        <v>4366</v>
      </c>
      <c r="J28" s="3" t="s">
        <v>4361</v>
      </c>
      <c r="K28" s="377"/>
    </row>
    <row r="29">
      <c r="A29" s="376">
        <v>42821.43505505787</v>
      </c>
      <c r="B29" s="3">
        <v>1637.0</v>
      </c>
      <c r="C29" s="3" t="s">
        <v>3765</v>
      </c>
      <c r="D29" s="3" t="s">
        <v>519</v>
      </c>
      <c r="E29" s="3" t="s">
        <v>520</v>
      </c>
      <c r="F29" s="3" t="s">
        <v>3766</v>
      </c>
      <c r="G29" s="3">
        <v>1.5606143E8</v>
      </c>
      <c r="H29" s="3">
        <v>4258334.0</v>
      </c>
      <c r="I29" s="3" t="s">
        <v>3767</v>
      </c>
      <c r="J29" s="3" t="s">
        <v>4361</v>
      </c>
      <c r="K29" s="377"/>
    </row>
    <row r="30">
      <c r="A30" s="376">
        <v>42849.91197396991</v>
      </c>
      <c r="B30" s="3">
        <v>1638.0</v>
      </c>
      <c r="C30" s="3" t="s">
        <v>3701</v>
      </c>
      <c r="D30" s="3" t="s">
        <v>519</v>
      </c>
      <c r="E30" s="3" t="s">
        <v>520</v>
      </c>
      <c r="F30" s="3" t="s">
        <v>3702</v>
      </c>
      <c r="G30" s="3">
        <v>1.55687849E8</v>
      </c>
      <c r="I30" s="3" t="s">
        <v>3703</v>
      </c>
      <c r="J30" s="3" t="s">
        <v>4361</v>
      </c>
      <c r="K30" s="377"/>
    </row>
    <row r="31">
      <c r="A31" s="376">
        <v>42849.9145830787</v>
      </c>
      <c r="B31" s="3">
        <v>1639.0</v>
      </c>
      <c r="C31" s="3" t="s">
        <v>2229</v>
      </c>
      <c r="D31" s="3" t="s">
        <v>519</v>
      </c>
      <c r="E31" s="3" t="s">
        <v>520</v>
      </c>
      <c r="F31" s="3" t="s">
        <v>2230</v>
      </c>
      <c r="G31" s="3">
        <v>4522380.0</v>
      </c>
      <c r="H31" s="3">
        <v>1.5503201E8</v>
      </c>
      <c r="I31" s="3" t="s">
        <v>4367</v>
      </c>
      <c r="J31" s="3" t="s">
        <v>4361</v>
      </c>
      <c r="K31" s="377"/>
    </row>
    <row r="32">
      <c r="A32" s="376">
        <v>42849.91612332176</v>
      </c>
      <c r="B32" s="3">
        <v>1640.0</v>
      </c>
      <c r="C32" s="3" t="s">
        <v>1314</v>
      </c>
      <c r="D32" s="3" t="s">
        <v>519</v>
      </c>
      <c r="E32" s="3" t="s">
        <v>527</v>
      </c>
      <c r="F32" s="3" t="s">
        <v>1315</v>
      </c>
      <c r="G32" s="3">
        <v>1.54818498E8</v>
      </c>
      <c r="I32" s="3" t="s">
        <v>1316</v>
      </c>
      <c r="J32" s="3" t="s">
        <v>4361</v>
      </c>
      <c r="K32" s="377"/>
    </row>
    <row r="33">
      <c r="A33" s="376">
        <v>42889.85339422454</v>
      </c>
      <c r="B33" s="3">
        <v>1641.0</v>
      </c>
      <c r="C33" s="3" t="s">
        <v>708</v>
      </c>
      <c r="D33" s="3" t="s">
        <v>519</v>
      </c>
      <c r="E33" s="3" t="s">
        <v>709</v>
      </c>
      <c r="F33" s="3" t="s">
        <v>710</v>
      </c>
      <c r="G33" s="3">
        <v>4750805.0</v>
      </c>
      <c r="H33" s="3">
        <v>1.563248638E9</v>
      </c>
      <c r="I33" s="3" t="s">
        <v>4368</v>
      </c>
      <c r="J33" s="3" t="s">
        <v>4361</v>
      </c>
      <c r="K33" s="377"/>
    </row>
    <row r="34">
      <c r="A34" s="376">
        <v>42889.85424190972</v>
      </c>
      <c r="B34" s="3">
        <v>1642.0</v>
      </c>
      <c r="C34" s="3" t="s">
        <v>3228</v>
      </c>
      <c r="D34" s="3" t="s">
        <v>519</v>
      </c>
      <c r="E34" s="3" t="s">
        <v>538</v>
      </c>
      <c r="F34" s="3" t="s">
        <v>3229</v>
      </c>
      <c r="G34" s="3">
        <v>1.55483426E8</v>
      </c>
      <c r="I34" s="3" t="s">
        <v>3230</v>
      </c>
      <c r="J34" s="3" t="s">
        <v>4361</v>
      </c>
      <c r="K34" s="377"/>
    </row>
    <row r="35">
      <c r="A35" s="376">
        <v>42917.003027280094</v>
      </c>
      <c r="B35" s="3">
        <v>1643.0</v>
      </c>
      <c r="C35" s="3" t="s">
        <v>4369</v>
      </c>
      <c r="D35" s="3" t="s">
        <v>519</v>
      </c>
      <c r="E35" s="3" t="s">
        <v>538</v>
      </c>
      <c r="F35" s="3" t="s">
        <v>670</v>
      </c>
      <c r="G35" s="3">
        <v>1.54379347E8</v>
      </c>
      <c r="I35" s="3" t="s">
        <v>4370</v>
      </c>
      <c r="J35" s="3" t="s">
        <v>4361</v>
      </c>
      <c r="K35" s="377"/>
    </row>
    <row r="36">
      <c r="A36" s="376">
        <v>42917.00413046296</v>
      </c>
      <c r="B36" s="3">
        <v>1644.0</v>
      </c>
      <c r="C36" s="3" t="s">
        <v>2503</v>
      </c>
      <c r="D36" s="3" t="s">
        <v>519</v>
      </c>
      <c r="E36" s="3" t="s">
        <v>538</v>
      </c>
      <c r="F36" s="3" t="s">
        <v>2504</v>
      </c>
      <c r="G36" s="3">
        <v>1.55868901E8</v>
      </c>
      <c r="I36" s="3" t="s">
        <v>2505</v>
      </c>
      <c r="J36" s="3" t="s">
        <v>4361</v>
      </c>
      <c r="K36" s="377"/>
    </row>
    <row r="37">
      <c r="A37" s="376">
        <v>42917.00593760417</v>
      </c>
      <c r="B37" s="3">
        <v>1645.0</v>
      </c>
      <c r="C37" s="3" t="s">
        <v>1985</v>
      </c>
      <c r="D37" s="3" t="s">
        <v>519</v>
      </c>
      <c r="E37" s="3" t="s">
        <v>538</v>
      </c>
      <c r="F37" s="3" t="s">
        <v>1986</v>
      </c>
      <c r="I37" s="3" t="s">
        <v>1987</v>
      </c>
      <c r="J37" s="3" t="s">
        <v>4361</v>
      </c>
      <c r="K37" s="377"/>
    </row>
    <row r="38">
      <c r="A38" s="376">
        <v>42917.00755579861</v>
      </c>
      <c r="B38" s="3">
        <v>1646.0</v>
      </c>
      <c r="C38" s="3" t="s">
        <v>2122</v>
      </c>
      <c r="D38" s="3" t="s">
        <v>519</v>
      </c>
      <c r="E38" s="3" t="s">
        <v>520</v>
      </c>
      <c r="F38" s="3" t="s">
        <v>2123</v>
      </c>
      <c r="G38" s="3">
        <v>1.54814935E8</v>
      </c>
      <c r="I38" s="3" t="s">
        <v>4371</v>
      </c>
      <c r="J38" s="3" t="s">
        <v>4361</v>
      </c>
      <c r="K38" s="377"/>
    </row>
    <row r="39">
      <c r="A39" s="376">
        <v>42941.90557967593</v>
      </c>
      <c r="B39" s="3">
        <v>1647.0</v>
      </c>
      <c r="C39" s="3" t="s">
        <v>3168</v>
      </c>
      <c r="D39" s="3" t="s">
        <v>519</v>
      </c>
      <c r="E39" s="3" t="s">
        <v>527</v>
      </c>
      <c r="F39" s="3" t="s">
        <v>4372</v>
      </c>
      <c r="G39" s="3" t="s">
        <v>3170</v>
      </c>
      <c r="I39" s="3" t="s">
        <v>4373</v>
      </c>
      <c r="J39" s="3" t="s">
        <v>4361</v>
      </c>
      <c r="K39" s="377"/>
    </row>
    <row r="40">
      <c r="A40" s="376">
        <v>42972.85799631945</v>
      </c>
      <c r="B40" s="3">
        <v>1648.0</v>
      </c>
      <c r="C40" s="3" t="s">
        <v>3809</v>
      </c>
      <c r="D40" s="3" t="s">
        <v>519</v>
      </c>
      <c r="E40" s="3" t="s">
        <v>527</v>
      </c>
      <c r="F40" s="3" t="s">
        <v>3810</v>
      </c>
      <c r="G40" s="3">
        <v>1.55622071E8</v>
      </c>
      <c r="I40" s="3" t="s">
        <v>3811</v>
      </c>
      <c r="J40" s="3" t="s">
        <v>4361</v>
      </c>
      <c r="K40" s="377"/>
    </row>
    <row r="41">
      <c r="A41" s="376">
        <v>42972.85942861111</v>
      </c>
      <c r="B41" s="3">
        <v>1649.0</v>
      </c>
      <c r="C41" s="3" t="s">
        <v>1494</v>
      </c>
      <c r="D41" s="3" t="s">
        <v>519</v>
      </c>
      <c r="E41" s="3" t="s">
        <v>527</v>
      </c>
      <c r="F41" s="3" t="s">
        <v>1495</v>
      </c>
      <c r="G41" s="3">
        <v>1.56047242E8</v>
      </c>
      <c r="I41" s="3" t="s">
        <v>4374</v>
      </c>
      <c r="J41" s="3" t="s">
        <v>4361</v>
      </c>
      <c r="K41" s="377"/>
    </row>
    <row r="42">
      <c r="A42" s="376">
        <v>42972.86800883102</v>
      </c>
      <c r="B42" s="3">
        <v>1650.0</v>
      </c>
      <c r="C42" s="3" t="s">
        <v>3082</v>
      </c>
      <c r="D42" s="3" t="s">
        <v>519</v>
      </c>
      <c r="E42" s="3" t="s">
        <v>527</v>
      </c>
      <c r="F42" s="3" t="s">
        <v>3083</v>
      </c>
      <c r="G42" s="3">
        <v>1.54977454E8</v>
      </c>
      <c r="I42" s="3" t="s">
        <v>3084</v>
      </c>
      <c r="J42" s="3" t="s">
        <v>4361</v>
      </c>
      <c r="K42" s="377"/>
    </row>
    <row r="43">
      <c r="A43" s="376">
        <v>42972.868886875</v>
      </c>
      <c r="B43" s="3">
        <v>1651.0</v>
      </c>
      <c r="C43" s="3" t="s">
        <v>3188</v>
      </c>
      <c r="D43" s="3" t="s">
        <v>519</v>
      </c>
      <c r="E43" s="3" t="s">
        <v>538</v>
      </c>
      <c r="F43" s="3" t="s">
        <v>3189</v>
      </c>
      <c r="G43" s="3">
        <v>1.55377846E8</v>
      </c>
      <c r="J43" s="3" t="s">
        <v>4361</v>
      </c>
      <c r="K43" s="377"/>
    </row>
    <row r="44">
      <c r="A44" s="376">
        <v>42978.8407137037</v>
      </c>
      <c r="B44" s="3">
        <v>1652.0</v>
      </c>
      <c r="C44" s="3" t="s">
        <v>4375</v>
      </c>
      <c r="D44" s="3" t="s">
        <v>519</v>
      </c>
      <c r="E44" s="3" t="s">
        <v>520</v>
      </c>
      <c r="F44" s="3" t="s">
        <v>521</v>
      </c>
      <c r="G44" s="3">
        <v>1.532956626E9</v>
      </c>
      <c r="I44" s="3" t="s">
        <v>522</v>
      </c>
      <c r="J44" s="3" t="s">
        <v>4361</v>
      </c>
      <c r="K44" s="377"/>
    </row>
    <row r="45">
      <c r="A45" s="376">
        <v>43011.813381458334</v>
      </c>
      <c r="B45" s="3">
        <v>1653.0</v>
      </c>
      <c r="C45" s="3" t="s">
        <v>4376</v>
      </c>
      <c r="D45" s="3" t="s">
        <v>519</v>
      </c>
      <c r="E45" s="3" t="s">
        <v>538</v>
      </c>
      <c r="F45" s="3" t="s">
        <v>4377</v>
      </c>
      <c r="G45" s="3">
        <v>1.55703401E8</v>
      </c>
      <c r="I45" s="3" t="s">
        <v>2046</v>
      </c>
      <c r="J45" s="3" t="s">
        <v>4361</v>
      </c>
      <c r="K45" s="377"/>
    </row>
    <row r="46">
      <c r="A46" s="376">
        <v>43011.81427447917</v>
      </c>
      <c r="B46" s="3">
        <v>1654.0</v>
      </c>
      <c r="C46" s="3" t="s">
        <v>3027</v>
      </c>
      <c r="D46" s="3" t="s">
        <v>519</v>
      </c>
      <c r="E46" s="3" t="s">
        <v>527</v>
      </c>
      <c r="F46" s="3" t="s">
        <v>3028</v>
      </c>
      <c r="G46" s="3">
        <v>4593004.0</v>
      </c>
      <c r="I46" s="3" t="s">
        <v>3029</v>
      </c>
      <c r="J46" s="3" t="s">
        <v>4361</v>
      </c>
      <c r="K46" s="377"/>
    </row>
    <row r="47">
      <c r="A47" s="376">
        <v>43011.815544513884</v>
      </c>
      <c r="B47" s="3">
        <v>1655.0</v>
      </c>
      <c r="C47" s="3" t="s">
        <v>2864</v>
      </c>
      <c r="D47" s="3" t="s">
        <v>519</v>
      </c>
      <c r="E47" s="3" t="s">
        <v>527</v>
      </c>
      <c r="F47" s="3" t="s">
        <v>2865</v>
      </c>
      <c r="G47" s="3">
        <v>4232744.0</v>
      </c>
      <c r="I47" s="3" t="s">
        <v>2866</v>
      </c>
      <c r="J47" s="3" t="s">
        <v>4361</v>
      </c>
      <c r="K47" s="377"/>
    </row>
    <row r="48">
      <c r="A48" s="376">
        <v>43036.86959153935</v>
      </c>
      <c r="B48" s="3">
        <v>1656.0</v>
      </c>
      <c r="C48" s="3" t="s">
        <v>4019</v>
      </c>
      <c r="D48" s="3" t="s">
        <v>519</v>
      </c>
      <c r="E48" s="3" t="s">
        <v>527</v>
      </c>
      <c r="F48" s="3" t="s">
        <v>4020</v>
      </c>
      <c r="G48" s="3">
        <v>1.5435505E7</v>
      </c>
      <c r="J48" s="3" t="s">
        <v>4361</v>
      </c>
      <c r="K48" s="377"/>
    </row>
    <row r="49">
      <c r="A49" s="376">
        <v>43036.87070696759</v>
      </c>
      <c r="B49" s="3">
        <v>1657.0</v>
      </c>
      <c r="C49" s="3" t="s">
        <v>1293</v>
      </c>
      <c r="D49" s="3" t="s">
        <v>519</v>
      </c>
      <c r="E49" s="3" t="s">
        <v>770</v>
      </c>
      <c r="F49" s="3" t="s">
        <v>1294</v>
      </c>
      <c r="G49" s="3">
        <v>1.55869034E8</v>
      </c>
      <c r="I49" s="3" t="s">
        <v>1295</v>
      </c>
      <c r="J49" s="3" t="s">
        <v>4361</v>
      </c>
      <c r="K49" s="377"/>
    </row>
    <row r="50">
      <c r="A50" s="376">
        <v>43036.87229649306</v>
      </c>
      <c r="B50" s="3">
        <v>1658.0</v>
      </c>
      <c r="C50" s="3" t="s">
        <v>2725</v>
      </c>
      <c r="D50" s="3" t="s">
        <v>519</v>
      </c>
      <c r="E50" s="3" t="s">
        <v>527</v>
      </c>
      <c r="F50" s="3" t="s">
        <v>2726</v>
      </c>
      <c r="G50" s="3">
        <v>1.55380283E8</v>
      </c>
      <c r="I50" s="3" t="s">
        <v>2727</v>
      </c>
      <c r="J50" s="3" t="s">
        <v>4361</v>
      </c>
      <c r="K50" s="377"/>
    </row>
    <row r="51">
      <c r="A51" s="376">
        <v>43036.87386090278</v>
      </c>
      <c r="B51" s="3">
        <v>1659.0</v>
      </c>
      <c r="C51" s="3" t="s">
        <v>2579</v>
      </c>
      <c r="D51" s="3" t="s">
        <v>519</v>
      </c>
      <c r="E51" s="3" t="s">
        <v>520</v>
      </c>
      <c r="F51" s="3" t="s">
        <v>2580</v>
      </c>
      <c r="G51" s="3">
        <v>1.54988967E8</v>
      </c>
      <c r="I51" s="3" t="s">
        <v>2581</v>
      </c>
      <c r="J51" s="3" t="s">
        <v>4361</v>
      </c>
      <c r="K51" s="377"/>
    </row>
    <row r="52">
      <c r="A52" s="376">
        <v>43036.87498020833</v>
      </c>
      <c r="B52" s="3">
        <v>1660.0</v>
      </c>
      <c r="C52" s="3" t="s">
        <v>1825</v>
      </c>
      <c r="D52" s="3" t="s">
        <v>519</v>
      </c>
      <c r="E52" s="3" t="s">
        <v>527</v>
      </c>
      <c r="F52" s="3" t="s">
        <v>1826</v>
      </c>
      <c r="G52" s="3">
        <v>1.54776645E8</v>
      </c>
      <c r="J52" s="3" t="s">
        <v>4361</v>
      </c>
      <c r="K52" s="377"/>
    </row>
    <row r="53">
      <c r="A53" s="376">
        <v>43036.87595688658</v>
      </c>
      <c r="B53" s="3">
        <v>1661.0</v>
      </c>
      <c r="C53" s="3" t="s">
        <v>2990</v>
      </c>
      <c r="D53" s="3" t="s">
        <v>519</v>
      </c>
      <c r="E53" s="3" t="s">
        <v>538</v>
      </c>
      <c r="F53" s="3" t="s">
        <v>2991</v>
      </c>
      <c r="G53" s="3">
        <v>1.55738854E8</v>
      </c>
      <c r="I53" s="3" t="s">
        <v>2992</v>
      </c>
      <c r="J53" s="3" t="s">
        <v>4361</v>
      </c>
      <c r="K53" s="377"/>
    </row>
    <row r="54">
      <c r="A54" s="376">
        <v>43036.8772437963</v>
      </c>
      <c r="B54" s="3">
        <v>1662.0</v>
      </c>
      <c r="C54" s="3" t="s">
        <v>1716</v>
      </c>
      <c r="D54" s="3" t="s">
        <v>519</v>
      </c>
      <c r="E54" s="3" t="s">
        <v>538</v>
      </c>
      <c r="F54" s="3" t="s">
        <v>1717</v>
      </c>
      <c r="G54" s="3">
        <v>1.55050943E8</v>
      </c>
      <c r="I54" s="3" t="s">
        <v>1718</v>
      </c>
      <c r="J54" s="3" t="s">
        <v>4361</v>
      </c>
      <c r="K54" s="377"/>
    </row>
    <row r="55">
      <c r="A55" s="376">
        <v>43072.69273270833</v>
      </c>
      <c r="B55" s="3">
        <v>1663.0</v>
      </c>
      <c r="C55" s="3" t="s">
        <v>4378</v>
      </c>
      <c r="D55" s="3" t="s">
        <v>519</v>
      </c>
      <c r="E55" s="3" t="s">
        <v>538</v>
      </c>
      <c r="F55" s="3" t="s">
        <v>2669</v>
      </c>
      <c r="G55" s="3">
        <v>1.56733961E8</v>
      </c>
      <c r="I55" s="3" t="s">
        <v>4379</v>
      </c>
      <c r="J55" s="3" t="s">
        <v>4361</v>
      </c>
      <c r="K55" s="377"/>
    </row>
    <row r="56">
      <c r="A56" s="376">
        <v>43072.69777383102</v>
      </c>
      <c r="B56" s="3">
        <v>1664.0</v>
      </c>
      <c r="C56" s="3" t="s">
        <v>4380</v>
      </c>
      <c r="D56" s="3" t="s">
        <v>519</v>
      </c>
      <c r="E56" s="3" t="s">
        <v>709</v>
      </c>
      <c r="F56" s="3" t="s">
        <v>4381</v>
      </c>
      <c r="G56" s="3" t="s">
        <v>3299</v>
      </c>
      <c r="I56" s="3" t="s">
        <v>3300</v>
      </c>
      <c r="J56" s="3" t="s">
        <v>4361</v>
      </c>
      <c r="K56" s="377"/>
    </row>
    <row r="57">
      <c r="A57" s="376">
        <v>43072.70451457176</v>
      </c>
      <c r="B57" s="3">
        <v>1665.0</v>
      </c>
      <c r="C57" s="3" t="s">
        <v>2474</v>
      </c>
      <c r="D57" s="3" t="s">
        <v>519</v>
      </c>
      <c r="E57" s="3" t="s">
        <v>520</v>
      </c>
      <c r="F57" s="3" t="s">
        <v>2475</v>
      </c>
      <c r="G57" s="3" t="s">
        <v>2476</v>
      </c>
      <c r="I57" s="3" t="s">
        <v>4382</v>
      </c>
      <c r="J57" s="3" t="s">
        <v>4361</v>
      </c>
      <c r="K57" s="377"/>
    </row>
    <row r="58">
      <c r="A58" s="376">
        <v>43072.70519518519</v>
      </c>
      <c r="B58" s="3">
        <v>1666.0</v>
      </c>
      <c r="C58" s="3" t="s">
        <v>2019</v>
      </c>
      <c r="D58" s="3" t="s">
        <v>519</v>
      </c>
      <c r="E58" s="3" t="s">
        <v>538</v>
      </c>
      <c r="F58" s="3" t="s">
        <v>2020</v>
      </c>
      <c r="G58" s="3">
        <v>1.5418424501E10</v>
      </c>
      <c r="J58" s="3" t="s">
        <v>4361</v>
      </c>
      <c r="K58" s="377"/>
    </row>
    <row r="59">
      <c r="A59" s="376">
        <v>43072.706164097224</v>
      </c>
      <c r="B59" s="3">
        <v>1667.0</v>
      </c>
      <c r="C59" s="3" t="s">
        <v>4383</v>
      </c>
      <c r="D59" s="3" t="s">
        <v>519</v>
      </c>
      <c r="E59" s="3" t="s">
        <v>709</v>
      </c>
      <c r="F59" s="3" t="s">
        <v>3483</v>
      </c>
      <c r="G59" s="3">
        <v>1.53534741E8</v>
      </c>
      <c r="I59" s="3" t="s">
        <v>4384</v>
      </c>
      <c r="J59" s="3" t="s">
        <v>4361</v>
      </c>
      <c r="K59" s="377"/>
    </row>
    <row r="60">
      <c r="A60" s="376">
        <v>43072.710324768515</v>
      </c>
      <c r="B60" s="3">
        <v>1668.0</v>
      </c>
      <c r="C60" s="3" t="s">
        <v>4385</v>
      </c>
      <c r="D60" s="3" t="s">
        <v>519</v>
      </c>
      <c r="E60" s="3" t="s">
        <v>520</v>
      </c>
      <c r="F60" s="3" t="s">
        <v>1146</v>
      </c>
      <c r="G60" s="3">
        <v>1.54810606E8</v>
      </c>
      <c r="J60" s="3" t="s">
        <v>4361</v>
      </c>
      <c r="K60" s="377"/>
    </row>
    <row r="61">
      <c r="A61" s="376">
        <v>43088.39573403935</v>
      </c>
      <c r="B61" s="3">
        <v>1669.0</v>
      </c>
      <c r="C61" s="3" t="s">
        <v>2681</v>
      </c>
      <c r="D61" s="3" t="s">
        <v>519</v>
      </c>
      <c r="E61" s="3" t="s">
        <v>538</v>
      </c>
      <c r="F61" s="3" t="s">
        <v>2682</v>
      </c>
      <c r="G61" s="3" t="s">
        <v>2683</v>
      </c>
      <c r="I61" s="3" t="s">
        <v>2684</v>
      </c>
      <c r="J61" s="3" t="s">
        <v>4361</v>
      </c>
      <c r="K61" s="377"/>
    </row>
    <row r="62">
      <c r="A62" s="376">
        <v>43088.39833070602</v>
      </c>
      <c r="B62" s="3">
        <v>1670.0</v>
      </c>
      <c r="C62" s="3" t="s">
        <v>3160</v>
      </c>
      <c r="D62" s="3" t="s">
        <v>519</v>
      </c>
      <c r="E62" s="3" t="s">
        <v>527</v>
      </c>
      <c r="F62" s="3" t="s">
        <v>3161</v>
      </c>
      <c r="G62" s="3">
        <v>1.56191223E8</v>
      </c>
      <c r="I62" s="3" t="s">
        <v>3162</v>
      </c>
      <c r="J62" s="3" t="s">
        <v>4361</v>
      </c>
      <c r="K62" s="377"/>
    </row>
    <row r="63">
      <c r="A63" s="376">
        <v>43088.39961649306</v>
      </c>
      <c r="B63" s="3">
        <v>1671.0</v>
      </c>
      <c r="C63" s="3" t="s">
        <v>2332</v>
      </c>
      <c r="D63" s="3" t="s">
        <v>519</v>
      </c>
      <c r="E63" s="3" t="s">
        <v>520</v>
      </c>
      <c r="F63" s="3" t="s">
        <v>2333</v>
      </c>
      <c r="G63" s="3">
        <v>4270176.0</v>
      </c>
      <c r="H63" s="3">
        <v>1.55070914E8</v>
      </c>
      <c r="I63" s="3" t="s">
        <v>2334</v>
      </c>
      <c r="J63" s="3" t="s">
        <v>4361</v>
      </c>
      <c r="K63" s="377"/>
    </row>
    <row r="64">
      <c r="A64" s="376">
        <v>43088.4009262037</v>
      </c>
      <c r="B64" s="3">
        <v>1672.0</v>
      </c>
      <c r="C64" s="3" t="s">
        <v>2422</v>
      </c>
      <c r="D64" s="3" t="s">
        <v>519</v>
      </c>
      <c r="E64" s="3" t="s">
        <v>2423</v>
      </c>
      <c r="F64" s="3" t="s">
        <v>2424</v>
      </c>
      <c r="G64" s="3" t="s">
        <v>2425</v>
      </c>
      <c r="I64" s="3" t="s">
        <v>2426</v>
      </c>
      <c r="J64" s="3" t="s">
        <v>4361</v>
      </c>
      <c r="K64" s="377"/>
    </row>
    <row r="65">
      <c r="A65" s="376">
        <v>43088.402611655096</v>
      </c>
      <c r="B65" s="3">
        <v>1673.0</v>
      </c>
      <c r="C65" s="3" t="s">
        <v>3995</v>
      </c>
      <c r="D65" s="3" t="s">
        <v>519</v>
      </c>
      <c r="E65" s="3" t="s">
        <v>2423</v>
      </c>
      <c r="F65" s="3" t="s">
        <v>3996</v>
      </c>
      <c r="G65" s="3">
        <v>1.55562539E8</v>
      </c>
      <c r="I65" s="3" t="s">
        <v>3997</v>
      </c>
      <c r="J65" s="3" t="s">
        <v>4361</v>
      </c>
      <c r="K65" s="377"/>
    </row>
    <row r="66">
      <c r="A66" s="376">
        <v>43088.40431846065</v>
      </c>
      <c r="B66" s="3">
        <v>1674.0</v>
      </c>
      <c r="C66" s="3" t="s">
        <v>1341</v>
      </c>
      <c r="D66" s="3" t="s">
        <v>519</v>
      </c>
      <c r="E66" s="3" t="s">
        <v>527</v>
      </c>
      <c r="F66" s="3" t="s">
        <v>1342</v>
      </c>
      <c r="G66" s="3">
        <v>1.55406906E8</v>
      </c>
      <c r="I66" s="3" t="s">
        <v>1343</v>
      </c>
      <c r="J66" s="3" t="s">
        <v>4361</v>
      </c>
      <c r="K66" s="377"/>
    </row>
    <row r="67">
      <c r="A67" s="376">
        <v>43114.8235446412</v>
      </c>
      <c r="B67" s="3">
        <v>1675.0</v>
      </c>
      <c r="C67" s="3" t="s">
        <v>2486</v>
      </c>
      <c r="D67" s="3" t="s">
        <v>519</v>
      </c>
      <c r="E67" s="3" t="s">
        <v>527</v>
      </c>
      <c r="F67" s="3" t="s">
        <v>2487</v>
      </c>
      <c r="G67" s="3" t="s">
        <v>2488</v>
      </c>
      <c r="H67" s="3">
        <v>1.55373697E8</v>
      </c>
      <c r="I67" s="3" t="s">
        <v>2489</v>
      </c>
      <c r="J67" s="3" t="s">
        <v>4361</v>
      </c>
      <c r="K67" s="377"/>
    </row>
    <row r="68">
      <c r="A68" s="376">
        <v>43114.8247841088</v>
      </c>
      <c r="B68" s="3">
        <v>1676.0</v>
      </c>
      <c r="C68" s="3" t="s">
        <v>1133</v>
      </c>
      <c r="D68" s="3" t="s">
        <v>519</v>
      </c>
      <c r="E68" s="3" t="s">
        <v>538</v>
      </c>
      <c r="F68" s="3" t="s">
        <v>1134</v>
      </c>
      <c r="G68" s="3">
        <v>1.55525541E8</v>
      </c>
      <c r="I68" s="3" t="s">
        <v>1135</v>
      </c>
      <c r="J68" s="3" t="s">
        <v>4361</v>
      </c>
      <c r="K68" s="377"/>
    </row>
    <row r="69">
      <c r="A69" s="376">
        <v>43114.826095833334</v>
      </c>
      <c r="B69" s="3">
        <v>1677.0</v>
      </c>
      <c r="C69" s="3" t="s">
        <v>2116</v>
      </c>
      <c r="D69" s="3" t="s">
        <v>519</v>
      </c>
      <c r="E69" s="3" t="s">
        <v>527</v>
      </c>
      <c r="F69" s="3" t="s">
        <v>2117</v>
      </c>
      <c r="G69" s="3">
        <v>1.56256856E8</v>
      </c>
      <c r="I69" s="3" t="s">
        <v>2118</v>
      </c>
      <c r="J69" s="3" t="s">
        <v>4361</v>
      </c>
      <c r="K69" s="377"/>
    </row>
    <row r="70">
      <c r="A70" s="376">
        <v>43114.82956799769</v>
      </c>
      <c r="B70" s="3">
        <v>1678.0</v>
      </c>
      <c r="C70" s="3" t="s">
        <v>4386</v>
      </c>
      <c r="D70" s="3" t="s">
        <v>519</v>
      </c>
      <c r="E70" s="3" t="s">
        <v>709</v>
      </c>
      <c r="F70" s="3" t="s">
        <v>3685</v>
      </c>
      <c r="G70" s="3">
        <v>2.215894795E9</v>
      </c>
      <c r="I70" s="3" t="s">
        <v>3686</v>
      </c>
      <c r="J70" s="3" t="s">
        <v>4361</v>
      </c>
      <c r="K70" s="377"/>
    </row>
    <row r="71">
      <c r="A71" s="376">
        <v>43114.83310395833</v>
      </c>
      <c r="B71" s="3">
        <v>1679.0</v>
      </c>
      <c r="C71" s="3" t="s">
        <v>2179</v>
      </c>
      <c r="D71" s="3" t="s">
        <v>519</v>
      </c>
      <c r="E71" s="3" t="s">
        <v>527</v>
      </c>
      <c r="F71" s="3" t="s">
        <v>2180</v>
      </c>
      <c r="G71" s="3">
        <v>1.55233233E8</v>
      </c>
      <c r="I71" s="3" t="s">
        <v>2181</v>
      </c>
      <c r="J71" s="3" t="s">
        <v>4361</v>
      </c>
      <c r="K71" s="377"/>
    </row>
    <row r="72">
      <c r="A72" s="376">
        <v>43131.86216690972</v>
      </c>
      <c r="B72" s="3">
        <v>1680.0</v>
      </c>
      <c r="C72" s="3" t="s">
        <v>2323</v>
      </c>
      <c r="D72" s="3" t="s">
        <v>519</v>
      </c>
      <c r="E72" s="3" t="s">
        <v>770</v>
      </c>
      <c r="F72" s="3" t="s">
        <v>2324</v>
      </c>
      <c r="G72" s="3">
        <v>1.55249199E8</v>
      </c>
      <c r="I72" s="3" t="s">
        <v>2325</v>
      </c>
      <c r="J72" s="3" t="s">
        <v>4361</v>
      </c>
      <c r="K72" s="377"/>
    </row>
    <row r="73">
      <c r="A73" s="376">
        <v>43131.86387325231</v>
      </c>
      <c r="B73" s="3">
        <v>1681.0</v>
      </c>
      <c r="C73" s="3" t="s">
        <v>1673</v>
      </c>
      <c r="D73" s="3" t="s">
        <v>519</v>
      </c>
      <c r="E73" s="3" t="s">
        <v>520</v>
      </c>
      <c r="F73" s="3" t="s">
        <v>1674</v>
      </c>
      <c r="I73" s="3" t="s">
        <v>1675</v>
      </c>
      <c r="J73" s="3" t="s">
        <v>4361</v>
      </c>
      <c r="K73" s="377"/>
    </row>
    <row r="74">
      <c r="A74" s="376">
        <v>43131.86588216435</v>
      </c>
      <c r="B74" s="3">
        <v>1682.0</v>
      </c>
      <c r="C74" s="3" t="s">
        <v>3450</v>
      </c>
      <c r="D74" s="3" t="s">
        <v>519</v>
      </c>
      <c r="E74" s="3" t="s">
        <v>527</v>
      </c>
      <c r="F74" s="3" t="s">
        <v>3451</v>
      </c>
      <c r="G74" s="3" t="s">
        <v>3452</v>
      </c>
      <c r="I74" s="3" t="s">
        <v>3453</v>
      </c>
      <c r="J74" s="3" t="s">
        <v>4361</v>
      </c>
      <c r="K74" s="377"/>
    </row>
    <row r="75">
      <c r="A75" s="376">
        <v>43131.86752158565</v>
      </c>
      <c r="B75" s="3">
        <v>1683.0</v>
      </c>
      <c r="C75" s="3" t="s">
        <v>2068</v>
      </c>
      <c r="D75" s="3" t="s">
        <v>519</v>
      </c>
      <c r="E75" s="3" t="s">
        <v>538</v>
      </c>
      <c r="F75" s="3" t="s">
        <v>2069</v>
      </c>
      <c r="G75" s="3">
        <v>4660628.0</v>
      </c>
      <c r="I75" s="3" t="s">
        <v>2070</v>
      </c>
      <c r="J75" s="3" t="s">
        <v>4361</v>
      </c>
      <c r="K75" s="377"/>
    </row>
    <row r="76">
      <c r="A76" s="376">
        <v>43131.86867827547</v>
      </c>
      <c r="B76" s="3">
        <v>1684.0</v>
      </c>
      <c r="C76" s="3" t="s">
        <v>4387</v>
      </c>
      <c r="D76" s="3" t="s">
        <v>519</v>
      </c>
      <c r="E76" s="3" t="s">
        <v>520</v>
      </c>
      <c r="F76" s="3" t="s">
        <v>887</v>
      </c>
      <c r="G76" s="3">
        <v>1.5504338E8</v>
      </c>
      <c r="J76" s="3" t="s">
        <v>4361</v>
      </c>
      <c r="K76" s="377"/>
    </row>
    <row r="77">
      <c r="A77" s="376">
        <v>43160.72956126157</v>
      </c>
      <c r="B77" s="3">
        <v>1685.0</v>
      </c>
      <c r="C77" s="3" t="s">
        <v>3249</v>
      </c>
      <c r="D77" s="3" t="s">
        <v>519</v>
      </c>
      <c r="E77" s="3" t="s">
        <v>538</v>
      </c>
      <c r="F77" s="3" t="s">
        <v>3250</v>
      </c>
      <c r="J77" s="3" t="s">
        <v>4361</v>
      </c>
      <c r="K77" s="377"/>
    </row>
    <row r="78">
      <c r="A78" s="376">
        <v>43160.73047071759</v>
      </c>
      <c r="B78" s="3">
        <v>1686.0</v>
      </c>
      <c r="C78" s="3" t="s">
        <v>2355</v>
      </c>
      <c r="D78" s="3" t="s">
        <v>519</v>
      </c>
      <c r="E78" s="3" t="s">
        <v>538</v>
      </c>
      <c r="F78" s="3" t="s">
        <v>2356</v>
      </c>
      <c r="G78" s="3" t="s">
        <v>2357</v>
      </c>
      <c r="I78" s="3" t="s">
        <v>2358</v>
      </c>
      <c r="J78" s="3" t="s">
        <v>4361</v>
      </c>
      <c r="K78" s="377"/>
    </row>
    <row r="79">
      <c r="A79" s="376">
        <v>43160.73148446759</v>
      </c>
      <c r="B79" s="3">
        <v>1687.0</v>
      </c>
      <c r="C79" s="3" t="s">
        <v>2828</v>
      </c>
      <c r="D79" s="3" t="s">
        <v>519</v>
      </c>
      <c r="E79" s="3" t="s">
        <v>520</v>
      </c>
      <c r="F79" s="3" t="s">
        <v>2829</v>
      </c>
      <c r="G79" s="3">
        <v>1.54852639E8</v>
      </c>
      <c r="I79" s="3" t="s">
        <v>2830</v>
      </c>
      <c r="J79" s="3" t="s">
        <v>4361</v>
      </c>
      <c r="K79" s="377"/>
    </row>
    <row r="80">
      <c r="A80" s="376">
        <v>43180.677872581015</v>
      </c>
      <c r="B80" s="3">
        <v>1688.0</v>
      </c>
      <c r="C80" s="3" t="s">
        <v>1421</v>
      </c>
      <c r="D80" s="3" t="s">
        <v>519</v>
      </c>
      <c r="E80" s="3" t="s">
        <v>538</v>
      </c>
      <c r="F80" s="3" t="s">
        <v>1422</v>
      </c>
      <c r="G80" s="3">
        <v>4232126.0</v>
      </c>
      <c r="J80" s="3" t="s">
        <v>4361</v>
      </c>
      <c r="K80" s="377"/>
    </row>
    <row r="81">
      <c r="A81" s="376">
        <v>43180.6785433912</v>
      </c>
      <c r="B81" s="3">
        <v>1689.0</v>
      </c>
      <c r="C81" s="3" t="s">
        <v>1856</v>
      </c>
      <c r="D81" s="3" t="s">
        <v>519</v>
      </c>
      <c r="E81" s="3" t="s">
        <v>527</v>
      </c>
      <c r="F81" s="3" t="s">
        <v>1857</v>
      </c>
      <c r="G81" s="3" t="s">
        <v>1858</v>
      </c>
      <c r="J81" s="3" t="s">
        <v>4361</v>
      </c>
      <c r="K81" s="377"/>
    </row>
    <row r="82">
      <c r="A82" s="376">
        <v>43180.679368784724</v>
      </c>
      <c r="B82" s="3">
        <v>1690.0</v>
      </c>
      <c r="C82" s="3" t="s">
        <v>4388</v>
      </c>
      <c r="D82" s="3" t="s">
        <v>519</v>
      </c>
      <c r="E82" s="3" t="s">
        <v>709</v>
      </c>
      <c r="F82" s="3" t="s">
        <v>1813</v>
      </c>
      <c r="G82" s="3">
        <v>4660628.0</v>
      </c>
      <c r="J82" s="3" t="s">
        <v>4361</v>
      </c>
      <c r="K82" s="377"/>
    </row>
    <row r="83">
      <c r="A83" s="376">
        <v>43180.680337604164</v>
      </c>
      <c r="B83" s="3">
        <v>1691.0</v>
      </c>
      <c r="C83" s="3" t="s">
        <v>696</v>
      </c>
      <c r="D83" s="3" t="s">
        <v>519</v>
      </c>
      <c r="E83" s="3" t="s">
        <v>538</v>
      </c>
      <c r="F83" s="3" t="s">
        <v>697</v>
      </c>
      <c r="G83" s="3">
        <v>1.56012638E8</v>
      </c>
      <c r="I83" s="3" t="s">
        <v>4389</v>
      </c>
      <c r="J83" s="3" t="s">
        <v>4361</v>
      </c>
      <c r="K83" s="377"/>
    </row>
    <row r="84">
      <c r="A84" s="376">
        <v>43180.68197993055</v>
      </c>
      <c r="B84" s="3">
        <v>1692.0</v>
      </c>
      <c r="C84" s="3" t="s">
        <v>2987</v>
      </c>
      <c r="D84" s="3" t="s">
        <v>519</v>
      </c>
      <c r="E84" s="3" t="s">
        <v>538</v>
      </c>
      <c r="F84" s="3" t="s">
        <v>2988</v>
      </c>
      <c r="I84" s="3" t="s">
        <v>2989</v>
      </c>
      <c r="J84" s="3" t="s">
        <v>4361</v>
      </c>
      <c r="K84" s="377"/>
    </row>
    <row r="85">
      <c r="A85" s="376">
        <v>43180.68322704861</v>
      </c>
      <c r="B85" s="3">
        <v>1693.0</v>
      </c>
      <c r="C85" s="3" t="s">
        <v>2239</v>
      </c>
      <c r="D85" s="3" t="s">
        <v>519</v>
      </c>
      <c r="E85" s="3" t="s">
        <v>527</v>
      </c>
      <c r="F85" s="3" t="s">
        <v>2240</v>
      </c>
      <c r="G85" s="3">
        <v>1.55731114E8</v>
      </c>
      <c r="I85" s="3" t="s">
        <v>2241</v>
      </c>
      <c r="J85" s="3" t="s">
        <v>4361</v>
      </c>
      <c r="K85" s="377"/>
    </row>
    <row r="86">
      <c r="A86" s="376">
        <v>43197.53807321759</v>
      </c>
      <c r="B86" s="3">
        <v>1694.0</v>
      </c>
      <c r="C86" s="3" t="s">
        <v>2028</v>
      </c>
      <c r="D86" s="3" t="s">
        <v>519</v>
      </c>
      <c r="E86" s="3" t="s">
        <v>527</v>
      </c>
      <c r="F86" s="3" t="s">
        <v>2029</v>
      </c>
      <c r="G86" s="3" t="s">
        <v>2030</v>
      </c>
      <c r="I86" s="3" t="s">
        <v>2031</v>
      </c>
      <c r="J86" s="3" t="s">
        <v>4361</v>
      </c>
      <c r="K86" s="377"/>
    </row>
    <row r="87">
      <c r="A87" s="376">
        <v>43197.540157048614</v>
      </c>
      <c r="B87" s="3">
        <v>1695.0</v>
      </c>
      <c r="C87" s="3" t="s">
        <v>873</v>
      </c>
      <c r="D87" s="3" t="s">
        <v>519</v>
      </c>
      <c r="E87" s="3" t="s">
        <v>520</v>
      </c>
      <c r="F87" s="3" t="s">
        <v>874</v>
      </c>
      <c r="G87" s="3">
        <v>1.136903661E9</v>
      </c>
      <c r="I87" s="3" t="s">
        <v>875</v>
      </c>
      <c r="J87" s="3" t="s">
        <v>4361</v>
      </c>
      <c r="K87" s="377"/>
    </row>
    <row r="88">
      <c r="A88" s="376">
        <v>43219.46452407408</v>
      </c>
      <c r="B88" s="3">
        <v>1696.0</v>
      </c>
      <c r="C88" s="3" t="s">
        <v>2910</v>
      </c>
      <c r="D88" s="3" t="s">
        <v>519</v>
      </c>
      <c r="E88" s="3" t="s">
        <v>520</v>
      </c>
      <c r="F88" s="3" t="s">
        <v>2911</v>
      </c>
      <c r="G88" s="3">
        <v>1.55677857E8</v>
      </c>
      <c r="I88" s="3" t="s">
        <v>2912</v>
      </c>
      <c r="J88" s="3" t="s">
        <v>4361</v>
      </c>
      <c r="K88" s="377"/>
    </row>
    <row r="89">
      <c r="A89" s="376">
        <v>43219.46528819445</v>
      </c>
      <c r="B89" s="3">
        <v>1697.0</v>
      </c>
      <c r="C89" s="3" t="s">
        <v>2175</v>
      </c>
      <c r="D89" s="3" t="s">
        <v>519</v>
      </c>
      <c r="E89" s="3" t="s">
        <v>520</v>
      </c>
      <c r="F89" s="3" t="s">
        <v>2176</v>
      </c>
      <c r="G89" s="3">
        <v>1.53521266E8</v>
      </c>
      <c r="I89" s="3" t="s">
        <v>4390</v>
      </c>
      <c r="J89" s="3" t="s">
        <v>4361</v>
      </c>
      <c r="K89" s="377"/>
    </row>
    <row r="90">
      <c r="A90" s="376">
        <v>43242.81274704861</v>
      </c>
      <c r="B90" s="3">
        <v>1698.0</v>
      </c>
      <c r="C90" s="3" t="s">
        <v>1942</v>
      </c>
      <c r="D90" s="3" t="s">
        <v>519</v>
      </c>
      <c r="E90" s="3" t="s">
        <v>520</v>
      </c>
      <c r="F90" s="3" t="s">
        <v>1943</v>
      </c>
      <c r="G90" s="3">
        <v>1.54283585E8</v>
      </c>
      <c r="I90" s="3" t="s">
        <v>1944</v>
      </c>
      <c r="J90" s="3" t="s">
        <v>4361</v>
      </c>
      <c r="K90" s="377"/>
    </row>
    <row r="91">
      <c r="A91" s="376">
        <v>43275.83773008102</v>
      </c>
      <c r="B91" s="3">
        <v>1699.0</v>
      </c>
      <c r="C91" s="3" t="s">
        <v>3795</v>
      </c>
      <c r="D91" s="3" t="s">
        <v>519</v>
      </c>
      <c r="E91" s="3" t="s">
        <v>527</v>
      </c>
      <c r="F91" s="3" t="s">
        <v>3796</v>
      </c>
      <c r="G91" s="3">
        <v>1.134277068E9</v>
      </c>
      <c r="J91" s="3" t="s">
        <v>4361</v>
      </c>
      <c r="K91" s="377"/>
    </row>
    <row r="92">
      <c r="A92" s="376">
        <v>43275.83874013889</v>
      </c>
      <c r="B92" s="3">
        <v>1700.0</v>
      </c>
      <c r="C92" s="3" t="s">
        <v>2250</v>
      </c>
      <c r="D92" s="3" t="s">
        <v>519</v>
      </c>
      <c r="E92" s="3" t="s">
        <v>520</v>
      </c>
      <c r="F92" s="3" t="s">
        <v>2251</v>
      </c>
      <c r="G92" s="3">
        <v>2.215673503E9</v>
      </c>
      <c r="J92" s="3" t="s">
        <v>4361</v>
      </c>
      <c r="K92" s="377"/>
    </row>
    <row r="93">
      <c r="A93" s="376">
        <v>43275.83943096065</v>
      </c>
      <c r="B93" s="3">
        <v>1701.0</v>
      </c>
      <c r="C93" s="3" t="s">
        <v>4391</v>
      </c>
      <c r="D93" s="3" t="s">
        <v>519</v>
      </c>
      <c r="E93" s="3" t="s">
        <v>538</v>
      </c>
      <c r="F93" s="3" t="s">
        <v>3807</v>
      </c>
      <c r="J93" s="3" t="s">
        <v>4361</v>
      </c>
      <c r="K93" s="377"/>
    </row>
    <row r="94">
      <c r="A94" s="376">
        <v>43312.6841312037</v>
      </c>
      <c r="B94" s="3">
        <v>1702.0</v>
      </c>
      <c r="C94" s="3" t="s">
        <v>4392</v>
      </c>
      <c r="D94" s="3" t="s">
        <v>519</v>
      </c>
      <c r="E94" s="3" t="s">
        <v>520</v>
      </c>
      <c r="F94" s="3" t="s">
        <v>3147</v>
      </c>
      <c r="G94" s="3">
        <v>1.5661089E7</v>
      </c>
      <c r="I94" s="3" t="s">
        <v>4393</v>
      </c>
      <c r="J94" s="3" t="s">
        <v>4361</v>
      </c>
      <c r="K94" s="377"/>
    </row>
    <row r="95">
      <c r="A95" s="376">
        <v>43344.51597972222</v>
      </c>
      <c r="B95" s="3">
        <v>1703.0</v>
      </c>
      <c r="C95" s="3" t="s">
        <v>1383</v>
      </c>
      <c r="D95" s="3" t="s">
        <v>519</v>
      </c>
      <c r="E95" s="3" t="s">
        <v>538</v>
      </c>
      <c r="F95" s="3" t="s">
        <v>1384</v>
      </c>
      <c r="I95" s="3" t="s">
        <v>1385</v>
      </c>
      <c r="J95" s="3" t="s">
        <v>4361</v>
      </c>
      <c r="K95" s="377"/>
    </row>
    <row r="96">
      <c r="A96" s="376">
        <v>43344.517004560184</v>
      </c>
      <c r="B96" s="3">
        <v>1704.0</v>
      </c>
      <c r="C96" s="3" t="s">
        <v>2940</v>
      </c>
      <c r="D96" s="3" t="s">
        <v>519</v>
      </c>
      <c r="E96" s="3" t="s">
        <v>709</v>
      </c>
      <c r="F96" s="3">
        <v>2.21435414E9</v>
      </c>
      <c r="I96" s="3" t="s">
        <v>2941</v>
      </c>
      <c r="J96" s="3" t="s">
        <v>4361</v>
      </c>
      <c r="K96" s="377"/>
    </row>
    <row r="97">
      <c r="A97" s="376">
        <v>43379.464555046296</v>
      </c>
      <c r="B97" s="3">
        <v>1705.0</v>
      </c>
      <c r="C97" s="3" t="s">
        <v>3837</v>
      </c>
      <c r="D97" s="3" t="s">
        <v>519</v>
      </c>
      <c r="E97" s="3" t="s">
        <v>538</v>
      </c>
      <c r="F97" s="3" t="s">
        <v>3838</v>
      </c>
      <c r="G97" s="3">
        <v>1.55075018E8</v>
      </c>
      <c r="I97" s="3" t="s">
        <v>3839</v>
      </c>
      <c r="J97" s="3" t="s">
        <v>4361</v>
      </c>
      <c r="K97" s="377"/>
    </row>
    <row r="98">
      <c r="A98" s="376">
        <v>43379.465663043986</v>
      </c>
      <c r="B98" s="3">
        <v>1706.0</v>
      </c>
      <c r="C98" s="3" t="s">
        <v>3840</v>
      </c>
      <c r="D98" s="3" t="s">
        <v>519</v>
      </c>
      <c r="E98" s="3" t="s">
        <v>538</v>
      </c>
      <c r="F98" s="3" t="s">
        <v>3841</v>
      </c>
      <c r="G98" s="3">
        <v>2.21155075018E11</v>
      </c>
      <c r="I98" s="3" t="s">
        <v>3839</v>
      </c>
      <c r="J98" s="3" t="s">
        <v>4361</v>
      </c>
      <c r="K98" s="377"/>
    </row>
    <row r="99">
      <c r="A99" s="376">
        <v>43379.46672369213</v>
      </c>
      <c r="B99" s="3">
        <v>1707.0</v>
      </c>
      <c r="C99" s="3" t="s">
        <v>1442</v>
      </c>
      <c r="D99" s="3" t="s">
        <v>519</v>
      </c>
      <c r="E99" s="3" t="s">
        <v>520</v>
      </c>
      <c r="G99" s="3">
        <v>1.550071055E9</v>
      </c>
      <c r="I99" s="3" t="s">
        <v>1444</v>
      </c>
      <c r="J99" s="3" t="s">
        <v>4361</v>
      </c>
      <c r="K99" s="377"/>
    </row>
    <row r="100">
      <c r="A100" s="376">
        <v>43407.734148194446</v>
      </c>
      <c r="B100" s="3">
        <v>1708.0</v>
      </c>
      <c r="C100" s="3" t="s">
        <v>1254</v>
      </c>
      <c r="D100" s="3" t="s">
        <v>519</v>
      </c>
      <c r="E100" s="3" t="s">
        <v>527</v>
      </c>
      <c r="F100" s="3" t="s">
        <v>1255</v>
      </c>
      <c r="G100" s="3">
        <v>1.55246823E8</v>
      </c>
      <c r="I100" s="3" t="s">
        <v>1256</v>
      </c>
      <c r="J100" s="3" t="s">
        <v>4361</v>
      </c>
      <c r="K100" s="377"/>
    </row>
    <row r="101">
      <c r="A101" s="376">
        <v>43407.73516832176</v>
      </c>
      <c r="B101" s="3">
        <v>1709.0</v>
      </c>
      <c r="C101" s="3" t="s">
        <v>1695</v>
      </c>
      <c r="D101" s="3" t="s">
        <v>519</v>
      </c>
      <c r="E101" s="3" t="s">
        <v>538</v>
      </c>
      <c r="F101" s="3" t="s">
        <v>1696</v>
      </c>
      <c r="G101" s="3">
        <v>1.55688585E8</v>
      </c>
      <c r="J101" s="3" t="s">
        <v>4361</v>
      </c>
      <c r="K101" s="377"/>
    </row>
    <row r="102">
      <c r="A102" s="376">
        <v>43407.73582086805</v>
      </c>
      <c r="B102" s="3">
        <v>1710.0</v>
      </c>
      <c r="C102" s="3" t="s">
        <v>3277</v>
      </c>
      <c r="D102" s="3" t="s">
        <v>519</v>
      </c>
      <c r="E102" s="3" t="s">
        <v>520</v>
      </c>
      <c r="F102" s="3" t="s">
        <v>3278</v>
      </c>
      <c r="G102" s="3">
        <v>1.55084304E8</v>
      </c>
      <c r="I102" s="3" t="s">
        <v>3279</v>
      </c>
      <c r="J102" s="3" t="s">
        <v>4361</v>
      </c>
      <c r="K102" s="377"/>
    </row>
    <row r="103">
      <c r="A103" s="376">
        <v>43429.77028590278</v>
      </c>
      <c r="B103" s="3">
        <v>1711.0</v>
      </c>
      <c r="C103" s="3" t="s">
        <v>3497</v>
      </c>
      <c r="D103" s="3" t="s">
        <v>519</v>
      </c>
      <c r="E103" s="3" t="s">
        <v>770</v>
      </c>
      <c r="F103" s="3" t="s">
        <v>3498</v>
      </c>
      <c r="G103" s="3">
        <v>5729497.0</v>
      </c>
      <c r="I103" s="3" t="s">
        <v>3499</v>
      </c>
      <c r="J103" s="3" t="s">
        <v>4361</v>
      </c>
      <c r="K103" s="377"/>
    </row>
    <row r="104">
      <c r="A104" s="376">
        <v>43429.77314174769</v>
      </c>
      <c r="B104" s="3">
        <v>1712.0</v>
      </c>
      <c r="C104" s="3" t="s">
        <v>4394</v>
      </c>
      <c r="D104" s="3" t="s">
        <v>519</v>
      </c>
      <c r="E104" s="3" t="s">
        <v>520</v>
      </c>
      <c r="F104" s="3" t="s">
        <v>1593</v>
      </c>
      <c r="G104" s="378" t="s">
        <v>1594</v>
      </c>
      <c r="I104" s="3" t="s">
        <v>4395</v>
      </c>
      <c r="J104" s="3" t="s">
        <v>4361</v>
      </c>
      <c r="K104" s="377"/>
    </row>
    <row r="105">
      <c r="A105" s="376">
        <v>43429.774249050926</v>
      </c>
      <c r="B105" s="3">
        <v>1713.0</v>
      </c>
      <c r="C105" s="3" t="s">
        <v>4040</v>
      </c>
      <c r="D105" s="3" t="s">
        <v>519</v>
      </c>
      <c r="E105" s="3" t="s">
        <v>527</v>
      </c>
      <c r="F105" s="3" t="s">
        <v>4041</v>
      </c>
      <c r="G105" s="3">
        <v>5384333.0</v>
      </c>
      <c r="I105" s="3" t="s">
        <v>4042</v>
      </c>
      <c r="J105" s="3" t="s">
        <v>4361</v>
      </c>
      <c r="K105" s="377"/>
    </row>
    <row r="106">
      <c r="A106" s="376">
        <v>43429.776337476855</v>
      </c>
      <c r="B106" s="3">
        <v>1714.0</v>
      </c>
      <c r="C106" s="3" t="s">
        <v>3494</v>
      </c>
      <c r="D106" s="3" t="s">
        <v>519</v>
      </c>
      <c r="E106" s="3" t="s">
        <v>709</v>
      </c>
      <c r="F106" s="3" t="s">
        <v>3495</v>
      </c>
      <c r="G106" s="3">
        <v>5455274.0</v>
      </c>
      <c r="I106" s="3" t="s">
        <v>3496</v>
      </c>
      <c r="J106" s="3" t="s">
        <v>4361</v>
      </c>
      <c r="K106" s="377"/>
    </row>
    <row r="107">
      <c r="A107" s="376">
        <v>43429.77743918981</v>
      </c>
      <c r="B107" s="3">
        <v>1715.0</v>
      </c>
      <c r="C107" s="3" t="s">
        <v>3584</v>
      </c>
      <c r="D107" s="3" t="s">
        <v>519</v>
      </c>
      <c r="E107" s="3" t="s">
        <v>520</v>
      </c>
      <c r="F107" s="3" t="s">
        <v>3585</v>
      </c>
      <c r="G107" s="3">
        <v>1.54814188E8</v>
      </c>
      <c r="I107" s="3" t="s">
        <v>3586</v>
      </c>
      <c r="J107" s="3" t="s">
        <v>4361</v>
      </c>
      <c r="K107" s="377"/>
    </row>
    <row r="108">
      <c r="A108" s="376">
        <v>43429.77842554398</v>
      </c>
      <c r="B108" s="3">
        <v>1716.0</v>
      </c>
      <c r="C108" s="3" t="s">
        <v>4396</v>
      </c>
      <c r="D108" s="3" t="s">
        <v>519</v>
      </c>
      <c r="E108" s="3" t="s">
        <v>3110</v>
      </c>
      <c r="F108" s="3" t="s">
        <v>3111</v>
      </c>
      <c r="G108" s="3">
        <v>1.54355692E8</v>
      </c>
      <c r="I108" s="3" t="s">
        <v>4397</v>
      </c>
      <c r="J108" s="3" t="s">
        <v>4361</v>
      </c>
      <c r="K108" s="377"/>
    </row>
    <row r="109">
      <c r="A109" s="376">
        <v>43465.882694942135</v>
      </c>
      <c r="B109" s="3">
        <v>1718.0</v>
      </c>
      <c r="C109" s="3" t="s">
        <v>3469</v>
      </c>
      <c r="D109" s="3" t="s">
        <v>519</v>
      </c>
      <c r="E109" s="3" t="s">
        <v>527</v>
      </c>
      <c r="F109" s="3" t="s">
        <v>3470</v>
      </c>
      <c r="G109" s="3">
        <v>1.56378045E8</v>
      </c>
      <c r="I109" s="3" t="s">
        <v>3471</v>
      </c>
      <c r="J109" s="3" t="s">
        <v>4361</v>
      </c>
      <c r="K109" s="377"/>
    </row>
    <row r="110">
      <c r="A110" s="376">
        <v>43465.88503269676</v>
      </c>
      <c r="B110" s="3">
        <v>1719.0</v>
      </c>
      <c r="C110" s="3" t="s">
        <v>1350</v>
      </c>
      <c r="D110" s="3" t="s">
        <v>519</v>
      </c>
      <c r="E110" s="3" t="s">
        <v>520</v>
      </c>
      <c r="F110" s="3" t="s">
        <v>1351</v>
      </c>
      <c r="G110" s="3">
        <v>1.54987568E8</v>
      </c>
      <c r="I110" s="3" t="s">
        <v>4398</v>
      </c>
      <c r="J110" s="3" t="s">
        <v>4361</v>
      </c>
      <c r="K110" s="377"/>
    </row>
    <row r="111">
      <c r="A111" s="376">
        <v>43465.88602309028</v>
      </c>
      <c r="B111" s="3">
        <v>1720.0</v>
      </c>
      <c r="C111" s="3" t="s">
        <v>3150</v>
      </c>
      <c r="D111" s="3" t="s">
        <v>3151</v>
      </c>
      <c r="E111" s="3" t="s">
        <v>520</v>
      </c>
      <c r="F111" s="3" t="s">
        <v>3152</v>
      </c>
      <c r="G111" s="3">
        <v>1.54201535E8</v>
      </c>
      <c r="I111" s="3" t="s">
        <v>3153</v>
      </c>
      <c r="J111" s="3" t="s">
        <v>4361</v>
      </c>
      <c r="K111" s="377"/>
    </row>
    <row r="112">
      <c r="A112" s="376">
        <v>43465.88909273148</v>
      </c>
      <c r="B112" s="3">
        <v>1721.0</v>
      </c>
      <c r="C112" s="3" t="s">
        <v>3055</v>
      </c>
      <c r="D112" s="3" t="s">
        <v>519</v>
      </c>
      <c r="E112" s="3" t="s">
        <v>520</v>
      </c>
      <c r="F112" s="3" t="s">
        <v>3056</v>
      </c>
      <c r="G112" s="3">
        <v>1.55668739E8</v>
      </c>
      <c r="I112" s="3" t="s">
        <v>4399</v>
      </c>
      <c r="J112" s="3" t="s">
        <v>4361</v>
      </c>
      <c r="K112" s="377"/>
    </row>
    <row r="113">
      <c r="A113" s="376">
        <v>43465.89030450232</v>
      </c>
      <c r="B113" s="3">
        <v>1723.0</v>
      </c>
      <c r="C113" s="3" t="s">
        <v>899</v>
      </c>
      <c r="D113" s="3" t="s">
        <v>519</v>
      </c>
      <c r="E113" s="3" t="s">
        <v>527</v>
      </c>
      <c r="F113" s="3" t="s">
        <v>900</v>
      </c>
      <c r="G113" s="3">
        <v>1.55243553E8</v>
      </c>
      <c r="I113" s="3" t="s">
        <v>901</v>
      </c>
      <c r="J113" s="3" t="s">
        <v>4361</v>
      </c>
      <c r="K113" s="377"/>
    </row>
    <row r="114">
      <c r="A114" s="376">
        <v>43489.74038707176</v>
      </c>
      <c r="B114" s="3">
        <v>1724.0</v>
      </c>
      <c r="C114" s="3" t="s">
        <v>4400</v>
      </c>
      <c r="D114" s="3" t="s">
        <v>519</v>
      </c>
      <c r="E114" s="3" t="s">
        <v>538</v>
      </c>
      <c r="F114" s="3" t="s">
        <v>2492</v>
      </c>
      <c r="G114" s="3">
        <v>1.56014393E8</v>
      </c>
      <c r="I114" s="3" t="s">
        <v>2493</v>
      </c>
      <c r="J114" s="3" t="s">
        <v>4361</v>
      </c>
      <c r="K114" s="377"/>
    </row>
    <row r="115">
      <c r="A115" s="376">
        <v>43520.809575949075</v>
      </c>
      <c r="B115" s="3">
        <v>1725.0</v>
      </c>
      <c r="C115" s="3" t="s">
        <v>3139</v>
      </c>
      <c r="D115" s="3" t="s">
        <v>519</v>
      </c>
      <c r="E115" s="3" t="s">
        <v>538</v>
      </c>
      <c r="F115" s="3" t="s">
        <v>3140</v>
      </c>
      <c r="G115" s="3">
        <v>1.56162818E8</v>
      </c>
      <c r="I115" s="3" t="s">
        <v>3141</v>
      </c>
      <c r="J115" s="3" t="s">
        <v>4361</v>
      </c>
      <c r="K115" s="377"/>
    </row>
    <row r="116">
      <c r="A116" s="376">
        <v>43520.810369432875</v>
      </c>
      <c r="B116" s="3">
        <v>1726.0</v>
      </c>
      <c r="C116" s="3" t="s">
        <v>1362</v>
      </c>
      <c r="D116" s="3" t="s">
        <v>519</v>
      </c>
      <c r="E116" s="3" t="s">
        <v>538</v>
      </c>
      <c r="F116" s="3" t="s">
        <v>1363</v>
      </c>
      <c r="G116" s="3">
        <v>1.55366598E8</v>
      </c>
      <c r="I116" s="3" t="s">
        <v>1364</v>
      </c>
      <c r="J116" s="3" t="s">
        <v>4361</v>
      </c>
      <c r="K116" s="377"/>
    </row>
    <row r="117">
      <c r="A117" s="376">
        <v>43520.81158141204</v>
      </c>
      <c r="B117" s="3">
        <v>1727.0</v>
      </c>
      <c r="C117" s="3" t="s">
        <v>3503</v>
      </c>
      <c r="D117" s="3" t="s">
        <v>519</v>
      </c>
      <c r="E117" s="3" t="s">
        <v>538</v>
      </c>
      <c r="F117" s="3" t="s">
        <v>3504</v>
      </c>
      <c r="G117" s="3">
        <v>1.54884526E8</v>
      </c>
      <c r="I117" s="3" t="s">
        <v>3505</v>
      </c>
      <c r="J117" s="3" t="s">
        <v>4361</v>
      </c>
      <c r="K117" s="377"/>
    </row>
    <row r="118">
      <c r="A118" s="376">
        <v>43520.81281506944</v>
      </c>
      <c r="B118" s="3">
        <v>1728.0</v>
      </c>
      <c r="C118" s="3" t="s">
        <v>1762</v>
      </c>
      <c r="D118" s="3" t="s">
        <v>519</v>
      </c>
      <c r="E118" s="3" t="s">
        <v>520</v>
      </c>
      <c r="F118" s="3" t="s">
        <v>1763</v>
      </c>
      <c r="G118" s="378" t="s">
        <v>1764</v>
      </c>
      <c r="I118" s="3" t="s">
        <v>1765</v>
      </c>
      <c r="J118" s="3" t="s">
        <v>4361</v>
      </c>
      <c r="K118" s="377"/>
    </row>
    <row r="119">
      <c r="A119" s="376">
        <v>43520.81370155093</v>
      </c>
      <c r="B119" s="3">
        <v>1729.0</v>
      </c>
      <c r="C119" s="3" t="s">
        <v>1766</v>
      </c>
      <c r="D119" s="3" t="s">
        <v>519</v>
      </c>
      <c r="E119" s="3" t="s">
        <v>538</v>
      </c>
      <c r="F119" s="3" t="s">
        <v>1767</v>
      </c>
      <c r="G119" s="3">
        <v>1.54980954E8</v>
      </c>
      <c r="I119" s="3" t="s">
        <v>1768</v>
      </c>
      <c r="J119" s="3" t="s">
        <v>4361</v>
      </c>
      <c r="K119" s="377"/>
    </row>
    <row r="120">
      <c r="A120" s="376">
        <v>43520.814719849535</v>
      </c>
      <c r="B120" s="3">
        <v>1730.0</v>
      </c>
      <c r="C120" s="3" t="s">
        <v>3797</v>
      </c>
      <c r="D120" s="3" t="s">
        <v>519</v>
      </c>
      <c r="E120" s="3" t="s">
        <v>538</v>
      </c>
      <c r="F120" s="3" t="s">
        <v>3798</v>
      </c>
      <c r="G120" s="3">
        <v>1.54989863E8</v>
      </c>
      <c r="I120" s="3" t="s">
        <v>3799</v>
      </c>
      <c r="J120" s="3" t="s">
        <v>4361</v>
      </c>
      <c r="K120" s="377"/>
    </row>
    <row r="121">
      <c r="A121" s="376">
        <v>43520.81555813657</v>
      </c>
      <c r="B121" s="3">
        <v>1731.0</v>
      </c>
      <c r="C121" s="3" t="s">
        <v>3405</v>
      </c>
      <c r="D121" s="3" t="s">
        <v>519</v>
      </c>
      <c r="E121" s="3" t="s">
        <v>527</v>
      </c>
      <c r="F121" s="3" t="s">
        <v>3406</v>
      </c>
      <c r="G121" s="3">
        <v>1.55425447E8</v>
      </c>
      <c r="I121" s="3" t="s">
        <v>3407</v>
      </c>
      <c r="J121" s="3" t="s">
        <v>4361</v>
      </c>
      <c r="K121" s="377"/>
    </row>
    <row r="122">
      <c r="A122" s="376">
        <v>43547.610598935185</v>
      </c>
      <c r="B122" s="3">
        <v>1732.0</v>
      </c>
      <c r="C122" s="3" t="s">
        <v>1881</v>
      </c>
      <c r="D122" s="3" t="s">
        <v>519</v>
      </c>
      <c r="E122" s="3" t="s">
        <v>520</v>
      </c>
      <c r="F122" s="3" t="s">
        <v>1882</v>
      </c>
      <c r="G122" s="378" t="s">
        <v>1883</v>
      </c>
      <c r="I122" s="3" t="s">
        <v>1884</v>
      </c>
      <c r="J122" s="3" t="s">
        <v>4361</v>
      </c>
      <c r="K122" s="377"/>
    </row>
    <row r="123">
      <c r="A123" s="376">
        <v>43547.611738680556</v>
      </c>
      <c r="B123" s="3">
        <v>1733.0</v>
      </c>
      <c r="C123" s="3" t="s">
        <v>1348</v>
      </c>
      <c r="D123" s="3" t="s">
        <v>519</v>
      </c>
      <c r="E123" s="3" t="s">
        <v>520</v>
      </c>
      <c r="F123" s="3" t="s">
        <v>1349</v>
      </c>
      <c r="G123" s="3">
        <v>1.5342674E7</v>
      </c>
      <c r="I123" s="3" t="s">
        <v>1352</v>
      </c>
      <c r="J123" s="3" t="s">
        <v>4361</v>
      </c>
      <c r="K123" s="377"/>
    </row>
    <row r="124">
      <c r="A124" s="376">
        <v>43547.612950787036</v>
      </c>
      <c r="B124" s="3">
        <v>1734.0</v>
      </c>
      <c r="C124" s="3" t="s">
        <v>3827</v>
      </c>
      <c r="D124" s="3" t="s">
        <v>519</v>
      </c>
      <c r="E124" s="3" t="s">
        <v>520</v>
      </c>
      <c r="F124" s="3" t="s">
        <v>3828</v>
      </c>
      <c r="G124" s="378" t="s">
        <v>3829</v>
      </c>
      <c r="I124" s="3" t="s">
        <v>3830</v>
      </c>
      <c r="J124" s="3" t="s">
        <v>4361</v>
      </c>
      <c r="K124" s="377"/>
    </row>
    <row r="125">
      <c r="A125" s="376">
        <v>43547.614140983795</v>
      </c>
      <c r="B125" s="3">
        <v>1736.0</v>
      </c>
      <c r="C125" s="3" t="s">
        <v>2048</v>
      </c>
      <c r="D125" s="3" t="s">
        <v>519</v>
      </c>
      <c r="E125" s="3" t="s">
        <v>709</v>
      </c>
      <c r="F125" s="3" t="s">
        <v>2049</v>
      </c>
      <c r="G125" s="378" t="s">
        <v>2050</v>
      </c>
      <c r="I125" s="3" t="s">
        <v>2051</v>
      </c>
      <c r="J125" s="3" t="s">
        <v>4361</v>
      </c>
      <c r="K125" s="377"/>
    </row>
    <row r="126">
      <c r="A126" s="376">
        <v>43547.62270760417</v>
      </c>
      <c r="B126" s="3">
        <v>1735.0</v>
      </c>
      <c r="C126" s="3" t="s">
        <v>4401</v>
      </c>
      <c r="D126" s="3" t="s">
        <v>519</v>
      </c>
      <c r="E126" s="3" t="s">
        <v>538</v>
      </c>
      <c r="F126" s="3" t="s">
        <v>4038</v>
      </c>
      <c r="G126" s="3">
        <v>1.56773512E8</v>
      </c>
      <c r="I126" s="3" t="s">
        <v>4402</v>
      </c>
      <c r="J126" s="3" t="s">
        <v>4361</v>
      </c>
      <c r="K126" s="377"/>
    </row>
    <row r="127">
      <c r="A127" s="376">
        <v>43582.625302430555</v>
      </c>
      <c r="B127" s="3">
        <v>1737.0</v>
      </c>
      <c r="C127" s="3" t="s">
        <v>1067</v>
      </c>
      <c r="D127" s="3" t="s">
        <v>519</v>
      </c>
      <c r="E127" s="3" t="s">
        <v>538</v>
      </c>
      <c r="F127" s="3" t="s">
        <v>1068</v>
      </c>
      <c r="G127" s="3">
        <v>6415806.0</v>
      </c>
      <c r="I127" s="3" t="s">
        <v>4403</v>
      </c>
      <c r="J127" s="3" t="s">
        <v>4361</v>
      </c>
      <c r="K127" s="377"/>
    </row>
    <row r="128">
      <c r="A128" s="376">
        <v>43582.626702187496</v>
      </c>
      <c r="B128" s="3">
        <v>1738.0</v>
      </c>
      <c r="C128" s="3" t="s">
        <v>2506</v>
      </c>
      <c r="D128" s="3" t="s">
        <v>519</v>
      </c>
      <c r="E128" s="3" t="s">
        <v>538</v>
      </c>
      <c r="F128" s="3" t="s">
        <v>2507</v>
      </c>
      <c r="G128" s="3">
        <v>1.56617147E8</v>
      </c>
      <c r="I128" s="3" t="s">
        <v>4404</v>
      </c>
      <c r="J128" s="3" t="s">
        <v>4361</v>
      </c>
      <c r="K128" s="377"/>
    </row>
    <row r="129">
      <c r="A129" s="376">
        <v>43582.62894810185</v>
      </c>
      <c r="B129" s="3">
        <v>1746.0</v>
      </c>
      <c r="C129" s="3" t="s">
        <v>4405</v>
      </c>
      <c r="D129" s="3" t="s">
        <v>519</v>
      </c>
      <c r="E129" s="3" t="s">
        <v>538</v>
      </c>
      <c r="F129" s="3" t="s">
        <v>2607</v>
      </c>
      <c r="G129" s="3">
        <v>1.56247944E8</v>
      </c>
      <c r="I129" s="3" t="s">
        <v>4406</v>
      </c>
      <c r="J129" s="3" t="s">
        <v>4361</v>
      </c>
      <c r="K129" s="377"/>
    </row>
    <row r="130">
      <c r="A130" s="376">
        <v>43582.63262791667</v>
      </c>
      <c r="B130" s="3">
        <v>1739.0</v>
      </c>
      <c r="C130" s="3" t="s">
        <v>3220</v>
      </c>
      <c r="D130" s="3" t="s">
        <v>519</v>
      </c>
      <c r="E130" s="3" t="s">
        <v>538</v>
      </c>
      <c r="F130" s="3" t="s">
        <v>3221</v>
      </c>
      <c r="G130" s="3">
        <v>1.569570951E9</v>
      </c>
      <c r="I130" s="3" t="s">
        <v>3222</v>
      </c>
      <c r="J130" s="3" t="s">
        <v>4361</v>
      </c>
      <c r="K130" s="377"/>
    </row>
    <row r="131">
      <c r="A131" s="376">
        <v>43582.63519859954</v>
      </c>
      <c r="B131" s="3">
        <v>1740.0</v>
      </c>
      <c r="C131" s="3" t="s">
        <v>3925</v>
      </c>
      <c r="D131" s="3" t="s">
        <v>519</v>
      </c>
      <c r="E131" s="3" t="s">
        <v>538</v>
      </c>
      <c r="F131" s="3" t="s">
        <v>3926</v>
      </c>
      <c r="G131" s="3">
        <v>1.55382777E8</v>
      </c>
      <c r="I131" s="3" t="s">
        <v>3927</v>
      </c>
      <c r="J131" s="3" t="s">
        <v>4361</v>
      </c>
      <c r="K131" s="377"/>
    </row>
    <row r="132">
      <c r="A132" s="376">
        <v>43582.63845408565</v>
      </c>
      <c r="B132" s="3">
        <v>1741.0</v>
      </c>
      <c r="C132" s="3" t="s">
        <v>1257</v>
      </c>
      <c r="D132" s="3" t="s">
        <v>519</v>
      </c>
      <c r="E132" s="3" t="s">
        <v>538</v>
      </c>
      <c r="F132" s="3" t="s">
        <v>1258</v>
      </c>
      <c r="G132" s="3">
        <v>1.554330012E9</v>
      </c>
      <c r="I132" s="3" t="s">
        <v>1259</v>
      </c>
      <c r="J132" s="3" t="s">
        <v>4361</v>
      </c>
      <c r="K132" s="377"/>
    </row>
    <row r="133">
      <c r="A133" s="376">
        <v>43582.639670150464</v>
      </c>
      <c r="B133" s="3">
        <v>1742.0</v>
      </c>
      <c r="C133" s="3" t="s">
        <v>2735</v>
      </c>
      <c r="D133" s="3" t="s">
        <v>519</v>
      </c>
      <c r="E133" s="3" t="s">
        <v>538</v>
      </c>
      <c r="F133" s="3" t="s">
        <v>2736</v>
      </c>
      <c r="G133" s="3">
        <v>1.56161642E8</v>
      </c>
      <c r="I133" s="3" t="s">
        <v>2737</v>
      </c>
      <c r="J133" s="3" t="s">
        <v>4361</v>
      </c>
      <c r="K133" s="377"/>
    </row>
    <row r="134">
      <c r="A134" s="376">
        <v>43582.65686777778</v>
      </c>
      <c r="B134" s="3">
        <v>1743.0</v>
      </c>
      <c r="C134" s="3" t="s">
        <v>1269</v>
      </c>
      <c r="D134" s="3" t="s">
        <v>519</v>
      </c>
      <c r="E134" s="3" t="s">
        <v>538</v>
      </c>
      <c r="F134" s="3" t="s">
        <v>1270</v>
      </c>
      <c r="G134" s="3">
        <v>1.56161641E8</v>
      </c>
      <c r="I134" s="3" t="s">
        <v>4407</v>
      </c>
      <c r="J134" s="3" t="s">
        <v>4361</v>
      </c>
      <c r="K134" s="377"/>
    </row>
    <row r="135">
      <c r="A135" s="376">
        <v>43582.66146708334</v>
      </c>
      <c r="B135" s="3">
        <v>1744.0</v>
      </c>
      <c r="C135" s="3" t="s">
        <v>2606</v>
      </c>
      <c r="D135" s="3" t="s">
        <v>519</v>
      </c>
      <c r="E135" s="3" t="s">
        <v>538</v>
      </c>
      <c r="F135" s="3" t="s">
        <v>2607</v>
      </c>
      <c r="G135" s="3">
        <v>1.56247944E8</v>
      </c>
      <c r="I135" s="3" t="s">
        <v>2608</v>
      </c>
      <c r="J135" s="3" t="s">
        <v>4361</v>
      </c>
      <c r="K135" s="377"/>
    </row>
    <row r="136">
      <c r="A136" s="376">
        <v>43582.66240061342</v>
      </c>
      <c r="B136" s="3">
        <v>1745.0</v>
      </c>
      <c r="C136" s="3" t="s">
        <v>2008</v>
      </c>
      <c r="D136" s="3" t="s">
        <v>519</v>
      </c>
      <c r="E136" s="3" t="s">
        <v>2009</v>
      </c>
      <c r="F136" s="3" t="s">
        <v>2010</v>
      </c>
      <c r="G136" s="3">
        <v>1.55382048E8</v>
      </c>
      <c r="I136" s="3" t="s">
        <v>2011</v>
      </c>
      <c r="J136" s="3" t="s">
        <v>4361</v>
      </c>
      <c r="K136" s="377"/>
    </row>
    <row r="137">
      <c r="A137" s="376">
        <v>43624.59079037037</v>
      </c>
      <c r="B137" s="3">
        <v>1746.0</v>
      </c>
      <c r="C137" s="3" t="s">
        <v>4408</v>
      </c>
      <c r="D137" s="3" t="s">
        <v>519</v>
      </c>
      <c r="E137" s="3" t="s">
        <v>527</v>
      </c>
      <c r="F137" s="3" t="s">
        <v>571</v>
      </c>
      <c r="G137" s="3">
        <v>1.55623033E8</v>
      </c>
      <c r="I137" s="3" t="s">
        <v>2345</v>
      </c>
      <c r="J137" s="3" t="s">
        <v>4361</v>
      </c>
      <c r="K137" s="377"/>
    </row>
    <row r="138">
      <c r="A138" s="376">
        <v>43624.591523842595</v>
      </c>
      <c r="B138" s="3">
        <v>1747.0</v>
      </c>
      <c r="C138" s="3" t="s">
        <v>2344</v>
      </c>
      <c r="D138" s="3" t="s">
        <v>519</v>
      </c>
      <c r="E138" s="3" t="s">
        <v>527</v>
      </c>
      <c r="F138" s="3" t="s">
        <v>571</v>
      </c>
      <c r="G138" s="3">
        <v>1.54766044E8</v>
      </c>
      <c r="I138" s="3" t="s">
        <v>2345</v>
      </c>
      <c r="J138" s="3" t="s">
        <v>4361</v>
      </c>
      <c r="K138" s="377"/>
    </row>
    <row r="139">
      <c r="A139" s="376">
        <v>43660.689786469906</v>
      </c>
      <c r="B139" s="3">
        <v>1748.0</v>
      </c>
      <c r="C139" s="3" t="s">
        <v>3842</v>
      </c>
      <c r="D139" s="3" t="s">
        <v>519</v>
      </c>
      <c r="E139" s="3" t="s">
        <v>538</v>
      </c>
      <c r="F139" s="3" t="s">
        <v>3843</v>
      </c>
      <c r="G139" s="3">
        <v>2.213048284E9</v>
      </c>
      <c r="I139" s="3" t="s">
        <v>3844</v>
      </c>
      <c r="J139" s="3" t="s">
        <v>4361</v>
      </c>
      <c r="K139" s="377"/>
    </row>
    <row r="140">
      <c r="A140" s="376">
        <v>43708.908688310185</v>
      </c>
      <c r="B140" s="3">
        <v>1749.0</v>
      </c>
      <c r="C140" s="3" t="s">
        <v>583</v>
      </c>
      <c r="D140" s="3" t="s">
        <v>519</v>
      </c>
      <c r="E140" s="3" t="s">
        <v>527</v>
      </c>
      <c r="F140" s="3" t="s">
        <v>584</v>
      </c>
      <c r="G140" s="3">
        <v>1.54387985E8</v>
      </c>
      <c r="I140" s="3" t="s">
        <v>585</v>
      </c>
      <c r="J140" s="3" t="s">
        <v>4361</v>
      </c>
      <c r="K140" s="377"/>
    </row>
    <row r="141">
      <c r="A141" s="376">
        <v>43708.90972630787</v>
      </c>
      <c r="B141" s="3">
        <v>1750.0</v>
      </c>
      <c r="C141" s="3" t="s">
        <v>950</v>
      </c>
      <c r="D141" s="3" t="s">
        <v>951</v>
      </c>
      <c r="E141" s="3" t="s">
        <v>527</v>
      </c>
      <c r="G141" s="3">
        <v>1.5678078E8</v>
      </c>
      <c r="I141" s="3" t="s">
        <v>952</v>
      </c>
      <c r="J141" s="3" t="s">
        <v>4361</v>
      </c>
      <c r="K141" s="377"/>
    </row>
    <row r="142">
      <c r="A142" s="376">
        <v>43730.87323935185</v>
      </c>
      <c r="B142" s="3">
        <v>1751.0</v>
      </c>
      <c r="C142" s="3" t="s">
        <v>1417</v>
      </c>
      <c r="D142" s="3" t="s">
        <v>951</v>
      </c>
      <c r="E142" s="3" t="s">
        <v>709</v>
      </c>
      <c r="F142" s="3" t="s">
        <v>1418</v>
      </c>
      <c r="G142" s="378" t="s">
        <v>1419</v>
      </c>
      <c r="I142" s="3" t="s">
        <v>1420</v>
      </c>
      <c r="J142" s="3" t="s">
        <v>4361</v>
      </c>
      <c r="K142" s="377"/>
    </row>
    <row r="143">
      <c r="A143" s="376">
        <v>43765.92762314815</v>
      </c>
      <c r="B143" s="3">
        <v>1752.0</v>
      </c>
      <c r="C143" s="3" t="s">
        <v>3002</v>
      </c>
      <c r="D143" s="3" t="s">
        <v>519</v>
      </c>
      <c r="E143" s="3" t="s">
        <v>538</v>
      </c>
      <c r="F143" s="3" t="s">
        <v>3003</v>
      </c>
      <c r="G143" s="378" t="s">
        <v>3004</v>
      </c>
      <c r="I143" s="3" t="s">
        <v>3005</v>
      </c>
      <c r="J143" s="3" t="s">
        <v>4361</v>
      </c>
      <c r="K143" s="377"/>
    </row>
    <row r="144">
      <c r="A144" s="376">
        <v>43765.92897953704</v>
      </c>
      <c r="B144" s="3">
        <v>1753.0</v>
      </c>
      <c r="C144" s="3" t="s">
        <v>2304</v>
      </c>
      <c r="D144" s="3" t="s">
        <v>519</v>
      </c>
      <c r="E144" s="3" t="s">
        <v>520</v>
      </c>
      <c r="F144" s="3" t="s">
        <v>2305</v>
      </c>
      <c r="G144" s="378" t="s">
        <v>2306</v>
      </c>
      <c r="I144" s="3" t="s">
        <v>2307</v>
      </c>
      <c r="J144" s="3" t="s">
        <v>4361</v>
      </c>
      <c r="K144" s="377"/>
    </row>
    <row r="145">
      <c r="A145" s="376">
        <v>43765.93020590278</v>
      </c>
      <c r="B145" s="3">
        <v>1754.0</v>
      </c>
      <c r="C145" s="3" t="s">
        <v>1140</v>
      </c>
      <c r="D145" s="3" t="s">
        <v>519</v>
      </c>
      <c r="E145" s="3" t="s">
        <v>709</v>
      </c>
      <c r="F145" s="3" t="s">
        <v>1141</v>
      </c>
      <c r="G145" s="3">
        <v>1.56732519E8</v>
      </c>
      <c r="I145" s="3" t="s">
        <v>1142</v>
      </c>
      <c r="J145" s="3" t="s">
        <v>4361</v>
      </c>
      <c r="K145" s="377"/>
    </row>
    <row r="146">
      <c r="A146" s="376">
        <v>43765.93198113426</v>
      </c>
      <c r="B146" s="3">
        <v>1755.0</v>
      </c>
      <c r="C146" s="3" t="s">
        <v>1453</v>
      </c>
      <c r="D146" s="3" t="s">
        <v>519</v>
      </c>
      <c r="E146" s="3" t="s">
        <v>538</v>
      </c>
      <c r="F146" s="3" t="s">
        <v>1454</v>
      </c>
      <c r="G146" s="3">
        <v>1.63160002E8</v>
      </c>
      <c r="I146" s="3" t="s">
        <v>1455</v>
      </c>
      <c r="J146" s="3" t="s">
        <v>4361</v>
      </c>
      <c r="K146" s="377"/>
    </row>
    <row r="147">
      <c r="A147" s="376">
        <v>43787.983197939815</v>
      </c>
      <c r="B147" s="3">
        <v>1756.0</v>
      </c>
      <c r="C147" s="3" t="s">
        <v>3058</v>
      </c>
      <c r="D147" s="3" t="s">
        <v>519</v>
      </c>
      <c r="E147" s="3" t="s">
        <v>538</v>
      </c>
      <c r="F147" s="3" t="s">
        <v>3059</v>
      </c>
      <c r="G147" s="378" t="s">
        <v>3060</v>
      </c>
      <c r="I147" s="3" t="s">
        <v>4409</v>
      </c>
      <c r="J147" s="3" t="s">
        <v>4361</v>
      </c>
      <c r="K147" s="377"/>
    </row>
    <row r="148">
      <c r="A148" s="376">
        <v>43787.98445615741</v>
      </c>
      <c r="B148" s="3">
        <v>1757.0</v>
      </c>
      <c r="C148" s="3" t="s">
        <v>1847</v>
      </c>
      <c r="D148" s="3" t="s">
        <v>519</v>
      </c>
      <c r="E148" s="3" t="s">
        <v>538</v>
      </c>
      <c r="F148" s="3" t="s">
        <v>4410</v>
      </c>
      <c r="G148" s="3">
        <v>1.54552577E8</v>
      </c>
      <c r="I148" s="3" t="s">
        <v>1849</v>
      </c>
      <c r="J148" s="3" t="s">
        <v>4361</v>
      </c>
      <c r="K148" s="377"/>
    </row>
    <row r="149">
      <c r="A149" s="376">
        <v>43787.98548364583</v>
      </c>
      <c r="B149" s="3">
        <v>1758.0</v>
      </c>
      <c r="C149" s="3" t="s">
        <v>3488</v>
      </c>
      <c r="D149" s="3" t="s">
        <v>519</v>
      </c>
      <c r="E149" s="3" t="s">
        <v>538</v>
      </c>
      <c r="F149" s="3" t="s">
        <v>3489</v>
      </c>
      <c r="G149" s="3">
        <v>1.54885327E8</v>
      </c>
      <c r="I149" s="3" t="s">
        <v>3490</v>
      </c>
      <c r="J149" s="3" t="s">
        <v>4361</v>
      </c>
      <c r="K149" s="377"/>
    </row>
    <row r="150">
      <c r="A150" s="376">
        <v>43787.986621759264</v>
      </c>
      <c r="B150" s="3">
        <v>1759.0</v>
      </c>
      <c r="C150" s="3" t="s">
        <v>4411</v>
      </c>
      <c r="D150" s="3" t="s">
        <v>519</v>
      </c>
      <c r="E150" s="3" t="s">
        <v>538</v>
      </c>
      <c r="F150" s="3" t="s">
        <v>1246</v>
      </c>
      <c r="G150" s="3">
        <v>1.56375843E8</v>
      </c>
      <c r="I150" s="3" t="s">
        <v>1247</v>
      </c>
      <c r="J150" s="3" t="s">
        <v>4361</v>
      </c>
      <c r="K150" s="377"/>
    </row>
    <row r="151">
      <c r="A151" s="376">
        <v>43787.987822372685</v>
      </c>
      <c r="B151" s="3">
        <v>1760.0</v>
      </c>
      <c r="C151" s="3" t="s">
        <v>3610</v>
      </c>
      <c r="D151" s="3" t="s">
        <v>519</v>
      </c>
      <c r="E151" s="3" t="s">
        <v>538</v>
      </c>
      <c r="F151" s="3" t="s">
        <v>3611</v>
      </c>
      <c r="G151" s="3">
        <v>1.56418541E8</v>
      </c>
      <c r="I151" s="3" t="s">
        <v>3612</v>
      </c>
      <c r="J151" s="3" t="s">
        <v>4361</v>
      </c>
      <c r="K151" s="377"/>
    </row>
    <row r="152">
      <c r="A152" s="376">
        <v>43825.60045208334</v>
      </c>
      <c r="B152" s="3">
        <v>1761.0</v>
      </c>
      <c r="C152" s="3" t="s">
        <v>782</v>
      </c>
      <c r="D152" s="3" t="s">
        <v>519</v>
      </c>
      <c r="E152" s="3" t="s">
        <v>770</v>
      </c>
      <c r="F152" s="3" t="s">
        <v>783</v>
      </c>
      <c r="G152" s="3">
        <v>1.55673789E8</v>
      </c>
      <c r="I152" s="3" t="s">
        <v>784</v>
      </c>
      <c r="J152" s="3" t="s">
        <v>4361</v>
      </c>
    </row>
    <row r="153">
      <c r="A153" s="376">
        <v>43825.60183435185</v>
      </c>
      <c r="B153" s="3">
        <v>1762.0</v>
      </c>
      <c r="C153" s="3" t="s">
        <v>3687</v>
      </c>
      <c r="D153" s="3" t="s">
        <v>519</v>
      </c>
      <c r="E153" s="3" t="s">
        <v>538</v>
      </c>
      <c r="F153" s="3" t="s">
        <v>3688</v>
      </c>
      <c r="G153" s="3">
        <v>1.558209197E9</v>
      </c>
      <c r="I153" s="3" t="s">
        <v>3689</v>
      </c>
      <c r="J153" s="3" t="s">
        <v>4361</v>
      </c>
    </row>
    <row r="154">
      <c r="A154" s="376">
        <v>43825.603100127315</v>
      </c>
      <c r="B154" s="3">
        <v>1763.0</v>
      </c>
      <c r="C154" s="3" t="s">
        <v>970</v>
      </c>
      <c r="D154" s="3" t="s">
        <v>519</v>
      </c>
      <c r="E154" s="3" t="s">
        <v>527</v>
      </c>
      <c r="F154" s="3" t="s">
        <v>971</v>
      </c>
      <c r="G154" s="3">
        <v>1.54183415E8</v>
      </c>
      <c r="I154" s="3" t="s">
        <v>4412</v>
      </c>
      <c r="J154" s="3" t="s">
        <v>4361</v>
      </c>
    </row>
    <row r="155">
      <c r="A155" s="376">
        <v>43825.6045675</v>
      </c>
      <c r="B155" s="3">
        <v>1764.0</v>
      </c>
      <c r="C155" s="3" t="s">
        <v>1939</v>
      </c>
      <c r="D155" s="3" t="s">
        <v>519</v>
      </c>
      <c r="E155" s="3" t="s">
        <v>538</v>
      </c>
      <c r="F155" s="3" t="s">
        <v>1940</v>
      </c>
      <c r="G155" s="3">
        <v>1.54765917E8</v>
      </c>
      <c r="I155" s="3" t="s">
        <v>1941</v>
      </c>
      <c r="J155" s="3" t="s">
        <v>4361</v>
      </c>
    </row>
    <row r="156">
      <c r="A156" s="376">
        <v>43825.60558145834</v>
      </c>
      <c r="B156" s="3">
        <v>1765.0</v>
      </c>
      <c r="C156" s="3" t="s">
        <v>2803</v>
      </c>
      <c r="D156" s="3" t="s">
        <v>519</v>
      </c>
      <c r="E156" s="3" t="s">
        <v>770</v>
      </c>
      <c r="F156" s="3" t="s">
        <v>2804</v>
      </c>
      <c r="G156" s="3">
        <v>2.645060267E9</v>
      </c>
      <c r="I156" s="3" t="s">
        <v>2805</v>
      </c>
      <c r="J156" s="3" t="s">
        <v>4361</v>
      </c>
    </row>
    <row r="157">
      <c r="A157" s="376">
        <v>43825.61139962963</v>
      </c>
      <c r="B157" s="3">
        <v>1766.0</v>
      </c>
      <c r="C157" s="3" t="s">
        <v>1250</v>
      </c>
      <c r="D157" s="3" t="s">
        <v>519</v>
      </c>
      <c r="E157" s="3" t="s">
        <v>538</v>
      </c>
      <c r="F157" s="3" t="s">
        <v>1251</v>
      </c>
      <c r="J157" s="3" t="s">
        <v>4361</v>
      </c>
    </row>
    <row r="158">
      <c r="A158" s="376">
        <v>43825.612420868056</v>
      </c>
      <c r="B158" s="3">
        <v>1767.0</v>
      </c>
      <c r="C158" s="3" t="s">
        <v>2738</v>
      </c>
      <c r="D158" s="3" t="s">
        <v>951</v>
      </c>
      <c r="E158" s="3" t="s">
        <v>527</v>
      </c>
      <c r="F158" s="3" t="s">
        <v>2739</v>
      </c>
      <c r="G158" s="3">
        <v>2.215432112E9</v>
      </c>
      <c r="I158" s="3" t="s">
        <v>2740</v>
      </c>
      <c r="J158" s="3" t="s">
        <v>4361</v>
      </c>
    </row>
    <row r="159">
      <c r="A159" s="376">
        <v>43825.61447212963</v>
      </c>
      <c r="B159" s="3">
        <v>1768.0</v>
      </c>
      <c r="C159" s="3" t="s">
        <v>632</v>
      </c>
      <c r="D159" s="3" t="s">
        <v>519</v>
      </c>
      <c r="E159" s="3" t="s">
        <v>538</v>
      </c>
      <c r="F159" s="3" t="s">
        <v>633</v>
      </c>
      <c r="G159" s="3">
        <v>1.55487402E8</v>
      </c>
      <c r="I159" s="3" t="s">
        <v>634</v>
      </c>
      <c r="J159" s="3" t="s">
        <v>4361</v>
      </c>
    </row>
    <row r="160">
      <c r="A160" s="376">
        <v>43850.83228041667</v>
      </c>
      <c r="B160" s="3">
        <v>1769.0</v>
      </c>
      <c r="C160" s="3" t="s">
        <v>3136</v>
      </c>
      <c r="D160" s="3" t="s">
        <v>519</v>
      </c>
      <c r="E160" s="3" t="s">
        <v>527</v>
      </c>
      <c r="F160" s="3" t="s">
        <v>3137</v>
      </c>
      <c r="G160" s="3">
        <v>1.54347676E8</v>
      </c>
      <c r="I160" s="3" t="s">
        <v>3138</v>
      </c>
      <c r="J160" s="3" t="s">
        <v>4361</v>
      </c>
    </row>
    <row r="161">
      <c r="A161" s="376">
        <v>43850.83319788195</v>
      </c>
      <c r="B161" s="3">
        <v>1770.0</v>
      </c>
      <c r="C161" s="3" t="s">
        <v>2840</v>
      </c>
      <c r="D161" s="3" t="s">
        <v>519</v>
      </c>
      <c r="E161" s="3" t="s">
        <v>527</v>
      </c>
      <c r="F161" s="3" t="s">
        <v>2841</v>
      </c>
      <c r="G161" s="3">
        <v>1.54257464E8</v>
      </c>
      <c r="I161" s="3" t="s">
        <v>2842</v>
      </c>
      <c r="J161" s="3" t="s">
        <v>4361</v>
      </c>
    </row>
    <row r="162">
      <c r="A162" s="376">
        <v>43850.834958101856</v>
      </c>
      <c r="B162" s="3">
        <v>1771.0</v>
      </c>
      <c r="C162" s="3" t="s">
        <v>1931</v>
      </c>
      <c r="D162" s="3" t="s">
        <v>519</v>
      </c>
      <c r="E162" s="3" t="s">
        <v>538</v>
      </c>
      <c r="F162" s="3" t="s">
        <v>633</v>
      </c>
      <c r="I162" s="3" t="s">
        <v>1932</v>
      </c>
      <c r="J162" s="3" t="s">
        <v>4361</v>
      </c>
    </row>
    <row r="163">
      <c r="A163" s="376">
        <v>43850.837143530094</v>
      </c>
      <c r="B163" s="3">
        <v>1772.0</v>
      </c>
      <c r="C163" s="3" t="s">
        <v>1609</v>
      </c>
      <c r="D163" s="3" t="s">
        <v>519</v>
      </c>
      <c r="E163" s="3" t="s">
        <v>538</v>
      </c>
      <c r="G163" s="3">
        <v>1.164975485E9</v>
      </c>
      <c r="I163" s="3" t="s">
        <v>1610</v>
      </c>
      <c r="J163" s="3" t="s">
        <v>4361</v>
      </c>
    </row>
    <row r="164">
      <c r="A164" s="376">
        <v>43861.87620899305</v>
      </c>
      <c r="B164" s="3">
        <v>1773.0</v>
      </c>
      <c r="C164" s="3" t="s">
        <v>1913</v>
      </c>
      <c r="D164" s="3" t="s">
        <v>519</v>
      </c>
      <c r="E164" s="3" t="s">
        <v>538</v>
      </c>
      <c r="F164" s="3" t="s">
        <v>1914</v>
      </c>
      <c r="G164" s="3">
        <v>4205564.0</v>
      </c>
      <c r="I164" s="3" t="s">
        <v>4413</v>
      </c>
      <c r="J164" s="3" t="s">
        <v>4361</v>
      </c>
    </row>
    <row r="165">
      <c r="A165" s="376">
        <v>43861.87776016204</v>
      </c>
      <c r="B165" s="3">
        <v>1774.0</v>
      </c>
      <c r="C165" s="3" t="s">
        <v>930</v>
      </c>
      <c r="D165" s="3" t="s">
        <v>519</v>
      </c>
      <c r="E165" s="3" t="s">
        <v>538</v>
      </c>
      <c r="F165" s="3" t="s">
        <v>931</v>
      </c>
      <c r="G165" s="3" t="s">
        <v>932</v>
      </c>
      <c r="I165" s="3" t="s">
        <v>933</v>
      </c>
      <c r="J165" s="3" t="s">
        <v>4361</v>
      </c>
    </row>
    <row r="166">
      <c r="A166" s="376">
        <v>43861.881885358795</v>
      </c>
      <c r="B166" s="3">
        <v>1775.0</v>
      </c>
      <c r="C166" s="3" t="s">
        <v>858</v>
      </c>
      <c r="D166" s="3" t="s">
        <v>519</v>
      </c>
      <c r="E166" s="3" t="s">
        <v>527</v>
      </c>
      <c r="F166" s="3" t="s">
        <v>859</v>
      </c>
      <c r="G166" s="3">
        <v>4256113.0</v>
      </c>
      <c r="I166" s="3" t="s">
        <v>860</v>
      </c>
      <c r="J166" s="3" t="s">
        <v>4361</v>
      </c>
    </row>
    <row r="167">
      <c r="A167" s="376">
        <v>43874.559259444446</v>
      </c>
      <c r="B167" s="3">
        <v>1776.0</v>
      </c>
      <c r="C167" s="3" t="s">
        <v>3142</v>
      </c>
      <c r="D167" s="3" t="s">
        <v>519</v>
      </c>
      <c r="E167" s="3" t="s">
        <v>538</v>
      </c>
      <c r="F167" s="3" t="s">
        <v>3143</v>
      </c>
      <c r="G167" s="3">
        <v>1.56541941E8</v>
      </c>
      <c r="I167" s="3" t="s">
        <v>3144</v>
      </c>
      <c r="J167" s="3" t="s">
        <v>4361</v>
      </c>
    </row>
    <row r="168">
      <c r="A168" s="376">
        <v>43874.5668184838</v>
      </c>
      <c r="B168" s="3">
        <v>1777.0</v>
      </c>
      <c r="C168" s="3" t="s">
        <v>3632</v>
      </c>
      <c r="D168" s="3" t="s">
        <v>519</v>
      </c>
      <c r="E168" s="3" t="s">
        <v>538</v>
      </c>
      <c r="F168" s="3" t="s">
        <v>3633</v>
      </c>
      <c r="G168" s="3">
        <v>1.55852206E8</v>
      </c>
      <c r="I168" s="3" t="s">
        <v>3634</v>
      </c>
      <c r="J168" s="3" t="s">
        <v>4361</v>
      </c>
    </row>
    <row r="169">
      <c r="A169" s="376">
        <v>43874.56947478009</v>
      </c>
      <c r="B169" s="3">
        <v>1778.0</v>
      </c>
      <c r="C169" s="3" t="s">
        <v>1644</v>
      </c>
      <c r="D169" s="3" t="s">
        <v>519</v>
      </c>
      <c r="E169" s="3" t="s">
        <v>538</v>
      </c>
      <c r="F169" s="3" t="s">
        <v>1645</v>
      </c>
      <c r="G169" s="3">
        <v>1.54383681E8</v>
      </c>
      <c r="I169" s="3" t="s">
        <v>1646</v>
      </c>
      <c r="J169" s="3" t="s">
        <v>4361</v>
      </c>
    </row>
    <row r="170">
      <c r="A170" s="376">
        <v>43874.57273115741</v>
      </c>
      <c r="B170" s="3">
        <v>1779.0</v>
      </c>
      <c r="C170" s="3" t="s">
        <v>1261</v>
      </c>
      <c r="D170" s="3" t="s">
        <v>519</v>
      </c>
      <c r="E170" s="3" t="s">
        <v>538</v>
      </c>
      <c r="F170" s="3" t="s">
        <v>1262</v>
      </c>
      <c r="G170" s="3">
        <v>3.447510387E9</v>
      </c>
      <c r="I170" s="3" t="s">
        <v>1263</v>
      </c>
      <c r="J170" s="3" t="s">
        <v>4361</v>
      </c>
    </row>
    <row r="171">
      <c r="A171" s="376">
        <v>43874.57426459491</v>
      </c>
      <c r="B171" s="3">
        <v>1780.0</v>
      </c>
      <c r="C171" s="3" t="s">
        <v>3783</v>
      </c>
      <c r="D171" s="3" t="s">
        <v>519</v>
      </c>
      <c r="E171" s="3" t="s">
        <v>520</v>
      </c>
      <c r="F171" s="3" t="s">
        <v>3784</v>
      </c>
      <c r="G171" s="3">
        <v>4592928.0</v>
      </c>
      <c r="I171" s="3" t="s">
        <v>3785</v>
      </c>
      <c r="J171" s="3" t="s">
        <v>4361</v>
      </c>
    </row>
    <row r="172">
      <c r="A172" s="376">
        <v>43874.59424925926</v>
      </c>
      <c r="B172" s="3">
        <v>1781.0</v>
      </c>
      <c r="C172" s="3" t="s">
        <v>3478</v>
      </c>
      <c r="D172" s="3" t="s">
        <v>519</v>
      </c>
      <c r="E172" s="3" t="s">
        <v>538</v>
      </c>
      <c r="F172" s="3" t="s">
        <v>3479</v>
      </c>
      <c r="G172" s="3">
        <v>5457890.0</v>
      </c>
      <c r="I172" s="3" t="s">
        <v>3480</v>
      </c>
      <c r="J172" s="3" t="s">
        <v>4361</v>
      </c>
    </row>
    <row r="173">
      <c r="A173" s="376">
        <v>43874.59813587963</v>
      </c>
      <c r="B173" s="3">
        <v>1782.0</v>
      </c>
      <c r="C173" s="3" t="s">
        <v>2789</v>
      </c>
      <c r="D173" s="3" t="s">
        <v>519</v>
      </c>
      <c r="E173" s="3" t="s">
        <v>538</v>
      </c>
      <c r="F173" s="3" t="s">
        <v>2790</v>
      </c>
      <c r="G173" s="3">
        <v>5374600.0</v>
      </c>
      <c r="I173" s="3" t="s">
        <v>2791</v>
      </c>
      <c r="J173" s="3" t="s">
        <v>4361</v>
      </c>
    </row>
    <row r="174">
      <c r="A174" s="376">
        <v>43874.60140534722</v>
      </c>
      <c r="B174" s="3">
        <v>1783.0</v>
      </c>
      <c r="C174" s="3" t="s">
        <v>1684</v>
      </c>
      <c r="D174" s="3" t="s">
        <v>519</v>
      </c>
      <c r="E174" s="3" t="s">
        <v>538</v>
      </c>
      <c r="F174" s="3" t="s">
        <v>1685</v>
      </c>
      <c r="G174" s="378" t="s">
        <v>1686</v>
      </c>
      <c r="I174" s="3" t="s">
        <v>1687</v>
      </c>
      <c r="J174" s="3" t="s">
        <v>4361</v>
      </c>
    </row>
    <row r="175">
      <c r="A175" s="376">
        <v>43874.60557542824</v>
      </c>
      <c r="B175" s="3">
        <v>1784.0</v>
      </c>
      <c r="C175" s="3" t="s">
        <v>2349</v>
      </c>
      <c r="D175" s="3" t="s">
        <v>519</v>
      </c>
      <c r="E175" s="3" t="s">
        <v>538</v>
      </c>
      <c r="F175" s="3" t="s">
        <v>2350</v>
      </c>
      <c r="G175" s="3">
        <v>5759546.0</v>
      </c>
      <c r="I175" s="3" t="s">
        <v>2351</v>
      </c>
      <c r="J175" s="3" t="s">
        <v>4361</v>
      </c>
    </row>
    <row r="176">
      <c r="A176" s="376">
        <v>43874.61003831019</v>
      </c>
      <c r="B176" s="3">
        <v>1785.0</v>
      </c>
      <c r="C176" s="3" t="s">
        <v>2529</v>
      </c>
      <c r="D176" s="3" t="s">
        <v>519</v>
      </c>
      <c r="E176" s="3" t="s">
        <v>538</v>
      </c>
      <c r="F176" s="3" t="s">
        <v>2530</v>
      </c>
      <c r="G176" s="3">
        <v>1.55378302E8</v>
      </c>
      <c r="I176" s="3" t="s">
        <v>2531</v>
      </c>
      <c r="J176" s="3" t="s">
        <v>4361</v>
      </c>
    </row>
    <row r="177">
      <c r="A177" s="376">
        <v>43920.877051585645</v>
      </c>
      <c r="B177" s="3">
        <v>1786.0</v>
      </c>
      <c r="C177" s="3" t="s">
        <v>1735</v>
      </c>
      <c r="D177" s="3" t="s">
        <v>951</v>
      </c>
      <c r="E177" s="3" t="s">
        <v>520</v>
      </c>
      <c r="F177" s="3" t="s">
        <v>1736</v>
      </c>
      <c r="G177" s="3">
        <v>2.966621598E9</v>
      </c>
      <c r="I177" s="3" t="s">
        <v>1737</v>
      </c>
      <c r="J177" s="3" t="s">
        <v>4361</v>
      </c>
    </row>
    <row r="178">
      <c r="A178" s="376">
        <v>43920.87831921296</v>
      </c>
      <c r="B178" s="3">
        <v>1787.0</v>
      </c>
      <c r="C178" s="3" t="s">
        <v>1862</v>
      </c>
      <c r="D178" s="3" t="s">
        <v>951</v>
      </c>
      <c r="E178" s="3" t="s">
        <v>538</v>
      </c>
      <c r="F178" s="3" t="s">
        <v>1864</v>
      </c>
      <c r="G178" s="3">
        <v>2.21642255031E11</v>
      </c>
      <c r="I178" s="3" t="s">
        <v>1865</v>
      </c>
      <c r="J178" s="3" t="s">
        <v>4361</v>
      </c>
    </row>
    <row r="179">
      <c r="A179" s="376">
        <v>43920.880960462964</v>
      </c>
      <c r="B179" s="3">
        <v>1788.0</v>
      </c>
      <c r="C179" s="3" t="s">
        <v>3322</v>
      </c>
      <c r="D179" s="3" t="s">
        <v>951</v>
      </c>
      <c r="E179" s="3" t="s">
        <v>520</v>
      </c>
      <c r="F179" s="3" t="s">
        <v>3323</v>
      </c>
      <c r="G179" s="378" t="s">
        <v>3324</v>
      </c>
      <c r="I179" s="3" t="s">
        <v>3325</v>
      </c>
      <c r="J179" s="3" t="s">
        <v>4361</v>
      </c>
    </row>
  </sheetData>
  <conditionalFormatting sqref="B1:K1">
    <cfRule type="containsText" dxfId="9" priority="1" operator="containsText" text="Disponible">
      <formula>NOT(ISERROR(SEARCH(("Disponible"),(B1))))</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3.63"/>
    <col customWidth="1" min="2" max="2" width="4.0"/>
    <col customWidth="1" min="3" max="3" width="12.38"/>
    <col customWidth="1" min="4" max="4" width="11.38"/>
    <col customWidth="1" min="5" max="5" width="14.25"/>
    <col customWidth="1" min="6" max="6" width="13.88"/>
    <col customWidth="1" min="7" max="7" width="91.63"/>
  </cols>
  <sheetData>
    <row r="1" ht="21.75" customHeight="1">
      <c r="A1" s="379" t="s">
        <v>8</v>
      </c>
      <c r="B1" s="379" t="s">
        <v>4062</v>
      </c>
      <c r="C1" s="379" t="s">
        <v>4414</v>
      </c>
      <c r="D1" s="380" t="s">
        <v>4415</v>
      </c>
      <c r="E1" s="379" t="s">
        <v>4416</v>
      </c>
      <c r="F1" s="379" t="s">
        <v>4417</v>
      </c>
      <c r="G1" s="381" t="s">
        <v>33</v>
      </c>
    </row>
    <row r="2">
      <c r="A2" s="382">
        <v>2013.0</v>
      </c>
      <c r="B2" s="382">
        <v>8.0</v>
      </c>
      <c r="C2" s="382">
        <v>1.0</v>
      </c>
      <c r="D2" s="383">
        <v>10772.0</v>
      </c>
      <c r="E2" s="384">
        <v>41496.0</v>
      </c>
      <c r="F2" s="382" t="s">
        <v>4418</v>
      </c>
      <c r="G2" s="385" t="s">
        <v>4419</v>
      </c>
    </row>
    <row r="3">
      <c r="A3" s="382">
        <v>2013.0</v>
      </c>
      <c r="B3" s="382">
        <v>8.0</v>
      </c>
      <c r="C3" s="382">
        <v>2.0</v>
      </c>
      <c r="D3" s="383">
        <v>7292.0</v>
      </c>
      <c r="E3" s="384">
        <v>41511.0</v>
      </c>
      <c r="F3" s="382" t="s">
        <v>4418</v>
      </c>
      <c r="G3" s="385" t="s">
        <v>4420</v>
      </c>
    </row>
    <row r="4">
      <c r="A4" s="382">
        <v>2013.0</v>
      </c>
      <c r="B4" s="382">
        <v>8.0</v>
      </c>
      <c r="C4" s="382">
        <v>3.0</v>
      </c>
      <c r="D4" s="383">
        <v>5847.0</v>
      </c>
      <c r="E4" s="384">
        <v>41517.0</v>
      </c>
      <c r="F4" s="382" t="s">
        <v>4418</v>
      </c>
      <c r="G4" s="386"/>
    </row>
    <row r="5" ht="23.25" customHeight="1">
      <c r="A5" s="387" t="s">
        <v>4421</v>
      </c>
      <c r="B5" s="360"/>
      <c r="C5" s="388"/>
      <c r="D5" s="389">
        <f>SUM(D2:D4)</f>
        <v>23911</v>
      </c>
      <c r="E5" s="390"/>
      <c r="F5" s="390"/>
      <c r="G5" s="391" t="s">
        <v>4422</v>
      </c>
    </row>
    <row r="6">
      <c r="A6" s="382">
        <v>2013.0</v>
      </c>
      <c r="B6" s="382">
        <v>9.0</v>
      </c>
      <c r="C6" s="382">
        <v>1.0</v>
      </c>
      <c r="D6" s="383">
        <v>9000.0</v>
      </c>
      <c r="E6" s="384">
        <v>41532.0</v>
      </c>
      <c r="F6" s="382" t="s">
        <v>4418</v>
      </c>
      <c r="G6" s="386"/>
    </row>
    <row r="7">
      <c r="A7" s="382">
        <v>2013.0</v>
      </c>
      <c r="B7" s="382">
        <v>9.0</v>
      </c>
      <c r="C7" s="382">
        <v>2.0</v>
      </c>
      <c r="D7" s="383">
        <v>3285.0</v>
      </c>
      <c r="E7" s="384">
        <v>41538.0</v>
      </c>
      <c r="F7" s="382" t="s">
        <v>4418</v>
      </c>
      <c r="G7" s="386"/>
    </row>
    <row r="8">
      <c r="A8" s="382">
        <v>2013.0</v>
      </c>
      <c r="B8" s="382">
        <v>9.0</v>
      </c>
      <c r="C8" s="382">
        <v>3.0</v>
      </c>
      <c r="D8" s="383">
        <v>7000.0</v>
      </c>
      <c r="E8" s="384">
        <v>41546.0</v>
      </c>
      <c r="F8" s="382" t="s">
        <v>4418</v>
      </c>
      <c r="G8" s="386"/>
    </row>
    <row r="9">
      <c r="A9" s="382">
        <v>2013.0</v>
      </c>
      <c r="B9" s="382">
        <v>9.0</v>
      </c>
      <c r="C9" s="382">
        <v>4.0</v>
      </c>
      <c r="D9" s="383">
        <v>1394.0</v>
      </c>
      <c r="E9" s="384">
        <v>41552.0</v>
      </c>
      <c r="F9" s="382" t="s">
        <v>4418</v>
      </c>
      <c r="G9" s="386"/>
    </row>
    <row r="10">
      <c r="A10" s="387" t="s">
        <v>4423</v>
      </c>
      <c r="B10" s="360"/>
      <c r="C10" s="388"/>
      <c r="D10" s="389">
        <f>SUM(D6:D9)</f>
        <v>20679</v>
      </c>
      <c r="E10" s="390"/>
      <c r="F10" s="390"/>
      <c r="G10" s="391" t="s">
        <v>4424</v>
      </c>
    </row>
    <row r="11">
      <c r="A11" s="382">
        <v>2013.0</v>
      </c>
      <c r="B11" s="382">
        <v>10.0</v>
      </c>
      <c r="C11" s="382">
        <v>1.0</v>
      </c>
      <c r="D11" s="383">
        <v>9300.0</v>
      </c>
      <c r="E11" s="384">
        <v>41559.0</v>
      </c>
      <c r="F11" s="382" t="s">
        <v>4418</v>
      </c>
      <c r="G11" s="386"/>
    </row>
    <row r="12">
      <c r="A12" s="382">
        <v>2013.0</v>
      </c>
      <c r="B12" s="382">
        <v>10.0</v>
      </c>
      <c r="C12" s="382">
        <v>2.0</v>
      </c>
      <c r="D12" s="383">
        <v>7100.0</v>
      </c>
      <c r="E12" s="384">
        <v>41567.0</v>
      </c>
      <c r="F12" s="382" t="s">
        <v>4418</v>
      </c>
      <c r="G12" s="386"/>
    </row>
    <row r="13">
      <c r="A13" s="382">
        <v>2013.0</v>
      </c>
      <c r="B13" s="382">
        <v>10.0</v>
      </c>
      <c r="C13" s="382">
        <v>3.0</v>
      </c>
      <c r="D13" s="383">
        <v>7000.0</v>
      </c>
      <c r="E13" s="384">
        <v>41575.0</v>
      </c>
      <c r="F13" s="382" t="s">
        <v>4418</v>
      </c>
      <c r="G13" s="386"/>
    </row>
    <row r="14">
      <c r="A14" s="382">
        <v>2013.0</v>
      </c>
      <c r="B14" s="382">
        <v>10.0</v>
      </c>
      <c r="C14" s="382">
        <v>4.0</v>
      </c>
      <c r="D14" s="383">
        <v>3916.0</v>
      </c>
      <c r="E14" s="384">
        <v>41580.0</v>
      </c>
      <c r="F14" s="382" t="s">
        <v>4418</v>
      </c>
      <c r="G14" s="385" t="s">
        <v>4425</v>
      </c>
    </row>
    <row r="15">
      <c r="A15" s="382">
        <v>2013.0</v>
      </c>
      <c r="B15" s="382">
        <v>10.0</v>
      </c>
      <c r="C15" s="382">
        <v>5.0</v>
      </c>
      <c r="D15" s="383">
        <v>63.0</v>
      </c>
      <c r="E15" s="384">
        <v>41581.0</v>
      </c>
      <c r="F15" s="382" t="s">
        <v>4418</v>
      </c>
      <c r="G15" s="386"/>
    </row>
    <row r="16">
      <c r="A16" s="387" t="s">
        <v>4426</v>
      </c>
      <c r="B16" s="360"/>
      <c r="C16" s="388"/>
      <c r="D16" s="389">
        <f>SUM(D11:D15)</f>
        <v>27379</v>
      </c>
      <c r="E16" s="390"/>
      <c r="F16" s="390"/>
      <c r="G16" s="391" t="s">
        <v>4427</v>
      </c>
    </row>
    <row r="17">
      <c r="A17" s="382">
        <v>2013.0</v>
      </c>
      <c r="B17" s="382">
        <v>11.0</v>
      </c>
      <c r="C17" s="382">
        <v>1.0</v>
      </c>
      <c r="D17" s="383">
        <v>10655.0</v>
      </c>
      <c r="E17" s="384">
        <v>41588.0</v>
      </c>
      <c r="F17" s="382" t="s">
        <v>4418</v>
      </c>
      <c r="G17" s="386"/>
    </row>
    <row r="18">
      <c r="A18" s="382">
        <v>2013.0</v>
      </c>
      <c r="B18" s="382">
        <v>11.0</v>
      </c>
      <c r="C18" s="382">
        <v>2.0</v>
      </c>
      <c r="D18" s="383">
        <v>8630.0</v>
      </c>
      <c r="E18" s="384">
        <v>41595.0</v>
      </c>
      <c r="F18" s="392"/>
      <c r="G18" s="386"/>
    </row>
    <row r="19">
      <c r="A19" s="382">
        <v>2013.0</v>
      </c>
      <c r="B19" s="382">
        <v>11.0</v>
      </c>
      <c r="C19" s="382">
        <v>3.0</v>
      </c>
      <c r="D19" s="383">
        <v>10000.0</v>
      </c>
      <c r="E19" s="384">
        <v>41602.0</v>
      </c>
      <c r="F19" s="392"/>
      <c r="G19" s="386"/>
    </row>
    <row r="20">
      <c r="A20" s="382">
        <v>2013.0</v>
      </c>
      <c r="B20" s="382">
        <v>11.0</v>
      </c>
      <c r="C20" s="382">
        <v>4.0</v>
      </c>
      <c r="D20" s="383">
        <v>5375.0</v>
      </c>
      <c r="E20" s="384">
        <v>41609.0</v>
      </c>
      <c r="F20" s="392"/>
      <c r="G20" s="386"/>
    </row>
    <row r="21">
      <c r="A21" s="382">
        <v>2013.0</v>
      </c>
      <c r="B21" s="382">
        <v>11.0</v>
      </c>
      <c r="C21" s="382">
        <v>5.0</v>
      </c>
      <c r="D21" s="383">
        <v>375.0</v>
      </c>
      <c r="E21" s="384">
        <v>41622.0</v>
      </c>
      <c r="F21" s="392"/>
      <c r="G21" s="386"/>
    </row>
    <row r="22">
      <c r="A22" s="387" t="s">
        <v>4428</v>
      </c>
      <c r="B22" s="360"/>
      <c r="C22" s="388"/>
      <c r="D22" s="389">
        <f>SUM(D17:D21)</f>
        <v>35035</v>
      </c>
      <c r="E22" s="390"/>
      <c r="F22" s="390"/>
      <c r="G22" s="391" t="s">
        <v>4429</v>
      </c>
    </row>
    <row r="23">
      <c r="A23" s="382">
        <v>2013.0</v>
      </c>
      <c r="B23" s="382">
        <v>12.0</v>
      </c>
      <c r="C23" s="382">
        <v>1.0</v>
      </c>
      <c r="D23" s="383">
        <v>7200.0</v>
      </c>
      <c r="E23" s="384">
        <v>41616.0</v>
      </c>
      <c r="F23" s="392"/>
      <c r="G23" s="386"/>
    </row>
    <row r="24">
      <c r="A24" s="382">
        <v>2013.0</v>
      </c>
      <c r="B24" s="382">
        <v>12.0</v>
      </c>
      <c r="C24" s="382">
        <v>2.0</v>
      </c>
      <c r="D24" s="383">
        <v>9400.0</v>
      </c>
      <c r="E24" s="384">
        <v>41629.0</v>
      </c>
      <c r="F24" s="392"/>
      <c r="G24" s="386"/>
    </row>
    <row r="25">
      <c r="A25" s="382">
        <v>2013.0</v>
      </c>
      <c r="B25" s="382">
        <v>12.0</v>
      </c>
      <c r="C25" s="382">
        <v>3.0</v>
      </c>
      <c r="D25" s="383">
        <v>14149.0</v>
      </c>
      <c r="E25" s="384">
        <v>41643.0</v>
      </c>
      <c r="F25" s="392"/>
      <c r="G25" s="386"/>
    </row>
    <row r="26" ht="11.25" customHeight="1">
      <c r="A26" s="387" t="s">
        <v>4430</v>
      </c>
      <c r="B26" s="360"/>
      <c r="C26" s="388"/>
      <c r="D26" s="389">
        <f>SUM(D23:D25)</f>
        <v>30749</v>
      </c>
      <c r="E26" s="390"/>
      <c r="F26" s="390"/>
      <c r="G26" s="391" t="s">
        <v>4431</v>
      </c>
    </row>
    <row r="27" ht="9.0" customHeight="1">
      <c r="A27" s="393" t="s">
        <v>4432</v>
      </c>
      <c r="G27" s="394"/>
    </row>
    <row r="28">
      <c r="A28" s="395">
        <v>2014.0</v>
      </c>
      <c r="B28" s="396">
        <v>1.0</v>
      </c>
      <c r="C28" s="396">
        <v>1.0</v>
      </c>
      <c r="D28" s="397">
        <v>10803.0</v>
      </c>
      <c r="E28" s="398">
        <v>41651.0</v>
      </c>
      <c r="F28" s="399"/>
      <c r="G28" s="400"/>
    </row>
    <row r="29">
      <c r="A29" s="401">
        <v>2014.0</v>
      </c>
      <c r="B29" s="382">
        <v>1.0</v>
      </c>
      <c r="C29" s="382">
        <v>2.0</v>
      </c>
      <c r="D29" s="383">
        <v>21492.0</v>
      </c>
      <c r="E29" s="384">
        <v>41664.0</v>
      </c>
      <c r="F29" s="392"/>
      <c r="G29" s="386"/>
    </row>
    <row r="30">
      <c r="A30" s="401">
        <v>2014.0</v>
      </c>
      <c r="B30" s="382">
        <v>1.0</v>
      </c>
      <c r="C30" s="382">
        <v>3.0</v>
      </c>
      <c r="D30" s="383">
        <v>6126.0</v>
      </c>
      <c r="E30" s="384">
        <v>41671.0</v>
      </c>
      <c r="F30" s="392"/>
      <c r="G30" s="386"/>
    </row>
    <row r="31">
      <c r="A31" s="387" t="s">
        <v>4433</v>
      </c>
      <c r="B31" s="360"/>
      <c r="C31" s="388"/>
      <c r="D31" s="389">
        <f>SUM(D28:D30)</f>
        <v>38421</v>
      </c>
      <c r="E31" s="390"/>
      <c r="F31" s="390"/>
      <c r="G31" s="391" t="s">
        <v>4434</v>
      </c>
    </row>
    <row r="32">
      <c r="A32" s="382">
        <v>2014.0</v>
      </c>
      <c r="B32" s="382">
        <v>2.0</v>
      </c>
      <c r="C32" s="382">
        <v>1.0</v>
      </c>
      <c r="D32" s="383">
        <v>10000.0</v>
      </c>
      <c r="E32" s="384">
        <v>41679.0</v>
      </c>
      <c r="F32" s="392"/>
      <c r="G32" s="386"/>
    </row>
    <row r="33">
      <c r="A33" s="382">
        <v>2014.0</v>
      </c>
      <c r="B33" s="382">
        <v>2.0</v>
      </c>
      <c r="C33" s="382">
        <v>2.0</v>
      </c>
      <c r="D33" s="383">
        <v>10518.0</v>
      </c>
      <c r="E33" s="384">
        <v>41686.0</v>
      </c>
      <c r="F33" s="392"/>
      <c r="G33" s="386"/>
    </row>
    <row r="34">
      <c r="A34" s="382">
        <v>2014.0</v>
      </c>
      <c r="B34" s="382">
        <v>2.0</v>
      </c>
      <c r="C34" s="382">
        <v>3.0</v>
      </c>
      <c r="D34" s="383">
        <v>10000.0</v>
      </c>
      <c r="E34" s="384">
        <v>41693.0</v>
      </c>
      <c r="F34" s="392"/>
      <c r="G34" s="386"/>
    </row>
    <row r="35">
      <c r="A35" s="382">
        <v>2014.0</v>
      </c>
      <c r="B35" s="382">
        <v>2.0</v>
      </c>
      <c r="C35" s="382">
        <v>4.0</v>
      </c>
      <c r="D35" s="383">
        <v>2557.0</v>
      </c>
      <c r="E35" s="384">
        <v>41699.0</v>
      </c>
      <c r="F35" s="392"/>
      <c r="G35" s="386"/>
    </row>
    <row r="36">
      <c r="A36" s="387" t="s">
        <v>4435</v>
      </c>
      <c r="B36" s="360"/>
      <c r="C36" s="388"/>
      <c r="D36" s="389">
        <f>SUM(D32:D35)</f>
        <v>33075</v>
      </c>
      <c r="E36" s="390"/>
      <c r="F36" s="390"/>
      <c r="G36" s="391" t="s">
        <v>4436</v>
      </c>
    </row>
    <row r="37">
      <c r="A37" s="382">
        <v>2014.0</v>
      </c>
      <c r="B37" s="382">
        <v>3.0</v>
      </c>
      <c r="C37" s="382">
        <v>1.0</v>
      </c>
      <c r="D37" s="383">
        <v>19400.0</v>
      </c>
      <c r="E37" s="384">
        <v>41714.0</v>
      </c>
      <c r="F37" s="392"/>
      <c r="G37" s="386"/>
    </row>
    <row r="38">
      <c r="A38" s="382">
        <v>2014.0</v>
      </c>
      <c r="B38" s="382">
        <v>3.0</v>
      </c>
      <c r="C38" s="382">
        <v>2.0</v>
      </c>
      <c r="D38" s="383">
        <v>10000.0</v>
      </c>
      <c r="E38" s="384">
        <v>41731.0</v>
      </c>
      <c r="F38" s="392"/>
      <c r="G38" s="386"/>
    </row>
    <row r="39">
      <c r="A39" s="382">
        <v>2014.0</v>
      </c>
      <c r="B39" s="382">
        <v>3.0</v>
      </c>
      <c r="C39" s="382">
        <v>3.0</v>
      </c>
      <c r="D39" s="383">
        <v>4254.0</v>
      </c>
      <c r="E39" s="384">
        <v>41734.0</v>
      </c>
      <c r="F39" s="392"/>
      <c r="G39" s="386"/>
    </row>
    <row r="40">
      <c r="A40" s="387" t="s">
        <v>4437</v>
      </c>
      <c r="B40" s="360"/>
      <c r="C40" s="388"/>
      <c r="D40" s="389">
        <f>SUM(D37:D39)</f>
        <v>33654</v>
      </c>
      <c r="E40" s="390"/>
      <c r="F40" s="390"/>
      <c r="G40" s="391" t="s">
        <v>4438</v>
      </c>
    </row>
    <row r="41">
      <c r="A41" s="382">
        <v>2014.0</v>
      </c>
      <c r="B41" s="382">
        <v>4.0</v>
      </c>
      <c r="C41" s="382">
        <v>1.0</v>
      </c>
      <c r="D41" s="383">
        <v>14000.0</v>
      </c>
      <c r="E41" s="384">
        <v>41749.0</v>
      </c>
      <c r="F41" s="392"/>
      <c r="G41" s="386"/>
    </row>
    <row r="42">
      <c r="A42" s="382">
        <v>2014.0</v>
      </c>
      <c r="B42" s="382">
        <v>4.0</v>
      </c>
      <c r="C42" s="382">
        <v>2.0</v>
      </c>
      <c r="D42" s="383">
        <v>10459.0</v>
      </c>
      <c r="E42" s="384">
        <v>41756.0</v>
      </c>
      <c r="F42" s="392"/>
      <c r="G42" s="386"/>
    </row>
    <row r="43">
      <c r="A43" s="382">
        <v>2014.0</v>
      </c>
      <c r="B43" s="382">
        <v>4.0</v>
      </c>
      <c r="C43" s="382">
        <v>3.0</v>
      </c>
      <c r="D43" s="383">
        <v>3323.0</v>
      </c>
      <c r="E43" s="384">
        <v>41763.0</v>
      </c>
      <c r="F43" s="392"/>
      <c r="G43" s="386"/>
    </row>
    <row r="44">
      <c r="A44" s="387" t="s">
        <v>4439</v>
      </c>
      <c r="B44" s="360"/>
      <c r="C44" s="388"/>
      <c r="D44" s="389">
        <f>SUM(D41:D43)</f>
        <v>27782</v>
      </c>
      <c r="E44" s="390"/>
      <c r="F44" s="390"/>
      <c r="G44" s="391" t="s">
        <v>4440</v>
      </c>
    </row>
    <row r="45">
      <c r="A45" s="382">
        <v>2014.0</v>
      </c>
      <c r="B45" s="382">
        <v>5.0</v>
      </c>
      <c r="C45" s="382">
        <v>1.0</v>
      </c>
      <c r="D45" s="383">
        <v>11000.0</v>
      </c>
      <c r="E45" s="384">
        <v>41777.0</v>
      </c>
      <c r="F45" s="392"/>
      <c r="G45" s="386"/>
    </row>
    <row r="46">
      <c r="A46" s="382">
        <v>2014.0</v>
      </c>
      <c r="B46" s="382">
        <v>5.0</v>
      </c>
      <c r="C46" s="382">
        <v>2.0</v>
      </c>
      <c r="D46" s="383">
        <v>8966.0</v>
      </c>
      <c r="E46" s="384">
        <v>41760.0</v>
      </c>
      <c r="F46" s="392"/>
      <c r="G46" s="386"/>
    </row>
    <row r="47">
      <c r="A47" s="382">
        <v>2014.0</v>
      </c>
      <c r="B47" s="382">
        <v>5.0</v>
      </c>
      <c r="C47" s="382">
        <v>3.0</v>
      </c>
      <c r="D47" s="383">
        <v>429.0</v>
      </c>
      <c r="E47" s="384">
        <v>41790.0</v>
      </c>
      <c r="F47" s="392"/>
      <c r="G47" s="386"/>
    </row>
    <row r="48">
      <c r="A48" s="387" t="s">
        <v>4441</v>
      </c>
      <c r="B48" s="360"/>
      <c r="C48" s="388"/>
      <c r="D48" s="389">
        <f>SUM(D45:D47)</f>
        <v>20395</v>
      </c>
      <c r="E48" s="390"/>
      <c r="F48" s="390"/>
      <c r="G48" s="391" t="s">
        <v>4442</v>
      </c>
    </row>
    <row r="49">
      <c r="A49" s="382">
        <v>2014.0</v>
      </c>
      <c r="B49" s="382">
        <v>6.0</v>
      </c>
      <c r="C49" s="382">
        <v>1.0</v>
      </c>
      <c r="D49" s="383">
        <v>15000.0</v>
      </c>
      <c r="E49" s="384">
        <v>41805.0</v>
      </c>
      <c r="F49" s="392"/>
      <c r="G49" s="386"/>
    </row>
    <row r="50">
      <c r="A50" s="382">
        <v>2014.0</v>
      </c>
      <c r="B50" s="382">
        <v>6.0</v>
      </c>
      <c r="C50" s="382">
        <v>2.0</v>
      </c>
      <c r="D50" s="383">
        <v>6600.0</v>
      </c>
      <c r="E50" s="384">
        <v>41819.0</v>
      </c>
      <c r="F50" s="392"/>
      <c r="G50" s="386"/>
    </row>
    <row r="51">
      <c r="A51" s="382">
        <v>2014.0</v>
      </c>
      <c r="B51" s="382">
        <v>6.0</v>
      </c>
      <c r="C51" s="382">
        <v>3.0</v>
      </c>
      <c r="D51" s="383">
        <v>1100.0</v>
      </c>
      <c r="E51" s="384">
        <v>41832.0</v>
      </c>
      <c r="F51" s="392"/>
      <c r="G51" s="386"/>
    </row>
    <row r="52" ht="41.25" customHeight="1">
      <c r="A52" s="387" t="s">
        <v>4443</v>
      </c>
      <c r="B52" s="360"/>
      <c r="C52" s="388"/>
      <c r="D52" s="389">
        <f>SUM(D49:D51)</f>
        <v>22700</v>
      </c>
      <c r="E52" s="390"/>
      <c r="F52" s="390"/>
      <c r="G52" s="391" t="s">
        <v>4444</v>
      </c>
    </row>
    <row r="53">
      <c r="A53" s="382">
        <v>2014.0</v>
      </c>
      <c r="B53" s="382">
        <v>7.0</v>
      </c>
      <c r="C53" s="382">
        <v>1.0</v>
      </c>
      <c r="D53" s="383">
        <v>6000.0</v>
      </c>
      <c r="E53" s="384">
        <v>41832.0</v>
      </c>
      <c r="F53" s="392"/>
      <c r="G53" s="386"/>
    </row>
    <row r="54">
      <c r="A54" s="382">
        <v>2014.0</v>
      </c>
      <c r="B54" s="382">
        <v>7.0</v>
      </c>
      <c r="C54" s="382">
        <v>2.0</v>
      </c>
      <c r="D54" s="383">
        <v>10000.0</v>
      </c>
      <c r="E54" s="384">
        <v>41840.0</v>
      </c>
      <c r="F54" s="392"/>
      <c r="G54" s="386"/>
    </row>
    <row r="55">
      <c r="A55" s="382">
        <v>2014.0</v>
      </c>
      <c r="B55" s="382">
        <v>7.0</v>
      </c>
      <c r="C55" s="382">
        <v>3.0</v>
      </c>
      <c r="D55" s="383">
        <v>17964.0</v>
      </c>
      <c r="E55" s="384">
        <v>41853.0</v>
      </c>
      <c r="F55" s="392"/>
      <c r="G55" s="386"/>
    </row>
    <row r="56">
      <c r="A56" s="387" t="s">
        <v>4445</v>
      </c>
      <c r="B56" s="360"/>
      <c r="C56" s="388"/>
      <c r="D56" s="389">
        <f>SUM(D53:D55)</f>
        <v>33964</v>
      </c>
      <c r="E56" s="390"/>
      <c r="F56" s="390"/>
      <c r="G56" s="391" t="s">
        <v>4446</v>
      </c>
    </row>
    <row r="57">
      <c r="A57" s="382">
        <v>2014.0</v>
      </c>
      <c r="B57" s="382">
        <v>8.0</v>
      </c>
      <c r="C57" s="382">
        <v>1.0</v>
      </c>
      <c r="D57" s="383">
        <v>11000.0</v>
      </c>
      <c r="E57" s="384">
        <v>41861.0</v>
      </c>
      <c r="F57" s="392"/>
      <c r="G57" s="386"/>
    </row>
    <row r="58">
      <c r="A58" s="382">
        <v>2014.0</v>
      </c>
      <c r="B58" s="382">
        <v>8.0</v>
      </c>
      <c r="C58" s="382">
        <v>2.0</v>
      </c>
      <c r="D58" s="383">
        <v>19000.0</v>
      </c>
      <c r="E58" s="384">
        <v>41868.0</v>
      </c>
      <c r="F58" s="392"/>
      <c r="G58" s="386"/>
    </row>
    <row r="59">
      <c r="A59" s="382">
        <v>2014.0</v>
      </c>
      <c r="B59" s="382">
        <v>8.0</v>
      </c>
      <c r="C59" s="382">
        <v>3.0</v>
      </c>
      <c r="D59" s="383">
        <v>16398.0</v>
      </c>
      <c r="E59" s="384">
        <v>41888.0</v>
      </c>
      <c r="F59" s="392"/>
      <c r="G59" s="386"/>
    </row>
    <row r="60">
      <c r="A60" s="402" t="s">
        <v>4447</v>
      </c>
      <c r="B60" s="360"/>
      <c r="C60" s="388"/>
      <c r="D60" s="389">
        <f>SUM(D57:D59)</f>
        <v>46398</v>
      </c>
      <c r="E60" s="390"/>
      <c r="F60" s="390"/>
      <c r="G60" s="403" t="s">
        <v>4448</v>
      </c>
    </row>
    <row r="61">
      <c r="A61" s="404">
        <v>2014.0</v>
      </c>
      <c r="B61" s="404">
        <v>9.0</v>
      </c>
      <c r="C61" s="404">
        <v>1.0</v>
      </c>
      <c r="D61" s="383">
        <v>15465.0</v>
      </c>
      <c r="E61" s="384">
        <v>41895.0</v>
      </c>
      <c r="F61" s="392"/>
      <c r="G61" s="386"/>
    </row>
    <row r="62">
      <c r="A62" s="404">
        <v>2014.0</v>
      </c>
      <c r="B62" s="404">
        <v>9.0</v>
      </c>
      <c r="C62" s="404">
        <v>2.0</v>
      </c>
      <c r="D62" s="383">
        <v>13300.0</v>
      </c>
      <c r="E62" s="384">
        <v>41916.0</v>
      </c>
      <c r="F62" s="392"/>
      <c r="G62" s="386"/>
    </row>
    <row r="63">
      <c r="A63" s="404">
        <v>2014.0</v>
      </c>
      <c r="B63" s="404">
        <v>9.0</v>
      </c>
      <c r="C63" s="404">
        <v>3.0</v>
      </c>
      <c r="D63" s="383">
        <v>1596.0</v>
      </c>
      <c r="E63" s="384">
        <v>41917.0</v>
      </c>
      <c r="F63" s="392"/>
      <c r="G63" s="386"/>
    </row>
    <row r="64">
      <c r="A64" s="402" t="s">
        <v>4449</v>
      </c>
      <c r="B64" s="360"/>
      <c r="C64" s="388"/>
      <c r="D64" s="389">
        <f>SUM(D61:D63)</f>
        <v>30361</v>
      </c>
      <c r="E64" s="390"/>
      <c r="F64" s="390"/>
      <c r="G64" s="403" t="s">
        <v>4450</v>
      </c>
    </row>
    <row r="65">
      <c r="A65" s="404">
        <v>2014.0</v>
      </c>
      <c r="B65" s="404">
        <v>10.0</v>
      </c>
      <c r="C65" s="404">
        <v>1.0</v>
      </c>
      <c r="D65" s="383">
        <v>15000.0</v>
      </c>
      <c r="E65" s="384">
        <v>41924.0</v>
      </c>
      <c r="F65" s="392"/>
      <c r="G65" s="386"/>
    </row>
    <row r="66">
      <c r="A66" s="404">
        <v>2014.0</v>
      </c>
      <c r="B66" s="404">
        <v>10.0</v>
      </c>
      <c r="C66" s="404">
        <v>2.0</v>
      </c>
      <c r="D66" s="383">
        <v>16440.0</v>
      </c>
      <c r="E66" s="384">
        <v>41937.0</v>
      </c>
      <c r="F66" s="392"/>
      <c r="G66" s="386"/>
    </row>
    <row r="67">
      <c r="A67" s="404">
        <v>2014.0</v>
      </c>
      <c r="B67" s="404">
        <v>10.0</v>
      </c>
      <c r="C67" s="404">
        <v>3.0</v>
      </c>
      <c r="D67" s="383">
        <v>14096.0</v>
      </c>
      <c r="E67" s="384">
        <v>41951.0</v>
      </c>
      <c r="F67" s="392"/>
      <c r="G67" s="386"/>
    </row>
    <row r="68">
      <c r="A68" s="402" t="s">
        <v>4451</v>
      </c>
      <c r="B68" s="360"/>
      <c r="C68" s="388"/>
      <c r="D68" s="389">
        <f>SUM(D65:D67)</f>
        <v>45536</v>
      </c>
      <c r="E68" s="390"/>
      <c r="F68" s="390"/>
      <c r="G68" s="403" t="s">
        <v>4452</v>
      </c>
    </row>
    <row r="69">
      <c r="A69" s="404">
        <v>2014.0</v>
      </c>
      <c r="B69" s="404">
        <v>11.0</v>
      </c>
      <c r="C69" s="404">
        <v>1.0</v>
      </c>
      <c r="D69" s="383">
        <v>9000.0</v>
      </c>
      <c r="E69" s="384">
        <v>41951.0</v>
      </c>
      <c r="F69" s="392"/>
      <c r="G69" s="405" t="s">
        <v>4453</v>
      </c>
    </row>
    <row r="70">
      <c r="A70" s="404">
        <v>2014.0</v>
      </c>
      <c r="B70" s="404">
        <v>11.0</v>
      </c>
      <c r="C70" s="404">
        <v>2.0</v>
      </c>
      <c r="D70" s="383">
        <v>18920.0</v>
      </c>
      <c r="E70" s="384">
        <v>41959.0</v>
      </c>
      <c r="F70" s="392"/>
      <c r="G70" s="405" t="s">
        <v>4454</v>
      </c>
    </row>
    <row r="71">
      <c r="A71" s="404">
        <v>2014.0</v>
      </c>
      <c r="B71" s="404">
        <v>11.0</v>
      </c>
      <c r="C71" s="404">
        <v>3.0</v>
      </c>
      <c r="D71" s="383">
        <v>9500.0</v>
      </c>
      <c r="E71" s="384">
        <v>41965.0</v>
      </c>
      <c r="F71" s="392"/>
      <c r="G71" s="405" t="s">
        <v>4455</v>
      </c>
    </row>
    <row r="72">
      <c r="A72" s="404">
        <v>2014.0</v>
      </c>
      <c r="B72" s="404">
        <v>11.0</v>
      </c>
      <c r="C72" s="404">
        <v>4.0</v>
      </c>
      <c r="D72" s="383">
        <v>15069.0</v>
      </c>
      <c r="E72" s="384">
        <v>41979.0</v>
      </c>
      <c r="F72" s="392"/>
      <c r="G72" s="406" t="s">
        <v>4456</v>
      </c>
    </row>
    <row r="73">
      <c r="A73" s="402" t="s">
        <v>4457</v>
      </c>
      <c r="B73" s="360"/>
      <c r="C73" s="388"/>
      <c r="D73" s="389">
        <f>SUM(D69:D72)</f>
        <v>52489</v>
      </c>
      <c r="E73" s="390"/>
      <c r="F73" s="390"/>
      <c r="G73" s="403" t="s">
        <v>4458</v>
      </c>
    </row>
    <row r="74">
      <c r="A74" s="404">
        <v>2014.0</v>
      </c>
      <c r="B74" s="404">
        <v>12.0</v>
      </c>
      <c r="C74" s="404">
        <v>1.0</v>
      </c>
      <c r="D74" s="383">
        <v>8000.0</v>
      </c>
      <c r="E74" s="384">
        <v>41981.0</v>
      </c>
      <c r="F74" s="392"/>
      <c r="G74" s="406" t="s">
        <v>4459</v>
      </c>
    </row>
    <row r="75">
      <c r="A75" s="404">
        <v>2014.0</v>
      </c>
      <c r="B75" s="404">
        <v>12.0</v>
      </c>
      <c r="C75" s="404">
        <v>2.0</v>
      </c>
      <c r="D75" s="383">
        <v>20000.0</v>
      </c>
      <c r="E75" s="384">
        <v>41987.0</v>
      </c>
      <c r="F75" s="392"/>
      <c r="G75" s="406" t="s">
        <v>4460</v>
      </c>
    </row>
    <row r="76">
      <c r="A76" s="404">
        <v>2014.0</v>
      </c>
      <c r="B76" s="404">
        <v>12.0</v>
      </c>
      <c r="C76" s="404">
        <v>3.0</v>
      </c>
      <c r="D76" s="383">
        <v>12000.0</v>
      </c>
      <c r="E76" s="384">
        <v>42001.0</v>
      </c>
      <c r="F76" s="392"/>
      <c r="G76" s="406" t="s">
        <v>4461</v>
      </c>
    </row>
    <row r="77">
      <c r="A77" s="404">
        <v>2014.0</v>
      </c>
      <c r="B77" s="404">
        <v>12.0</v>
      </c>
      <c r="C77" s="404">
        <v>4.0</v>
      </c>
      <c r="D77" s="383">
        <v>5047.0</v>
      </c>
      <c r="E77" s="384">
        <v>42007.0</v>
      </c>
      <c r="F77" s="392"/>
      <c r="G77" s="407" t="s">
        <v>4462</v>
      </c>
    </row>
    <row r="78">
      <c r="A78" s="404">
        <v>2014.0</v>
      </c>
      <c r="B78" s="404">
        <v>12.0</v>
      </c>
      <c r="C78" s="404">
        <v>5.0</v>
      </c>
      <c r="D78" s="408">
        <v>5000.0</v>
      </c>
      <c r="E78" s="384">
        <v>41643.0</v>
      </c>
      <c r="F78" s="392"/>
      <c r="G78" s="407"/>
    </row>
    <row r="79">
      <c r="A79" s="409" t="s">
        <v>4463</v>
      </c>
      <c r="B79" s="175"/>
      <c r="C79" s="176"/>
      <c r="D79" s="410">
        <f>SUM(D74:D78)</f>
        <v>50047</v>
      </c>
      <c r="E79" s="411"/>
      <c r="F79" s="411"/>
      <c r="G79" s="412" t="s">
        <v>4464</v>
      </c>
    </row>
    <row r="80" ht="9.0" customHeight="1">
      <c r="A80" s="413" t="s">
        <v>4465</v>
      </c>
      <c r="G80" s="394"/>
    </row>
    <row r="81">
      <c r="A81" s="404">
        <v>2015.0</v>
      </c>
      <c r="B81" s="404">
        <v>1.0</v>
      </c>
      <c r="C81" s="404">
        <v>1.0</v>
      </c>
      <c r="D81" s="383">
        <v>12000.0</v>
      </c>
      <c r="E81" s="384">
        <v>42008.0</v>
      </c>
      <c r="F81" s="392"/>
      <c r="G81" s="405" t="s">
        <v>4466</v>
      </c>
    </row>
    <row r="82">
      <c r="A82" s="404">
        <v>2015.0</v>
      </c>
      <c r="B82" s="404">
        <v>1.0</v>
      </c>
      <c r="C82" s="404">
        <v>2.0</v>
      </c>
      <c r="D82" s="383">
        <v>15000.0</v>
      </c>
      <c r="E82" s="384">
        <v>42015.0</v>
      </c>
      <c r="F82" s="392"/>
      <c r="G82" s="406" t="s">
        <v>4467</v>
      </c>
    </row>
    <row r="83">
      <c r="A83" s="404">
        <v>2015.0</v>
      </c>
      <c r="B83" s="404">
        <v>1.0</v>
      </c>
      <c r="C83" s="404">
        <v>3.0</v>
      </c>
      <c r="D83" s="383">
        <v>26500.0</v>
      </c>
      <c r="E83" s="384">
        <v>42028.0</v>
      </c>
      <c r="F83" s="392"/>
      <c r="G83" s="406" t="s">
        <v>4468</v>
      </c>
    </row>
    <row r="84">
      <c r="A84" s="404">
        <v>2015.0</v>
      </c>
      <c r="B84" s="404">
        <v>1.0</v>
      </c>
      <c r="C84" s="404">
        <v>4.0</v>
      </c>
      <c r="D84" s="383">
        <v>16000.0</v>
      </c>
      <c r="E84" s="384">
        <v>42035.0</v>
      </c>
      <c r="F84" s="392"/>
      <c r="G84" s="405" t="s">
        <v>4469</v>
      </c>
    </row>
    <row r="85">
      <c r="A85" s="404">
        <v>2015.0</v>
      </c>
      <c r="B85" s="404">
        <v>1.0</v>
      </c>
      <c r="C85" s="404">
        <v>5.0</v>
      </c>
      <c r="D85" s="383">
        <v>5043.0</v>
      </c>
      <c r="E85" s="384">
        <v>42042.0</v>
      </c>
      <c r="F85" s="392"/>
      <c r="G85" s="406"/>
    </row>
    <row r="86">
      <c r="A86" s="404">
        <v>2015.0</v>
      </c>
      <c r="B86" s="404">
        <v>1.0</v>
      </c>
      <c r="C86" s="404">
        <v>6.0</v>
      </c>
      <c r="D86" s="408">
        <v>1720.0</v>
      </c>
      <c r="E86" s="392"/>
      <c r="F86" s="392"/>
      <c r="G86" s="406"/>
    </row>
    <row r="87">
      <c r="A87" s="404">
        <v>2015.0</v>
      </c>
      <c r="B87" s="404">
        <v>1.0</v>
      </c>
      <c r="C87" s="404">
        <v>7.0</v>
      </c>
      <c r="D87" s="408">
        <v>-1248.0</v>
      </c>
      <c r="E87" s="392"/>
      <c r="F87" s="392"/>
      <c r="G87" s="406" t="s">
        <v>4470</v>
      </c>
    </row>
    <row r="88">
      <c r="A88" s="404">
        <v>2015.0</v>
      </c>
      <c r="B88" s="404">
        <v>1.0</v>
      </c>
      <c r="C88" s="404">
        <v>8.0</v>
      </c>
      <c r="D88" s="408">
        <v>-1248.0</v>
      </c>
      <c r="E88" s="392"/>
      <c r="F88" s="392"/>
      <c r="G88" s="406" t="s">
        <v>4471</v>
      </c>
    </row>
    <row r="89">
      <c r="A89" s="409" t="s">
        <v>4472</v>
      </c>
      <c r="B89" s="175"/>
      <c r="C89" s="176"/>
      <c r="D89" s="410">
        <f>SUM(D81:D88)</f>
        <v>73767</v>
      </c>
      <c r="E89" s="411"/>
      <c r="F89" s="411"/>
      <c r="G89" s="412" t="s">
        <v>4473</v>
      </c>
    </row>
    <row r="90">
      <c r="A90" s="404">
        <v>2015.0</v>
      </c>
      <c r="B90" s="404">
        <v>2.0</v>
      </c>
      <c r="C90" s="404">
        <v>1.0</v>
      </c>
      <c r="D90" s="383">
        <v>22000.0</v>
      </c>
      <c r="E90" s="384">
        <v>42043.0</v>
      </c>
      <c r="F90" s="392"/>
      <c r="G90" s="405" t="s">
        <v>4474</v>
      </c>
    </row>
    <row r="91">
      <c r="A91" s="404">
        <v>2015.0</v>
      </c>
      <c r="B91" s="404">
        <v>2.0</v>
      </c>
      <c r="C91" s="404">
        <v>2.0</v>
      </c>
      <c r="D91" s="383">
        <v>10000.0</v>
      </c>
      <c r="E91" s="384">
        <v>42049.0</v>
      </c>
      <c r="F91" s="392"/>
      <c r="G91" s="405" t="s">
        <v>4475</v>
      </c>
    </row>
    <row r="92">
      <c r="A92" s="404">
        <v>2015.0</v>
      </c>
      <c r="B92" s="404">
        <v>2.0</v>
      </c>
      <c r="C92" s="404">
        <v>3.0</v>
      </c>
      <c r="D92" s="383">
        <v>10000.0</v>
      </c>
      <c r="E92" s="384">
        <v>42056.0</v>
      </c>
      <c r="F92" s="392"/>
      <c r="G92" s="405"/>
    </row>
    <row r="93">
      <c r="A93" s="404">
        <v>2015.0</v>
      </c>
      <c r="B93" s="404">
        <v>2.0</v>
      </c>
      <c r="C93" s="404">
        <v>4.0</v>
      </c>
      <c r="D93" s="383">
        <v>11161.0</v>
      </c>
      <c r="E93" s="384">
        <v>42064.0</v>
      </c>
      <c r="F93" s="392"/>
      <c r="G93" s="405" t="s">
        <v>4476</v>
      </c>
    </row>
    <row r="94">
      <c r="A94" s="392"/>
      <c r="B94" s="392"/>
      <c r="C94" s="392"/>
      <c r="D94" s="414"/>
      <c r="E94" s="392"/>
      <c r="F94" s="392"/>
      <c r="G94" s="405" t="s">
        <v>4477</v>
      </c>
    </row>
    <row r="95">
      <c r="A95" s="409" t="s">
        <v>4478</v>
      </c>
      <c r="B95" s="175"/>
      <c r="C95" s="176"/>
      <c r="D95" s="410">
        <f>SUM(D90:D93)</f>
        <v>53161</v>
      </c>
      <c r="E95" s="411"/>
      <c r="F95" s="411"/>
      <c r="G95" s="412" t="s">
        <v>4479</v>
      </c>
    </row>
    <row r="96">
      <c r="A96" s="404">
        <v>2015.0</v>
      </c>
      <c r="B96" s="404">
        <v>3.0</v>
      </c>
      <c r="C96" s="404">
        <v>1.0</v>
      </c>
      <c r="D96" s="383">
        <v>20000.0</v>
      </c>
      <c r="E96" s="384">
        <v>42077.0</v>
      </c>
      <c r="F96" s="392"/>
      <c r="G96" s="405" t="s">
        <v>4480</v>
      </c>
    </row>
    <row r="97">
      <c r="A97" s="404">
        <v>2015.0</v>
      </c>
      <c r="B97" s="404">
        <v>3.0</v>
      </c>
      <c r="C97" s="404">
        <v>2.0</v>
      </c>
      <c r="D97" s="383">
        <v>14000.0</v>
      </c>
      <c r="E97" s="384">
        <v>42091.0</v>
      </c>
      <c r="F97" s="392"/>
      <c r="G97" s="386"/>
    </row>
    <row r="98">
      <c r="A98" s="404">
        <v>2015.0</v>
      </c>
      <c r="B98" s="404">
        <v>3.0</v>
      </c>
      <c r="C98" s="404">
        <v>3.0</v>
      </c>
      <c r="D98" s="383">
        <v>13521.0</v>
      </c>
      <c r="E98" s="384">
        <v>42098.0</v>
      </c>
      <c r="F98" s="392"/>
      <c r="G98" s="406" t="s">
        <v>4481</v>
      </c>
    </row>
    <row r="99">
      <c r="A99" s="409" t="s">
        <v>4482</v>
      </c>
      <c r="B99" s="175"/>
      <c r="C99" s="176"/>
      <c r="D99" s="410">
        <f>SUM(D96:D98)</f>
        <v>47521</v>
      </c>
      <c r="E99" s="411"/>
      <c r="F99" s="411"/>
      <c r="G99" s="412" t="s">
        <v>4483</v>
      </c>
    </row>
    <row r="100">
      <c r="A100" s="404">
        <v>2015.0</v>
      </c>
      <c r="B100" s="404">
        <v>4.0</v>
      </c>
      <c r="C100" s="404">
        <v>1.0</v>
      </c>
      <c r="D100" s="383">
        <v>20000.0</v>
      </c>
      <c r="E100" s="384">
        <v>42112.0</v>
      </c>
      <c r="F100" s="392"/>
      <c r="G100" s="405" t="s">
        <v>58</v>
      </c>
    </row>
    <row r="101">
      <c r="A101" s="404">
        <v>2015.0</v>
      </c>
      <c r="B101" s="404">
        <v>4.0</v>
      </c>
      <c r="C101" s="404">
        <v>2.0</v>
      </c>
      <c r="D101" s="383">
        <v>20000.0</v>
      </c>
      <c r="E101" s="384">
        <v>42120.0</v>
      </c>
      <c r="F101" s="392"/>
      <c r="G101" s="405" t="s">
        <v>4484</v>
      </c>
    </row>
    <row r="102">
      <c r="A102" s="404">
        <v>2015.0</v>
      </c>
      <c r="B102" s="404">
        <v>4.0</v>
      </c>
      <c r="C102" s="404">
        <v>3.0</v>
      </c>
      <c r="D102" s="383">
        <v>7866.7</v>
      </c>
      <c r="E102" s="384">
        <v>42127.0</v>
      </c>
      <c r="F102" s="392"/>
      <c r="G102" s="405" t="s">
        <v>4485</v>
      </c>
    </row>
    <row r="103">
      <c r="A103" s="409" t="s">
        <v>4486</v>
      </c>
      <c r="B103" s="175"/>
      <c r="C103" s="176"/>
      <c r="D103" s="410">
        <f>SUM(D100:D102)</f>
        <v>47866.7</v>
      </c>
      <c r="E103" s="411"/>
      <c r="F103" s="411"/>
      <c r="G103" s="412" t="s">
        <v>4487</v>
      </c>
    </row>
    <row r="104">
      <c r="A104" s="404">
        <v>2015.0</v>
      </c>
      <c r="B104" s="404">
        <v>5.0</v>
      </c>
      <c r="C104" s="404">
        <v>1.0</v>
      </c>
      <c r="D104" s="383">
        <v>18000.0</v>
      </c>
      <c r="E104" s="384">
        <v>42148.0</v>
      </c>
      <c r="F104" s="392"/>
      <c r="G104" s="405" t="s">
        <v>4488</v>
      </c>
    </row>
    <row r="105">
      <c r="A105" s="404">
        <v>2015.0</v>
      </c>
      <c r="B105" s="404">
        <v>5.0</v>
      </c>
      <c r="C105" s="404">
        <v>2.0</v>
      </c>
      <c r="D105" s="383">
        <v>10000.0</v>
      </c>
      <c r="E105" s="392"/>
      <c r="F105" s="392"/>
      <c r="G105" s="405"/>
    </row>
    <row r="106">
      <c r="A106" s="404">
        <v>2015.0</v>
      </c>
      <c r="B106" s="404">
        <v>5.0</v>
      </c>
      <c r="C106" s="404">
        <v>3.0</v>
      </c>
      <c r="D106" s="383">
        <v>5460.0</v>
      </c>
      <c r="E106" s="384"/>
      <c r="F106" s="392"/>
      <c r="G106" s="405" t="s">
        <v>4489</v>
      </c>
    </row>
    <row r="107">
      <c r="A107" s="392"/>
      <c r="B107" s="392"/>
      <c r="C107" s="392"/>
      <c r="D107" s="414"/>
      <c r="E107" s="392"/>
      <c r="F107" s="392"/>
      <c r="G107" s="405" t="s">
        <v>4490</v>
      </c>
    </row>
    <row r="108">
      <c r="A108" s="409" t="s">
        <v>4491</v>
      </c>
      <c r="B108" s="175"/>
      <c r="C108" s="176"/>
      <c r="D108" s="410">
        <f>SUM(D104:D107)</f>
        <v>33460</v>
      </c>
      <c r="E108" s="411"/>
      <c r="F108" s="411"/>
      <c r="G108" s="412" t="s">
        <v>4492</v>
      </c>
    </row>
    <row r="109">
      <c r="A109" s="404">
        <v>2015.0</v>
      </c>
      <c r="B109" s="404">
        <v>6.0</v>
      </c>
      <c r="C109" s="404">
        <v>1.0</v>
      </c>
      <c r="D109" s="383">
        <v>11000.0</v>
      </c>
      <c r="E109" s="384">
        <v>42175.0</v>
      </c>
      <c r="F109" s="392"/>
      <c r="G109" s="405" t="s">
        <v>4493</v>
      </c>
    </row>
    <row r="110">
      <c r="A110" s="404">
        <v>2015.0</v>
      </c>
      <c r="B110" s="404">
        <v>6.0</v>
      </c>
      <c r="C110" s="404">
        <v>2.0</v>
      </c>
      <c r="D110" s="383">
        <v>15939.7</v>
      </c>
      <c r="E110" s="384"/>
      <c r="F110" s="392"/>
      <c r="G110" s="405"/>
    </row>
    <row r="111">
      <c r="A111" s="392"/>
      <c r="B111" s="392"/>
      <c r="C111" s="392"/>
      <c r="D111" s="414"/>
      <c r="E111" s="392"/>
      <c r="F111" s="392"/>
      <c r="G111" s="405" t="s">
        <v>4494</v>
      </c>
    </row>
    <row r="112">
      <c r="A112" s="409" t="s">
        <v>4495</v>
      </c>
      <c r="B112" s="175"/>
      <c r="C112" s="176"/>
      <c r="D112" s="410">
        <f>SUM(D109:D111)</f>
        <v>26939.7</v>
      </c>
      <c r="E112" s="411"/>
      <c r="F112" s="411"/>
      <c r="G112" s="412" t="s">
        <v>4496</v>
      </c>
    </row>
    <row r="113">
      <c r="A113" s="404">
        <v>2015.0</v>
      </c>
      <c r="B113" s="404">
        <v>7.0</v>
      </c>
      <c r="C113" s="404">
        <v>1.0</v>
      </c>
      <c r="D113" s="383">
        <v>10000.0</v>
      </c>
      <c r="E113" s="384">
        <v>42203.0</v>
      </c>
      <c r="F113" s="392"/>
      <c r="G113" s="405" t="s">
        <v>4497</v>
      </c>
    </row>
    <row r="114">
      <c r="A114" s="404">
        <v>2015.0</v>
      </c>
      <c r="B114" s="404">
        <v>7.0</v>
      </c>
      <c r="C114" s="404">
        <v>2.0</v>
      </c>
      <c r="D114" s="383">
        <v>15000.0</v>
      </c>
      <c r="E114" s="384">
        <v>42210.0</v>
      </c>
      <c r="F114" s="392"/>
      <c r="G114" s="405" t="s">
        <v>4498</v>
      </c>
    </row>
    <row r="115">
      <c r="A115" s="404">
        <v>2015.0</v>
      </c>
      <c r="B115" s="404">
        <v>7.0</v>
      </c>
      <c r="C115" s="404">
        <v>3.0</v>
      </c>
      <c r="D115" s="383">
        <v>17128.0</v>
      </c>
      <c r="E115" s="384">
        <v>42187.0</v>
      </c>
      <c r="F115" s="392"/>
      <c r="G115" s="405" t="s">
        <v>4499</v>
      </c>
    </row>
    <row r="116">
      <c r="A116" s="409" t="s">
        <v>4500</v>
      </c>
      <c r="B116" s="175"/>
      <c r="C116" s="176"/>
      <c r="D116" s="410">
        <f>SUM(D113:D115)</f>
        <v>42128</v>
      </c>
      <c r="E116" s="411"/>
      <c r="F116" s="411"/>
      <c r="G116" s="412" t="s">
        <v>4501</v>
      </c>
    </row>
    <row r="117">
      <c r="A117" s="404">
        <v>2015.0</v>
      </c>
      <c r="B117" s="404">
        <v>8.0</v>
      </c>
      <c r="C117" s="404">
        <v>1.0</v>
      </c>
      <c r="D117" s="383">
        <v>13000.0</v>
      </c>
      <c r="E117" s="384">
        <v>42231.0</v>
      </c>
      <c r="F117" s="392"/>
      <c r="G117" s="405" t="s">
        <v>4502</v>
      </c>
    </row>
    <row r="118">
      <c r="A118" s="404">
        <v>2015.0</v>
      </c>
      <c r="B118" s="404">
        <v>8.0</v>
      </c>
      <c r="C118" s="404">
        <v>2.0</v>
      </c>
      <c r="D118" s="383">
        <v>10000.0</v>
      </c>
      <c r="E118" s="384">
        <v>42238.0</v>
      </c>
      <c r="F118" s="392"/>
      <c r="G118" s="405"/>
    </row>
    <row r="119">
      <c r="A119" s="404">
        <v>2015.0</v>
      </c>
      <c r="B119" s="404">
        <v>8.0</v>
      </c>
      <c r="C119" s="404">
        <v>3.0</v>
      </c>
      <c r="D119" s="383">
        <v>10000.0</v>
      </c>
      <c r="E119" s="384">
        <v>42245.0</v>
      </c>
      <c r="F119" s="392"/>
      <c r="G119" s="405" t="s">
        <v>4503</v>
      </c>
    </row>
    <row r="120">
      <c r="A120" s="404">
        <v>2015.0</v>
      </c>
      <c r="B120" s="404">
        <v>8.0</v>
      </c>
      <c r="C120" s="404">
        <v>4.0</v>
      </c>
      <c r="D120" s="383">
        <v>18419.0</v>
      </c>
      <c r="E120" s="384">
        <v>42251.0</v>
      </c>
      <c r="F120" s="392"/>
      <c r="G120" s="405" t="s">
        <v>4504</v>
      </c>
    </row>
    <row r="121">
      <c r="A121" s="409" t="s">
        <v>4505</v>
      </c>
      <c r="B121" s="175"/>
      <c r="C121" s="176"/>
      <c r="D121" s="410">
        <f>SUM(D117:D120)</f>
        <v>51419</v>
      </c>
      <c r="E121" s="411"/>
      <c r="F121" s="411"/>
      <c r="G121" s="412" t="s">
        <v>4506</v>
      </c>
    </row>
    <row r="122">
      <c r="A122" s="415">
        <v>2015.0</v>
      </c>
      <c r="B122" s="404">
        <v>9.0</v>
      </c>
      <c r="C122" s="404">
        <v>1.0</v>
      </c>
      <c r="D122" s="383">
        <v>15000.0</v>
      </c>
      <c r="E122" s="384">
        <v>42253.0</v>
      </c>
      <c r="F122" s="392"/>
      <c r="G122" s="405" t="s">
        <v>4507</v>
      </c>
    </row>
    <row r="123">
      <c r="A123" s="415">
        <v>2015.0</v>
      </c>
      <c r="B123" s="404">
        <v>9.0</v>
      </c>
      <c r="C123" s="404">
        <v>2.0</v>
      </c>
      <c r="D123" s="383">
        <v>16500.0</v>
      </c>
      <c r="E123" s="384">
        <v>42266.0</v>
      </c>
      <c r="F123" s="392"/>
      <c r="G123" s="405" t="s">
        <v>4508</v>
      </c>
    </row>
    <row r="124">
      <c r="A124" s="415">
        <v>2015.0</v>
      </c>
      <c r="B124" s="404">
        <v>9.0</v>
      </c>
      <c r="C124" s="404">
        <v>3.0</v>
      </c>
      <c r="D124" s="383">
        <v>13442.0</v>
      </c>
      <c r="E124" s="384">
        <v>42281.0</v>
      </c>
      <c r="F124" s="392"/>
      <c r="G124" s="405"/>
    </row>
    <row r="125">
      <c r="A125" s="409" t="s">
        <v>4509</v>
      </c>
      <c r="B125" s="175"/>
      <c r="C125" s="176"/>
      <c r="D125" s="410">
        <f>SUM(D122:D124)</f>
        <v>44942</v>
      </c>
      <c r="E125" s="411"/>
      <c r="F125" s="411"/>
      <c r="G125" s="412" t="s">
        <v>4510</v>
      </c>
    </row>
    <row r="126">
      <c r="A126" s="415">
        <v>2015.0</v>
      </c>
      <c r="B126" s="404">
        <v>10.0</v>
      </c>
      <c r="C126" s="404">
        <v>1.0</v>
      </c>
      <c r="D126" s="383">
        <v>14500.0</v>
      </c>
      <c r="E126" s="392"/>
      <c r="F126" s="392"/>
      <c r="G126" s="405" t="s">
        <v>4511</v>
      </c>
    </row>
    <row r="127">
      <c r="A127" s="415">
        <v>2015.0</v>
      </c>
      <c r="B127" s="404">
        <v>10.0</v>
      </c>
      <c r="C127" s="404">
        <v>2.0</v>
      </c>
      <c r="D127" s="383">
        <v>6500.0</v>
      </c>
      <c r="E127" s="384">
        <v>42301.0</v>
      </c>
      <c r="F127" s="392"/>
      <c r="G127" s="405" t="s">
        <v>4512</v>
      </c>
    </row>
    <row r="128">
      <c r="A128" s="415">
        <v>2015.0</v>
      </c>
      <c r="B128" s="404">
        <v>10.0</v>
      </c>
      <c r="C128" s="404">
        <v>3.0</v>
      </c>
      <c r="D128" s="383">
        <v>12234.0</v>
      </c>
      <c r="E128" s="384">
        <v>42308.0</v>
      </c>
      <c r="F128" s="392"/>
      <c r="G128" s="405"/>
    </row>
    <row r="129">
      <c r="A129" s="409" t="s">
        <v>4513</v>
      </c>
      <c r="B129" s="175"/>
      <c r="C129" s="176"/>
      <c r="D129" s="410">
        <f>SUM(D126:D128)</f>
        <v>33234</v>
      </c>
      <c r="E129" s="411"/>
      <c r="F129" s="411"/>
      <c r="G129" s="412" t="s">
        <v>4514</v>
      </c>
    </row>
    <row r="130">
      <c r="A130" s="415">
        <v>2015.0</v>
      </c>
      <c r="B130" s="404">
        <v>11.0</v>
      </c>
      <c r="C130" s="404">
        <v>1.0</v>
      </c>
      <c r="D130" s="383">
        <v>15000.0</v>
      </c>
      <c r="E130" s="384">
        <v>42322.0</v>
      </c>
      <c r="F130" s="392"/>
      <c r="G130" s="405" t="s">
        <v>4515</v>
      </c>
    </row>
    <row r="131">
      <c r="A131" s="415">
        <v>2015.0</v>
      </c>
      <c r="B131" s="404">
        <v>11.0</v>
      </c>
      <c r="C131" s="404">
        <v>2.0</v>
      </c>
      <c r="D131" s="383">
        <v>20000.0</v>
      </c>
      <c r="E131" s="404" t="s">
        <v>4516</v>
      </c>
      <c r="F131" s="392"/>
      <c r="G131" s="405"/>
    </row>
    <row r="132">
      <c r="A132" s="415">
        <v>2015.0</v>
      </c>
      <c r="B132" s="404">
        <v>11.0</v>
      </c>
      <c r="C132" s="404">
        <v>3.0</v>
      </c>
      <c r="D132" s="383">
        <v>10000.0</v>
      </c>
      <c r="E132" s="384">
        <v>42336.0</v>
      </c>
      <c r="F132" s="392"/>
      <c r="G132" s="405" t="s">
        <v>4517</v>
      </c>
    </row>
    <row r="133">
      <c r="A133" s="415">
        <v>2015.0</v>
      </c>
      <c r="B133" s="404">
        <v>11.0</v>
      </c>
      <c r="C133" s="404">
        <v>4.0</v>
      </c>
      <c r="D133" s="383">
        <v>16089.0</v>
      </c>
      <c r="E133" s="384">
        <v>42343.0</v>
      </c>
      <c r="F133" s="392"/>
      <c r="G133" s="405"/>
    </row>
    <row r="134">
      <c r="A134" s="409" t="s">
        <v>4518</v>
      </c>
      <c r="B134" s="175"/>
      <c r="C134" s="176"/>
      <c r="D134" s="410">
        <f>SUM(D130:D133)</f>
        <v>61089</v>
      </c>
      <c r="E134" s="411"/>
      <c r="F134" s="411"/>
      <c r="G134" s="412" t="s">
        <v>4519</v>
      </c>
    </row>
    <row r="135">
      <c r="A135" s="415">
        <v>2015.0</v>
      </c>
      <c r="B135" s="404">
        <v>12.0</v>
      </c>
      <c r="C135" s="404">
        <v>1.0</v>
      </c>
      <c r="D135" s="383">
        <v>15000.0</v>
      </c>
      <c r="E135" s="384">
        <v>42350.0</v>
      </c>
      <c r="F135" s="392"/>
      <c r="G135" s="405" t="s">
        <v>4520</v>
      </c>
    </row>
    <row r="136">
      <c r="A136" s="415">
        <v>2015.0</v>
      </c>
      <c r="B136" s="404">
        <v>12.0</v>
      </c>
      <c r="C136" s="404">
        <v>2.0</v>
      </c>
      <c r="D136" s="383">
        <v>15000.0</v>
      </c>
      <c r="E136" s="384">
        <v>42358.0</v>
      </c>
      <c r="F136" s="392"/>
      <c r="G136" s="405" t="s">
        <v>4521</v>
      </c>
    </row>
    <row r="137">
      <c r="A137" s="415">
        <v>2015.0</v>
      </c>
      <c r="B137" s="404">
        <v>12.0</v>
      </c>
      <c r="C137" s="404">
        <v>3.0</v>
      </c>
      <c r="D137" s="383">
        <v>23652.0</v>
      </c>
      <c r="E137" s="384">
        <v>42371.0</v>
      </c>
      <c r="F137" s="392"/>
      <c r="G137" s="405" t="s">
        <v>4522</v>
      </c>
    </row>
    <row r="138">
      <c r="A138" s="409" t="s">
        <v>4523</v>
      </c>
      <c r="B138" s="175"/>
      <c r="C138" s="176"/>
      <c r="D138" s="410">
        <f>SUM(D135:D137)</f>
        <v>53652</v>
      </c>
      <c r="E138" s="411"/>
      <c r="F138" s="411"/>
      <c r="G138" s="412" t="s">
        <v>4524</v>
      </c>
    </row>
    <row r="139" ht="9.0" customHeight="1">
      <c r="A139" s="413" t="s">
        <v>4525</v>
      </c>
      <c r="G139" s="394"/>
    </row>
    <row r="140">
      <c r="A140" s="415">
        <v>2016.0</v>
      </c>
      <c r="B140" s="404">
        <v>1.0</v>
      </c>
      <c r="C140" s="404">
        <v>1.0</v>
      </c>
      <c r="D140" s="383">
        <v>10000.0</v>
      </c>
      <c r="E140" s="384">
        <v>42372.0</v>
      </c>
      <c r="F140" s="392"/>
      <c r="G140" s="405" t="s">
        <v>4526</v>
      </c>
    </row>
    <row r="141">
      <c r="A141" s="415">
        <v>2016.0</v>
      </c>
      <c r="B141" s="404">
        <v>1.0</v>
      </c>
      <c r="C141" s="404">
        <v>2.0</v>
      </c>
      <c r="D141" s="383">
        <v>22000.0</v>
      </c>
      <c r="E141" s="384">
        <v>42386.0</v>
      </c>
      <c r="F141" s="392"/>
      <c r="G141" s="405" t="s">
        <v>4527</v>
      </c>
    </row>
    <row r="142">
      <c r="A142" s="415">
        <v>2016.0</v>
      </c>
      <c r="B142" s="404">
        <v>1.0</v>
      </c>
      <c r="C142" s="404">
        <v>3.0</v>
      </c>
      <c r="D142" s="383">
        <v>13000.0</v>
      </c>
      <c r="E142" s="384">
        <v>42400.0</v>
      </c>
      <c r="F142" s="392"/>
      <c r="G142" s="405" t="s">
        <v>4528</v>
      </c>
    </row>
    <row r="143">
      <c r="A143" s="415">
        <v>2016.0</v>
      </c>
      <c r="B143" s="404">
        <v>1.0</v>
      </c>
      <c r="C143" s="404">
        <v>4.0</v>
      </c>
      <c r="D143" s="383">
        <v>19588.0</v>
      </c>
      <c r="E143" s="384">
        <v>42406.0</v>
      </c>
      <c r="F143" s="392"/>
      <c r="G143" s="405" t="s">
        <v>4529</v>
      </c>
    </row>
    <row r="144">
      <c r="A144" s="394"/>
      <c r="B144" s="392"/>
      <c r="C144" s="392"/>
      <c r="D144" s="414"/>
      <c r="E144" s="392"/>
      <c r="F144" s="392"/>
      <c r="G144" s="405" t="s">
        <v>4530</v>
      </c>
    </row>
    <row r="145">
      <c r="A145" s="394"/>
      <c r="B145" s="392"/>
      <c r="C145" s="392"/>
      <c r="D145" s="414"/>
      <c r="E145" s="392"/>
      <c r="F145" s="392"/>
      <c r="G145" s="405" t="s">
        <v>4531</v>
      </c>
    </row>
    <row r="146">
      <c r="A146" s="394"/>
      <c r="B146" s="392"/>
      <c r="C146" s="392"/>
      <c r="D146" s="414"/>
      <c r="E146" s="392"/>
      <c r="F146" s="392"/>
      <c r="G146" s="405" t="s">
        <v>4532</v>
      </c>
    </row>
    <row r="147">
      <c r="A147" s="409" t="s">
        <v>4533</v>
      </c>
      <c r="B147" s="175"/>
      <c r="C147" s="176"/>
      <c r="D147" s="410">
        <f>SUM(D140:D143)</f>
        <v>64588</v>
      </c>
      <c r="E147" s="411"/>
      <c r="F147" s="411"/>
      <c r="G147" s="412" t="s">
        <v>4534</v>
      </c>
    </row>
    <row r="148">
      <c r="A148" s="394"/>
      <c r="B148" s="392"/>
      <c r="C148" s="392"/>
      <c r="D148" s="414"/>
      <c r="E148" s="392"/>
      <c r="F148" s="392"/>
      <c r="G148" s="405"/>
    </row>
    <row r="149">
      <c r="A149" s="415">
        <v>2016.0</v>
      </c>
      <c r="B149" s="404">
        <v>2.0</v>
      </c>
      <c r="C149" s="404">
        <v>1.0</v>
      </c>
      <c r="D149" s="383">
        <v>25000.0</v>
      </c>
      <c r="E149" s="384">
        <v>42414.0</v>
      </c>
      <c r="F149" s="392"/>
      <c r="G149" s="405" t="s">
        <v>4535</v>
      </c>
    </row>
    <row r="150">
      <c r="A150" s="415">
        <v>2016.0</v>
      </c>
      <c r="B150" s="404">
        <v>2.0</v>
      </c>
      <c r="C150" s="404">
        <v>2.0</v>
      </c>
      <c r="D150" s="383">
        <v>10000.0</v>
      </c>
      <c r="E150" s="384">
        <v>42420.0</v>
      </c>
      <c r="F150" s="392"/>
      <c r="G150" s="405"/>
    </row>
    <row r="151">
      <c r="A151" s="415">
        <v>2016.0</v>
      </c>
      <c r="B151" s="404">
        <v>2.0</v>
      </c>
      <c r="C151" s="404">
        <v>3.0</v>
      </c>
      <c r="D151" s="383">
        <v>22766.8</v>
      </c>
      <c r="E151" s="384">
        <v>42434.0</v>
      </c>
      <c r="F151" s="392"/>
      <c r="G151" s="405"/>
    </row>
    <row r="152">
      <c r="A152" s="409" t="s">
        <v>4536</v>
      </c>
      <c r="B152" s="175"/>
      <c r="C152" s="176"/>
      <c r="D152" s="410">
        <f>SUM(D149:D151)</f>
        <v>57766.8</v>
      </c>
      <c r="E152" s="411"/>
      <c r="F152" s="411"/>
      <c r="G152" s="412" t="s">
        <v>4537</v>
      </c>
    </row>
    <row r="153">
      <c r="A153" s="415">
        <v>2016.0</v>
      </c>
      <c r="B153" s="404">
        <v>3.0</v>
      </c>
      <c r="C153" s="404">
        <v>1.0</v>
      </c>
      <c r="D153" s="383">
        <v>10000.0</v>
      </c>
      <c r="E153" s="384">
        <v>42441.0</v>
      </c>
      <c r="F153" s="392"/>
      <c r="G153" s="405" t="s">
        <v>4538</v>
      </c>
    </row>
    <row r="154">
      <c r="A154" s="415">
        <v>2016.0</v>
      </c>
      <c r="B154" s="404">
        <v>3.0</v>
      </c>
      <c r="C154" s="404">
        <v>2.0</v>
      </c>
      <c r="D154" s="383">
        <v>25000.0</v>
      </c>
      <c r="E154" s="384">
        <v>42448.0</v>
      </c>
      <c r="F154" s="392"/>
      <c r="G154" s="405" t="s">
        <v>4539</v>
      </c>
    </row>
    <row r="155">
      <c r="A155" s="415">
        <v>2016.0</v>
      </c>
      <c r="B155" s="404">
        <v>3.0</v>
      </c>
      <c r="C155" s="404">
        <v>3.0</v>
      </c>
      <c r="D155" s="383">
        <v>16922.0</v>
      </c>
      <c r="E155" s="384">
        <v>42463.0</v>
      </c>
      <c r="F155" s="392"/>
      <c r="G155" s="405"/>
    </row>
    <row r="156">
      <c r="A156" s="409" t="s">
        <v>4540</v>
      </c>
      <c r="B156" s="175"/>
      <c r="C156" s="176"/>
      <c r="D156" s="410">
        <f>SUM(D153:D155)</f>
        <v>51922</v>
      </c>
      <c r="E156" s="411"/>
      <c r="F156" s="411"/>
      <c r="G156" s="412" t="s">
        <v>4541</v>
      </c>
    </row>
    <row r="157">
      <c r="A157" s="415">
        <v>2016.0</v>
      </c>
      <c r="B157" s="404">
        <v>4.0</v>
      </c>
      <c r="C157" s="404">
        <v>1.0</v>
      </c>
      <c r="D157" s="383">
        <v>14600.0</v>
      </c>
      <c r="E157" s="384">
        <v>42476.0</v>
      </c>
      <c r="F157" s="392"/>
      <c r="G157" s="405" t="s">
        <v>4542</v>
      </c>
    </row>
    <row r="158">
      <c r="A158" s="415">
        <v>2016.0</v>
      </c>
      <c r="B158" s="404">
        <v>4.0</v>
      </c>
      <c r="C158" s="404">
        <v>2.0</v>
      </c>
      <c r="D158" s="383">
        <v>15000.0</v>
      </c>
      <c r="E158" s="384">
        <v>42484.0</v>
      </c>
      <c r="F158" s="392"/>
      <c r="G158" s="405"/>
    </row>
    <row r="159">
      <c r="A159" s="415">
        <v>2016.0</v>
      </c>
      <c r="B159" s="404">
        <v>4.0</v>
      </c>
      <c r="C159" s="404">
        <v>3.0</v>
      </c>
      <c r="D159" s="383">
        <v>8419.0</v>
      </c>
      <c r="E159" s="384">
        <v>42467.0</v>
      </c>
      <c r="F159" s="392"/>
      <c r="G159" s="405"/>
    </row>
    <row r="160">
      <c r="A160" s="409" t="s">
        <v>4543</v>
      </c>
      <c r="B160" s="175"/>
      <c r="C160" s="176"/>
      <c r="D160" s="410">
        <f>SUM(D157:D159)</f>
        <v>38019</v>
      </c>
      <c r="E160" s="411"/>
      <c r="F160" s="411"/>
      <c r="G160" s="412" t="s">
        <v>4544</v>
      </c>
    </row>
    <row r="161">
      <c r="A161" s="415">
        <v>2016.0</v>
      </c>
      <c r="B161" s="404">
        <v>5.0</v>
      </c>
      <c r="C161" s="404">
        <v>1.0</v>
      </c>
      <c r="D161" s="383">
        <v>8000.0</v>
      </c>
      <c r="E161" s="384">
        <v>42498.0</v>
      </c>
      <c r="F161" s="392"/>
      <c r="G161" s="405" t="s">
        <v>4545</v>
      </c>
    </row>
    <row r="162">
      <c r="A162" s="415">
        <v>2016.0</v>
      </c>
      <c r="B162" s="404">
        <v>5.0</v>
      </c>
      <c r="C162" s="404">
        <v>2.0</v>
      </c>
      <c r="D162" s="383">
        <v>25000.0</v>
      </c>
      <c r="E162" s="384">
        <v>42511.0</v>
      </c>
      <c r="F162" s="392"/>
      <c r="G162" s="405" t="s">
        <v>4546</v>
      </c>
    </row>
    <row r="163">
      <c r="A163" s="415">
        <v>2016.0</v>
      </c>
      <c r="B163" s="404">
        <v>5.0</v>
      </c>
      <c r="C163" s="404">
        <v>3.0</v>
      </c>
      <c r="D163" s="383">
        <v>16958.8</v>
      </c>
      <c r="E163" s="416">
        <v>42532.0</v>
      </c>
      <c r="F163" s="392"/>
      <c r="G163" s="405"/>
    </row>
    <row r="164">
      <c r="A164" s="409" t="s">
        <v>4547</v>
      </c>
      <c r="B164" s="175"/>
      <c r="C164" s="176"/>
      <c r="D164" s="410">
        <f>SUM(D161:D163)</f>
        <v>49958.8</v>
      </c>
      <c r="E164" s="411"/>
      <c r="F164" s="411"/>
      <c r="G164" s="412" t="s">
        <v>4548</v>
      </c>
    </row>
    <row r="165">
      <c r="A165" s="415">
        <v>2016.0</v>
      </c>
      <c r="B165" s="404">
        <v>6.0</v>
      </c>
      <c r="C165" s="404">
        <v>1.0</v>
      </c>
      <c r="D165" s="383">
        <v>25000.0</v>
      </c>
      <c r="E165" s="417">
        <v>42546.0</v>
      </c>
      <c r="F165" s="392"/>
      <c r="G165" s="405" t="s">
        <v>4549</v>
      </c>
    </row>
    <row r="166">
      <c r="A166" s="415">
        <v>2016.0</v>
      </c>
      <c r="B166" s="404">
        <v>6.0</v>
      </c>
      <c r="C166" s="404">
        <v>2.0</v>
      </c>
      <c r="D166" s="383">
        <v>16625.0</v>
      </c>
      <c r="E166" s="416">
        <v>42560.0</v>
      </c>
      <c r="F166" s="392"/>
      <c r="G166" s="405" t="s">
        <v>4550</v>
      </c>
    </row>
    <row r="167">
      <c r="A167" s="409" t="s">
        <v>4551</v>
      </c>
      <c r="B167" s="175"/>
      <c r="C167" s="176"/>
      <c r="D167" s="410">
        <f>SUM(D165:D166)</f>
        <v>41625</v>
      </c>
      <c r="E167" s="411"/>
      <c r="F167" s="411"/>
      <c r="G167" s="412" t="s">
        <v>4552</v>
      </c>
    </row>
    <row r="168">
      <c r="A168" s="415">
        <v>2016.0</v>
      </c>
      <c r="B168" s="404">
        <v>7.0</v>
      </c>
      <c r="C168" s="404">
        <v>1.0</v>
      </c>
      <c r="D168" s="383">
        <v>10000.0</v>
      </c>
      <c r="E168" s="416">
        <v>42560.0</v>
      </c>
      <c r="F168" s="392"/>
      <c r="G168" s="405" t="s">
        <v>4553</v>
      </c>
    </row>
    <row r="169">
      <c r="A169" s="415">
        <v>2016.0</v>
      </c>
      <c r="B169" s="404">
        <v>7.0</v>
      </c>
      <c r="C169" s="404">
        <v>2.0</v>
      </c>
      <c r="D169" s="383">
        <v>15000.0</v>
      </c>
      <c r="E169" s="416">
        <v>42568.0</v>
      </c>
      <c r="F169" s="392"/>
      <c r="G169" s="405" t="s">
        <v>4554</v>
      </c>
    </row>
    <row r="170">
      <c r="A170" s="415">
        <v>2016.0</v>
      </c>
      <c r="B170" s="404">
        <v>7.0</v>
      </c>
      <c r="C170" s="404">
        <v>3.0</v>
      </c>
      <c r="D170" s="383">
        <v>28107.0</v>
      </c>
      <c r="E170" s="416">
        <v>42588.0</v>
      </c>
      <c r="F170" s="392"/>
      <c r="G170" s="405" t="s">
        <v>4555</v>
      </c>
    </row>
    <row r="171">
      <c r="A171" s="409" t="s">
        <v>4556</v>
      </c>
      <c r="B171" s="175"/>
      <c r="C171" s="176"/>
      <c r="D171" s="410">
        <f>SUM(D168:D170)</f>
        <v>53107</v>
      </c>
      <c r="E171" s="411"/>
      <c r="F171" s="411"/>
      <c r="G171" s="412" t="s">
        <v>4557</v>
      </c>
    </row>
    <row r="172">
      <c r="A172" s="415">
        <v>2016.0</v>
      </c>
      <c r="B172" s="404">
        <v>8.0</v>
      </c>
      <c r="C172" s="404">
        <v>1.0</v>
      </c>
      <c r="D172" s="383">
        <v>16000.0</v>
      </c>
      <c r="E172" s="416">
        <v>42589.0</v>
      </c>
      <c r="F172" s="392"/>
      <c r="G172" s="405" t="s">
        <v>4558</v>
      </c>
    </row>
    <row r="173">
      <c r="A173" s="415">
        <v>2016.0</v>
      </c>
      <c r="B173" s="404">
        <v>8.0</v>
      </c>
      <c r="C173" s="404">
        <v>2.0</v>
      </c>
      <c r="D173" s="383">
        <v>29000.0</v>
      </c>
      <c r="E173" s="416">
        <v>42595.0</v>
      </c>
      <c r="F173" s="392"/>
      <c r="G173" s="405" t="s">
        <v>4559</v>
      </c>
    </row>
    <row r="174">
      <c r="A174" s="415">
        <v>2016.0</v>
      </c>
      <c r="B174" s="404">
        <v>8.0</v>
      </c>
      <c r="C174" s="404">
        <v>3.0</v>
      </c>
      <c r="D174" s="383">
        <v>13000.0</v>
      </c>
      <c r="E174" s="416">
        <v>42603.0</v>
      </c>
      <c r="F174" s="392"/>
      <c r="G174" s="405"/>
    </row>
    <row r="175">
      <c r="A175" s="415">
        <v>2016.0</v>
      </c>
      <c r="B175" s="404">
        <v>8.0</v>
      </c>
      <c r="C175" s="404">
        <v>4.0</v>
      </c>
      <c r="D175" s="383">
        <v>10000.0</v>
      </c>
      <c r="E175" s="416">
        <v>42610.0</v>
      </c>
      <c r="F175" s="392"/>
      <c r="G175" s="405"/>
    </row>
    <row r="176">
      <c r="A176" s="415">
        <v>2016.0</v>
      </c>
      <c r="B176" s="404">
        <v>8.0</v>
      </c>
      <c r="C176" s="404">
        <v>5.0</v>
      </c>
      <c r="D176" s="383">
        <v>12960.0</v>
      </c>
      <c r="E176" s="416">
        <v>42617.0</v>
      </c>
      <c r="F176" s="392"/>
      <c r="G176" s="405"/>
    </row>
    <row r="177">
      <c r="A177" s="409" t="s">
        <v>4560</v>
      </c>
      <c r="B177" s="175"/>
      <c r="C177" s="176"/>
      <c r="D177" s="418">
        <f>SUM(D172:D176)</f>
        <v>80960</v>
      </c>
      <c r="E177" s="411"/>
      <c r="F177" s="411"/>
      <c r="G177" s="412" t="s">
        <v>4561</v>
      </c>
    </row>
    <row r="178">
      <c r="A178" s="415">
        <v>2016.0</v>
      </c>
      <c r="B178" s="404">
        <v>9.0</v>
      </c>
      <c r="C178" s="404">
        <v>1.0</v>
      </c>
      <c r="D178" s="383">
        <v>12000.0</v>
      </c>
      <c r="E178" s="416">
        <v>42616.0</v>
      </c>
      <c r="F178" s="392"/>
      <c r="G178" s="405" t="s">
        <v>4562</v>
      </c>
    </row>
    <row r="179">
      <c r="A179" s="415">
        <v>2016.0</v>
      </c>
      <c r="B179" s="404">
        <v>9.0</v>
      </c>
      <c r="C179" s="404">
        <v>2.0</v>
      </c>
      <c r="D179" s="383">
        <v>18000.0</v>
      </c>
      <c r="E179" s="416">
        <v>42624.0</v>
      </c>
      <c r="F179" s="392"/>
      <c r="G179" s="405" t="s">
        <v>4563</v>
      </c>
    </row>
    <row r="180">
      <c r="A180" s="415">
        <v>2016.0</v>
      </c>
      <c r="B180" s="404">
        <v>9.0</v>
      </c>
      <c r="C180" s="404">
        <v>3.0</v>
      </c>
      <c r="D180" s="383">
        <v>46809.0</v>
      </c>
      <c r="E180" s="416">
        <v>42651.0</v>
      </c>
      <c r="F180" s="392"/>
      <c r="G180" s="419" t="s">
        <v>4558</v>
      </c>
    </row>
    <row r="181">
      <c r="A181" s="409" t="s">
        <v>4564</v>
      </c>
      <c r="B181" s="175"/>
      <c r="C181" s="176"/>
      <c r="D181" s="418">
        <f>SUM(D178:D180)</f>
        <v>76809</v>
      </c>
      <c r="E181" s="411"/>
      <c r="F181" s="411"/>
      <c r="G181" s="412" t="s">
        <v>4565</v>
      </c>
    </row>
    <row r="182">
      <c r="A182" s="404">
        <v>2016.0</v>
      </c>
      <c r="B182" s="404">
        <v>10.0</v>
      </c>
      <c r="C182" s="404">
        <v>1.0</v>
      </c>
      <c r="D182" s="383">
        <v>30000.0</v>
      </c>
      <c r="E182" s="416">
        <v>42665.0</v>
      </c>
      <c r="F182" s="392"/>
      <c r="G182" s="405" t="s">
        <v>4566</v>
      </c>
    </row>
    <row r="183">
      <c r="A183" s="404">
        <v>2016.0</v>
      </c>
      <c r="B183" s="404">
        <v>10.0</v>
      </c>
      <c r="C183" s="404">
        <v>2.0</v>
      </c>
      <c r="D183" s="383">
        <v>30000.0</v>
      </c>
      <c r="E183" s="416">
        <v>42672.0</v>
      </c>
      <c r="F183" s="392"/>
      <c r="G183" s="405" t="s">
        <v>4567</v>
      </c>
    </row>
    <row r="184">
      <c r="A184" s="404">
        <v>2016.0</v>
      </c>
      <c r="B184" s="404">
        <v>10.0</v>
      </c>
      <c r="C184" s="404">
        <v>3.0</v>
      </c>
      <c r="D184" s="383">
        <v>22234.7</v>
      </c>
      <c r="E184" s="417"/>
      <c r="F184" s="392"/>
      <c r="G184" s="419"/>
    </row>
    <row r="185">
      <c r="A185" s="409" t="s">
        <v>4568</v>
      </c>
      <c r="B185" s="175"/>
      <c r="C185" s="176"/>
      <c r="D185" s="418">
        <f>SUM(D182:D184)</f>
        <v>82234.7</v>
      </c>
      <c r="E185" s="411"/>
      <c r="F185" s="411"/>
      <c r="G185" s="412" t="s">
        <v>4569</v>
      </c>
    </row>
    <row r="186">
      <c r="A186" s="404">
        <v>2016.0</v>
      </c>
      <c r="B186" s="404">
        <v>11.0</v>
      </c>
      <c r="C186" s="404">
        <v>1.0</v>
      </c>
      <c r="D186" s="383">
        <v>46000.0</v>
      </c>
      <c r="E186" s="416">
        <v>42694.0</v>
      </c>
      <c r="F186" s="392"/>
      <c r="G186" s="405"/>
    </row>
    <row r="187">
      <c r="A187" s="404">
        <v>2016.0</v>
      </c>
      <c r="B187" s="404">
        <v>11.0</v>
      </c>
      <c r="C187" s="404">
        <v>2.0</v>
      </c>
      <c r="D187" s="383">
        <v>15000.0</v>
      </c>
      <c r="E187" s="416">
        <v>42701.0</v>
      </c>
      <c r="F187" s="392"/>
      <c r="G187" s="405" t="s">
        <v>4570</v>
      </c>
    </row>
    <row r="188">
      <c r="A188" s="404"/>
      <c r="B188" s="404">
        <v>11.0</v>
      </c>
      <c r="C188" s="404">
        <v>3.0</v>
      </c>
      <c r="D188" s="383">
        <v>16797.0</v>
      </c>
      <c r="E188" s="416">
        <v>42714.0</v>
      </c>
      <c r="F188" s="392"/>
      <c r="G188" s="405" t="s">
        <v>4571</v>
      </c>
    </row>
    <row r="189">
      <c r="A189" s="409" t="s">
        <v>4572</v>
      </c>
      <c r="B189" s="175"/>
      <c r="C189" s="176"/>
      <c r="D189" s="418">
        <f>SUM(D186:D188)</f>
        <v>77797</v>
      </c>
      <c r="E189" s="411"/>
      <c r="F189" s="411"/>
      <c r="G189" s="412" t="s">
        <v>4573</v>
      </c>
    </row>
    <row r="190">
      <c r="A190" s="404">
        <v>2016.0</v>
      </c>
      <c r="B190" s="404">
        <v>12.0</v>
      </c>
      <c r="C190" s="404">
        <v>1.0</v>
      </c>
      <c r="D190" s="383">
        <v>25000.0</v>
      </c>
      <c r="E190" s="416">
        <v>42715.0</v>
      </c>
      <c r="F190" s="392"/>
      <c r="G190" s="405" t="s">
        <v>4574</v>
      </c>
    </row>
    <row r="191">
      <c r="A191" s="404">
        <v>2016.0</v>
      </c>
      <c r="B191" s="404">
        <v>12.0</v>
      </c>
      <c r="C191" s="404">
        <v>2.0</v>
      </c>
      <c r="D191" s="383">
        <v>30000.0</v>
      </c>
      <c r="E191" s="416">
        <v>42728.0</v>
      </c>
      <c r="F191" s="392"/>
      <c r="G191" s="405" t="s">
        <v>4575</v>
      </c>
    </row>
    <row r="192">
      <c r="A192" s="420">
        <v>2016.0</v>
      </c>
      <c r="B192" s="421">
        <v>12.0</v>
      </c>
      <c r="C192" s="421">
        <v>3.0</v>
      </c>
      <c r="D192" s="422">
        <v>18641.6</v>
      </c>
      <c r="E192" s="416">
        <v>42742.0</v>
      </c>
      <c r="F192" s="423"/>
      <c r="G192" s="424" t="s">
        <v>4576</v>
      </c>
    </row>
    <row r="193">
      <c r="A193" s="425" t="s">
        <v>4577</v>
      </c>
      <c r="B193" s="360"/>
      <c r="C193" s="388"/>
      <c r="D193" s="426">
        <f>SUM(D190:D192)</f>
        <v>73641.6</v>
      </c>
      <c r="E193" s="427"/>
      <c r="F193" s="428"/>
      <c r="G193" s="429" t="s">
        <v>4578</v>
      </c>
    </row>
    <row r="194" ht="9.0" customHeight="1">
      <c r="A194" s="413" t="s">
        <v>4579</v>
      </c>
      <c r="G194" s="394"/>
    </row>
    <row r="195">
      <c r="A195" s="404">
        <v>2017.0</v>
      </c>
      <c r="B195" s="404">
        <v>1.0</v>
      </c>
      <c r="C195" s="404">
        <v>1.0</v>
      </c>
      <c r="D195" s="383">
        <v>25000.0</v>
      </c>
      <c r="E195" s="416">
        <v>42742.0</v>
      </c>
      <c r="F195" s="392"/>
      <c r="G195" s="405" t="s">
        <v>4580</v>
      </c>
    </row>
    <row r="196">
      <c r="A196" s="404">
        <v>2017.0</v>
      </c>
      <c r="B196" s="404">
        <v>1.0</v>
      </c>
      <c r="C196" s="404">
        <v>2.0</v>
      </c>
      <c r="D196" s="383">
        <v>35000.0</v>
      </c>
      <c r="E196" s="416">
        <v>42750.0</v>
      </c>
      <c r="F196" s="392"/>
      <c r="G196" s="405" t="s">
        <v>4581</v>
      </c>
    </row>
    <row r="197">
      <c r="A197" s="404">
        <v>2917.0</v>
      </c>
      <c r="B197" s="404">
        <v>1.0</v>
      </c>
      <c r="C197" s="404">
        <v>3.0</v>
      </c>
      <c r="D197" s="383">
        <v>20000.0</v>
      </c>
      <c r="E197" s="416">
        <v>42757.0</v>
      </c>
      <c r="F197" s="392"/>
      <c r="G197" s="405" t="s">
        <v>4582</v>
      </c>
    </row>
    <row r="198">
      <c r="A198" s="404">
        <v>2017.0</v>
      </c>
      <c r="B198" s="404">
        <v>1.0</v>
      </c>
      <c r="C198" s="404">
        <v>4.0</v>
      </c>
      <c r="D198" s="383">
        <v>29005.0</v>
      </c>
      <c r="E198" s="416">
        <v>42777.0</v>
      </c>
      <c r="F198" s="392"/>
      <c r="G198" s="405" t="s">
        <v>4583</v>
      </c>
    </row>
    <row r="199">
      <c r="A199" s="409" t="s">
        <v>4584</v>
      </c>
      <c r="B199" s="175"/>
      <c r="C199" s="176"/>
      <c r="D199" s="418">
        <f>SUM(D195:D198)</f>
        <v>109005</v>
      </c>
      <c r="E199" s="411"/>
      <c r="F199" s="411"/>
      <c r="G199" s="412" t="s">
        <v>4585</v>
      </c>
    </row>
    <row r="200">
      <c r="A200" s="404">
        <v>2017.0</v>
      </c>
      <c r="B200" s="404">
        <v>2.0</v>
      </c>
      <c r="C200" s="404">
        <v>1.0</v>
      </c>
      <c r="D200" s="383">
        <v>20000.0</v>
      </c>
      <c r="E200" s="416">
        <v>42777.0</v>
      </c>
      <c r="F200" s="392"/>
      <c r="G200" s="405" t="s">
        <v>4586</v>
      </c>
    </row>
    <row r="201">
      <c r="A201" s="404">
        <v>2017.0</v>
      </c>
      <c r="B201" s="404">
        <v>2.0</v>
      </c>
      <c r="C201" s="404">
        <v>2.0</v>
      </c>
      <c r="D201" s="383">
        <v>34000.0</v>
      </c>
      <c r="E201" s="416">
        <v>42785.0</v>
      </c>
      <c r="F201" s="392"/>
      <c r="G201" s="405" t="s">
        <v>4587</v>
      </c>
    </row>
    <row r="202">
      <c r="A202" s="404">
        <v>2017.0</v>
      </c>
      <c r="B202" s="404">
        <v>2.0</v>
      </c>
      <c r="C202" s="404">
        <v>3.0</v>
      </c>
      <c r="D202" s="383">
        <v>27427.0</v>
      </c>
      <c r="E202" s="416">
        <v>42771.0</v>
      </c>
      <c r="F202" s="392"/>
      <c r="G202" s="405"/>
    </row>
    <row r="203">
      <c r="A203" s="409" t="s">
        <v>4588</v>
      </c>
      <c r="B203" s="175"/>
      <c r="C203" s="176"/>
      <c r="D203" s="418">
        <f>SUM(D200:D202)</f>
        <v>81427</v>
      </c>
      <c r="E203" s="411"/>
      <c r="F203" s="411"/>
      <c r="G203" s="412" t="s">
        <v>4585</v>
      </c>
    </row>
    <row r="204">
      <c r="A204" s="404">
        <v>2017.0</v>
      </c>
      <c r="B204" s="404">
        <v>3.0</v>
      </c>
      <c r="C204" s="404">
        <v>1.0</v>
      </c>
      <c r="D204" s="383">
        <v>15000.0</v>
      </c>
      <c r="E204" s="416">
        <v>42805.0</v>
      </c>
      <c r="F204" s="392"/>
      <c r="G204" s="405" t="s">
        <v>4589</v>
      </c>
    </row>
    <row r="205">
      <c r="A205" s="404">
        <v>2017.0</v>
      </c>
      <c r="B205" s="404">
        <v>3.0</v>
      </c>
      <c r="C205" s="404">
        <v>2.0</v>
      </c>
      <c r="D205" s="383">
        <v>30000.0</v>
      </c>
      <c r="E205" s="416">
        <v>42812.0</v>
      </c>
      <c r="F205" s="392"/>
      <c r="G205" s="405" t="s">
        <v>4590</v>
      </c>
    </row>
    <row r="206">
      <c r="A206" s="404">
        <v>2017.0</v>
      </c>
      <c r="B206" s="404">
        <v>3.0</v>
      </c>
      <c r="C206" s="404">
        <v>3.0</v>
      </c>
      <c r="D206" s="383">
        <v>20000.0</v>
      </c>
      <c r="E206" s="416">
        <v>42881.0</v>
      </c>
      <c r="F206" s="392"/>
      <c r="G206" s="405" t="s">
        <v>4591</v>
      </c>
    </row>
    <row r="207">
      <c r="A207" s="404">
        <v>2017.0</v>
      </c>
      <c r="B207" s="404">
        <v>3.0</v>
      </c>
      <c r="C207" s="404">
        <v>4.0</v>
      </c>
      <c r="D207" s="383">
        <v>12511.0</v>
      </c>
      <c r="E207" s="416">
        <v>42827.0</v>
      </c>
      <c r="F207" s="392"/>
      <c r="G207" s="405"/>
    </row>
    <row r="208">
      <c r="A208" s="404"/>
      <c r="B208" s="404"/>
      <c r="C208" s="404"/>
      <c r="D208" s="383"/>
      <c r="E208" s="417"/>
      <c r="F208" s="392"/>
      <c r="G208" s="405"/>
    </row>
    <row r="209">
      <c r="A209" s="409" t="s">
        <v>4592</v>
      </c>
      <c r="B209" s="175"/>
      <c r="C209" s="176"/>
      <c r="D209" s="418">
        <f>SUM(D204:D208)</f>
        <v>77511</v>
      </c>
      <c r="E209" s="411"/>
      <c r="F209" s="411"/>
      <c r="G209" s="412" t="s">
        <v>4585</v>
      </c>
    </row>
    <row r="210">
      <c r="A210" s="404">
        <v>2017.0</v>
      </c>
      <c r="B210" s="404">
        <v>4.0</v>
      </c>
      <c r="C210" s="404">
        <v>1.0</v>
      </c>
      <c r="D210" s="383">
        <v>14000.0</v>
      </c>
      <c r="E210" s="416">
        <v>42833.0</v>
      </c>
      <c r="F210" s="392"/>
      <c r="G210" s="405" t="s">
        <v>4593</v>
      </c>
    </row>
    <row r="211">
      <c r="A211" s="404">
        <v>2017.0</v>
      </c>
      <c r="B211" s="404">
        <v>4.0</v>
      </c>
      <c r="C211" s="404">
        <v>2.0</v>
      </c>
      <c r="D211" s="383">
        <v>30000.0</v>
      </c>
      <c r="E211" s="416">
        <v>42848.0</v>
      </c>
      <c r="F211" s="392"/>
      <c r="G211" s="405"/>
    </row>
    <row r="212">
      <c r="A212" s="404">
        <v>2017.0</v>
      </c>
      <c r="B212" s="404">
        <v>4.0</v>
      </c>
      <c r="C212" s="404">
        <v>3.0</v>
      </c>
      <c r="D212" s="383">
        <v>15000.0</v>
      </c>
      <c r="E212" s="416">
        <v>42855.0</v>
      </c>
      <c r="F212" s="392"/>
      <c r="G212" s="405"/>
    </row>
    <row r="213">
      <c r="A213" s="404">
        <v>2017.0</v>
      </c>
      <c r="B213" s="404">
        <v>4.0</v>
      </c>
      <c r="C213" s="404">
        <v>4.0</v>
      </c>
      <c r="D213" s="383">
        <v>6509.0</v>
      </c>
      <c r="E213" s="416">
        <v>42868.0</v>
      </c>
      <c r="F213" s="392"/>
      <c r="G213" s="405"/>
    </row>
    <row r="214">
      <c r="A214" s="409" t="s">
        <v>4594</v>
      </c>
      <c r="B214" s="175"/>
      <c r="C214" s="176"/>
      <c r="D214" s="418">
        <f>SUM(D210:D213)</f>
        <v>65509</v>
      </c>
      <c r="E214" s="411"/>
      <c r="F214" s="411"/>
      <c r="G214" s="412" t="s">
        <v>4585</v>
      </c>
    </row>
    <row r="215">
      <c r="A215" s="404">
        <v>2017.0</v>
      </c>
      <c r="B215" s="404">
        <v>5.0</v>
      </c>
      <c r="C215" s="404">
        <v>1.0</v>
      </c>
      <c r="D215" s="383">
        <v>25000.0</v>
      </c>
      <c r="E215" s="416">
        <v>42868.0</v>
      </c>
      <c r="F215" s="392"/>
      <c r="G215" s="405" t="s">
        <v>4595</v>
      </c>
    </row>
    <row r="216">
      <c r="A216" s="404">
        <v>2017.0</v>
      </c>
      <c r="B216" s="404">
        <v>5.0</v>
      </c>
      <c r="C216" s="404">
        <v>2.0</v>
      </c>
      <c r="D216" s="383">
        <v>20000.0</v>
      </c>
      <c r="E216" s="416">
        <v>42890.0</v>
      </c>
      <c r="F216" s="392"/>
      <c r="G216" s="405" t="s">
        <v>4596</v>
      </c>
    </row>
    <row r="217">
      <c r="A217" s="404">
        <v>2017.0</v>
      </c>
      <c r="B217" s="404">
        <v>5.0</v>
      </c>
      <c r="C217" s="404">
        <v>3.0</v>
      </c>
      <c r="D217" s="383">
        <v>5580.0</v>
      </c>
      <c r="E217" s="416"/>
      <c r="F217" s="392"/>
      <c r="G217" s="405"/>
    </row>
    <row r="218">
      <c r="A218" s="409" t="s">
        <v>4597</v>
      </c>
      <c r="B218" s="175"/>
      <c r="C218" s="176"/>
      <c r="D218" s="418">
        <f>SUM(D215:D217)</f>
        <v>50580</v>
      </c>
      <c r="E218" s="411"/>
      <c r="F218" s="411"/>
      <c r="G218" s="412" t="s">
        <v>4585</v>
      </c>
    </row>
    <row r="219">
      <c r="A219" s="404">
        <v>2017.0</v>
      </c>
      <c r="B219" s="404">
        <v>6.0</v>
      </c>
      <c r="C219" s="404">
        <v>1.0</v>
      </c>
      <c r="D219" s="383">
        <v>10000.0</v>
      </c>
      <c r="E219" s="416">
        <v>42890.0</v>
      </c>
      <c r="F219" s="392"/>
      <c r="G219" s="405" t="s">
        <v>4598</v>
      </c>
    </row>
    <row r="220">
      <c r="A220" s="404">
        <v>2017.0</v>
      </c>
      <c r="B220" s="404">
        <v>6.0</v>
      </c>
      <c r="C220" s="404">
        <v>2.0</v>
      </c>
      <c r="D220" s="383">
        <v>20000.0</v>
      </c>
      <c r="E220" s="416">
        <v>42897.0</v>
      </c>
      <c r="F220" s="392"/>
      <c r="G220" s="405" t="s">
        <v>4599</v>
      </c>
    </row>
    <row r="221">
      <c r="A221" s="404">
        <v>2017.0</v>
      </c>
      <c r="B221" s="404">
        <v>6.0</v>
      </c>
      <c r="C221" s="404">
        <v>3.0</v>
      </c>
      <c r="D221" s="383">
        <v>25000.0</v>
      </c>
      <c r="E221" s="417">
        <v>42917.0</v>
      </c>
      <c r="F221" s="392"/>
      <c r="G221" s="405" t="s">
        <v>4600</v>
      </c>
    </row>
    <row r="222">
      <c r="A222" s="404">
        <v>2017.0</v>
      </c>
      <c r="B222" s="404">
        <v>6.0</v>
      </c>
      <c r="C222" s="404">
        <v>4.0</v>
      </c>
      <c r="D222" s="383">
        <v>23931.0</v>
      </c>
      <c r="E222" s="417">
        <v>42931.0</v>
      </c>
      <c r="F222" s="392"/>
      <c r="G222" s="405" t="s">
        <v>4601</v>
      </c>
    </row>
    <row r="223">
      <c r="A223" s="404"/>
      <c r="B223" s="404"/>
      <c r="C223" s="404"/>
      <c r="D223" s="383"/>
      <c r="E223" s="417"/>
      <c r="F223" s="392"/>
      <c r="G223" s="405" t="s">
        <v>4602</v>
      </c>
    </row>
    <row r="224">
      <c r="A224" s="404"/>
      <c r="B224" s="404"/>
      <c r="C224" s="404"/>
      <c r="D224" s="383"/>
      <c r="E224" s="417"/>
      <c r="F224" s="392"/>
      <c r="G224" s="405" t="s">
        <v>4603</v>
      </c>
    </row>
    <row r="225">
      <c r="A225" s="409" t="s">
        <v>4604</v>
      </c>
      <c r="B225" s="175"/>
      <c r="C225" s="176"/>
      <c r="D225" s="418">
        <f>SUM(D219:D223)</f>
        <v>78931</v>
      </c>
      <c r="E225" s="411"/>
      <c r="F225" s="411"/>
      <c r="G225" s="412" t="s">
        <v>4585</v>
      </c>
    </row>
    <row r="226">
      <c r="A226" s="404">
        <v>2017.0</v>
      </c>
      <c r="B226" s="404">
        <v>7.0</v>
      </c>
      <c r="C226" s="404">
        <v>1.0</v>
      </c>
      <c r="D226" s="383">
        <v>17000.0</v>
      </c>
      <c r="E226" s="417">
        <v>42931.0</v>
      </c>
      <c r="F226" s="392"/>
      <c r="G226" s="314" t="s">
        <v>4605</v>
      </c>
    </row>
    <row r="227">
      <c r="A227" s="404">
        <v>2017.0</v>
      </c>
      <c r="B227" s="404">
        <v>7.0</v>
      </c>
      <c r="C227" s="404">
        <v>2.0</v>
      </c>
      <c r="D227" s="383">
        <v>31080.0</v>
      </c>
      <c r="E227" s="417"/>
      <c r="F227" s="392"/>
      <c r="G227" s="405" t="s">
        <v>4606</v>
      </c>
    </row>
    <row r="228">
      <c r="A228" s="404"/>
      <c r="B228" s="404"/>
      <c r="C228" s="404"/>
      <c r="D228" s="383"/>
      <c r="E228" s="417"/>
      <c r="F228" s="392"/>
      <c r="G228" s="405" t="s">
        <v>4607</v>
      </c>
    </row>
    <row r="229">
      <c r="A229" s="404"/>
      <c r="B229" s="404"/>
      <c r="C229" s="404"/>
      <c r="D229" s="383"/>
      <c r="E229" s="417"/>
      <c r="F229" s="392"/>
      <c r="G229" s="405" t="s">
        <v>4608</v>
      </c>
    </row>
    <row r="230">
      <c r="A230" s="404"/>
      <c r="B230" s="404"/>
      <c r="C230" s="404"/>
      <c r="D230" s="383"/>
      <c r="E230" s="417"/>
      <c r="F230" s="392"/>
      <c r="G230" s="405" t="s">
        <v>4609</v>
      </c>
    </row>
    <row r="231">
      <c r="A231" s="404"/>
      <c r="B231" s="404"/>
      <c r="C231" s="404"/>
      <c r="D231" s="383"/>
      <c r="E231" s="417"/>
      <c r="F231" s="392"/>
      <c r="G231" s="405" t="s">
        <v>4610</v>
      </c>
    </row>
    <row r="232">
      <c r="A232" s="404"/>
      <c r="B232" s="404"/>
      <c r="C232" s="404"/>
      <c r="D232" s="383"/>
      <c r="E232" s="417"/>
      <c r="F232" s="392"/>
      <c r="G232" s="405" t="s">
        <v>4611</v>
      </c>
    </row>
    <row r="233">
      <c r="A233" s="404"/>
      <c r="B233" s="404"/>
      <c r="C233" s="404"/>
      <c r="D233" s="383"/>
      <c r="E233" s="417"/>
      <c r="F233" s="392"/>
      <c r="G233" s="405" t="s">
        <v>4612</v>
      </c>
    </row>
    <row r="234">
      <c r="A234" s="404"/>
      <c r="B234" s="404"/>
      <c r="C234" s="404"/>
      <c r="D234" s="383"/>
      <c r="E234" s="417"/>
      <c r="F234" s="392"/>
      <c r="G234" s="405" t="s">
        <v>4613</v>
      </c>
    </row>
    <row r="235">
      <c r="A235" s="404"/>
      <c r="B235" s="404"/>
      <c r="C235" s="404"/>
      <c r="D235" s="383"/>
      <c r="E235" s="417"/>
      <c r="F235" s="392"/>
      <c r="G235" s="405" t="s">
        <v>4614</v>
      </c>
    </row>
    <row r="236">
      <c r="A236" s="404"/>
      <c r="B236" s="404"/>
      <c r="C236" s="404"/>
      <c r="D236" s="383"/>
      <c r="E236" s="417"/>
      <c r="F236" s="392"/>
      <c r="G236" s="405" t="s">
        <v>4615</v>
      </c>
    </row>
    <row r="237">
      <c r="A237" s="404"/>
      <c r="B237" s="404"/>
      <c r="C237" s="404"/>
      <c r="D237" s="383"/>
      <c r="E237" s="417"/>
      <c r="F237" s="392"/>
      <c r="G237" s="405" t="s">
        <v>4616</v>
      </c>
    </row>
    <row r="238">
      <c r="A238" s="404"/>
      <c r="B238" s="404"/>
      <c r="C238" s="404"/>
      <c r="D238" s="383"/>
      <c r="E238" s="417"/>
      <c r="F238" s="392"/>
      <c r="G238" s="405" t="s">
        <v>4617</v>
      </c>
    </row>
    <row r="239">
      <c r="A239" s="404"/>
      <c r="B239" s="404"/>
      <c r="C239" s="404"/>
      <c r="D239" s="383"/>
      <c r="E239" s="417"/>
      <c r="F239" s="392"/>
      <c r="G239" s="405" t="s">
        <v>4618</v>
      </c>
    </row>
    <row r="240">
      <c r="A240" s="404"/>
      <c r="B240" s="404"/>
      <c r="C240" s="404"/>
      <c r="D240" s="383"/>
      <c r="E240" s="417"/>
      <c r="F240" s="392"/>
      <c r="G240" s="405" t="s">
        <v>4619</v>
      </c>
    </row>
    <row r="241">
      <c r="A241" s="404"/>
      <c r="B241" s="404"/>
      <c r="C241" s="404"/>
      <c r="D241" s="383"/>
      <c r="E241" s="417"/>
      <c r="F241" s="392"/>
      <c r="G241" s="405" t="s">
        <v>4616</v>
      </c>
    </row>
    <row r="242">
      <c r="A242" s="409" t="s">
        <v>4620</v>
      </c>
      <c r="B242" s="175"/>
      <c r="C242" s="176"/>
      <c r="D242" s="418">
        <v>48080.0</v>
      </c>
      <c r="E242" s="411"/>
      <c r="F242" s="411"/>
      <c r="G242" s="412" t="s">
        <v>4585</v>
      </c>
    </row>
    <row r="243">
      <c r="A243" s="404">
        <v>2017.0</v>
      </c>
      <c r="B243" s="404">
        <v>8.0</v>
      </c>
      <c r="C243" s="404">
        <v>1.0</v>
      </c>
      <c r="D243" s="383">
        <v>20000.0</v>
      </c>
      <c r="E243" s="417">
        <v>42953.0</v>
      </c>
      <c r="F243" s="392"/>
      <c r="G243" s="405" t="s">
        <v>4621</v>
      </c>
    </row>
    <row r="244">
      <c r="A244" s="404">
        <v>2017.0</v>
      </c>
      <c r="B244" s="404">
        <v>8.0</v>
      </c>
      <c r="C244" s="404">
        <v>2.0</v>
      </c>
      <c r="D244" s="383">
        <v>45000.0</v>
      </c>
      <c r="E244" s="417">
        <v>42967.0</v>
      </c>
      <c r="F244" s="392"/>
      <c r="G244" s="405" t="s">
        <v>4622</v>
      </c>
    </row>
    <row r="245">
      <c r="A245" s="404">
        <v>2017.0</v>
      </c>
      <c r="B245" s="404">
        <v>8.0</v>
      </c>
      <c r="C245" s="404">
        <v>3.0</v>
      </c>
      <c r="D245" s="383">
        <v>15000.0</v>
      </c>
      <c r="E245" s="417"/>
      <c r="F245" s="392"/>
      <c r="G245" s="405" t="s">
        <v>4623</v>
      </c>
    </row>
    <row r="246">
      <c r="A246" s="404">
        <v>2017.0</v>
      </c>
      <c r="B246" s="404">
        <v>8.0</v>
      </c>
      <c r="C246" s="404">
        <v>4.0</v>
      </c>
      <c r="D246" s="383">
        <v>10924.0</v>
      </c>
      <c r="E246" s="417">
        <v>42994.0</v>
      </c>
      <c r="F246" s="392"/>
      <c r="G246" s="405" t="s">
        <v>4624</v>
      </c>
    </row>
    <row r="247">
      <c r="A247" s="404"/>
      <c r="B247" s="404"/>
      <c r="C247" s="404"/>
      <c r="D247" s="383"/>
      <c r="E247" s="417"/>
      <c r="F247" s="392"/>
      <c r="G247" s="405" t="s">
        <v>4625</v>
      </c>
    </row>
    <row r="248">
      <c r="A248" s="404"/>
      <c r="B248" s="404"/>
      <c r="C248" s="404"/>
      <c r="D248" s="383"/>
      <c r="E248" s="417"/>
      <c r="F248" s="392"/>
      <c r="G248" s="405" t="s">
        <v>4626</v>
      </c>
    </row>
    <row r="249">
      <c r="A249" s="404"/>
      <c r="B249" s="404"/>
      <c r="C249" s="404"/>
      <c r="D249" s="383"/>
      <c r="E249" s="417"/>
      <c r="F249" s="392"/>
      <c r="G249" s="405" t="s">
        <v>4627</v>
      </c>
    </row>
    <row r="250">
      <c r="A250" s="409" t="s">
        <v>4628</v>
      </c>
      <c r="B250" s="175"/>
      <c r="C250" s="176"/>
      <c r="D250" s="418">
        <f>SUM(D243:D249)</f>
        <v>90924</v>
      </c>
      <c r="E250" s="411"/>
      <c r="F250" s="411"/>
      <c r="G250" s="412" t="s">
        <v>4585</v>
      </c>
    </row>
    <row r="251">
      <c r="A251" s="404">
        <v>2017.0</v>
      </c>
      <c r="B251" s="404">
        <v>9.0</v>
      </c>
      <c r="C251" s="404">
        <v>1.0</v>
      </c>
      <c r="D251" s="383">
        <v>30000.0</v>
      </c>
      <c r="E251" s="417">
        <v>42994.0</v>
      </c>
      <c r="F251" s="392"/>
      <c r="G251" s="405" t="s">
        <v>4629</v>
      </c>
    </row>
    <row r="252">
      <c r="A252" s="404">
        <v>2017.0</v>
      </c>
      <c r="B252" s="404">
        <v>9.0</v>
      </c>
      <c r="C252" s="404">
        <v>2.0</v>
      </c>
      <c r="D252" s="383">
        <v>30000.0</v>
      </c>
      <c r="E252" s="417">
        <v>43001.0</v>
      </c>
      <c r="F252" s="392"/>
      <c r="G252" s="405" t="s">
        <v>4630</v>
      </c>
    </row>
    <row r="253">
      <c r="A253" s="404">
        <v>2017.0</v>
      </c>
      <c r="B253" s="404">
        <v>9.0</v>
      </c>
      <c r="C253" s="404">
        <v>3.0</v>
      </c>
      <c r="D253" s="383">
        <v>17000.0</v>
      </c>
      <c r="E253" s="430">
        <v>43016.0</v>
      </c>
      <c r="F253" s="392"/>
      <c r="G253" s="405" t="s">
        <v>4631</v>
      </c>
    </row>
    <row r="254">
      <c r="A254" s="404">
        <v>2017.0</v>
      </c>
      <c r="B254" s="404">
        <v>9.0</v>
      </c>
      <c r="C254" s="404">
        <v>4.0</v>
      </c>
      <c r="D254" s="383">
        <v>11840.0</v>
      </c>
      <c r="E254" s="417"/>
      <c r="F254" s="392"/>
      <c r="G254" s="405" t="s">
        <v>4632</v>
      </c>
    </row>
    <row r="255">
      <c r="A255" s="404"/>
      <c r="B255" s="404"/>
      <c r="C255" s="404"/>
      <c r="D255" s="383"/>
      <c r="E255" s="417"/>
      <c r="F255" s="392"/>
      <c r="G255" s="405" t="s">
        <v>4633</v>
      </c>
    </row>
    <row r="256">
      <c r="A256" s="404"/>
      <c r="B256" s="404"/>
      <c r="C256" s="404"/>
      <c r="D256" s="383"/>
      <c r="E256" s="417"/>
      <c r="F256" s="392"/>
      <c r="G256" s="405" t="s">
        <v>4634</v>
      </c>
    </row>
    <row r="257">
      <c r="A257" s="404"/>
      <c r="B257" s="404"/>
      <c r="C257" s="404"/>
      <c r="D257" s="383"/>
      <c r="E257" s="417"/>
      <c r="F257" s="392"/>
      <c r="G257" s="405" t="s">
        <v>4635</v>
      </c>
    </row>
    <row r="258">
      <c r="A258" s="404"/>
      <c r="B258" s="404"/>
      <c r="C258" s="404"/>
      <c r="D258" s="383"/>
      <c r="E258" s="417"/>
      <c r="F258" s="392"/>
      <c r="G258" s="405" t="s">
        <v>4636</v>
      </c>
    </row>
    <row r="259">
      <c r="A259" s="404"/>
      <c r="B259" s="404"/>
      <c r="C259" s="404"/>
      <c r="D259" s="383"/>
      <c r="E259" s="417"/>
      <c r="F259" s="392"/>
      <c r="G259" s="405" t="s">
        <v>4637</v>
      </c>
    </row>
    <row r="260">
      <c r="A260" s="404"/>
      <c r="B260" s="404"/>
      <c r="C260" s="404"/>
      <c r="D260" s="383"/>
      <c r="E260" s="417"/>
      <c r="F260" s="392"/>
      <c r="G260" s="405" t="s">
        <v>4638</v>
      </c>
    </row>
    <row r="261">
      <c r="A261" s="404"/>
      <c r="B261" s="404"/>
      <c r="C261" s="404"/>
      <c r="D261" s="383"/>
      <c r="E261" s="417"/>
      <c r="F261" s="392"/>
      <c r="G261" s="405" t="s">
        <v>4639</v>
      </c>
    </row>
    <row r="262">
      <c r="A262" s="409" t="s">
        <v>4640</v>
      </c>
      <c r="B262" s="175"/>
      <c r="C262" s="176"/>
      <c r="D262" s="418">
        <f>SUM(D251:D261)</f>
        <v>88840</v>
      </c>
      <c r="E262" s="411"/>
      <c r="F262" s="411"/>
      <c r="G262" s="412" t="s">
        <v>4585</v>
      </c>
    </row>
    <row r="263">
      <c r="A263" s="404"/>
      <c r="B263" s="404">
        <v>10.0</v>
      </c>
      <c r="C263" s="404">
        <v>1.0</v>
      </c>
      <c r="D263" s="383">
        <v>30000.0</v>
      </c>
      <c r="E263" s="417">
        <v>43016.0</v>
      </c>
      <c r="F263" s="392"/>
      <c r="G263" s="405" t="s">
        <v>4641</v>
      </c>
    </row>
    <row r="264">
      <c r="A264" s="404"/>
      <c r="B264" s="404">
        <v>10.0</v>
      </c>
      <c r="C264" s="404">
        <v>2.0</v>
      </c>
      <c r="D264" s="383">
        <v>20000.0</v>
      </c>
      <c r="E264" s="417">
        <v>43023.0</v>
      </c>
      <c r="F264" s="392"/>
      <c r="G264" s="405" t="s">
        <v>4642</v>
      </c>
    </row>
    <row r="265">
      <c r="A265" s="404"/>
      <c r="B265" s="404">
        <v>10.0</v>
      </c>
      <c r="C265" s="404">
        <v>3.0</v>
      </c>
      <c r="D265" s="383">
        <v>40000.0</v>
      </c>
      <c r="E265" s="417">
        <v>43043.0</v>
      </c>
      <c r="F265" s="392"/>
      <c r="G265" s="405" t="s">
        <v>4643</v>
      </c>
    </row>
    <row r="266">
      <c r="A266" s="404"/>
      <c r="B266" s="404">
        <v>10.0</v>
      </c>
      <c r="C266" s="404">
        <v>4.0</v>
      </c>
      <c r="D266" s="383">
        <v>15000.0</v>
      </c>
      <c r="E266" s="417">
        <v>43044.0</v>
      </c>
      <c r="F266" s="392"/>
      <c r="G266" s="405" t="s">
        <v>4644</v>
      </c>
    </row>
    <row r="267">
      <c r="A267" s="404"/>
      <c r="B267" s="404">
        <v>10.0</v>
      </c>
      <c r="C267" s="404">
        <v>5.0</v>
      </c>
      <c r="D267" s="383">
        <v>21310.0</v>
      </c>
      <c r="E267" s="417">
        <v>43050.0</v>
      </c>
      <c r="F267" s="392"/>
      <c r="G267" s="405" t="s">
        <v>4645</v>
      </c>
    </row>
    <row r="268">
      <c r="A268" s="404"/>
      <c r="B268" s="404"/>
      <c r="C268" s="404"/>
      <c r="D268" s="383"/>
      <c r="E268" s="417"/>
      <c r="F268" s="392"/>
      <c r="G268" s="405" t="s">
        <v>4646</v>
      </c>
    </row>
    <row r="269">
      <c r="A269" s="404"/>
      <c r="B269" s="404"/>
      <c r="C269" s="404"/>
      <c r="D269" s="383"/>
      <c r="E269" s="417"/>
      <c r="F269" s="392"/>
      <c r="G269" s="405" t="s">
        <v>4647</v>
      </c>
    </row>
    <row r="270">
      <c r="A270" s="404"/>
      <c r="B270" s="404"/>
      <c r="C270" s="404"/>
      <c r="D270" s="383"/>
      <c r="E270" s="417"/>
      <c r="F270" s="392"/>
      <c r="G270" s="405" t="s">
        <v>4648</v>
      </c>
    </row>
    <row r="271">
      <c r="A271" s="404"/>
      <c r="B271" s="404"/>
      <c r="C271" s="404"/>
      <c r="D271" s="383"/>
      <c r="E271" s="417"/>
      <c r="F271" s="392"/>
      <c r="G271" s="405" t="s">
        <v>4649</v>
      </c>
    </row>
    <row r="272">
      <c r="A272" s="404"/>
      <c r="B272" s="404"/>
      <c r="C272" s="404"/>
      <c r="D272" s="383"/>
      <c r="E272" s="417"/>
      <c r="F272" s="392"/>
      <c r="G272" s="405" t="s">
        <v>4650</v>
      </c>
    </row>
    <row r="273">
      <c r="A273" s="404"/>
      <c r="B273" s="404"/>
      <c r="C273" s="404"/>
      <c r="D273" s="383"/>
      <c r="E273" s="417"/>
      <c r="F273" s="392"/>
      <c r="G273" s="405" t="s">
        <v>4651</v>
      </c>
    </row>
    <row r="274">
      <c r="A274" s="409" t="s">
        <v>4652</v>
      </c>
      <c r="B274" s="175"/>
      <c r="C274" s="176"/>
      <c r="D274" s="418">
        <f>SUM(D263:D267)</f>
        <v>126310</v>
      </c>
      <c r="E274" s="411"/>
      <c r="F274" s="411"/>
      <c r="G274" s="412" t="s">
        <v>4585</v>
      </c>
    </row>
    <row r="275">
      <c r="A275" s="404"/>
      <c r="B275" s="404"/>
      <c r="C275" s="404"/>
      <c r="D275" s="383"/>
      <c r="E275" s="417"/>
      <c r="F275" s="392"/>
      <c r="G275" s="405"/>
    </row>
    <row r="276">
      <c r="A276" s="404">
        <v>2017.0</v>
      </c>
      <c r="B276" s="404">
        <v>11.0</v>
      </c>
      <c r="C276" s="404">
        <v>1.0</v>
      </c>
      <c r="D276" s="383">
        <v>35000.0</v>
      </c>
      <c r="E276" s="417">
        <v>43058.0</v>
      </c>
      <c r="F276" s="392"/>
      <c r="G276" s="405" t="s">
        <v>4653</v>
      </c>
    </row>
    <row r="277">
      <c r="A277" s="404">
        <v>2017.0</v>
      </c>
      <c r="B277" s="404">
        <v>11.0</v>
      </c>
      <c r="C277" s="404">
        <v>2.0</v>
      </c>
      <c r="D277" s="383">
        <v>10000.0</v>
      </c>
      <c r="E277" s="417">
        <v>43065.0</v>
      </c>
      <c r="F277" s="392"/>
      <c r="G277" s="405" t="s">
        <v>4654</v>
      </c>
    </row>
    <row r="278">
      <c r="A278" s="404">
        <v>2017.0</v>
      </c>
      <c r="B278" s="404">
        <v>11.0</v>
      </c>
      <c r="C278" s="404">
        <v>3.0</v>
      </c>
      <c r="D278" s="383">
        <v>25000.0</v>
      </c>
      <c r="E278" s="417">
        <v>43072.0</v>
      </c>
      <c r="F278" s="392"/>
      <c r="G278" s="405" t="s">
        <v>4651</v>
      </c>
    </row>
    <row r="279">
      <c r="A279" s="404">
        <v>2017.0</v>
      </c>
      <c r="B279" s="404">
        <v>11.0</v>
      </c>
      <c r="C279" s="404">
        <v>4.0</v>
      </c>
      <c r="D279" s="383">
        <v>9512.0</v>
      </c>
      <c r="E279" s="417">
        <v>43077.0</v>
      </c>
      <c r="F279" s="392"/>
      <c r="G279" s="405"/>
    </row>
    <row r="280">
      <c r="A280" s="409" t="s">
        <v>4655</v>
      </c>
      <c r="B280" s="175"/>
      <c r="C280" s="176"/>
      <c r="D280" s="418">
        <f>SUM(D276:D279)</f>
        <v>79512</v>
      </c>
      <c r="E280" s="411"/>
      <c r="F280" s="411"/>
      <c r="G280" s="412" t="s">
        <v>4585</v>
      </c>
    </row>
    <row r="281">
      <c r="A281" s="404">
        <v>2017.0</v>
      </c>
      <c r="B281" s="404">
        <v>12.0</v>
      </c>
      <c r="C281" s="404">
        <v>1.0</v>
      </c>
      <c r="D281" s="383">
        <v>65000.0</v>
      </c>
      <c r="E281" s="417">
        <v>43079.0</v>
      </c>
      <c r="F281" s="392"/>
      <c r="G281" s="405" t="s">
        <v>4656</v>
      </c>
    </row>
    <row r="282">
      <c r="A282" s="404">
        <v>2017.0</v>
      </c>
      <c r="B282" s="404">
        <v>12.0</v>
      </c>
      <c r="C282" s="404">
        <v>2.0</v>
      </c>
      <c r="D282" s="383">
        <v>60000.0</v>
      </c>
      <c r="E282" s="417">
        <v>43099.0</v>
      </c>
      <c r="F282" s="392"/>
      <c r="G282" s="405" t="s">
        <v>4651</v>
      </c>
    </row>
    <row r="283">
      <c r="A283" s="404">
        <v>2017.0</v>
      </c>
      <c r="B283" s="404">
        <v>12.0</v>
      </c>
      <c r="C283" s="404">
        <v>3.0</v>
      </c>
      <c r="D283" s="383">
        <v>30527.0</v>
      </c>
      <c r="E283" s="417">
        <v>43106.0</v>
      </c>
      <c r="F283" s="392"/>
      <c r="G283" s="405" t="s">
        <v>4657</v>
      </c>
    </row>
    <row r="284">
      <c r="A284" s="404"/>
      <c r="B284" s="404"/>
      <c r="C284" s="404"/>
      <c r="D284" s="383"/>
      <c r="E284" s="417"/>
      <c r="F284" s="392"/>
      <c r="G284" s="405" t="s">
        <v>4658</v>
      </c>
    </row>
    <row r="285">
      <c r="A285" s="404"/>
      <c r="B285" s="404"/>
      <c r="C285" s="404"/>
      <c r="D285" s="383"/>
      <c r="E285" s="417"/>
      <c r="F285" s="392"/>
      <c r="G285" s="405" t="s">
        <v>4659</v>
      </c>
    </row>
    <row r="286">
      <c r="A286" s="404"/>
      <c r="B286" s="404"/>
      <c r="C286" s="404"/>
      <c r="D286" s="383"/>
      <c r="E286" s="417"/>
      <c r="F286" s="392"/>
      <c r="G286" s="405" t="s">
        <v>4660</v>
      </c>
    </row>
    <row r="287">
      <c r="A287" s="404"/>
      <c r="B287" s="404"/>
      <c r="C287" s="404"/>
      <c r="D287" s="383"/>
      <c r="E287" s="417"/>
      <c r="F287" s="392"/>
      <c r="G287" s="405" t="s">
        <v>4661</v>
      </c>
    </row>
    <row r="288">
      <c r="A288" s="404"/>
      <c r="B288" s="404"/>
      <c r="C288" s="404"/>
      <c r="D288" s="383"/>
      <c r="E288" s="417"/>
      <c r="F288" s="392"/>
      <c r="G288" s="405" t="s">
        <v>4662</v>
      </c>
    </row>
    <row r="289">
      <c r="A289" s="409" t="s">
        <v>4663</v>
      </c>
      <c r="B289" s="175"/>
      <c r="C289" s="176"/>
      <c r="D289" s="418">
        <f>SUM(D281:D283)</f>
        <v>155527</v>
      </c>
      <c r="E289" s="411"/>
      <c r="F289" s="411"/>
      <c r="G289" s="412" t="s">
        <v>4664</v>
      </c>
    </row>
    <row r="290" ht="9.0" customHeight="1">
      <c r="A290" s="413" t="s">
        <v>4665</v>
      </c>
      <c r="G290" s="394"/>
    </row>
    <row r="291">
      <c r="A291" s="404">
        <v>2018.0</v>
      </c>
      <c r="B291" s="404">
        <v>1.0</v>
      </c>
      <c r="C291" s="404">
        <v>1.0</v>
      </c>
      <c r="D291" s="383">
        <v>20000.0</v>
      </c>
      <c r="E291" s="417">
        <v>43106.0</v>
      </c>
      <c r="F291" s="392"/>
      <c r="G291" s="405" t="s">
        <v>4666</v>
      </c>
    </row>
    <row r="292">
      <c r="A292" s="404">
        <v>2018.0</v>
      </c>
      <c r="B292" s="404">
        <v>1.0</v>
      </c>
      <c r="C292" s="404">
        <v>2.0</v>
      </c>
      <c r="D292" s="383">
        <v>70000.0</v>
      </c>
      <c r="E292" s="417">
        <v>43127.0</v>
      </c>
      <c r="F292" s="392"/>
      <c r="G292" s="405" t="s">
        <v>4667</v>
      </c>
    </row>
    <row r="293">
      <c r="A293" s="404">
        <v>2018.0</v>
      </c>
      <c r="B293" s="404">
        <v>1.0</v>
      </c>
      <c r="C293" s="404">
        <v>3.0</v>
      </c>
      <c r="D293" s="383">
        <v>30000.0</v>
      </c>
      <c r="E293" s="417">
        <v>43135.0</v>
      </c>
      <c r="F293" s="392"/>
      <c r="G293" s="405" t="s">
        <v>4668</v>
      </c>
    </row>
    <row r="294">
      <c r="A294" s="404">
        <v>2018.0</v>
      </c>
      <c r="B294" s="404">
        <v>1.0</v>
      </c>
      <c r="C294" s="404">
        <v>4.0</v>
      </c>
      <c r="D294" s="383">
        <v>7543.0</v>
      </c>
      <c r="E294" s="417">
        <v>43149.0</v>
      </c>
      <c r="F294" s="392"/>
      <c r="G294" s="405" t="s">
        <v>4669</v>
      </c>
    </row>
    <row r="295">
      <c r="A295" s="409" t="s">
        <v>4670</v>
      </c>
      <c r="B295" s="175"/>
      <c r="C295" s="176"/>
      <c r="D295" s="418">
        <f>SUM(D291:D294)</f>
        <v>127543</v>
      </c>
      <c r="E295" s="411"/>
      <c r="F295" s="411"/>
      <c r="G295" s="412" t="s">
        <v>4671</v>
      </c>
    </row>
    <row r="296">
      <c r="A296" s="404">
        <v>2018.0</v>
      </c>
      <c r="B296" s="404">
        <v>2.0</v>
      </c>
      <c r="C296" s="404">
        <v>1.0</v>
      </c>
      <c r="D296" s="383">
        <v>30000.0</v>
      </c>
      <c r="E296" s="417">
        <v>43135.0</v>
      </c>
      <c r="F296" s="392"/>
      <c r="G296" s="405" t="s">
        <v>4651</v>
      </c>
    </row>
    <row r="297">
      <c r="A297" s="404">
        <v>2018.0</v>
      </c>
      <c r="B297" s="404">
        <v>2.0</v>
      </c>
      <c r="C297" s="404">
        <v>2.0</v>
      </c>
      <c r="D297" s="383">
        <v>70000.0</v>
      </c>
      <c r="E297" s="417">
        <v>43147.0</v>
      </c>
      <c r="F297" s="392"/>
    </row>
    <row r="298">
      <c r="A298" s="404">
        <v>2018.0</v>
      </c>
      <c r="B298" s="404">
        <v>2.0</v>
      </c>
      <c r="C298" s="404">
        <v>3.0</v>
      </c>
      <c r="D298" s="383">
        <v>25000.0</v>
      </c>
      <c r="E298" s="417">
        <v>43155.0</v>
      </c>
      <c r="F298" s="392"/>
      <c r="G298" s="405"/>
    </row>
    <row r="299">
      <c r="A299" s="404">
        <v>2018.0</v>
      </c>
      <c r="B299" s="404">
        <v>2.0</v>
      </c>
      <c r="C299" s="404">
        <v>4.0</v>
      </c>
      <c r="D299" s="383">
        <v>6111.0</v>
      </c>
      <c r="E299" s="417">
        <v>43183.0</v>
      </c>
      <c r="F299" s="392"/>
      <c r="G299" s="405"/>
    </row>
    <row r="300">
      <c r="A300" s="409" t="s">
        <v>4672</v>
      </c>
      <c r="B300" s="175"/>
      <c r="C300" s="176"/>
      <c r="D300" s="418">
        <f>SUM(D296:D299)</f>
        <v>131111</v>
      </c>
      <c r="E300" s="411"/>
      <c r="F300" s="411"/>
      <c r="G300" s="412" t="s">
        <v>4671</v>
      </c>
    </row>
    <row r="301">
      <c r="A301" s="404">
        <v>2018.0</v>
      </c>
      <c r="B301" s="404">
        <v>3.0</v>
      </c>
      <c r="C301" s="404">
        <v>1.0</v>
      </c>
      <c r="D301" s="383">
        <v>20000.0</v>
      </c>
      <c r="E301" s="417">
        <v>43163.0</v>
      </c>
      <c r="F301" s="392"/>
      <c r="G301" s="405" t="s">
        <v>4673</v>
      </c>
    </row>
    <row r="302">
      <c r="A302" s="404">
        <v>2018.0</v>
      </c>
      <c r="B302" s="404">
        <v>3.0</v>
      </c>
      <c r="C302" s="404">
        <v>2.0</v>
      </c>
      <c r="D302" s="383">
        <v>35000.0</v>
      </c>
      <c r="E302" s="417">
        <v>43170.0</v>
      </c>
      <c r="F302" s="392"/>
      <c r="G302" s="3" t="s">
        <v>4674</v>
      </c>
    </row>
    <row r="303">
      <c r="A303" s="404">
        <v>2018.0</v>
      </c>
      <c r="B303" s="404">
        <v>3.0</v>
      </c>
      <c r="C303" s="404">
        <v>3.0</v>
      </c>
      <c r="D303" s="383">
        <v>35000.0</v>
      </c>
      <c r="E303" s="417">
        <v>43184.0</v>
      </c>
      <c r="F303" s="392"/>
      <c r="G303" s="405" t="s">
        <v>4666</v>
      </c>
    </row>
    <row r="304">
      <c r="A304" s="404">
        <v>2018.0</v>
      </c>
      <c r="B304" s="404">
        <v>3.0</v>
      </c>
      <c r="C304" s="404">
        <v>4.0</v>
      </c>
      <c r="D304" s="383">
        <v>30000.0</v>
      </c>
      <c r="E304" s="417">
        <v>43192.0</v>
      </c>
      <c r="F304" s="392"/>
      <c r="G304" s="405"/>
    </row>
    <row r="305">
      <c r="A305" s="404">
        <v>2018.0</v>
      </c>
      <c r="B305" s="404">
        <v>3.0</v>
      </c>
      <c r="C305" s="404">
        <v>5.0</v>
      </c>
      <c r="D305" s="383">
        <v>18028.0</v>
      </c>
      <c r="E305" s="417">
        <v>43198.0</v>
      </c>
      <c r="F305" s="392"/>
      <c r="G305" s="405"/>
    </row>
    <row r="306">
      <c r="A306" s="409" t="s">
        <v>4675</v>
      </c>
      <c r="B306" s="175"/>
      <c r="C306" s="176"/>
      <c r="D306" s="418">
        <f>SUM(D301:D305)</f>
        <v>138028</v>
      </c>
      <c r="E306" s="411"/>
      <c r="F306" s="411"/>
      <c r="G306" s="412" t="s">
        <v>4671</v>
      </c>
    </row>
    <row r="307">
      <c r="A307" s="404">
        <v>2018.0</v>
      </c>
      <c r="B307" s="404">
        <v>4.0</v>
      </c>
      <c r="C307" s="404">
        <v>1.0</v>
      </c>
      <c r="D307" s="383">
        <v>20000.0</v>
      </c>
      <c r="E307" s="417">
        <v>43192.0</v>
      </c>
      <c r="F307" s="392"/>
      <c r="G307" s="405"/>
    </row>
    <row r="308">
      <c r="A308" s="404">
        <v>2018.0</v>
      </c>
      <c r="B308" s="404">
        <v>4.0</v>
      </c>
      <c r="C308" s="404">
        <v>2.0</v>
      </c>
      <c r="D308" s="383">
        <v>40000.0</v>
      </c>
      <c r="E308" s="417">
        <v>43205.0</v>
      </c>
      <c r="F308" s="392"/>
      <c r="G308" s="405" t="s">
        <v>4676</v>
      </c>
    </row>
    <row r="309">
      <c r="A309" s="404">
        <v>2018.0</v>
      </c>
      <c r="B309" s="404">
        <v>4.0</v>
      </c>
      <c r="C309" s="404">
        <v>3.0</v>
      </c>
      <c r="D309" s="383">
        <v>30000.0</v>
      </c>
      <c r="E309" s="417">
        <v>43212.0</v>
      </c>
      <c r="F309" s="392"/>
      <c r="G309" s="405" t="s">
        <v>4677</v>
      </c>
    </row>
    <row r="310">
      <c r="A310" s="404">
        <v>2018.0</v>
      </c>
      <c r="B310" s="404">
        <v>4.0</v>
      </c>
      <c r="C310" s="404">
        <v>4.0</v>
      </c>
      <c r="D310" s="431">
        <v>9040.0</v>
      </c>
      <c r="E310" s="417"/>
      <c r="F310" s="392"/>
      <c r="G310" s="405" t="s">
        <v>4678</v>
      </c>
    </row>
    <row r="311">
      <c r="A311" s="404"/>
      <c r="B311" s="404"/>
      <c r="C311" s="404"/>
      <c r="D311" s="383"/>
      <c r="E311" s="417"/>
      <c r="F311" s="392"/>
      <c r="G311" s="405" t="s">
        <v>4679</v>
      </c>
    </row>
    <row r="312">
      <c r="A312" s="404"/>
      <c r="B312" s="404"/>
      <c r="C312" s="404"/>
      <c r="D312" s="383"/>
      <c r="E312" s="417"/>
      <c r="F312" s="392"/>
      <c r="G312" s="405" t="s">
        <v>4680</v>
      </c>
    </row>
    <row r="313">
      <c r="A313" s="409" t="s">
        <v>4681</v>
      </c>
      <c r="B313" s="175"/>
      <c r="C313" s="176"/>
      <c r="D313" s="418">
        <f>SUM(D307:D312)</f>
        <v>99040</v>
      </c>
      <c r="E313" s="411"/>
      <c r="F313" s="411"/>
      <c r="G313" s="412"/>
    </row>
    <row r="314">
      <c r="A314" s="404">
        <v>2018.0</v>
      </c>
      <c r="B314" s="404">
        <v>5.0</v>
      </c>
      <c r="C314" s="404">
        <v>1.0</v>
      </c>
      <c r="D314" s="383">
        <v>20000.0</v>
      </c>
      <c r="E314" s="417">
        <v>43226.0</v>
      </c>
      <c r="F314" s="392"/>
      <c r="G314" s="405" t="s">
        <v>4682</v>
      </c>
    </row>
    <row r="315">
      <c r="A315" s="404">
        <v>2018.0</v>
      </c>
      <c r="B315" s="404">
        <v>5.0</v>
      </c>
      <c r="C315" s="404">
        <v>2.0</v>
      </c>
      <c r="D315" s="383">
        <v>65000.0</v>
      </c>
      <c r="E315" s="417">
        <v>43243.0</v>
      </c>
      <c r="F315" s="392"/>
      <c r="G315" s="405" t="s">
        <v>4683</v>
      </c>
    </row>
    <row r="316">
      <c r="A316" s="404">
        <v>2018.0</v>
      </c>
      <c r="B316" s="404">
        <v>5.0</v>
      </c>
      <c r="C316" s="404">
        <v>3.0</v>
      </c>
      <c r="D316" s="383">
        <v>20000.0</v>
      </c>
      <c r="E316" s="417"/>
      <c r="F316" s="392"/>
      <c r="G316" s="405"/>
    </row>
    <row r="317">
      <c r="A317" s="404">
        <v>2018.0</v>
      </c>
      <c r="B317" s="404">
        <v>5.0</v>
      </c>
      <c r="C317" s="404">
        <v>4.0</v>
      </c>
      <c r="D317" s="383">
        <v>6642.0</v>
      </c>
      <c r="E317" s="417"/>
      <c r="F317" s="392"/>
      <c r="G317" s="405"/>
    </row>
    <row r="318">
      <c r="A318" s="404">
        <v>2018.0</v>
      </c>
      <c r="B318" s="404">
        <v>5.0</v>
      </c>
      <c r="C318" s="404">
        <v>5.0</v>
      </c>
      <c r="D318" s="383">
        <v>2000.0</v>
      </c>
      <c r="E318" s="417"/>
      <c r="F318" s="392"/>
      <c r="G318" s="405"/>
    </row>
    <row r="319">
      <c r="A319" s="409" t="s">
        <v>4684</v>
      </c>
      <c r="B319" s="175"/>
      <c r="C319" s="176"/>
      <c r="D319" s="418">
        <f>SUM(D314:D318)</f>
        <v>113642</v>
      </c>
      <c r="E319" s="411"/>
      <c r="F319" s="411"/>
      <c r="G319" s="412" t="s">
        <v>4671</v>
      </c>
    </row>
    <row r="320">
      <c r="A320" s="404">
        <v>2018.0</v>
      </c>
      <c r="B320" s="404">
        <v>6.0</v>
      </c>
      <c r="C320" s="404">
        <v>1.0</v>
      </c>
      <c r="D320" s="383">
        <v>50000.0</v>
      </c>
      <c r="E320" s="417">
        <v>43268.0</v>
      </c>
      <c r="F320" s="392"/>
      <c r="G320" s="405" t="s">
        <v>4685</v>
      </c>
    </row>
    <row r="321">
      <c r="A321" s="404">
        <v>2018.0</v>
      </c>
      <c r="B321" s="404">
        <v>6.0</v>
      </c>
      <c r="C321" s="404">
        <v>2.0</v>
      </c>
      <c r="D321" s="383">
        <v>25000.0</v>
      </c>
      <c r="E321" s="417">
        <v>43281.0</v>
      </c>
      <c r="F321" s="392"/>
      <c r="G321" s="405" t="s">
        <v>4686</v>
      </c>
    </row>
    <row r="322">
      <c r="A322" s="404">
        <v>2018.0</v>
      </c>
      <c r="B322" s="404">
        <v>6.0</v>
      </c>
      <c r="C322" s="404">
        <v>3.0</v>
      </c>
      <c r="D322" s="383">
        <v>20097.0</v>
      </c>
      <c r="E322" s="417">
        <v>43288.0</v>
      </c>
      <c r="F322" s="392"/>
      <c r="G322" s="405"/>
    </row>
    <row r="323">
      <c r="A323" s="409" t="s">
        <v>4687</v>
      </c>
      <c r="B323" s="175"/>
      <c r="C323" s="176"/>
      <c r="D323" s="418">
        <f>SUM(D320:D322)</f>
        <v>95097</v>
      </c>
      <c r="E323" s="411"/>
      <c r="F323" s="411"/>
      <c r="G323" s="412" t="s">
        <v>4688</v>
      </c>
    </row>
    <row r="324">
      <c r="A324" s="404">
        <v>2018.0</v>
      </c>
      <c r="B324" s="404">
        <v>7.0</v>
      </c>
      <c r="C324" s="404">
        <v>1.0</v>
      </c>
      <c r="D324" s="383">
        <v>30000.0</v>
      </c>
      <c r="E324" s="417">
        <v>43295.0</v>
      </c>
      <c r="F324" s="392"/>
      <c r="G324" s="405" t="s">
        <v>4689</v>
      </c>
    </row>
    <row r="325">
      <c r="A325" s="404">
        <v>2018.0</v>
      </c>
      <c r="B325" s="404">
        <v>7.0</v>
      </c>
      <c r="C325" s="404">
        <v>2.0</v>
      </c>
      <c r="D325" s="383">
        <v>42155.0</v>
      </c>
      <c r="E325" s="417">
        <v>43316.0</v>
      </c>
      <c r="F325" s="392"/>
      <c r="G325" s="405"/>
    </row>
    <row r="326">
      <c r="A326" s="409" t="s">
        <v>4690</v>
      </c>
      <c r="B326" s="175"/>
      <c r="C326" s="176"/>
      <c r="D326" s="418">
        <f>SUM(D324:D325)</f>
        <v>72155</v>
      </c>
      <c r="E326" s="411"/>
      <c r="F326" s="411"/>
      <c r="G326" s="412" t="s">
        <v>4671</v>
      </c>
    </row>
    <row r="327">
      <c r="A327" s="404">
        <v>2018.0</v>
      </c>
      <c r="B327" s="404">
        <v>8.0</v>
      </c>
      <c r="C327" s="404">
        <v>1.0</v>
      </c>
      <c r="D327" s="383">
        <v>70000.0</v>
      </c>
      <c r="E327" s="417">
        <v>43330.0</v>
      </c>
      <c r="F327" s="392"/>
      <c r="G327" s="405" t="s">
        <v>4691</v>
      </c>
    </row>
    <row r="328">
      <c r="A328" s="404">
        <v>2018.0</v>
      </c>
      <c r="B328" s="404">
        <v>8.0</v>
      </c>
      <c r="C328" s="404">
        <v>2.0</v>
      </c>
      <c r="D328" s="383">
        <v>45000.0</v>
      </c>
      <c r="E328" s="417">
        <v>43276.0</v>
      </c>
      <c r="F328" s="392"/>
      <c r="G328" s="405" t="s">
        <v>4692</v>
      </c>
    </row>
    <row r="329">
      <c r="A329" s="404">
        <v>2018.0</v>
      </c>
      <c r="B329" s="404">
        <v>8.0</v>
      </c>
      <c r="C329" s="404">
        <v>3.0</v>
      </c>
      <c r="D329" s="383">
        <v>30825.0</v>
      </c>
      <c r="E329" s="417"/>
      <c r="F329" s="392"/>
      <c r="G329" s="405"/>
    </row>
    <row r="330">
      <c r="A330" s="409" t="s">
        <v>4693</v>
      </c>
      <c r="B330" s="175"/>
      <c r="C330" s="176"/>
      <c r="D330" s="418">
        <f>SUM(D327:D329)</f>
        <v>145825</v>
      </c>
      <c r="E330" s="411"/>
      <c r="F330" s="411"/>
      <c r="G330" s="412" t="s">
        <v>4671</v>
      </c>
    </row>
    <row r="331">
      <c r="A331" s="404">
        <v>2018.0</v>
      </c>
      <c r="B331" s="404">
        <v>9.0</v>
      </c>
      <c r="C331" s="404">
        <v>1.0</v>
      </c>
      <c r="D331" s="383">
        <v>25000.0</v>
      </c>
      <c r="E331" s="417"/>
      <c r="F331" s="392"/>
      <c r="G331" s="405" t="s">
        <v>4694</v>
      </c>
    </row>
    <row r="332">
      <c r="A332" s="404">
        <v>2018.0</v>
      </c>
      <c r="B332" s="404">
        <v>9.0</v>
      </c>
      <c r="C332" s="404">
        <v>2.0</v>
      </c>
      <c r="D332" s="383">
        <v>40000.0</v>
      </c>
      <c r="E332" s="417">
        <v>43359.0</v>
      </c>
      <c r="F332" s="392"/>
      <c r="G332" s="405"/>
    </row>
    <row r="333">
      <c r="A333" s="404">
        <v>2018.0</v>
      </c>
      <c r="B333" s="404">
        <v>9.0</v>
      </c>
      <c r="C333" s="404">
        <v>3.0</v>
      </c>
      <c r="D333" s="383">
        <v>10000.0</v>
      </c>
      <c r="E333" s="417">
        <v>43366.0</v>
      </c>
      <c r="F333" s="392"/>
      <c r="G333" s="405"/>
    </row>
    <row r="334">
      <c r="A334" s="404">
        <v>2018.0</v>
      </c>
      <c r="B334" s="404">
        <v>9.0</v>
      </c>
      <c r="C334" s="404">
        <v>4.0</v>
      </c>
      <c r="D334" s="383">
        <v>15000.0</v>
      </c>
      <c r="E334" s="417"/>
      <c r="F334" s="392"/>
      <c r="G334" s="405"/>
    </row>
    <row r="335">
      <c r="A335" s="404">
        <v>2018.0</v>
      </c>
      <c r="B335" s="3">
        <v>9.0</v>
      </c>
      <c r="C335" s="404">
        <v>5.0</v>
      </c>
      <c r="D335" s="383">
        <v>2287.0</v>
      </c>
      <c r="E335" s="417">
        <v>43386.0</v>
      </c>
      <c r="F335" s="392"/>
      <c r="G335" s="405"/>
    </row>
    <row r="336">
      <c r="A336" s="409" t="s">
        <v>4695</v>
      </c>
      <c r="B336" s="175"/>
      <c r="C336" s="176"/>
      <c r="D336" s="418">
        <f>SUM(D331:D335)</f>
        <v>92287</v>
      </c>
      <c r="E336" s="411"/>
      <c r="F336" s="411"/>
      <c r="G336" s="412" t="s">
        <v>4671</v>
      </c>
    </row>
    <row r="337">
      <c r="A337" s="404">
        <v>2018.0</v>
      </c>
      <c r="B337" s="404">
        <v>10.0</v>
      </c>
      <c r="C337" s="404">
        <v>1.0</v>
      </c>
      <c r="D337" s="383">
        <v>35000.0</v>
      </c>
      <c r="E337" s="417">
        <v>43380.0</v>
      </c>
      <c r="F337" s="392"/>
      <c r="G337" s="405" t="s">
        <v>4696</v>
      </c>
    </row>
    <row r="338">
      <c r="A338" s="404">
        <v>2018.0</v>
      </c>
      <c r="B338" s="404">
        <v>10.0</v>
      </c>
      <c r="C338" s="404">
        <v>2.0</v>
      </c>
      <c r="D338" s="383">
        <v>45000.0</v>
      </c>
      <c r="E338" s="417">
        <v>43388.0</v>
      </c>
      <c r="F338" s="392"/>
      <c r="G338" s="405" t="s">
        <v>4697</v>
      </c>
    </row>
    <row r="339">
      <c r="A339" s="404">
        <v>2018.0</v>
      </c>
      <c r="B339" s="404">
        <v>10.0</v>
      </c>
      <c r="C339" s="404">
        <v>3.0</v>
      </c>
      <c r="D339" s="383">
        <v>60000.0</v>
      </c>
      <c r="E339" s="404" t="s">
        <v>4698</v>
      </c>
      <c r="F339" s="392"/>
      <c r="G339" s="405" t="s">
        <v>4699</v>
      </c>
    </row>
    <row r="340">
      <c r="A340" s="404">
        <v>2018.0</v>
      </c>
      <c r="B340" s="404">
        <v>10.0</v>
      </c>
      <c r="C340" s="404">
        <v>4.0</v>
      </c>
      <c r="D340" s="383">
        <v>8230.0</v>
      </c>
      <c r="E340" s="417">
        <v>43422.0</v>
      </c>
      <c r="F340" s="392"/>
      <c r="G340" s="405" t="s">
        <v>4700</v>
      </c>
    </row>
    <row r="341">
      <c r="A341" s="404"/>
      <c r="B341" s="404"/>
      <c r="C341" s="404"/>
      <c r="D341" s="383"/>
      <c r="E341" s="417"/>
      <c r="F341" s="392"/>
      <c r="G341" s="405" t="s">
        <v>4699</v>
      </c>
    </row>
    <row r="342">
      <c r="A342" s="409" t="s">
        <v>4701</v>
      </c>
      <c r="B342" s="175"/>
      <c r="C342" s="176"/>
      <c r="D342" s="418">
        <f>SUM(D337:D341)</f>
        <v>148230</v>
      </c>
      <c r="E342" s="411"/>
      <c r="F342" s="411"/>
      <c r="G342" s="412" t="s">
        <v>4671</v>
      </c>
    </row>
    <row r="343">
      <c r="A343" s="404">
        <v>2018.0</v>
      </c>
      <c r="B343" s="404">
        <v>11.0</v>
      </c>
      <c r="C343" s="404">
        <v>1.0</v>
      </c>
      <c r="D343" s="383">
        <v>40000.0</v>
      </c>
      <c r="E343" s="417"/>
      <c r="F343" s="392"/>
      <c r="G343" s="405" t="s">
        <v>4702</v>
      </c>
    </row>
    <row r="344">
      <c r="A344" s="404">
        <v>2018.0</v>
      </c>
      <c r="B344" s="404">
        <v>11.0</v>
      </c>
      <c r="C344" s="404">
        <v>2.0</v>
      </c>
      <c r="D344" s="383">
        <v>15000.0</v>
      </c>
      <c r="E344" s="417"/>
      <c r="F344" s="392"/>
      <c r="G344" s="405" t="s">
        <v>4703</v>
      </c>
    </row>
    <row r="345">
      <c r="A345" s="404">
        <v>2018.0</v>
      </c>
      <c r="B345" s="404">
        <v>11.0</v>
      </c>
      <c r="C345" s="404">
        <v>3.0</v>
      </c>
      <c r="D345" s="383">
        <v>25000.0</v>
      </c>
      <c r="E345" s="417"/>
      <c r="F345" s="392"/>
      <c r="G345" s="405"/>
    </row>
    <row r="346">
      <c r="A346" s="404">
        <v>2018.0</v>
      </c>
      <c r="B346" s="404">
        <v>11.0</v>
      </c>
      <c r="C346" s="404">
        <v>4.0</v>
      </c>
      <c r="D346" s="383">
        <v>37284.0</v>
      </c>
      <c r="E346" s="417"/>
      <c r="F346" s="392"/>
      <c r="G346" s="405"/>
    </row>
    <row r="347">
      <c r="A347" s="409" t="s">
        <v>4704</v>
      </c>
      <c r="B347" s="175"/>
      <c r="C347" s="176"/>
      <c r="D347" s="418">
        <f>SUM(D343:D346)</f>
        <v>117284</v>
      </c>
      <c r="E347" s="411"/>
      <c r="F347" s="411"/>
      <c r="G347" s="412" t="s">
        <v>4671</v>
      </c>
    </row>
    <row r="348">
      <c r="A348" s="404">
        <v>2018.0</v>
      </c>
      <c r="B348" s="404">
        <v>12.0</v>
      </c>
      <c r="C348" s="404">
        <v>1.0</v>
      </c>
      <c r="D348" s="383">
        <v>20000.0</v>
      </c>
      <c r="E348" s="417">
        <v>43442.0</v>
      </c>
      <c r="F348" s="392"/>
      <c r="G348" s="405" t="s">
        <v>4699</v>
      </c>
    </row>
    <row r="349">
      <c r="A349" s="404">
        <v>2018.0</v>
      </c>
      <c r="B349" s="404">
        <v>12.0</v>
      </c>
      <c r="C349" s="404">
        <v>2.0</v>
      </c>
      <c r="D349" s="383">
        <v>45000.0</v>
      </c>
      <c r="E349" s="417">
        <v>43449.0</v>
      </c>
      <c r="F349" s="392"/>
      <c r="G349" s="405" t="s">
        <v>4705</v>
      </c>
    </row>
    <row r="350">
      <c r="A350" s="404">
        <v>2018.0</v>
      </c>
      <c r="B350" s="404">
        <v>12.0</v>
      </c>
      <c r="C350" s="404">
        <v>3.0</v>
      </c>
      <c r="D350" s="383">
        <v>45000.0</v>
      </c>
      <c r="E350" s="417">
        <v>43457.0</v>
      </c>
      <c r="F350" s="392"/>
      <c r="G350" s="405" t="s">
        <v>4706</v>
      </c>
    </row>
    <row r="351">
      <c r="A351" s="404">
        <v>2018.0</v>
      </c>
      <c r="B351" s="404">
        <v>12.0</v>
      </c>
      <c r="C351" s="404">
        <v>4.0</v>
      </c>
      <c r="D351" s="383">
        <v>20000.0</v>
      </c>
      <c r="E351" s="417">
        <v>43471.0</v>
      </c>
      <c r="F351" s="392"/>
      <c r="G351" s="405" t="s">
        <v>4707</v>
      </c>
    </row>
    <row r="352">
      <c r="A352" s="404">
        <v>2018.0</v>
      </c>
      <c r="B352" s="404">
        <v>12.0</v>
      </c>
      <c r="C352" s="404">
        <v>5.0</v>
      </c>
      <c r="D352" s="383">
        <v>20579.0</v>
      </c>
      <c r="E352" s="417">
        <v>43473.0</v>
      </c>
      <c r="F352" s="392"/>
      <c r="G352" s="405"/>
    </row>
    <row r="353">
      <c r="A353" s="409" t="s">
        <v>4708</v>
      </c>
      <c r="B353" s="175"/>
      <c r="C353" s="176"/>
      <c r="D353" s="418">
        <f>SUM(D348:D352)</f>
        <v>150579</v>
      </c>
      <c r="E353" s="411"/>
      <c r="F353" s="411"/>
      <c r="G353" s="412" t="s">
        <v>4709</v>
      </c>
    </row>
    <row r="354" ht="9.0" customHeight="1">
      <c r="A354" s="413" t="s">
        <v>4710</v>
      </c>
      <c r="G354" s="394"/>
    </row>
    <row r="355">
      <c r="A355" s="404">
        <v>2019.0</v>
      </c>
      <c r="B355" s="404">
        <v>1.0</v>
      </c>
      <c r="C355" s="404">
        <v>1.0</v>
      </c>
      <c r="D355" s="383">
        <v>40000.0</v>
      </c>
      <c r="E355" s="417">
        <v>43473.0</v>
      </c>
      <c r="F355" s="392"/>
      <c r="G355" s="405" t="s">
        <v>4711</v>
      </c>
    </row>
    <row r="356">
      <c r="A356" s="404">
        <v>2019.0</v>
      </c>
      <c r="B356" s="404">
        <v>1.0</v>
      </c>
      <c r="C356" s="404">
        <v>2.0</v>
      </c>
      <c r="D356" s="383">
        <v>6600.0</v>
      </c>
      <c r="E356" s="417"/>
      <c r="F356" s="392"/>
      <c r="G356" s="405" t="s">
        <v>4712</v>
      </c>
    </row>
    <row r="357">
      <c r="A357" s="404">
        <v>2019.0</v>
      </c>
      <c r="B357" s="404">
        <v>1.0</v>
      </c>
      <c r="C357" s="404">
        <v>3.0</v>
      </c>
      <c r="D357" s="383">
        <v>50000.0</v>
      </c>
      <c r="E357" s="417">
        <v>43485.0</v>
      </c>
      <c r="F357" s="392"/>
      <c r="G357" s="405" t="s">
        <v>4713</v>
      </c>
    </row>
    <row r="358">
      <c r="A358" s="404">
        <v>2019.0</v>
      </c>
      <c r="B358" s="404">
        <v>1.0</v>
      </c>
      <c r="C358" s="404">
        <v>4.0</v>
      </c>
      <c r="D358" s="383">
        <v>30000.0</v>
      </c>
      <c r="E358" s="417"/>
      <c r="F358" s="392"/>
      <c r="G358" s="405" t="s">
        <v>4714</v>
      </c>
    </row>
    <row r="359">
      <c r="A359" s="404">
        <v>2019.0</v>
      </c>
      <c r="B359" s="404">
        <v>1.0</v>
      </c>
      <c r="C359" s="404">
        <v>5.0</v>
      </c>
      <c r="D359" s="383">
        <v>35000.0</v>
      </c>
      <c r="E359" s="417"/>
      <c r="F359" s="392"/>
      <c r="G359" s="405" t="s">
        <v>4715</v>
      </c>
    </row>
    <row r="360">
      <c r="A360" s="404">
        <v>2019.0</v>
      </c>
      <c r="B360" s="404">
        <v>1.0</v>
      </c>
      <c r="C360" s="404">
        <v>6.0</v>
      </c>
      <c r="D360" s="383">
        <v>5195.0</v>
      </c>
      <c r="E360" s="417">
        <v>43506.0</v>
      </c>
      <c r="F360" s="392"/>
      <c r="G360" s="405"/>
    </row>
    <row r="361">
      <c r="A361" s="409" t="s">
        <v>4716</v>
      </c>
      <c r="B361" s="175"/>
      <c r="C361" s="176"/>
      <c r="D361" s="418">
        <f>SUM(D355:D360)</f>
        <v>166795</v>
      </c>
      <c r="E361" s="411"/>
      <c r="F361" s="411"/>
      <c r="G361" s="412" t="s">
        <v>4717</v>
      </c>
    </row>
    <row r="362">
      <c r="A362" s="404">
        <v>2019.0</v>
      </c>
      <c r="B362" s="404">
        <v>2.0</v>
      </c>
      <c r="C362" s="404">
        <v>1.0</v>
      </c>
      <c r="D362" s="383">
        <v>45000.0</v>
      </c>
      <c r="E362" s="417">
        <v>43499.0</v>
      </c>
      <c r="F362" s="392"/>
      <c r="G362" s="405" t="s">
        <v>4718</v>
      </c>
    </row>
    <row r="363">
      <c r="A363" s="404">
        <v>2019.0</v>
      </c>
      <c r="B363" s="404">
        <v>2.0</v>
      </c>
      <c r="C363" s="404">
        <v>2.0</v>
      </c>
      <c r="D363" s="383">
        <v>35000.0</v>
      </c>
      <c r="E363" s="417">
        <v>43512.0</v>
      </c>
      <c r="F363" s="392"/>
      <c r="G363" s="405" t="s">
        <v>4719</v>
      </c>
    </row>
    <row r="364">
      <c r="A364" s="404">
        <v>2019.0</v>
      </c>
      <c r="B364" s="404">
        <v>2.0</v>
      </c>
      <c r="C364" s="404">
        <v>3.0</v>
      </c>
      <c r="D364" s="383">
        <v>15000.0</v>
      </c>
      <c r="E364" s="417">
        <v>43519.0</v>
      </c>
      <c r="F364" s="392"/>
      <c r="G364" s="405"/>
    </row>
    <row r="365">
      <c r="A365" s="404">
        <v>2019.0</v>
      </c>
      <c r="B365" s="404">
        <v>2.0</v>
      </c>
      <c r="C365" s="404">
        <v>4.0</v>
      </c>
      <c r="D365" s="383">
        <v>25000.0</v>
      </c>
      <c r="E365" s="417"/>
      <c r="F365" s="392"/>
      <c r="G365" s="405"/>
    </row>
    <row r="366">
      <c r="A366" s="404">
        <v>2019.0</v>
      </c>
      <c r="B366" s="404">
        <v>2.0</v>
      </c>
      <c r="C366" s="404">
        <v>5.0</v>
      </c>
      <c r="D366" s="383">
        <v>24000.0</v>
      </c>
      <c r="E366" s="417">
        <v>43498.0</v>
      </c>
      <c r="F366" s="392"/>
      <c r="G366" s="405"/>
    </row>
    <row r="367">
      <c r="A367" s="404">
        <v>2019.0</v>
      </c>
      <c r="B367" s="404">
        <v>2.0</v>
      </c>
      <c r="C367" s="404">
        <v>6.0</v>
      </c>
      <c r="D367" s="383">
        <v>4657.2</v>
      </c>
      <c r="E367" s="417"/>
      <c r="F367" s="392"/>
      <c r="G367" s="405"/>
    </row>
    <row r="368">
      <c r="A368" s="409" t="s">
        <v>4720</v>
      </c>
      <c r="B368" s="175"/>
      <c r="C368" s="176"/>
      <c r="D368" s="418">
        <f>SUM(D362:D367)</f>
        <v>148657.2</v>
      </c>
      <c r="E368" s="411"/>
      <c r="F368" s="411"/>
      <c r="G368" s="412" t="s">
        <v>4717</v>
      </c>
    </row>
    <row r="369">
      <c r="A369" s="404"/>
      <c r="B369" s="404"/>
      <c r="C369" s="404"/>
      <c r="D369" s="383"/>
      <c r="E369" s="417"/>
      <c r="F369" s="392"/>
      <c r="G369" s="405" t="s">
        <v>4721</v>
      </c>
    </row>
    <row r="370">
      <c r="A370" s="404">
        <v>2019.0</v>
      </c>
      <c r="B370" s="404">
        <v>3.0</v>
      </c>
      <c r="C370" s="404">
        <v>1.0</v>
      </c>
      <c r="D370" s="383">
        <v>30000.0</v>
      </c>
      <c r="E370" s="417">
        <v>43526.0</v>
      </c>
      <c r="F370" s="392"/>
      <c r="G370" s="405" t="s">
        <v>4722</v>
      </c>
    </row>
    <row r="371">
      <c r="A371" s="404">
        <v>2019.0</v>
      </c>
      <c r="B371" s="404">
        <v>3.0</v>
      </c>
      <c r="C371" s="404">
        <v>2.0</v>
      </c>
      <c r="D371" s="383">
        <v>60000.0</v>
      </c>
      <c r="E371" s="417">
        <v>43534.0</v>
      </c>
      <c r="F371" s="392"/>
      <c r="G371" s="405" t="s">
        <v>4723</v>
      </c>
    </row>
    <row r="372">
      <c r="A372" s="404">
        <v>2019.0</v>
      </c>
      <c r="B372" s="404">
        <v>3.0</v>
      </c>
      <c r="C372" s="404">
        <v>3.0</v>
      </c>
      <c r="D372" s="383">
        <v>35000.0</v>
      </c>
      <c r="E372" s="417">
        <v>43541.0</v>
      </c>
      <c r="F372" s="392"/>
      <c r="G372" s="405"/>
    </row>
    <row r="373">
      <c r="A373" s="404"/>
      <c r="B373" s="404"/>
      <c r="C373" s="404"/>
      <c r="D373" s="383"/>
      <c r="E373" s="417"/>
      <c r="F373" s="392"/>
      <c r="G373" s="405"/>
    </row>
    <row r="374">
      <c r="A374" s="404"/>
      <c r="B374" s="404"/>
      <c r="C374" s="404"/>
      <c r="D374" s="383"/>
      <c r="E374" s="417"/>
      <c r="F374" s="392"/>
      <c r="G374" s="405"/>
    </row>
    <row r="375">
      <c r="A375" s="404"/>
      <c r="B375" s="404"/>
      <c r="C375" s="404"/>
      <c r="D375" s="383"/>
      <c r="E375" s="417"/>
      <c r="F375" s="392"/>
      <c r="G375" s="405"/>
    </row>
    <row r="376">
      <c r="A376" s="404"/>
      <c r="B376" s="404"/>
      <c r="C376" s="404"/>
      <c r="D376" s="383"/>
      <c r="E376" s="417"/>
      <c r="F376" s="392"/>
      <c r="G376" s="405"/>
    </row>
    <row r="377">
      <c r="A377" s="404"/>
      <c r="B377" s="404"/>
      <c r="C377" s="404"/>
      <c r="D377" s="383"/>
      <c r="E377" s="417"/>
      <c r="F377" s="392"/>
      <c r="G377" s="405"/>
    </row>
    <row r="378">
      <c r="A378" s="404"/>
      <c r="B378" s="404"/>
      <c r="C378" s="404"/>
      <c r="D378" s="383"/>
      <c r="E378" s="417"/>
      <c r="F378" s="392"/>
      <c r="G378" s="405"/>
    </row>
    <row r="379">
      <c r="A379" s="404"/>
      <c r="B379" s="404"/>
      <c r="C379" s="404"/>
      <c r="D379" s="383"/>
      <c r="E379" s="417"/>
      <c r="F379" s="392"/>
      <c r="G379" s="405"/>
    </row>
    <row r="380">
      <c r="A380" s="404"/>
      <c r="B380" s="404"/>
      <c r="C380" s="404"/>
      <c r="D380" s="383"/>
      <c r="E380" s="417"/>
      <c r="F380" s="392"/>
      <c r="G380" s="405"/>
    </row>
    <row r="381">
      <c r="A381" s="404"/>
      <c r="B381" s="404"/>
      <c r="C381" s="404"/>
      <c r="D381" s="383"/>
      <c r="E381" s="417"/>
      <c r="F381" s="392"/>
      <c r="G381" s="405"/>
    </row>
    <row r="382">
      <c r="A382" s="404"/>
      <c r="B382" s="404"/>
      <c r="C382" s="404"/>
      <c r="D382" s="383"/>
      <c r="E382" s="417"/>
      <c r="F382" s="392"/>
      <c r="G382" s="405"/>
    </row>
    <row r="383">
      <c r="A383" s="404"/>
      <c r="B383" s="404"/>
      <c r="C383" s="404"/>
      <c r="D383" s="383"/>
      <c r="E383" s="417"/>
      <c r="F383" s="392"/>
      <c r="G383" s="405"/>
    </row>
    <row r="384">
      <c r="A384" s="404"/>
      <c r="B384" s="404"/>
      <c r="C384" s="404"/>
      <c r="D384" s="383"/>
      <c r="E384" s="417"/>
      <c r="F384" s="392"/>
      <c r="G384" s="405"/>
    </row>
    <row r="385">
      <c r="A385" s="404"/>
      <c r="B385" s="404"/>
      <c r="C385" s="404"/>
      <c r="D385" s="383"/>
      <c r="E385" s="417"/>
      <c r="F385" s="392"/>
      <c r="G385" s="405"/>
    </row>
    <row r="386">
      <c r="A386" s="404"/>
      <c r="B386" s="404"/>
      <c r="C386" s="404"/>
      <c r="D386" s="383"/>
      <c r="E386" s="417"/>
      <c r="F386" s="392"/>
      <c r="G386" s="405"/>
    </row>
    <row r="387">
      <c r="A387" s="404"/>
      <c r="B387" s="404"/>
      <c r="C387" s="404"/>
      <c r="D387" s="383"/>
      <c r="E387" s="417"/>
      <c r="F387" s="392"/>
      <c r="G387" s="405"/>
    </row>
    <row r="388">
      <c r="A388" s="404"/>
      <c r="B388" s="404"/>
      <c r="C388" s="404"/>
      <c r="D388" s="383"/>
      <c r="E388" s="417"/>
      <c r="F388" s="392"/>
      <c r="G388" s="405"/>
    </row>
    <row r="389">
      <c r="A389" s="404"/>
      <c r="B389" s="404"/>
      <c r="C389" s="404"/>
      <c r="D389" s="383"/>
      <c r="E389" s="417"/>
      <c r="F389" s="392"/>
      <c r="G389" s="405"/>
    </row>
    <row r="390">
      <c r="A390" s="404"/>
      <c r="B390" s="404"/>
      <c r="C390" s="404"/>
      <c r="D390" s="383"/>
      <c r="E390" s="417"/>
      <c r="F390" s="392"/>
      <c r="G390" s="405"/>
    </row>
    <row r="391">
      <c r="A391" s="404"/>
      <c r="B391" s="404"/>
      <c r="C391" s="404"/>
      <c r="D391" s="383"/>
      <c r="E391" s="417"/>
      <c r="F391" s="392"/>
      <c r="G391" s="405"/>
    </row>
    <row r="392">
      <c r="A392" s="404"/>
      <c r="B392" s="404"/>
      <c r="C392" s="404"/>
      <c r="D392" s="383"/>
      <c r="E392" s="417"/>
      <c r="F392" s="392"/>
      <c r="G392" s="405"/>
    </row>
    <row r="393">
      <c r="A393" s="404"/>
      <c r="B393" s="404"/>
      <c r="C393" s="404"/>
      <c r="D393" s="383"/>
      <c r="E393" s="417"/>
      <c r="F393" s="392"/>
      <c r="G393" s="405"/>
    </row>
    <row r="394">
      <c r="A394" s="404"/>
      <c r="B394" s="404"/>
      <c r="C394" s="404"/>
      <c r="D394" s="383"/>
      <c r="E394" s="417"/>
      <c r="F394" s="392"/>
      <c r="G394" s="405"/>
    </row>
    <row r="395">
      <c r="A395" s="404"/>
      <c r="B395" s="404"/>
      <c r="C395" s="404"/>
      <c r="D395" s="383"/>
      <c r="E395" s="417"/>
      <c r="F395" s="392"/>
      <c r="G395" s="405"/>
    </row>
    <row r="396">
      <c r="A396" s="404"/>
      <c r="B396" s="404"/>
      <c r="C396" s="404"/>
      <c r="D396" s="383"/>
      <c r="E396" s="417"/>
      <c r="F396" s="392"/>
      <c r="G396" s="405"/>
    </row>
    <row r="397">
      <c r="A397" s="404"/>
      <c r="B397" s="404"/>
      <c r="C397" s="404"/>
      <c r="D397" s="383"/>
      <c r="E397" s="417"/>
      <c r="F397" s="392"/>
      <c r="G397" s="405"/>
    </row>
    <row r="398">
      <c r="A398" s="404"/>
      <c r="B398" s="404"/>
      <c r="C398" s="404"/>
      <c r="D398" s="383"/>
      <c r="E398" s="417"/>
      <c r="F398" s="392"/>
      <c r="G398" s="405"/>
    </row>
    <row r="399">
      <c r="A399" s="404"/>
      <c r="B399" s="404"/>
      <c r="C399" s="404"/>
      <c r="D399" s="383"/>
      <c r="E399" s="417"/>
      <c r="F399" s="392"/>
      <c r="G399" s="405"/>
    </row>
    <row r="400">
      <c r="A400" s="404"/>
      <c r="B400" s="404"/>
      <c r="C400" s="404"/>
      <c r="D400" s="383"/>
      <c r="E400" s="417"/>
      <c r="F400" s="392"/>
      <c r="G400" s="405"/>
    </row>
    <row r="401">
      <c r="A401" s="404"/>
      <c r="B401" s="404"/>
      <c r="C401" s="404"/>
      <c r="D401" s="383"/>
      <c r="E401" s="417"/>
      <c r="F401" s="392"/>
      <c r="G401" s="405"/>
    </row>
    <row r="402">
      <c r="A402" s="404"/>
      <c r="B402" s="404"/>
      <c r="C402" s="404"/>
      <c r="D402" s="383"/>
      <c r="E402" s="417"/>
      <c r="F402" s="392"/>
      <c r="G402" s="405"/>
    </row>
    <row r="403">
      <c r="A403" s="404"/>
      <c r="B403" s="404"/>
      <c r="C403" s="404"/>
      <c r="D403" s="383"/>
      <c r="E403" s="417"/>
      <c r="F403" s="392"/>
      <c r="G403" s="405"/>
    </row>
    <row r="404">
      <c r="A404" s="404"/>
      <c r="B404" s="404"/>
      <c r="C404" s="404"/>
      <c r="D404" s="383"/>
      <c r="E404" s="417"/>
      <c r="F404" s="392"/>
      <c r="G404" s="405"/>
    </row>
    <row r="405">
      <c r="A405" s="404"/>
      <c r="B405" s="404"/>
      <c r="C405" s="404"/>
      <c r="D405" s="383"/>
      <c r="E405" s="417"/>
      <c r="F405" s="392"/>
      <c r="G405" s="405"/>
    </row>
    <row r="406">
      <c r="A406" s="404"/>
      <c r="B406" s="404"/>
      <c r="C406" s="404"/>
      <c r="D406" s="383"/>
      <c r="E406" s="417"/>
      <c r="F406" s="392"/>
      <c r="G406" s="405"/>
    </row>
    <row r="407">
      <c r="A407" s="404"/>
      <c r="B407" s="404"/>
      <c r="C407" s="404"/>
      <c r="D407" s="383"/>
      <c r="E407" s="417"/>
      <c r="F407" s="392"/>
      <c r="G407" s="405"/>
    </row>
    <row r="408">
      <c r="A408" s="404"/>
      <c r="B408" s="404"/>
      <c r="C408" s="404"/>
      <c r="D408" s="383"/>
      <c r="E408" s="417"/>
      <c r="F408" s="392"/>
      <c r="G408" s="405"/>
    </row>
    <row r="409">
      <c r="A409" s="404"/>
      <c r="B409" s="404"/>
      <c r="C409" s="404"/>
      <c r="D409" s="383"/>
      <c r="E409" s="417"/>
      <c r="F409" s="392"/>
      <c r="G409" s="405"/>
    </row>
    <row r="410">
      <c r="A410" s="404"/>
      <c r="B410" s="404"/>
      <c r="C410" s="404"/>
      <c r="D410" s="383"/>
      <c r="E410" s="417"/>
      <c r="F410" s="392"/>
      <c r="G410" s="405"/>
    </row>
    <row r="411">
      <c r="A411" s="404"/>
      <c r="B411" s="404"/>
      <c r="C411" s="404"/>
      <c r="D411" s="383"/>
      <c r="E411" s="417"/>
      <c r="F411" s="392"/>
      <c r="G411" s="405"/>
    </row>
    <row r="412">
      <c r="A412" s="404"/>
      <c r="B412" s="404"/>
      <c r="C412" s="404"/>
      <c r="D412" s="383"/>
      <c r="E412" s="417"/>
      <c r="F412" s="392"/>
      <c r="G412" s="405"/>
    </row>
    <row r="413">
      <c r="A413" s="404"/>
      <c r="B413" s="404"/>
      <c r="C413" s="404"/>
      <c r="D413" s="383"/>
      <c r="E413" s="417"/>
      <c r="F413" s="392"/>
      <c r="G413" s="405"/>
    </row>
    <row r="414">
      <c r="A414" s="404"/>
      <c r="B414" s="404"/>
      <c r="C414" s="404"/>
      <c r="D414" s="383"/>
      <c r="E414" s="417"/>
      <c r="F414" s="392"/>
      <c r="G414" s="405"/>
    </row>
    <row r="415">
      <c r="A415" s="404"/>
      <c r="B415" s="404"/>
      <c r="C415" s="404"/>
      <c r="D415" s="383"/>
      <c r="E415" s="417"/>
      <c r="F415" s="392"/>
      <c r="G415" s="405"/>
    </row>
    <row r="416">
      <c r="A416" s="404"/>
      <c r="B416" s="404"/>
      <c r="C416" s="404"/>
      <c r="D416" s="383"/>
      <c r="E416" s="417"/>
      <c r="F416" s="392"/>
      <c r="G416" s="405"/>
    </row>
    <row r="417">
      <c r="A417" s="404"/>
      <c r="B417" s="404"/>
      <c r="C417" s="404"/>
      <c r="D417" s="383"/>
      <c r="E417" s="417"/>
      <c r="F417" s="392"/>
      <c r="G417" s="405"/>
    </row>
    <row r="418">
      <c r="A418" s="404"/>
      <c r="B418" s="404"/>
      <c r="C418" s="404"/>
      <c r="D418" s="383"/>
      <c r="E418" s="417"/>
      <c r="F418" s="392"/>
      <c r="G418" s="405"/>
    </row>
    <row r="419">
      <c r="A419" s="404"/>
      <c r="B419" s="404"/>
      <c r="C419" s="404"/>
      <c r="D419" s="383"/>
      <c r="E419" s="417"/>
      <c r="F419" s="392"/>
      <c r="G419" s="405"/>
    </row>
    <row r="420">
      <c r="A420" s="404"/>
      <c r="B420" s="404"/>
      <c r="C420" s="404"/>
      <c r="D420" s="383"/>
      <c r="E420" s="417"/>
      <c r="F420" s="392"/>
      <c r="G420" s="405"/>
    </row>
    <row r="421">
      <c r="A421" s="404"/>
      <c r="B421" s="404"/>
      <c r="C421" s="404"/>
      <c r="D421" s="383"/>
      <c r="E421" s="417"/>
      <c r="F421" s="392"/>
      <c r="G421" s="405"/>
    </row>
    <row r="422">
      <c r="A422" s="404"/>
      <c r="B422" s="404"/>
      <c r="C422" s="404"/>
      <c r="D422" s="383"/>
      <c r="E422" s="417"/>
      <c r="F422" s="392"/>
      <c r="G422" s="405"/>
    </row>
    <row r="423">
      <c r="A423" s="404"/>
      <c r="B423" s="404"/>
      <c r="C423" s="404"/>
      <c r="D423" s="383"/>
      <c r="E423" s="417"/>
      <c r="F423" s="392"/>
      <c r="G423" s="405"/>
    </row>
    <row r="424">
      <c r="A424" s="404"/>
      <c r="B424" s="404"/>
      <c r="C424" s="404"/>
      <c r="D424" s="383"/>
      <c r="E424" s="417"/>
      <c r="F424" s="392"/>
      <c r="G424" s="405"/>
    </row>
    <row r="425">
      <c r="A425" s="404"/>
      <c r="B425" s="404"/>
      <c r="C425" s="404"/>
      <c r="D425" s="383"/>
      <c r="E425" s="417"/>
      <c r="F425" s="392"/>
      <c r="G425" s="405"/>
    </row>
    <row r="426">
      <c r="A426" s="404"/>
      <c r="B426" s="404"/>
      <c r="C426" s="404"/>
      <c r="D426" s="383"/>
      <c r="E426" s="417"/>
      <c r="F426" s="392"/>
      <c r="G426" s="405"/>
    </row>
    <row r="427">
      <c r="A427" s="404"/>
      <c r="B427" s="404"/>
      <c r="C427" s="404"/>
      <c r="D427" s="383"/>
      <c r="E427" s="417"/>
      <c r="F427" s="392"/>
      <c r="G427" s="405"/>
    </row>
    <row r="428">
      <c r="A428" s="404"/>
      <c r="B428" s="404"/>
      <c r="C428" s="404"/>
      <c r="D428" s="383"/>
      <c r="E428" s="417"/>
      <c r="F428" s="392"/>
      <c r="G428" s="405"/>
    </row>
    <row r="429">
      <c r="A429" s="404"/>
      <c r="B429" s="404"/>
      <c r="C429" s="404"/>
      <c r="D429" s="383"/>
      <c r="E429" s="417"/>
      <c r="F429" s="392"/>
      <c r="G429" s="405"/>
    </row>
    <row r="430">
      <c r="A430" s="404"/>
      <c r="B430" s="404"/>
      <c r="C430" s="404"/>
      <c r="D430" s="383"/>
      <c r="E430" s="417"/>
      <c r="F430" s="392"/>
      <c r="G430" s="405"/>
    </row>
    <row r="431">
      <c r="A431" s="404"/>
      <c r="B431" s="404"/>
      <c r="C431" s="404"/>
      <c r="D431" s="383"/>
      <c r="E431" s="417"/>
      <c r="F431" s="392"/>
      <c r="G431" s="405"/>
    </row>
    <row r="432">
      <c r="A432" s="404"/>
      <c r="B432" s="404"/>
      <c r="C432" s="404"/>
      <c r="D432" s="383"/>
      <c r="E432" s="417"/>
      <c r="F432" s="392"/>
      <c r="G432" s="405"/>
    </row>
    <row r="433">
      <c r="A433" s="404"/>
      <c r="B433" s="404"/>
      <c r="C433" s="404"/>
      <c r="D433" s="383"/>
      <c r="E433" s="417"/>
      <c r="F433" s="392"/>
      <c r="G433" s="405"/>
    </row>
    <row r="434">
      <c r="A434" s="404"/>
      <c r="B434" s="404"/>
      <c r="C434" s="404"/>
      <c r="D434" s="383"/>
      <c r="E434" s="417"/>
      <c r="F434" s="392"/>
      <c r="G434" s="405"/>
    </row>
    <row r="435">
      <c r="A435" s="404"/>
      <c r="B435" s="404"/>
      <c r="C435" s="404"/>
      <c r="D435" s="383"/>
      <c r="E435" s="417"/>
      <c r="F435" s="392"/>
      <c r="G435" s="405"/>
    </row>
    <row r="436">
      <c r="A436" s="404"/>
      <c r="B436" s="404"/>
      <c r="C436" s="404"/>
      <c r="D436" s="383"/>
      <c r="E436" s="417"/>
      <c r="F436" s="392"/>
      <c r="G436" s="405"/>
    </row>
    <row r="437">
      <c r="A437" s="404"/>
      <c r="B437" s="404"/>
      <c r="C437" s="404"/>
      <c r="D437" s="383"/>
      <c r="E437" s="417"/>
      <c r="F437" s="392"/>
      <c r="G437" s="405"/>
    </row>
    <row r="438">
      <c r="A438" s="404"/>
      <c r="B438" s="404"/>
      <c r="C438" s="404"/>
      <c r="D438" s="383"/>
      <c r="E438" s="417"/>
      <c r="F438" s="392"/>
      <c r="G438" s="405"/>
    </row>
    <row r="439">
      <c r="A439" s="404"/>
      <c r="B439" s="404"/>
      <c r="C439" s="404"/>
      <c r="D439" s="383"/>
      <c r="E439" s="417"/>
      <c r="F439" s="392"/>
      <c r="G439" s="405"/>
    </row>
    <row r="440">
      <c r="A440" s="404"/>
      <c r="B440" s="404"/>
      <c r="C440" s="404"/>
      <c r="D440" s="383"/>
      <c r="E440" s="417"/>
      <c r="F440" s="392"/>
      <c r="G440" s="405"/>
    </row>
    <row r="441">
      <c r="A441" s="404"/>
      <c r="B441" s="404"/>
      <c r="C441" s="404"/>
      <c r="D441" s="383"/>
      <c r="E441" s="417"/>
      <c r="F441" s="392"/>
      <c r="G441" s="405"/>
    </row>
    <row r="442">
      <c r="A442" s="404"/>
      <c r="B442" s="404"/>
      <c r="C442" s="404"/>
      <c r="D442" s="383"/>
      <c r="E442" s="417"/>
      <c r="F442" s="392"/>
      <c r="G442" s="405"/>
    </row>
    <row r="443">
      <c r="A443" s="404"/>
      <c r="B443" s="404"/>
      <c r="C443" s="404"/>
      <c r="D443" s="383"/>
      <c r="E443" s="417"/>
      <c r="F443" s="392"/>
      <c r="G443" s="405"/>
    </row>
    <row r="444">
      <c r="A444" s="404"/>
      <c r="B444" s="404"/>
      <c r="C444" s="404"/>
      <c r="D444" s="383"/>
      <c r="E444" s="417"/>
      <c r="F444" s="392"/>
      <c r="G444" s="405"/>
    </row>
    <row r="445">
      <c r="A445" s="404"/>
      <c r="B445" s="404"/>
      <c r="C445" s="404"/>
      <c r="D445" s="383"/>
      <c r="E445" s="417"/>
      <c r="F445" s="392"/>
      <c r="G445" s="405"/>
    </row>
    <row r="446">
      <c r="A446" s="404"/>
      <c r="B446" s="404"/>
      <c r="C446" s="404"/>
      <c r="D446" s="383"/>
      <c r="E446" s="417"/>
      <c r="F446" s="392"/>
      <c r="G446" s="405"/>
    </row>
    <row r="447">
      <c r="A447" s="404"/>
      <c r="B447" s="404"/>
      <c r="C447" s="404"/>
      <c r="D447" s="383"/>
      <c r="E447" s="417"/>
      <c r="F447" s="392"/>
      <c r="G447" s="405"/>
    </row>
    <row r="448">
      <c r="A448" s="404"/>
      <c r="B448" s="404"/>
      <c r="C448" s="404"/>
      <c r="D448" s="383"/>
      <c r="E448" s="417"/>
      <c r="F448" s="392"/>
      <c r="G448" s="405"/>
    </row>
    <row r="449">
      <c r="A449" s="404"/>
      <c r="B449" s="404"/>
      <c r="C449" s="404"/>
      <c r="D449" s="383"/>
      <c r="E449" s="417"/>
      <c r="F449" s="392"/>
      <c r="G449" s="405"/>
    </row>
    <row r="450">
      <c r="A450" s="404"/>
      <c r="B450" s="404"/>
      <c r="C450" s="404"/>
      <c r="D450" s="383"/>
      <c r="E450" s="417"/>
      <c r="F450" s="392"/>
      <c r="G450" s="405"/>
    </row>
    <row r="451">
      <c r="A451" s="404"/>
      <c r="B451" s="404"/>
      <c r="C451" s="404"/>
      <c r="D451" s="383"/>
      <c r="E451" s="417"/>
      <c r="F451" s="392"/>
      <c r="G451" s="405"/>
    </row>
    <row r="452">
      <c r="A452" s="404"/>
      <c r="B452" s="404"/>
      <c r="C452" s="404"/>
      <c r="D452" s="383"/>
      <c r="E452" s="417"/>
      <c r="F452" s="392"/>
      <c r="G452" s="405"/>
    </row>
    <row r="453">
      <c r="A453" s="404"/>
      <c r="B453" s="404"/>
      <c r="C453" s="404"/>
      <c r="D453" s="383"/>
      <c r="E453" s="417"/>
      <c r="F453" s="392"/>
      <c r="G453" s="405"/>
    </row>
    <row r="454">
      <c r="A454" s="404"/>
      <c r="B454" s="404"/>
      <c r="C454" s="404"/>
      <c r="D454" s="383"/>
      <c r="E454" s="417"/>
      <c r="F454" s="392"/>
      <c r="G454" s="405"/>
    </row>
    <row r="455">
      <c r="A455" s="404"/>
      <c r="B455" s="404"/>
      <c r="C455" s="404"/>
      <c r="D455" s="383"/>
      <c r="E455" s="417"/>
      <c r="F455" s="392"/>
      <c r="G455" s="405"/>
    </row>
    <row r="456">
      <c r="A456" s="404"/>
      <c r="B456" s="404"/>
      <c r="C456" s="404"/>
      <c r="D456" s="383"/>
      <c r="E456" s="417"/>
      <c r="F456" s="392"/>
      <c r="G456" s="405"/>
    </row>
    <row r="457">
      <c r="A457" s="404"/>
      <c r="B457" s="404"/>
      <c r="C457" s="404"/>
      <c r="D457" s="383"/>
      <c r="E457" s="417"/>
      <c r="F457" s="392"/>
      <c r="G457" s="405"/>
    </row>
    <row r="458">
      <c r="A458" s="404"/>
      <c r="B458" s="404"/>
      <c r="C458" s="404"/>
      <c r="D458" s="383"/>
      <c r="E458" s="417"/>
      <c r="F458" s="392"/>
      <c r="G458" s="405"/>
    </row>
    <row r="459">
      <c r="A459" s="404"/>
      <c r="B459" s="404"/>
      <c r="C459" s="404"/>
      <c r="D459" s="383"/>
      <c r="E459" s="417"/>
      <c r="F459" s="392"/>
      <c r="G459" s="405"/>
    </row>
    <row r="460">
      <c r="A460" s="404"/>
      <c r="B460" s="404"/>
      <c r="C460" s="404"/>
      <c r="D460" s="383"/>
      <c r="E460" s="417"/>
      <c r="F460" s="392"/>
      <c r="G460" s="405"/>
    </row>
    <row r="461">
      <c r="A461" s="404"/>
      <c r="B461" s="404"/>
      <c r="C461" s="404"/>
      <c r="D461" s="383"/>
      <c r="E461" s="417"/>
      <c r="F461" s="392"/>
      <c r="G461" s="405"/>
    </row>
    <row r="462">
      <c r="A462" s="404"/>
      <c r="B462" s="404"/>
      <c r="C462" s="404"/>
      <c r="D462" s="383"/>
      <c r="E462" s="417"/>
      <c r="F462" s="392"/>
      <c r="G462" s="405"/>
    </row>
    <row r="463">
      <c r="A463" s="404"/>
      <c r="B463" s="404"/>
      <c r="C463" s="404"/>
      <c r="D463" s="383"/>
      <c r="E463" s="417"/>
      <c r="F463" s="392"/>
      <c r="G463" s="405"/>
    </row>
    <row r="464">
      <c r="A464" s="404"/>
      <c r="B464" s="404"/>
      <c r="C464" s="404"/>
      <c r="D464" s="383"/>
      <c r="E464" s="417"/>
      <c r="F464" s="392"/>
      <c r="G464" s="405"/>
    </row>
    <row r="465">
      <c r="A465" s="404"/>
      <c r="B465" s="404"/>
      <c r="C465" s="404"/>
      <c r="D465" s="383"/>
      <c r="E465" s="417"/>
      <c r="F465" s="392"/>
      <c r="G465" s="405"/>
    </row>
    <row r="466">
      <c r="A466" s="404"/>
      <c r="B466" s="404"/>
      <c r="C466" s="404"/>
      <c r="D466" s="383"/>
      <c r="E466" s="417"/>
      <c r="F466" s="392"/>
      <c r="G466" s="405"/>
    </row>
    <row r="467">
      <c r="A467" s="404"/>
      <c r="B467" s="404"/>
      <c r="C467" s="404"/>
      <c r="D467" s="383"/>
      <c r="E467" s="417"/>
      <c r="F467" s="392"/>
      <c r="G467" s="405"/>
    </row>
    <row r="468">
      <c r="A468" s="404"/>
      <c r="B468" s="404"/>
      <c r="C468" s="404"/>
      <c r="D468" s="383"/>
      <c r="E468" s="417"/>
      <c r="F468" s="392"/>
      <c r="G468" s="405"/>
    </row>
    <row r="469">
      <c r="A469" s="404"/>
      <c r="B469" s="404"/>
      <c r="C469" s="404"/>
      <c r="D469" s="383"/>
      <c r="E469" s="417"/>
      <c r="F469" s="392"/>
      <c r="G469" s="405"/>
    </row>
    <row r="470">
      <c r="A470" s="404"/>
      <c r="B470" s="404"/>
      <c r="C470" s="404"/>
      <c r="D470" s="383"/>
      <c r="E470" s="417"/>
      <c r="F470" s="392"/>
      <c r="G470" s="405"/>
    </row>
    <row r="471">
      <c r="A471" s="404"/>
      <c r="B471" s="404"/>
      <c r="C471" s="404"/>
      <c r="D471" s="383"/>
      <c r="E471" s="417"/>
      <c r="F471" s="392"/>
      <c r="G471" s="405"/>
    </row>
    <row r="472">
      <c r="A472" s="404"/>
      <c r="B472" s="404"/>
      <c r="C472" s="404"/>
      <c r="D472" s="383"/>
      <c r="E472" s="417"/>
      <c r="F472" s="392"/>
      <c r="G472" s="405"/>
    </row>
    <row r="473">
      <c r="A473" s="404"/>
      <c r="B473" s="404"/>
      <c r="C473" s="404"/>
      <c r="D473" s="383"/>
      <c r="E473" s="417"/>
      <c r="F473" s="392"/>
      <c r="G473" s="405"/>
    </row>
    <row r="474">
      <c r="A474" s="404"/>
      <c r="B474" s="404"/>
      <c r="C474" s="404"/>
      <c r="D474" s="383"/>
      <c r="E474" s="417"/>
      <c r="F474" s="392"/>
      <c r="G474" s="405"/>
    </row>
    <row r="475">
      <c r="A475" s="404"/>
      <c r="B475" s="404"/>
      <c r="C475" s="404"/>
      <c r="D475" s="383"/>
      <c r="E475" s="417"/>
      <c r="F475" s="392"/>
      <c r="G475" s="405"/>
    </row>
    <row r="476">
      <c r="A476" s="404"/>
      <c r="B476" s="404"/>
      <c r="C476" s="404"/>
      <c r="D476" s="383"/>
      <c r="E476" s="417"/>
      <c r="F476" s="392"/>
      <c r="G476" s="405"/>
    </row>
    <row r="477">
      <c r="A477" s="404"/>
      <c r="B477" s="404"/>
      <c r="C477" s="404"/>
      <c r="D477" s="383"/>
      <c r="E477" s="417"/>
      <c r="F477" s="392"/>
      <c r="G477" s="405"/>
    </row>
    <row r="478">
      <c r="A478" s="404"/>
      <c r="B478" s="404"/>
      <c r="C478" s="404"/>
      <c r="D478" s="383"/>
      <c r="E478" s="417"/>
      <c r="F478" s="392"/>
      <c r="G478" s="405"/>
    </row>
    <row r="479">
      <c r="A479" s="404"/>
      <c r="B479" s="404"/>
      <c r="C479" s="404"/>
      <c r="D479" s="383"/>
      <c r="E479" s="417"/>
      <c r="F479" s="392"/>
      <c r="G479" s="405"/>
    </row>
    <row r="480">
      <c r="A480" s="404"/>
      <c r="B480" s="404"/>
      <c r="C480" s="404"/>
      <c r="D480" s="383"/>
      <c r="E480" s="417"/>
      <c r="F480" s="392"/>
      <c r="G480" s="405"/>
    </row>
    <row r="481">
      <c r="A481" s="404"/>
      <c r="B481" s="404"/>
      <c r="C481" s="404"/>
      <c r="D481" s="383"/>
      <c r="E481" s="417"/>
      <c r="F481" s="392"/>
      <c r="G481" s="405"/>
    </row>
    <row r="482">
      <c r="A482" s="404"/>
      <c r="B482" s="404"/>
      <c r="C482" s="404"/>
      <c r="D482" s="383"/>
      <c r="E482" s="417"/>
      <c r="F482" s="392"/>
      <c r="G482" s="405"/>
    </row>
    <row r="483">
      <c r="A483" s="404"/>
      <c r="B483" s="404"/>
      <c r="C483" s="404"/>
      <c r="D483" s="383"/>
      <c r="E483" s="417"/>
      <c r="F483" s="392"/>
      <c r="G483" s="405"/>
    </row>
    <row r="484">
      <c r="A484" s="404"/>
      <c r="B484" s="404"/>
      <c r="C484" s="404"/>
      <c r="D484" s="383"/>
      <c r="E484" s="417"/>
      <c r="F484" s="392"/>
      <c r="G484" s="405"/>
    </row>
    <row r="485">
      <c r="A485" s="404"/>
      <c r="B485" s="404"/>
      <c r="C485" s="404"/>
      <c r="D485" s="383"/>
      <c r="E485" s="417"/>
      <c r="F485" s="392"/>
      <c r="G485" s="405"/>
    </row>
    <row r="486">
      <c r="A486" s="404"/>
      <c r="B486" s="404"/>
      <c r="C486" s="404"/>
      <c r="D486" s="383"/>
      <c r="E486" s="417"/>
      <c r="F486" s="392"/>
      <c r="G486" s="405"/>
    </row>
    <row r="487">
      <c r="A487" s="404"/>
      <c r="B487" s="404"/>
      <c r="C487" s="404"/>
      <c r="D487" s="383"/>
      <c r="E487" s="417"/>
      <c r="F487" s="392"/>
      <c r="G487" s="405"/>
    </row>
    <row r="488">
      <c r="A488" s="404"/>
      <c r="B488" s="404"/>
      <c r="C488" s="404"/>
      <c r="D488" s="383"/>
      <c r="E488" s="417"/>
      <c r="F488" s="392"/>
      <c r="G488" s="405"/>
    </row>
    <row r="489">
      <c r="A489" s="404"/>
      <c r="B489" s="404"/>
      <c r="C489" s="404"/>
      <c r="D489" s="383"/>
      <c r="E489" s="417"/>
      <c r="F489" s="392"/>
      <c r="G489" s="405"/>
    </row>
    <row r="490">
      <c r="A490" s="404"/>
      <c r="B490" s="404"/>
      <c r="C490" s="404"/>
      <c r="D490" s="383"/>
      <c r="E490" s="417"/>
      <c r="F490" s="392"/>
      <c r="G490" s="405"/>
    </row>
    <row r="491">
      <c r="A491" s="404"/>
      <c r="B491" s="404"/>
      <c r="C491" s="404"/>
      <c r="D491" s="383"/>
      <c r="E491" s="417"/>
      <c r="F491" s="392"/>
      <c r="G491" s="405"/>
    </row>
    <row r="492">
      <c r="A492" s="404"/>
      <c r="B492" s="404"/>
      <c r="C492" s="404"/>
      <c r="D492" s="383"/>
      <c r="E492" s="417"/>
      <c r="F492" s="392"/>
      <c r="G492" s="405"/>
    </row>
    <row r="493">
      <c r="A493" s="404"/>
      <c r="B493" s="404"/>
      <c r="C493" s="404"/>
      <c r="D493" s="383"/>
      <c r="E493" s="417"/>
      <c r="F493" s="392"/>
      <c r="G493" s="405"/>
    </row>
    <row r="494">
      <c r="A494" s="404"/>
      <c r="B494" s="404"/>
      <c r="C494" s="404"/>
      <c r="D494" s="383"/>
      <c r="E494" s="417"/>
      <c r="F494" s="392"/>
      <c r="G494" s="405"/>
    </row>
    <row r="495">
      <c r="A495" s="404"/>
      <c r="B495" s="404"/>
      <c r="C495" s="404"/>
      <c r="D495" s="383"/>
      <c r="E495" s="417"/>
      <c r="F495" s="392"/>
      <c r="G495" s="405"/>
    </row>
    <row r="496">
      <c r="A496" s="404"/>
      <c r="B496" s="404"/>
      <c r="C496" s="404"/>
      <c r="D496" s="383"/>
      <c r="E496" s="417"/>
      <c r="F496" s="392"/>
      <c r="G496" s="405"/>
    </row>
    <row r="497">
      <c r="A497" s="404"/>
      <c r="B497" s="404"/>
      <c r="C497" s="404"/>
      <c r="D497" s="383"/>
      <c r="E497" s="417"/>
      <c r="F497" s="392"/>
      <c r="G497" s="405"/>
    </row>
    <row r="498">
      <c r="A498" s="404"/>
      <c r="B498" s="404"/>
      <c r="C498" s="404"/>
      <c r="D498" s="383"/>
      <c r="E498" s="417"/>
      <c r="F498" s="392"/>
      <c r="G498" s="405"/>
    </row>
    <row r="499">
      <c r="A499" s="404"/>
      <c r="B499" s="404"/>
      <c r="C499" s="404"/>
      <c r="D499" s="383"/>
      <c r="E499" s="417"/>
      <c r="F499" s="392"/>
      <c r="G499" s="405"/>
    </row>
    <row r="500">
      <c r="A500" s="404"/>
      <c r="B500" s="404"/>
      <c r="C500" s="404"/>
      <c r="D500" s="383"/>
      <c r="E500" s="417"/>
      <c r="F500" s="392"/>
      <c r="G500" s="405"/>
    </row>
    <row r="501">
      <c r="A501" s="404"/>
      <c r="B501" s="404"/>
      <c r="C501" s="404"/>
      <c r="D501" s="383"/>
      <c r="E501" s="417"/>
      <c r="F501" s="392"/>
      <c r="G501" s="405"/>
    </row>
    <row r="502">
      <c r="A502" s="404"/>
      <c r="B502" s="404"/>
      <c r="C502" s="404"/>
      <c r="D502" s="383"/>
      <c r="E502" s="417"/>
      <c r="F502" s="392"/>
      <c r="G502" s="405"/>
    </row>
    <row r="503">
      <c r="A503" s="404"/>
      <c r="B503" s="404"/>
      <c r="C503" s="404"/>
      <c r="D503" s="383"/>
      <c r="E503" s="417"/>
      <c r="F503" s="392"/>
      <c r="G503" s="405"/>
    </row>
    <row r="504">
      <c r="A504" s="404"/>
      <c r="B504" s="404"/>
      <c r="C504" s="404"/>
      <c r="D504" s="383"/>
      <c r="E504" s="417"/>
      <c r="F504" s="392"/>
      <c r="G504" s="405"/>
    </row>
    <row r="505">
      <c r="A505" s="404"/>
      <c r="B505" s="404"/>
      <c r="C505" s="404"/>
      <c r="D505" s="383"/>
      <c r="E505" s="417"/>
      <c r="F505" s="392"/>
      <c r="G505" s="405"/>
    </row>
    <row r="506">
      <c r="A506" s="404"/>
      <c r="B506" s="404"/>
      <c r="C506" s="404"/>
      <c r="D506" s="383"/>
      <c r="E506" s="417"/>
      <c r="F506" s="392"/>
      <c r="G506" s="405"/>
    </row>
    <row r="507">
      <c r="A507" s="404"/>
      <c r="B507" s="404"/>
      <c r="C507" s="404"/>
      <c r="D507" s="383"/>
      <c r="E507" s="417"/>
      <c r="F507" s="392"/>
      <c r="G507" s="405"/>
    </row>
    <row r="508">
      <c r="A508" s="404"/>
      <c r="B508" s="404"/>
      <c r="C508" s="404"/>
      <c r="D508" s="383"/>
      <c r="E508" s="417"/>
      <c r="F508" s="392"/>
      <c r="G508" s="405"/>
    </row>
    <row r="509">
      <c r="A509" s="404"/>
      <c r="B509" s="404"/>
      <c r="C509" s="404"/>
      <c r="D509" s="383"/>
      <c r="E509" s="417"/>
      <c r="F509" s="392"/>
      <c r="G509" s="405"/>
    </row>
    <row r="510">
      <c r="A510" s="404"/>
      <c r="B510" s="404"/>
      <c r="C510" s="404"/>
      <c r="D510" s="383"/>
      <c r="E510" s="417"/>
      <c r="F510" s="392"/>
      <c r="G510" s="405"/>
    </row>
    <row r="511">
      <c r="A511" s="404"/>
      <c r="B511" s="404"/>
      <c r="C511" s="404"/>
      <c r="D511" s="383"/>
      <c r="E511" s="417"/>
      <c r="F511" s="392"/>
      <c r="G511" s="405"/>
    </row>
    <row r="512">
      <c r="A512" s="404"/>
      <c r="B512" s="404"/>
      <c r="C512" s="404"/>
      <c r="D512" s="383"/>
      <c r="E512" s="417"/>
      <c r="F512" s="392"/>
      <c r="G512" s="405"/>
    </row>
    <row r="513">
      <c r="A513" s="404"/>
      <c r="B513" s="404"/>
      <c r="C513" s="404"/>
      <c r="D513" s="383"/>
      <c r="E513" s="417"/>
      <c r="F513" s="392"/>
      <c r="G513" s="405"/>
    </row>
    <row r="514">
      <c r="A514" s="404"/>
      <c r="B514" s="404"/>
      <c r="C514" s="404"/>
      <c r="D514" s="383"/>
      <c r="E514" s="417"/>
      <c r="F514" s="392"/>
      <c r="G514" s="405"/>
    </row>
    <row r="515">
      <c r="A515" s="404"/>
      <c r="B515" s="404"/>
      <c r="C515" s="404"/>
      <c r="D515" s="383"/>
      <c r="E515" s="417"/>
      <c r="F515" s="392"/>
      <c r="G515" s="405"/>
    </row>
    <row r="516">
      <c r="A516" s="404"/>
      <c r="B516" s="404"/>
      <c r="C516" s="404"/>
      <c r="D516" s="383"/>
      <c r="E516" s="417"/>
      <c r="F516" s="392"/>
      <c r="G516" s="405"/>
    </row>
    <row r="517">
      <c r="A517" s="404"/>
      <c r="B517" s="404"/>
      <c r="C517" s="404"/>
      <c r="D517" s="383"/>
      <c r="E517" s="417"/>
      <c r="F517" s="392"/>
      <c r="G517" s="405"/>
    </row>
    <row r="518">
      <c r="A518" s="404"/>
      <c r="B518" s="404"/>
      <c r="C518" s="404"/>
      <c r="D518" s="383"/>
      <c r="E518" s="417"/>
      <c r="F518" s="392"/>
      <c r="G518" s="405"/>
    </row>
    <row r="519">
      <c r="A519" s="404"/>
      <c r="B519" s="404"/>
      <c r="C519" s="404"/>
      <c r="D519" s="383"/>
      <c r="E519" s="417"/>
      <c r="F519" s="392"/>
      <c r="G519" s="405"/>
    </row>
    <row r="520">
      <c r="A520" s="404"/>
      <c r="B520" s="404"/>
      <c r="C520" s="404"/>
      <c r="D520" s="383"/>
      <c r="E520" s="417"/>
      <c r="F520" s="392"/>
      <c r="G520" s="405"/>
    </row>
    <row r="521">
      <c r="A521" s="404"/>
      <c r="B521" s="404"/>
      <c r="C521" s="404"/>
      <c r="D521" s="383"/>
      <c r="E521" s="417"/>
      <c r="F521" s="392"/>
      <c r="G521" s="405"/>
    </row>
    <row r="522">
      <c r="A522" s="404"/>
      <c r="B522" s="404"/>
      <c r="C522" s="404"/>
      <c r="D522" s="383"/>
      <c r="E522" s="417"/>
      <c r="F522" s="392"/>
      <c r="G522" s="405"/>
    </row>
    <row r="523">
      <c r="A523" s="404"/>
      <c r="B523" s="404"/>
      <c r="C523" s="404"/>
      <c r="D523" s="383"/>
      <c r="E523" s="417"/>
      <c r="F523" s="392"/>
      <c r="G523" s="405"/>
    </row>
    <row r="524">
      <c r="A524" s="404"/>
      <c r="B524" s="404"/>
      <c r="C524" s="404"/>
      <c r="D524" s="383"/>
      <c r="E524" s="417"/>
      <c r="F524" s="392"/>
      <c r="G524" s="405"/>
    </row>
    <row r="525">
      <c r="A525" s="404"/>
      <c r="B525" s="404"/>
      <c r="C525" s="404"/>
      <c r="D525" s="383"/>
      <c r="E525" s="417"/>
      <c r="F525" s="392"/>
      <c r="G525" s="405"/>
    </row>
    <row r="526">
      <c r="A526" s="404"/>
      <c r="B526" s="404"/>
      <c r="C526" s="404"/>
      <c r="D526" s="383"/>
      <c r="E526" s="417"/>
      <c r="F526" s="392"/>
      <c r="G526" s="405"/>
    </row>
    <row r="527">
      <c r="A527" s="404"/>
      <c r="B527" s="404"/>
      <c r="C527" s="404"/>
      <c r="D527" s="383"/>
      <c r="E527" s="417"/>
      <c r="F527" s="392"/>
      <c r="G527" s="405"/>
    </row>
    <row r="528">
      <c r="A528" s="404"/>
      <c r="B528" s="404"/>
      <c r="C528" s="404"/>
      <c r="D528" s="383"/>
      <c r="E528" s="417"/>
      <c r="F528" s="392"/>
      <c r="G528" s="405"/>
    </row>
    <row r="529">
      <c r="A529" s="404"/>
      <c r="B529" s="404"/>
      <c r="C529" s="404"/>
      <c r="D529" s="383"/>
      <c r="E529" s="417"/>
      <c r="F529" s="392"/>
      <c r="G529" s="405"/>
    </row>
    <row r="530">
      <c r="A530" s="404"/>
      <c r="B530" s="404"/>
      <c r="C530" s="404"/>
      <c r="D530" s="383"/>
      <c r="E530" s="417"/>
      <c r="F530" s="392"/>
      <c r="G530" s="405"/>
    </row>
    <row r="531">
      <c r="A531" s="404"/>
      <c r="B531" s="404"/>
      <c r="C531" s="404"/>
      <c r="D531" s="383"/>
      <c r="E531" s="417"/>
      <c r="F531" s="392"/>
      <c r="G531" s="405"/>
    </row>
    <row r="532">
      <c r="A532" s="404"/>
      <c r="B532" s="404"/>
      <c r="C532" s="404"/>
      <c r="D532" s="383"/>
      <c r="E532" s="417"/>
      <c r="F532" s="392"/>
      <c r="G532" s="405"/>
    </row>
    <row r="533">
      <c r="A533" s="404"/>
      <c r="B533" s="404"/>
      <c r="C533" s="404"/>
      <c r="D533" s="383"/>
      <c r="E533" s="417"/>
      <c r="F533" s="392"/>
      <c r="G533" s="405"/>
    </row>
    <row r="534">
      <c r="A534" s="404"/>
      <c r="B534" s="404"/>
      <c r="C534" s="404"/>
      <c r="D534" s="383"/>
      <c r="E534" s="417"/>
      <c r="F534" s="392"/>
      <c r="G534" s="405"/>
    </row>
    <row r="535">
      <c r="A535" s="404"/>
      <c r="B535" s="404"/>
      <c r="C535" s="404"/>
      <c r="D535" s="383"/>
      <c r="E535" s="417"/>
      <c r="F535" s="392"/>
      <c r="G535" s="405"/>
    </row>
    <row r="536">
      <c r="A536" s="404"/>
      <c r="B536" s="404"/>
      <c r="C536" s="404"/>
      <c r="D536" s="383"/>
      <c r="E536" s="417"/>
      <c r="F536" s="392"/>
      <c r="G536" s="405"/>
    </row>
    <row r="537">
      <c r="A537" s="404"/>
      <c r="B537" s="404"/>
      <c r="C537" s="404"/>
      <c r="D537" s="383"/>
      <c r="E537" s="417"/>
      <c r="F537" s="392"/>
      <c r="G537" s="405"/>
    </row>
    <row r="538">
      <c r="A538" s="404"/>
      <c r="B538" s="404"/>
      <c r="C538" s="404"/>
      <c r="D538" s="383"/>
      <c r="E538" s="417"/>
      <c r="F538" s="392"/>
      <c r="G538" s="405"/>
    </row>
    <row r="539">
      <c r="A539" s="404"/>
      <c r="B539" s="404"/>
      <c r="C539" s="404"/>
      <c r="D539" s="383"/>
      <c r="E539" s="417"/>
      <c r="F539" s="392"/>
      <c r="G539" s="405"/>
    </row>
    <row r="540">
      <c r="A540" s="404"/>
      <c r="B540" s="404"/>
      <c r="C540" s="404"/>
      <c r="D540" s="383"/>
      <c r="E540" s="417"/>
      <c r="F540" s="392"/>
      <c r="G540" s="405"/>
    </row>
    <row r="541">
      <c r="A541" s="404"/>
      <c r="B541" s="404"/>
      <c r="C541" s="404"/>
      <c r="D541" s="383"/>
      <c r="E541" s="417"/>
      <c r="F541" s="392"/>
      <c r="G541" s="405"/>
    </row>
    <row r="542">
      <c r="A542" s="404"/>
      <c r="B542" s="404"/>
      <c r="C542" s="404"/>
      <c r="D542" s="383"/>
      <c r="E542" s="417"/>
      <c r="F542" s="392"/>
      <c r="G542" s="405"/>
    </row>
    <row r="543">
      <c r="A543" s="404"/>
      <c r="B543" s="404"/>
      <c r="C543" s="404"/>
      <c r="D543" s="383"/>
      <c r="E543" s="417"/>
      <c r="F543" s="392"/>
      <c r="G543" s="405"/>
    </row>
    <row r="544">
      <c r="A544" s="404"/>
      <c r="B544" s="404"/>
      <c r="C544" s="404"/>
      <c r="D544" s="383"/>
      <c r="E544" s="417"/>
      <c r="F544" s="392"/>
      <c r="G544" s="405"/>
    </row>
    <row r="545">
      <c r="A545" s="404"/>
      <c r="B545" s="404"/>
      <c r="C545" s="404"/>
      <c r="D545" s="383"/>
      <c r="E545" s="417"/>
      <c r="F545" s="392"/>
      <c r="G545" s="405"/>
    </row>
    <row r="546">
      <c r="A546" s="404"/>
      <c r="B546" s="404"/>
      <c r="C546" s="404"/>
      <c r="D546" s="383"/>
      <c r="E546" s="417"/>
      <c r="F546" s="392"/>
      <c r="G546" s="405"/>
    </row>
    <row r="547">
      <c r="A547" s="404"/>
      <c r="B547" s="404"/>
      <c r="C547" s="404"/>
      <c r="D547" s="383"/>
      <c r="E547" s="417"/>
      <c r="F547" s="392"/>
      <c r="G547" s="405"/>
    </row>
    <row r="548">
      <c r="A548" s="404"/>
      <c r="B548" s="404"/>
      <c r="C548" s="404"/>
      <c r="D548" s="383"/>
      <c r="E548" s="417"/>
      <c r="F548" s="392"/>
      <c r="G548" s="405"/>
    </row>
    <row r="549">
      <c r="A549" s="404"/>
      <c r="B549" s="404"/>
      <c r="C549" s="404"/>
      <c r="D549" s="383"/>
      <c r="E549" s="417"/>
      <c r="F549" s="392"/>
      <c r="G549" s="405"/>
    </row>
    <row r="550">
      <c r="A550" s="404"/>
      <c r="B550" s="404"/>
      <c r="C550" s="404"/>
      <c r="D550" s="383"/>
      <c r="E550" s="417"/>
      <c r="F550" s="392"/>
      <c r="G550" s="405"/>
    </row>
    <row r="551">
      <c r="A551" s="404"/>
      <c r="B551" s="404"/>
      <c r="C551" s="404"/>
      <c r="D551" s="383"/>
      <c r="E551" s="417"/>
      <c r="F551" s="392"/>
      <c r="G551" s="405"/>
    </row>
    <row r="552">
      <c r="A552" s="404"/>
      <c r="B552" s="404"/>
      <c r="C552" s="404"/>
      <c r="D552" s="383"/>
      <c r="E552" s="417"/>
      <c r="F552" s="392"/>
      <c r="G552" s="405"/>
    </row>
    <row r="553">
      <c r="A553" s="404"/>
      <c r="B553" s="404"/>
      <c r="C553" s="404"/>
      <c r="D553" s="383"/>
      <c r="E553" s="417"/>
      <c r="F553" s="392"/>
      <c r="G553" s="405"/>
    </row>
    <row r="554">
      <c r="A554" s="404"/>
      <c r="B554" s="404"/>
      <c r="C554" s="404"/>
      <c r="D554" s="383"/>
      <c r="E554" s="417"/>
      <c r="F554" s="392"/>
      <c r="G554" s="405"/>
    </row>
    <row r="555">
      <c r="A555" s="404"/>
      <c r="B555" s="404"/>
      <c r="C555" s="404"/>
      <c r="D555" s="383"/>
      <c r="E555" s="417"/>
      <c r="F555" s="392"/>
      <c r="G555" s="405"/>
    </row>
    <row r="556">
      <c r="A556" s="404"/>
      <c r="B556" s="404"/>
      <c r="C556" s="404"/>
      <c r="D556" s="383"/>
      <c r="E556" s="417"/>
      <c r="F556" s="392"/>
      <c r="G556" s="405"/>
    </row>
    <row r="557">
      <c r="A557" s="404"/>
      <c r="B557" s="404"/>
      <c r="C557" s="404"/>
      <c r="D557" s="383"/>
      <c r="E557" s="417"/>
      <c r="F557" s="392"/>
      <c r="G557" s="405"/>
    </row>
    <row r="558">
      <c r="A558" s="404"/>
      <c r="B558" s="404"/>
      <c r="C558" s="404"/>
      <c r="D558" s="383"/>
      <c r="E558" s="417"/>
      <c r="F558" s="392"/>
      <c r="G558" s="405"/>
    </row>
    <row r="559">
      <c r="A559" s="404"/>
      <c r="B559" s="404"/>
      <c r="C559" s="404"/>
      <c r="D559" s="383"/>
      <c r="E559" s="417"/>
      <c r="F559" s="392"/>
      <c r="G559" s="405"/>
    </row>
    <row r="560">
      <c r="A560" s="404"/>
      <c r="B560" s="404"/>
      <c r="C560" s="404"/>
      <c r="D560" s="383"/>
      <c r="E560" s="417"/>
      <c r="F560" s="392"/>
      <c r="G560" s="405"/>
    </row>
    <row r="561">
      <c r="A561" s="404"/>
      <c r="B561" s="404"/>
      <c r="C561" s="404"/>
      <c r="D561" s="383"/>
      <c r="E561" s="417"/>
      <c r="F561" s="392"/>
      <c r="G561" s="405"/>
    </row>
    <row r="562">
      <c r="A562" s="404"/>
      <c r="B562" s="404"/>
      <c r="C562" s="404"/>
      <c r="D562" s="383"/>
      <c r="E562" s="417"/>
      <c r="F562" s="392"/>
      <c r="G562" s="405"/>
    </row>
    <row r="563">
      <c r="A563" s="404"/>
      <c r="B563" s="404"/>
      <c r="C563" s="404"/>
      <c r="D563" s="383"/>
      <c r="E563" s="417"/>
      <c r="F563" s="392"/>
      <c r="G563" s="405"/>
    </row>
    <row r="564">
      <c r="A564" s="404"/>
      <c r="B564" s="404"/>
      <c r="C564" s="404"/>
      <c r="D564" s="383"/>
      <c r="E564" s="417"/>
      <c r="F564" s="392"/>
      <c r="G564" s="405"/>
    </row>
    <row r="565">
      <c r="A565" s="404"/>
      <c r="B565" s="404"/>
      <c r="C565" s="404"/>
      <c r="D565" s="383"/>
      <c r="E565" s="417"/>
      <c r="F565" s="392"/>
      <c r="G565" s="405"/>
    </row>
    <row r="566">
      <c r="A566" s="404"/>
      <c r="B566" s="404"/>
      <c r="C566" s="404"/>
      <c r="D566" s="383"/>
      <c r="E566" s="417"/>
      <c r="F566" s="392"/>
      <c r="G566" s="405"/>
    </row>
    <row r="567">
      <c r="A567" s="404"/>
      <c r="B567" s="404"/>
      <c r="C567" s="404"/>
      <c r="D567" s="383"/>
      <c r="E567" s="417"/>
      <c r="F567" s="392"/>
      <c r="G567" s="405"/>
    </row>
    <row r="568">
      <c r="A568" s="404"/>
      <c r="B568" s="404"/>
      <c r="C568" s="404"/>
      <c r="D568" s="383"/>
      <c r="E568" s="417"/>
      <c r="F568" s="392"/>
      <c r="G568" s="405"/>
    </row>
    <row r="569">
      <c r="A569" s="404"/>
      <c r="B569" s="404"/>
      <c r="C569" s="404"/>
      <c r="D569" s="383"/>
      <c r="E569" s="417"/>
      <c r="F569" s="392"/>
      <c r="G569" s="405"/>
    </row>
    <row r="570">
      <c r="A570" s="404"/>
      <c r="B570" s="404"/>
      <c r="C570" s="404"/>
      <c r="D570" s="383"/>
      <c r="E570" s="417"/>
      <c r="F570" s="392"/>
      <c r="G570" s="405"/>
    </row>
    <row r="571">
      <c r="A571" s="404"/>
      <c r="B571" s="404"/>
      <c r="C571" s="404"/>
      <c r="D571" s="383"/>
      <c r="E571" s="417"/>
      <c r="F571" s="392"/>
      <c r="G571" s="405"/>
    </row>
    <row r="572">
      <c r="A572" s="404"/>
      <c r="B572" s="404"/>
      <c r="C572" s="404"/>
      <c r="D572" s="383"/>
      <c r="E572" s="417"/>
      <c r="F572" s="392"/>
      <c r="G572" s="405"/>
    </row>
    <row r="573">
      <c r="A573" s="404"/>
      <c r="B573" s="404"/>
      <c r="C573" s="404"/>
      <c r="D573" s="383"/>
      <c r="E573" s="417"/>
      <c r="F573" s="392"/>
      <c r="G573" s="405"/>
    </row>
    <row r="574">
      <c r="A574" s="404"/>
      <c r="B574" s="404"/>
      <c r="C574" s="404"/>
      <c r="D574" s="383"/>
      <c r="E574" s="417"/>
      <c r="F574" s="392"/>
      <c r="G574" s="405"/>
    </row>
    <row r="575">
      <c r="A575" s="404"/>
      <c r="B575" s="404"/>
      <c r="C575" s="404"/>
      <c r="D575" s="383"/>
      <c r="E575" s="417"/>
      <c r="F575" s="392"/>
      <c r="G575" s="405"/>
    </row>
    <row r="576">
      <c r="A576" s="404"/>
      <c r="B576" s="404"/>
      <c r="C576" s="404"/>
      <c r="D576" s="383"/>
      <c r="E576" s="417"/>
      <c r="F576" s="392"/>
      <c r="G576" s="405"/>
    </row>
    <row r="577">
      <c r="A577" s="404"/>
      <c r="B577" s="404"/>
      <c r="C577" s="404"/>
      <c r="D577" s="383"/>
      <c r="E577" s="417"/>
      <c r="F577" s="392"/>
      <c r="G577" s="405"/>
    </row>
    <row r="578">
      <c r="A578" s="404"/>
      <c r="B578" s="404"/>
      <c r="C578" s="404"/>
      <c r="D578" s="383"/>
      <c r="E578" s="417"/>
      <c r="F578" s="392"/>
      <c r="G578" s="405"/>
    </row>
    <row r="579">
      <c r="A579" s="404"/>
      <c r="B579" s="404"/>
      <c r="C579" s="404"/>
      <c r="D579" s="383"/>
      <c r="E579" s="417"/>
      <c r="F579" s="392"/>
      <c r="G579" s="405"/>
    </row>
    <row r="580">
      <c r="A580" s="404"/>
      <c r="B580" s="404"/>
      <c r="C580" s="404"/>
      <c r="D580" s="383"/>
      <c r="E580" s="417"/>
      <c r="F580" s="392"/>
      <c r="G580" s="405"/>
    </row>
    <row r="581">
      <c r="A581" s="404"/>
      <c r="B581" s="404"/>
      <c r="C581" s="404"/>
      <c r="D581" s="383"/>
      <c r="E581" s="417"/>
      <c r="F581" s="392"/>
      <c r="G581" s="405"/>
    </row>
    <row r="582">
      <c r="A582" s="404"/>
      <c r="B582" s="404"/>
      <c r="C582" s="404"/>
      <c r="D582" s="383"/>
      <c r="E582" s="417"/>
      <c r="F582" s="392"/>
      <c r="G582" s="405"/>
    </row>
    <row r="583">
      <c r="A583" s="404"/>
      <c r="B583" s="404"/>
      <c r="C583" s="404"/>
      <c r="D583" s="383"/>
      <c r="E583" s="417"/>
      <c r="F583" s="392"/>
      <c r="G583" s="405"/>
    </row>
    <row r="584">
      <c r="A584" s="404"/>
      <c r="B584" s="404"/>
      <c r="C584" s="404"/>
      <c r="D584" s="383"/>
      <c r="E584" s="417"/>
      <c r="F584" s="392"/>
      <c r="G584" s="405"/>
    </row>
    <row r="585">
      <c r="A585" s="404"/>
      <c r="B585" s="404"/>
      <c r="C585" s="404"/>
      <c r="D585" s="383"/>
      <c r="E585" s="417"/>
      <c r="F585" s="392"/>
      <c r="G585" s="405"/>
    </row>
    <row r="586">
      <c r="A586" s="404"/>
      <c r="B586" s="404"/>
      <c r="C586" s="404"/>
      <c r="D586" s="383"/>
      <c r="E586" s="417"/>
      <c r="F586" s="392"/>
      <c r="G586" s="405"/>
    </row>
    <row r="587">
      <c r="A587" s="404"/>
      <c r="B587" s="404"/>
      <c r="C587" s="404"/>
      <c r="D587" s="383"/>
      <c r="E587" s="417"/>
      <c r="F587" s="392"/>
      <c r="G587" s="405"/>
    </row>
    <row r="588">
      <c r="A588" s="404"/>
      <c r="B588" s="404"/>
      <c r="C588" s="404"/>
      <c r="D588" s="383"/>
      <c r="E588" s="417"/>
      <c r="F588" s="392"/>
      <c r="G588" s="405"/>
    </row>
    <row r="589">
      <c r="A589" s="404"/>
      <c r="B589" s="404"/>
      <c r="C589" s="404"/>
      <c r="D589" s="383"/>
      <c r="E589" s="417"/>
      <c r="F589" s="392"/>
      <c r="G589" s="405"/>
    </row>
    <row r="590">
      <c r="A590" s="404"/>
      <c r="B590" s="404"/>
      <c r="C590" s="404"/>
      <c r="D590" s="383"/>
      <c r="E590" s="417"/>
      <c r="F590" s="392"/>
      <c r="G590" s="405"/>
    </row>
    <row r="591">
      <c r="A591" s="404"/>
      <c r="B591" s="404"/>
      <c r="C591" s="404"/>
      <c r="D591" s="383"/>
      <c r="E591" s="417"/>
      <c r="F591" s="392"/>
      <c r="G591" s="405"/>
    </row>
    <row r="592">
      <c r="A592" s="404"/>
      <c r="B592" s="404"/>
      <c r="C592" s="404"/>
      <c r="D592" s="383"/>
      <c r="E592" s="417"/>
      <c r="F592" s="392"/>
      <c r="G592" s="405"/>
    </row>
    <row r="593">
      <c r="A593" s="404"/>
      <c r="B593" s="404"/>
      <c r="C593" s="404"/>
      <c r="D593" s="383"/>
      <c r="E593" s="417"/>
      <c r="F593" s="392"/>
      <c r="G593" s="405"/>
    </row>
    <row r="594">
      <c r="A594" s="404"/>
      <c r="B594" s="404"/>
      <c r="C594" s="404"/>
      <c r="D594" s="383"/>
      <c r="E594" s="417"/>
      <c r="F594" s="392"/>
      <c r="G594" s="405"/>
    </row>
    <row r="595">
      <c r="A595" s="404"/>
      <c r="B595" s="404"/>
      <c r="C595" s="404"/>
      <c r="D595" s="383"/>
      <c r="E595" s="417"/>
      <c r="F595" s="392"/>
      <c r="G595" s="405"/>
    </row>
    <row r="596">
      <c r="A596" s="404"/>
      <c r="B596" s="404"/>
      <c r="C596" s="404"/>
      <c r="D596" s="383"/>
      <c r="E596" s="417"/>
      <c r="F596" s="392"/>
      <c r="G596" s="405"/>
    </row>
    <row r="597">
      <c r="A597" s="404"/>
      <c r="B597" s="404"/>
      <c r="C597" s="404"/>
      <c r="D597" s="383"/>
      <c r="E597" s="417"/>
      <c r="F597" s="392"/>
      <c r="G597" s="405"/>
    </row>
    <row r="598">
      <c r="A598" s="404"/>
      <c r="B598" s="404"/>
      <c r="C598" s="404"/>
      <c r="D598" s="383"/>
      <c r="E598" s="417"/>
      <c r="F598" s="392"/>
      <c r="G598" s="405"/>
    </row>
    <row r="599">
      <c r="A599" s="404"/>
      <c r="B599" s="404"/>
      <c r="C599" s="404"/>
      <c r="D599" s="383"/>
      <c r="E599" s="417"/>
      <c r="F599" s="392"/>
      <c r="G599" s="405"/>
    </row>
    <row r="600">
      <c r="A600" s="404"/>
      <c r="B600" s="404"/>
      <c r="C600" s="404"/>
      <c r="D600" s="383"/>
      <c r="E600" s="417"/>
      <c r="F600" s="392"/>
      <c r="G600" s="405"/>
    </row>
    <row r="601">
      <c r="A601" s="404"/>
      <c r="B601" s="404"/>
      <c r="C601" s="404"/>
      <c r="D601" s="383"/>
      <c r="E601" s="417"/>
      <c r="F601" s="392"/>
      <c r="G601" s="405"/>
    </row>
    <row r="602">
      <c r="A602" s="404"/>
      <c r="B602" s="404"/>
      <c r="C602" s="404"/>
      <c r="D602" s="383"/>
      <c r="E602" s="417"/>
      <c r="F602" s="392"/>
      <c r="G602" s="405"/>
    </row>
    <row r="603">
      <c r="A603" s="404"/>
      <c r="B603" s="404"/>
      <c r="C603" s="404"/>
      <c r="D603" s="383"/>
      <c r="E603" s="417"/>
      <c r="F603" s="392"/>
      <c r="G603" s="405"/>
    </row>
    <row r="604">
      <c r="A604" s="404"/>
      <c r="B604" s="404"/>
      <c r="C604" s="404"/>
      <c r="D604" s="383"/>
      <c r="E604" s="417"/>
      <c r="F604" s="392"/>
      <c r="G604" s="405"/>
    </row>
    <row r="605">
      <c r="A605" s="404"/>
      <c r="B605" s="404"/>
      <c r="C605" s="404"/>
      <c r="D605" s="383"/>
      <c r="E605" s="417"/>
      <c r="F605" s="392"/>
      <c r="G605" s="405"/>
    </row>
    <row r="606">
      <c r="A606" s="404"/>
      <c r="B606" s="404"/>
      <c r="C606" s="404"/>
      <c r="D606" s="383"/>
      <c r="E606" s="417"/>
      <c r="F606" s="392"/>
      <c r="G606" s="405"/>
    </row>
    <row r="607">
      <c r="A607" s="404"/>
      <c r="B607" s="404"/>
      <c r="C607" s="404"/>
      <c r="D607" s="383"/>
      <c r="E607" s="417"/>
      <c r="F607" s="392"/>
      <c r="G607" s="405"/>
    </row>
    <row r="608">
      <c r="A608" s="404"/>
      <c r="B608" s="404"/>
      <c r="C608" s="404"/>
      <c r="D608" s="383"/>
      <c r="E608" s="417"/>
      <c r="F608" s="392"/>
      <c r="G608" s="405"/>
    </row>
    <row r="609">
      <c r="A609" s="404"/>
      <c r="B609" s="404"/>
      <c r="C609" s="404"/>
      <c r="D609" s="383"/>
      <c r="E609" s="417"/>
      <c r="F609" s="392"/>
      <c r="G609" s="405"/>
    </row>
    <row r="610">
      <c r="A610" s="404"/>
      <c r="B610" s="404"/>
      <c r="C610" s="404"/>
      <c r="D610" s="383"/>
      <c r="E610" s="417"/>
      <c r="F610" s="392"/>
      <c r="G610" s="405"/>
    </row>
    <row r="611">
      <c r="A611" s="404"/>
      <c r="B611" s="404"/>
      <c r="C611" s="404"/>
      <c r="D611" s="383"/>
      <c r="E611" s="417"/>
      <c r="F611" s="392"/>
      <c r="G611" s="405"/>
    </row>
    <row r="612">
      <c r="A612" s="404"/>
      <c r="B612" s="404"/>
      <c r="C612" s="404"/>
      <c r="D612" s="383"/>
      <c r="E612" s="417"/>
      <c r="F612" s="392"/>
      <c r="G612" s="405"/>
    </row>
    <row r="613">
      <c r="A613" s="404"/>
      <c r="B613" s="404"/>
      <c r="C613" s="404"/>
      <c r="D613" s="383"/>
      <c r="E613" s="417"/>
      <c r="F613" s="392"/>
      <c r="G613" s="405"/>
    </row>
    <row r="614">
      <c r="A614" s="404"/>
      <c r="B614" s="404"/>
      <c r="C614" s="404"/>
      <c r="D614" s="383"/>
      <c r="E614" s="417"/>
      <c r="F614" s="392"/>
      <c r="G614" s="405"/>
    </row>
    <row r="615">
      <c r="A615" s="404"/>
      <c r="B615" s="404"/>
      <c r="C615" s="404"/>
      <c r="D615" s="383"/>
      <c r="E615" s="417"/>
      <c r="F615" s="392"/>
      <c r="G615" s="405"/>
    </row>
    <row r="616">
      <c r="A616" s="404"/>
      <c r="B616" s="404"/>
      <c r="C616" s="404"/>
      <c r="D616" s="383"/>
      <c r="E616" s="417"/>
      <c r="F616" s="392"/>
      <c r="G616" s="405"/>
    </row>
    <row r="617">
      <c r="A617" s="404"/>
      <c r="B617" s="404"/>
      <c r="C617" s="404"/>
      <c r="D617" s="383"/>
      <c r="E617" s="417"/>
      <c r="F617" s="392"/>
      <c r="G617" s="405"/>
    </row>
    <row r="618">
      <c r="A618" s="404"/>
      <c r="B618" s="404"/>
      <c r="C618" s="404"/>
      <c r="D618" s="383"/>
      <c r="E618" s="417"/>
      <c r="F618" s="392"/>
      <c r="G618" s="405"/>
    </row>
    <row r="619">
      <c r="A619" s="404"/>
      <c r="B619" s="404"/>
      <c r="C619" s="404"/>
      <c r="D619" s="383"/>
      <c r="E619" s="417"/>
      <c r="F619" s="392"/>
      <c r="G619" s="405"/>
    </row>
    <row r="620">
      <c r="A620" s="404"/>
      <c r="B620" s="404"/>
      <c r="C620" s="404"/>
      <c r="D620" s="383"/>
      <c r="E620" s="417"/>
      <c r="F620" s="392"/>
      <c r="G620" s="405"/>
    </row>
    <row r="621">
      <c r="A621" s="404"/>
      <c r="B621" s="404"/>
      <c r="C621" s="404"/>
      <c r="D621" s="383"/>
      <c r="E621" s="417"/>
      <c r="F621" s="392"/>
      <c r="G621" s="405"/>
    </row>
    <row r="622">
      <c r="A622" s="404"/>
      <c r="B622" s="404"/>
      <c r="C622" s="404"/>
      <c r="D622" s="383"/>
      <c r="E622" s="417"/>
      <c r="F622" s="392"/>
      <c r="G622" s="405"/>
    </row>
    <row r="623">
      <c r="A623" s="404"/>
      <c r="B623" s="404"/>
      <c r="C623" s="404"/>
      <c r="D623" s="383"/>
      <c r="E623" s="417"/>
      <c r="F623" s="392"/>
      <c r="G623" s="405"/>
    </row>
    <row r="624">
      <c r="A624" s="404"/>
      <c r="B624" s="404"/>
      <c r="C624" s="404"/>
      <c r="D624" s="383"/>
      <c r="E624" s="417"/>
      <c r="F624" s="392"/>
      <c r="G624" s="405"/>
    </row>
    <row r="625">
      <c r="A625" s="404"/>
      <c r="B625" s="404"/>
      <c r="C625" s="404"/>
      <c r="D625" s="383"/>
      <c r="E625" s="417"/>
      <c r="F625" s="392"/>
      <c r="G625" s="405"/>
    </row>
    <row r="626">
      <c r="A626" s="404"/>
      <c r="B626" s="404"/>
      <c r="C626" s="404"/>
      <c r="D626" s="383"/>
      <c r="E626" s="417"/>
      <c r="F626" s="392"/>
      <c r="G626" s="405"/>
    </row>
    <row r="627">
      <c r="A627" s="404"/>
      <c r="B627" s="404"/>
      <c r="C627" s="404"/>
      <c r="D627" s="383"/>
      <c r="E627" s="417"/>
      <c r="F627" s="392"/>
      <c r="G627" s="405"/>
    </row>
    <row r="628">
      <c r="A628" s="404"/>
      <c r="B628" s="404"/>
      <c r="C628" s="404"/>
      <c r="D628" s="383"/>
      <c r="E628" s="417"/>
      <c r="F628" s="392"/>
      <c r="G628" s="405"/>
    </row>
    <row r="629">
      <c r="A629" s="404"/>
      <c r="B629" s="404"/>
      <c r="C629" s="404"/>
      <c r="D629" s="383"/>
      <c r="E629" s="417"/>
      <c r="F629" s="392"/>
      <c r="G629" s="405"/>
    </row>
    <row r="630">
      <c r="A630" s="404"/>
      <c r="B630" s="404"/>
      <c r="C630" s="404"/>
      <c r="D630" s="383"/>
      <c r="E630" s="417"/>
      <c r="F630" s="392"/>
      <c r="G630" s="405"/>
    </row>
    <row r="631">
      <c r="A631" s="404"/>
      <c r="B631" s="404"/>
      <c r="C631" s="404"/>
      <c r="D631" s="383"/>
      <c r="E631" s="417"/>
      <c r="F631" s="392"/>
      <c r="G631" s="405"/>
    </row>
    <row r="632">
      <c r="A632" s="404"/>
      <c r="B632" s="404"/>
      <c r="C632" s="404"/>
      <c r="D632" s="383"/>
      <c r="E632" s="417"/>
      <c r="F632" s="392"/>
      <c r="G632" s="405"/>
    </row>
    <row r="633">
      <c r="A633" s="404"/>
      <c r="B633" s="404"/>
      <c r="C633" s="404"/>
      <c r="D633" s="383"/>
      <c r="E633" s="417"/>
      <c r="F633" s="392"/>
      <c r="G633" s="405"/>
    </row>
    <row r="634">
      <c r="A634" s="404"/>
      <c r="B634" s="404"/>
      <c r="C634" s="404"/>
      <c r="D634" s="383"/>
      <c r="E634" s="417"/>
      <c r="F634" s="392"/>
      <c r="G634" s="405"/>
    </row>
    <row r="635">
      <c r="A635" s="404"/>
      <c r="B635" s="404"/>
      <c r="C635" s="404"/>
      <c r="D635" s="383"/>
      <c r="E635" s="417"/>
      <c r="F635" s="392"/>
      <c r="G635" s="405"/>
    </row>
    <row r="636">
      <c r="A636" s="404"/>
      <c r="B636" s="404"/>
      <c r="C636" s="404"/>
      <c r="D636" s="383"/>
      <c r="E636" s="417"/>
      <c r="F636" s="392"/>
      <c r="G636" s="405"/>
    </row>
    <row r="637">
      <c r="A637" s="404"/>
      <c r="B637" s="404"/>
      <c r="C637" s="404"/>
      <c r="D637" s="383"/>
      <c r="E637" s="417"/>
      <c r="F637" s="392"/>
      <c r="G637" s="405"/>
    </row>
    <row r="638">
      <c r="A638" s="404"/>
      <c r="B638" s="404"/>
      <c r="C638" s="404"/>
      <c r="D638" s="383"/>
      <c r="E638" s="417"/>
      <c r="F638" s="392"/>
      <c r="G638" s="405"/>
    </row>
    <row r="639">
      <c r="A639" s="404"/>
      <c r="B639" s="404"/>
      <c r="C639" s="404"/>
      <c r="D639" s="383"/>
      <c r="E639" s="417"/>
      <c r="F639" s="392"/>
      <c r="G639" s="405"/>
    </row>
    <row r="640">
      <c r="A640" s="404"/>
      <c r="B640" s="404"/>
      <c r="C640" s="404"/>
      <c r="D640" s="383"/>
      <c r="E640" s="417"/>
      <c r="F640" s="392"/>
      <c r="G640" s="405"/>
    </row>
    <row r="641">
      <c r="A641" s="404"/>
      <c r="B641" s="404"/>
      <c r="C641" s="404"/>
      <c r="D641" s="383"/>
      <c r="E641" s="417"/>
      <c r="F641" s="392"/>
      <c r="G641" s="405"/>
    </row>
    <row r="642">
      <c r="A642" s="404"/>
      <c r="B642" s="404"/>
      <c r="C642" s="404"/>
      <c r="D642" s="383"/>
      <c r="E642" s="417"/>
      <c r="F642" s="392"/>
      <c r="G642" s="405"/>
    </row>
    <row r="643">
      <c r="A643" s="404"/>
      <c r="B643" s="404"/>
      <c r="C643" s="404"/>
      <c r="D643" s="383"/>
      <c r="E643" s="417"/>
      <c r="F643" s="392"/>
      <c r="G643" s="405"/>
    </row>
    <row r="644">
      <c r="A644" s="404"/>
      <c r="B644" s="404"/>
      <c r="C644" s="404"/>
      <c r="D644" s="383"/>
      <c r="E644" s="417"/>
      <c r="F644" s="392"/>
      <c r="G644" s="405"/>
    </row>
    <row r="645">
      <c r="A645" s="404"/>
      <c r="B645" s="404"/>
      <c r="C645" s="404"/>
      <c r="D645" s="383"/>
      <c r="E645" s="417"/>
      <c r="F645" s="392"/>
      <c r="G645" s="405"/>
    </row>
    <row r="646">
      <c r="A646" s="404"/>
      <c r="B646" s="404"/>
      <c r="C646" s="404"/>
      <c r="D646" s="383"/>
      <c r="E646" s="417"/>
      <c r="F646" s="392"/>
      <c r="G646" s="405"/>
    </row>
    <row r="647">
      <c r="A647" s="404"/>
      <c r="B647" s="404"/>
      <c r="C647" s="404"/>
      <c r="D647" s="383"/>
      <c r="E647" s="417"/>
      <c r="F647" s="392"/>
      <c r="G647" s="405"/>
    </row>
    <row r="648">
      <c r="A648" s="404"/>
      <c r="B648" s="404"/>
      <c r="C648" s="404"/>
      <c r="D648" s="383"/>
      <c r="E648" s="417"/>
      <c r="F648" s="392"/>
      <c r="G648" s="405"/>
    </row>
    <row r="649">
      <c r="A649" s="404"/>
      <c r="B649" s="404"/>
      <c r="C649" s="404"/>
      <c r="D649" s="383"/>
      <c r="E649" s="417"/>
      <c r="F649" s="392"/>
      <c r="G649" s="405"/>
    </row>
    <row r="650">
      <c r="A650" s="404"/>
      <c r="B650" s="404"/>
      <c r="C650" s="404"/>
      <c r="D650" s="383"/>
      <c r="E650" s="417"/>
      <c r="F650" s="392"/>
      <c r="G650" s="405"/>
    </row>
    <row r="651">
      <c r="A651" s="404"/>
      <c r="B651" s="404"/>
      <c r="C651" s="404"/>
      <c r="D651" s="383"/>
      <c r="E651" s="417"/>
      <c r="F651" s="392"/>
      <c r="G651" s="405"/>
    </row>
    <row r="652">
      <c r="A652" s="404"/>
      <c r="B652" s="404"/>
      <c r="C652" s="404"/>
      <c r="D652" s="383"/>
      <c r="E652" s="417"/>
      <c r="F652" s="392"/>
      <c r="G652" s="405"/>
    </row>
    <row r="653">
      <c r="A653" s="404"/>
      <c r="B653" s="404"/>
      <c r="C653" s="404"/>
      <c r="D653" s="383"/>
      <c r="E653" s="417"/>
      <c r="F653" s="392"/>
      <c r="G653" s="405"/>
    </row>
    <row r="654">
      <c r="A654" s="404"/>
      <c r="B654" s="404"/>
      <c r="C654" s="404"/>
      <c r="D654" s="383"/>
      <c r="E654" s="417"/>
      <c r="F654" s="392"/>
      <c r="G654" s="405"/>
    </row>
    <row r="655">
      <c r="A655" s="404"/>
      <c r="B655" s="404"/>
      <c r="C655" s="404"/>
      <c r="D655" s="383"/>
      <c r="E655" s="417"/>
      <c r="F655" s="392"/>
      <c r="G655" s="405"/>
    </row>
    <row r="656">
      <c r="A656" s="404"/>
      <c r="B656" s="404"/>
      <c r="C656" s="404"/>
      <c r="D656" s="383"/>
      <c r="E656" s="417"/>
      <c r="F656" s="392"/>
      <c r="G656" s="405"/>
    </row>
    <row r="657">
      <c r="A657" s="404"/>
      <c r="B657" s="404"/>
      <c r="C657" s="404"/>
      <c r="D657" s="383"/>
      <c r="E657" s="417"/>
      <c r="F657" s="392"/>
      <c r="G657" s="405"/>
    </row>
    <row r="658">
      <c r="A658" s="404"/>
      <c r="B658" s="404"/>
      <c r="C658" s="404"/>
      <c r="D658" s="383"/>
      <c r="E658" s="417"/>
      <c r="F658" s="392"/>
      <c r="G658" s="405"/>
    </row>
    <row r="659">
      <c r="A659" s="404"/>
      <c r="B659" s="404"/>
      <c r="C659" s="404"/>
      <c r="D659" s="383"/>
      <c r="E659" s="417"/>
      <c r="F659" s="392"/>
      <c r="G659" s="405"/>
    </row>
    <row r="660">
      <c r="A660" s="404"/>
      <c r="B660" s="404"/>
      <c r="C660" s="404"/>
      <c r="D660" s="383"/>
      <c r="E660" s="417"/>
      <c r="F660" s="392"/>
      <c r="G660" s="405"/>
    </row>
    <row r="661">
      <c r="A661" s="404"/>
      <c r="B661" s="404"/>
      <c r="C661" s="404"/>
      <c r="D661" s="383"/>
      <c r="E661" s="417"/>
      <c r="F661" s="392"/>
      <c r="G661" s="405"/>
    </row>
    <row r="662">
      <c r="A662" s="404"/>
      <c r="B662" s="404"/>
      <c r="C662" s="404"/>
      <c r="D662" s="383"/>
      <c r="E662" s="417"/>
      <c r="F662" s="392"/>
      <c r="G662" s="405"/>
    </row>
    <row r="663">
      <c r="A663" s="404"/>
      <c r="B663" s="404"/>
      <c r="C663" s="404"/>
      <c r="D663" s="383"/>
      <c r="E663" s="417"/>
      <c r="F663" s="392"/>
      <c r="G663" s="405"/>
    </row>
    <row r="664">
      <c r="A664" s="404"/>
      <c r="B664" s="404"/>
      <c r="C664" s="404"/>
      <c r="D664" s="383"/>
      <c r="E664" s="417"/>
      <c r="F664" s="392"/>
      <c r="G664" s="405"/>
    </row>
    <row r="665">
      <c r="A665" s="404"/>
      <c r="B665" s="404"/>
      <c r="C665" s="404"/>
      <c r="D665" s="383"/>
      <c r="E665" s="417"/>
      <c r="F665" s="392"/>
      <c r="G665" s="405"/>
    </row>
    <row r="666">
      <c r="A666" s="404"/>
      <c r="B666" s="404"/>
      <c r="C666" s="404"/>
      <c r="D666" s="383"/>
      <c r="E666" s="417"/>
      <c r="F666" s="392"/>
      <c r="G666" s="405"/>
    </row>
    <row r="667">
      <c r="A667" s="404"/>
      <c r="B667" s="404"/>
      <c r="C667" s="404"/>
      <c r="D667" s="383"/>
      <c r="E667" s="417"/>
      <c r="F667" s="392"/>
      <c r="G667" s="405"/>
    </row>
    <row r="668">
      <c r="A668" s="404"/>
      <c r="B668" s="404"/>
      <c r="C668" s="404"/>
      <c r="D668" s="383"/>
      <c r="E668" s="417"/>
      <c r="F668" s="392"/>
      <c r="G668" s="405"/>
    </row>
    <row r="669">
      <c r="A669" s="404"/>
      <c r="B669" s="404"/>
      <c r="C669" s="404"/>
      <c r="D669" s="383"/>
      <c r="E669" s="417"/>
      <c r="F669" s="392"/>
      <c r="G669" s="405"/>
    </row>
    <row r="670">
      <c r="A670" s="404"/>
      <c r="B670" s="404"/>
      <c r="C670" s="404"/>
      <c r="D670" s="383"/>
      <c r="E670" s="417"/>
      <c r="F670" s="392"/>
      <c r="G670" s="405"/>
    </row>
    <row r="671">
      <c r="A671" s="404"/>
      <c r="B671" s="404"/>
      <c r="C671" s="404"/>
      <c r="D671" s="383"/>
      <c r="E671" s="417"/>
      <c r="F671" s="392"/>
      <c r="G671" s="405"/>
    </row>
    <row r="672">
      <c r="A672" s="404"/>
      <c r="B672" s="404"/>
      <c r="C672" s="404"/>
      <c r="D672" s="383"/>
      <c r="E672" s="417"/>
      <c r="F672" s="392"/>
      <c r="G672" s="405"/>
    </row>
    <row r="673">
      <c r="A673" s="404"/>
      <c r="B673" s="404"/>
      <c r="C673" s="404"/>
      <c r="D673" s="383"/>
      <c r="E673" s="417"/>
      <c r="F673" s="392"/>
      <c r="G673" s="405"/>
    </row>
    <row r="674">
      <c r="A674" s="404"/>
      <c r="B674" s="404"/>
      <c r="C674" s="404"/>
      <c r="D674" s="383"/>
      <c r="E674" s="417"/>
      <c r="F674" s="392"/>
      <c r="G674" s="405"/>
    </row>
    <row r="675">
      <c r="A675" s="404"/>
      <c r="B675" s="404"/>
      <c r="C675" s="404"/>
      <c r="D675" s="383"/>
      <c r="E675" s="417"/>
      <c r="F675" s="392"/>
      <c r="G675" s="405"/>
    </row>
    <row r="676">
      <c r="A676" s="404"/>
      <c r="B676" s="404"/>
      <c r="C676" s="404"/>
      <c r="D676" s="383"/>
      <c r="E676" s="417"/>
      <c r="F676" s="392"/>
      <c r="G676" s="405"/>
    </row>
    <row r="677">
      <c r="A677" s="404"/>
      <c r="B677" s="404"/>
      <c r="C677" s="404"/>
      <c r="D677" s="383"/>
      <c r="E677" s="417"/>
      <c r="F677" s="392"/>
      <c r="G677" s="405"/>
    </row>
    <row r="678">
      <c r="A678" s="404"/>
      <c r="B678" s="404"/>
      <c r="C678" s="404"/>
      <c r="D678" s="383"/>
      <c r="E678" s="417"/>
      <c r="F678" s="392"/>
      <c r="G678" s="405"/>
    </row>
    <row r="679">
      <c r="A679" s="404"/>
      <c r="B679" s="404"/>
      <c r="C679" s="404"/>
      <c r="D679" s="383"/>
      <c r="E679" s="417"/>
      <c r="F679" s="392"/>
      <c r="G679" s="405"/>
    </row>
    <row r="680">
      <c r="A680" s="404"/>
      <c r="B680" s="404"/>
      <c r="C680" s="404"/>
      <c r="D680" s="383"/>
      <c r="E680" s="417"/>
      <c r="F680" s="392"/>
      <c r="G680" s="405"/>
    </row>
    <row r="681">
      <c r="A681" s="404"/>
      <c r="B681" s="404"/>
      <c r="C681" s="404"/>
      <c r="D681" s="383"/>
      <c r="E681" s="417"/>
      <c r="F681" s="392"/>
      <c r="G681" s="405"/>
    </row>
    <row r="682">
      <c r="A682" s="404"/>
      <c r="B682" s="404"/>
      <c r="C682" s="404"/>
      <c r="D682" s="383"/>
      <c r="E682" s="417"/>
      <c r="F682" s="392"/>
      <c r="G682" s="405"/>
    </row>
    <row r="683">
      <c r="A683" s="404"/>
      <c r="B683" s="404"/>
      <c r="C683" s="404"/>
      <c r="D683" s="383"/>
      <c r="E683" s="417"/>
      <c r="F683" s="392"/>
      <c r="G683" s="405"/>
    </row>
    <row r="684">
      <c r="A684" s="404"/>
      <c r="B684" s="404"/>
      <c r="C684" s="404"/>
      <c r="D684" s="383"/>
      <c r="E684" s="417"/>
      <c r="F684" s="392"/>
      <c r="G684" s="405"/>
    </row>
    <row r="685">
      <c r="A685" s="404"/>
      <c r="B685" s="404"/>
      <c r="C685" s="404"/>
      <c r="D685" s="383"/>
      <c r="E685" s="417"/>
      <c r="F685" s="392"/>
      <c r="G685" s="405"/>
    </row>
    <row r="686">
      <c r="A686" s="404"/>
      <c r="B686" s="404"/>
      <c r="C686" s="404"/>
      <c r="D686" s="383"/>
      <c r="E686" s="417"/>
      <c r="F686" s="392"/>
      <c r="G686" s="405"/>
    </row>
    <row r="687">
      <c r="A687" s="404"/>
      <c r="B687" s="404"/>
      <c r="C687" s="404"/>
      <c r="D687" s="383"/>
      <c r="E687" s="417"/>
      <c r="F687" s="392"/>
      <c r="G687" s="405"/>
    </row>
    <row r="688">
      <c r="A688" s="404"/>
      <c r="B688" s="404"/>
      <c r="C688" s="404"/>
      <c r="D688" s="383"/>
      <c r="E688" s="417"/>
      <c r="F688" s="392"/>
      <c r="G688" s="405"/>
    </row>
    <row r="689">
      <c r="A689" s="404"/>
      <c r="B689" s="404"/>
      <c r="C689" s="404"/>
      <c r="D689" s="383"/>
      <c r="E689" s="417"/>
      <c r="F689" s="392"/>
      <c r="G689" s="405"/>
    </row>
    <row r="690">
      <c r="A690" s="404"/>
      <c r="B690" s="404"/>
      <c r="C690" s="404"/>
      <c r="D690" s="383"/>
      <c r="E690" s="417"/>
      <c r="F690" s="392"/>
      <c r="G690" s="405"/>
    </row>
    <row r="691">
      <c r="A691" s="404"/>
      <c r="B691" s="404"/>
      <c r="C691" s="404"/>
      <c r="D691" s="383"/>
      <c r="E691" s="417"/>
      <c r="F691" s="392"/>
      <c r="G691" s="405"/>
    </row>
    <row r="692">
      <c r="A692" s="404"/>
      <c r="B692" s="404"/>
      <c r="C692" s="404"/>
      <c r="D692" s="383"/>
      <c r="E692" s="417"/>
      <c r="F692" s="392"/>
      <c r="G692" s="405"/>
    </row>
    <row r="693">
      <c r="A693" s="404"/>
      <c r="B693" s="404"/>
      <c r="C693" s="404"/>
      <c r="D693" s="383"/>
      <c r="E693" s="417"/>
      <c r="F693" s="392"/>
      <c r="G693" s="405"/>
    </row>
    <row r="694">
      <c r="A694" s="404"/>
      <c r="B694" s="404"/>
      <c r="C694" s="404"/>
      <c r="D694" s="383"/>
      <c r="E694" s="417"/>
      <c r="F694" s="392"/>
      <c r="G694" s="405"/>
    </row>
    <row r="695">
      <c r="A695" s="404"/>
      <c r="B695" s="404"/>
      <c r="C695" s="404"/>
      <c r="D695" s="383"/>
      <c r="E695" s="417"/>
      <c r="F695" s="392"/>
      <c r="G695" s="405"/>
    </row>
    <row r="696">
      <c r="A696" s="404"/>
      <c r="B696" s="404"/>
      <c r="C696" s="404"/>
      <c r="D696" s="383"/>
      <c r="E696" s="417"/>
      <c r="F696" s="392"/>
      <c r="G696" s="405"/>
    </row>
    <row r="697">
      <c r="A697" s="404"/>
      <c r="B697" s="404"/>
      <c r="C697" s="404"/>
      <c r="D697" s="383"/>
      <c r="E697" s="417"/>
      <c r="F697" s="392"/>
      <c r="G697" s="405"/>
    </row>
    <row r="698">
      <c r="A698" s="404"/>
      <c r="B698" s="404"/>
      <c r="C698" s="404"/>
      <c r="D698" s="383"/>
      <c r="E698" s="417"/>
      <c r="F698" s="392"/>
      <c r="G698" s="405"/>
    </row>
    <row r="699">
      <c r="A699" s="404"/>
      <c r="B699" s="404"/>
      <c r="C699" s="404"/>
      <c r="D699" s="383"/>
      <c r="E699" s="417"/>
      <c r="F699" s="392"/>
      <c r="G699" s="405"/>
    </row>
    <row r="700">
      <c r="A700" s="404"/>
      <c r="B700" s="404"/>
      <c r="C700" s="404"/>
      <c r="D700" s="383"/>
      <c r="E700" s="417"/>
      <c r="F700" s="392"/>
      <c r="G700" s="405"/>
    </row>
    <row r="701">
      <c r="A701" s="404"/>
      <c r="B701" s="404"/>
      <c r="C701" s="404"/>
      <c r="D701" s="383"/>
      <c r="E701" s="417"/>
      <c r="F701" s="392"/>
      <c r="G701" s="405"/>
    </row>
    <row r="702">
      <c r="A702" s="404"/>
      <c r="B702" s="404"/>
      <c r="C702" s="404"/>
      <c r="D702" s="383"/>
      <c r="E702" s="417"/>
      <c r="F702" s="392"/>
      <c r="G702" s="405"/>
    </row>
    <row r="703">
      <c r="A703" s="404"/>
      <c r="B703" s="404"/>
      <c r="C703" s="404"/>
      <c r="D703" s="383"/>
      <c r="E703" s="417"/>
      <c r="F703" s="392"/>
      <c r="G703" s="405"/>
    </row>
    <row r="704">
      <c r="A704" s="404"/>
      <c r="B704" s="404"/>
      <c r="C704" s="404"/>
      <c r="D704" s="383"/>
      <c r="E704" s="417"/>
      <c r="F704" s="392"/>
      <c r="G704" s="405"/>
    </row>
    <row r="705">
      <c r="A705" s="404"/>
      <c r="B705" s="404"/>
      <c r="C705" s="404"/>
      <c r="D705" s="383"/>
      <c r="E705" s="417"/>
      <c r="F705" s="392"/>
      <c r="G705" s="405"/>
    </row>
    <row r="706">
      <c r="A706" s="404"/>
      <c r="B706" s="404"/>
      <c r="C706" s="404"/>
      <c r="D706" s="383"/>
      <c r="E706" s="417"/>
      <c r="F706" s="392"/>
      <c r="G706" s="405"/>
    </row>
    <row r="707">
      <c r="A707" s="404"/>
      <c r="B707" s="404"/>
      <c r="C707" s="404"/>
      <c r="D707" s="383"/>
      <c r="E707" s="417"/>
      <c r="F707" s="392"/>
      <c r="G707" s="405"/>
    </row>
    <row r="708">
      <c r="A708" s="404"/>
      <c r="B708" s="404"/>
      <c r="C708" s="404"/>
      <c r="D708" s="383"/>
      <c r="E708" s="417"/>
      <c r="F708" s="392"/>
      <c r="G708" s="405"/>
    </row>
    <row r="709">
      <c r="A709" s="404"/>
      <c r="B709" s="404"/>
      <c r="C709" s="404"/>
      <c r="D709" s="383"/>
      <c r="E709" s="417"/>
      <c r="F709" s="392"/>
      <c r="G709" s="405"/>
    </row>
    <row r="710">
      <c r="A710" s="404"/>
      <c r="B710" s="404"/>
      <c r="C710" s="404"/>
      <c r="D710" s="383"/>
      <c r="E710" s="417"/>
      <c r="F710" s="392"/>
      <c r="G710" s="405"/>
    </row>
    <row r="711">
      <c r="A711" s="404"/>
      <c r="B711" s="404"/>
      <c r="C711" s="404"/>
      <c r="D711" s="383"/>
      <c r="E711" s="417"/>
      <c r="F711" s="392"/>
      <c r="G711" s="405"/>
    </row>
    <row r="712">
      <c r="A712" s="404"/>
      <c r="B712" s="404"/>
      <c r="C712" s="404"/>
      <c r="D712" s="383"/>
      <c r="E712" s="417"/>
      <c r="F712" s="392"/>
      <c r="G712" s="405"/>
    </row>
    <row r="713">
      <c r="A713" s="404"/>
      <c r="B713" s="404"/>
      <c r="C713" s="404"/>
      <c r="D713" s="383"/>
      <c r="E713" s="417"/>
      <c r="F713" s="392"/>
      <c r="G713" s="405"/>
    </row>
    <row r="714">
      <c r="A714" s="404"/>
      <c r="B714" s="404"/>
      <c r="C714" s="404"/>
      <c r="D714" s="383"/>
      <c r="E714" s="417"/>
      <c r="F714" s="392"/>
      <c r="G714" s="405"/>
    </row>
    <row r="715">
      <c r="A715" s="404"/>
      <c r="B715" s="404"/>
      <c r="C715" s="404"/>
      <c r="D715" s="383"/>
      <c r="E715" s="417"/>
      <c r="F715" s="392"/>
      <c r="G715" s="405"/>
    </row>
    <row r="716">
      <c r="A716" s="404"/>
      <c r="B716" s="404"/>
      <c r="C716" s="404"/>
      <c r="D716" s="383"/>
      <c r="E716" s="417"/>
      <c r="F716" s="392"/>
      <c r="G716" s="405"/>
    </row>
    <row r="717">
      <c r="A717" s="404"/>
      <c r="B717" s="404"/>
      <c r="C717" s="404"/>
      <c r="D717" s="383"/>
      <c r="E717" s="417"/>
      <c r="F717" s="392"/>
      <c r="G717" s="405"/>
    </row>
    <row r="718">
      <c r="A718" s="404"/>
      <c r="B718" s="404"/>
      <c r="C718" s="404"/>
      <c r="D718" s="383"/>
      <c r="E718" s="417"/>
      <c r="F718" s="392"/>
      <c r="G718" s="405"/>
    </row>
    <row r="719">
      <c r="A719" s="404"/>
      <c r="B719" s="404"/>
      <c r="C719" s="404"/>
      <c r="D719" s="383"/>
      <c r="E719" s="417"/>
      <c r="F719" s="392"/>
      <c r="G719" s="405"/>
    </row>
    <row r="720">
      <c r="A720" s="404"/>
      <c r="B720" s="404"/>
      <c r="C720" s="404"/>
      <c r="D720" s="383"/>
      <c r="E720" s="417"/>
      <c r="F720" s="392"/>
      <c r="G720" s="405"/>
    </row>
    <row r="721">
      <c r="A721" s="404"/>
      <c r="B721" s="404"/>
      <c r="C721" s="404"/>
      <c r="D721" s="383"/>
      <c r="E721" s="417"/>
      <c r="F721" s="392"/>
      <c r="G721" s="405"/>
    </row>
    <row r="722">
      <c r="A722" s="404"/>
      <c r="B722" s="404"/>
      <c r="C722" s="404"/>
      <c r="D722" s="383"/>
      <c r="E722" s="417"/>
      <c r="F722" s="392"/>
      <c r="G722" s="405"/>
    </row>
    <row r="723">
      <c r="A723" s="404"/>
      <c r="B723" s="404"/>
      <c r="C723" s="404"/>
      <c r="D723" s="383"/>
      <c r="E723" s="417"/>
      <c r="F723" s="392"/>
      <c r="G723" s="405"/>
    </row>
    <row r="724">
      <c r="A724" s="404"/>
      <c r="B724" s="404"/>
      <c r="C724" s="404"/>
      <c r="D724" s="383"/>
      <c r="E724" s="417"/>
      <c r="F724" s="392"/>
      <c r="G724" s="405"/>
    </row>
    <row r="725">
      <c r="A725" s="404"/>
      <c r="B725" s="404"/>
      <c r="C725" s="404"/>
      <c r="D725" s="383"/>
      <c r="E725" s="417"/>
      <c r="F725" s="392"/>
      <c r="G725" s="405"/>
    </row>
    <row r="726">
      <c r="A726" s="404"/>
      <c r="B726" s="404"/>
      <c r="C726" s="404"/>
      <c r="D726" s="383"/>
      <c r="E726" s="417"/>
      <c r="F726" s="392"/>
      <c r="G726" s="405"/>
    </row>
    <row r="727">
      <c r="A727" s="404"/>
      <c r="B727" s="404"/>
      <c r="C727" s="404"/>
      <c r="D727" s="383"/>
      <c r="E727" s="417"/>
      <c r="F727" s="392"/>
      <c r="G727" s="405"/>
    </row>
    <row r="728">
      <c r="A728" s="404"/>
      <c r="B728" s="404"/>
      <c r="C728" s="404"/>
      <c r="D728" s="383"/>
      <c r="E728" s="417"/>
      <c r="F728" s="392"/>
      <c r="G728" s="405"/>
    </row>
    <row r="729">
      <c r="A729" s="404"/>
      <c r="B729" s="404"/>
      <c r="C729" s="404"/>
      <c r="D729" s="383"/>
      <c r="E729" s="417"/>
      <c r="F729" s="392"/>
      <c r="G729" s="405"/>
    </row>
    <row r="730">
      <c r="A730" s="404"/>
      <c r="B730" s="404"/>
      <c r="C730" s="404"/>
      <c r="D730" s="383"/>
      <c r="E730" s="417"/>
      <c r="F730" s="392"/>
      <c r="G730" s="405"/>
    </row>
    <row r="731">
      <c r="A731" s="404"/>
      <c r="B731" s="404"/>
      <c r="C731" s="404"/>
      <c r="D731" s="383"/>
      <c r="E731" s="417"/>
      <c r="F731" s="392"/>
      <c r="G731" s="405"/>
    </row>
    <row r="732">
      <c r="A732" s="404"/>
      <c r="B732" s="404"/>
      <c r="C732" s="404"/>
      <c r="D732" s="383"/>
      <c r="E732" s="417"/>
      <c r="F732" s="392"/>
      <c r="G732" s="405"/>
    </row>
    <row r="733">
      <c r="A733" s="404"/>
      <c r="B733" s="404"/>
      <c r="C733" s="404"/>
      <c r="D733" s="383"/>
      <c r="E733" s="417"/>
      <c r="F733" s="392"/>
      <c r="G733" s="405"/>
    </row>
    <row r="734">
      <c r="A734" s="404"/>
      <c r="B734" s="404"/>
      <c r="C734" s="404"/>
      <c r="D734" s="383"/>
      <c r="E734" s="417"/>
      <c r="F734" s="392"/>
      <c r="G734" s="405"/>
    </row>
    <row r="735">
      <c r="A735" s="404"/>
      <c r="B735" s="404"/>
      <c r="C735" s="404"/>
      <c r="D735" s="383"/>
      <c r="E735" s="417"/>
      <c r="F735" s="392"/>
      <c r="G735" s="405"/>
    </row>
    <row r="736">
      <c r="A736" s="404"/>
      <c r="B736" s="404"/>
      <c r="C736" s="404"/>
      <c r="D736" s="383"/>
      <c r="E736" s="417"/>
      <c r="F736" s="392"/>
      <c r="G736" s="405"/>
    </row>
    <row r="737">
      <c r="A737" s="404"/>
      <c r="B737" s="404"/>
      <c r="C737" s="404"/>
      <c r="D737" s="383"/>
      <c r="E737" s="417"/>
      <c r="F737" s="392"/>
      <c r="G737" s="405"/>
    </row>
    <row r="738">
      <c r="A738" s="404"/>
      <c r="B738" s="404"/>
      <c r="C738" s="404"/>
      <c r="D738" s="383"/>
      <c r="E738" s="417"/>
      <c r="F738" s="392"/>
      <c r="G738" s="405"/>
    </row>
    <row r="739">
      <c r="A739" s="404"/>
      <c r="B739" s="404"/>
      <c r="C739" s="404"/>
      <c r="D739" s="383"/>
      <c r="E739" s="417"/>
      <c r="F739" s="392"/>
      <c r="G739" s="405"/>
    </row>
    <row r="740">
      <c r="A740" s="404"/>
      <c r="B740" s="404"/>
      <c r="C740" s="404"/>
      <c r="D740" s="383"/>
      <c r="E740" s="417"/>
      <c r="F740" s="392"/>
      <c r="G740" s="405"/>
    </row>
    <row r="741">
      <c r="A741" s="404"/>
      <c r="B741" s="404"/>
      <c r="C741" s="404"/>
      <c r="D741" s="383"/>
      <c r="E741" s="417"/>
      <c r="F741" s="392"/>
      <c r="G741" s="405"/>
    </row>
    <row r="742">
      <c r="A742" s="404"/>
      <c r="B742" s="404"/>
      <c r="C742" s="404"/>
      <c r="D742" s="383"/>
      <c r="E742" s="417"/>
      <c r="F742" s="392"/>
      <c r="G742" s="405"/>
    </row>
    <row r="743">
      <c r="A743" s="404"/>
      <c r="B743" s="404"/>
      <c r="C743" s="404"/>
      <c r="D743" s="383"/>
      <c r="E743" s="417"/>
      <c r="F743" s="392"/>
      <c r="G743" s="405"/>
    </row>
    <row r="744">
      <c r="A744" s="404"/>
      <c r="B744" s="404"/>
      <c r="C744" s="404"/>
      <c r="D744" s="383"/>
      <c r="E744" s="417"/>
      <c r="F744" s="392"/>
      <c r="G744" s="405"/>
    </row>
    <row r="745">
      <c r="A745" s="404"/>
      <c r="B745" s="404"/>
      <c r="C745" s="404"/>
      <c r="D745" s="383"/>
      <c r="E745" s="417"/>
      <c r="F745" s="392"/>
      <c r="G745" s="405"/>
    </row>
    <row r="746">
      <c r="A746" s="404"/>
      <c r="B746" s="404"/>
      <c r="C746" s="404"/>
      <c r="D746" s="383"/>
      <c r="E746" s="417"/>
      <c r="F746" s="392"/>
      <c r="G746" s="405"/>
    </row>
    <row r="747">
      <c r="A747" s="404"/>
      <c r="B747" s="404"/>
      <c r="C747" s="404"/>
      <c r="D747" s="383"/>
      <c r="E747" s="417"/>
      <c r="F747" s="392"/>
      <c r="G747" s="405"/>
    </row>
    <row r="748">
      <c r="A748" s="404"/>
      <c r="B748" s="404"/>
      <c r="C748" s="404"/>
      <c r="D748" s="383"/>
      <c r="E748" s="417"/>
      <c r="F748" s="392"/>
      <c r="G748" s="405"/>
    </row>
    <row r="749">
      <c r="A749" s="404"/>
      <c r="B749" s="404"/>
      <c r="C749" s="404"/>
      <c r="D749" s="383"/>
      <c r="E749" s="417"/>
      <c r="F749" s="392"/>
      <c r="G749" s="405"/>
    </row>
    <row r="750">
      <c r="A750" s="404"/>
      <c r="B750" s="404"/>
      <c r="C750" s="404"/>
      <c r="D750" s="383"/>
      <c r="E750" s="417"/>
      <c r="F750" s="392"/>
      <c r="G750" s="405"/>
    </row>
    <row r="751">
      <c r="A751" s="404"/>
      <c r="B751" s="404"/>
      <c r="C751" s="404"/>
      <c r="D751" s="383"/>
      <c r="E751" s="417"/>
      <c r="F751" s="392"/>
      <c r="G751" s="405"/>
    </row>
    <row r="752">
      <c r="A752" s="404"/>
      <c r="B752" s="404"/>
      <c r="C752" s="404"/>
      <c r="D752" s="383"/>
      <c r="E752" s="417"/>
      <c r="F752" s="392"/>
      <c r="G752" s="405"/>
    </row>
    <row r="753">
      <c r="A753" s="404"/>
      <c r="B753" s="404"/>
      <c r="C753" s="404"/>
      <c r="D753" s="383"/>
      <c r="E753" s="417"/>
      <c r="F753" s="392"/>
      <c r="G753" s="405"/>
    </row>
    <row r="754">
      <c r="A754" s="404"/>
      <c r="B754" s="404"/>
      <c r="C754" s="404"/>
      <c r="D754" s="383"/>
      <c r="E754" s="417"/>
      <c r="F754" s="392"/>
      <c r="G754" s="405"/>
    </row>
    <row r="755">
      <c r="A755" s="404"/>
      <c r="B755" s="404"/>
      <c r="C755" s="404"/>
      <c r="D755" s="383"/>
      <c r="E755" s="417"/>
      <c r="F755" s="392"/>
      <c r="G755" s="405"/>
    </row>
    <row r="756">
      <c r="A756" s="404"/>
      <c r="B756" s="404"/>
      <c r="C756" s="404"/>
      <c r="D756" s="383"/>
      <c r="E756" s="417"/>
      <c r="F756" s="392"/>
      <c r="G756" s="405"/>
    </row>
    <row r="757">
      <c r="A757" s="404"/>
      <c r="B757" s="404"/>
      <c r="C757" s="404"/>
      <c r="D757" s="383"/>
      <c r="E757" s="417"/>
      <c r="F757" s="392"/>
      <c r="G757" s="405"/>
    </row>
    <row r="758">
      <c r="A758" s="404"/>
      <c r="B758" s="404"/>
      <c r="C758" s="404"/>
      <c r="D758" s="383"/>
      <c r="E758" s="417"/>
      <c r="F758" s="392"/>
      <c r="G758" s="405"/>
    </row>
    <row r="759">
      <c r="A759" s="404"/>
      <c r="B759" s="404"/>
      <c r="C759" s="404"/>
      <c r="D759" s="383"/>
      <c r="E759" s="417"/>
      <c r="F759" s="392"/>
      <c r="G759" s="405"/>
    </row>
    <row r="760">
      <c r="A760" s="404"/>
      <c r="B760" s="404"/>
      <c r="C760" s="404"/>
      <c r="D760" s="383"/>
      <c r="E760" s="417"/>
      <c r="F760" s="392"/>
      <c r="G760" s="405"/>
    </row>
    <row r="761">
      <c r="A761" s="404"/>
      <c r="B761" s="404"/>
      <c r="C761" s="404"/>
      <c r="D761" s="383"/>
      <c r="E761" s="417"/>
      <c r="F761" s="392"/>
      <c r="G761" s="405"/>
    </row>
    <row r="762">
      <c r="A762" s="404"/>
      <c r="B762" s="404"/>
      <c r="C762" s="404"/>
      <c r="D762" s="383"/>
      <c r="E762" s="417"/>
      <c r="F762" s="392"/>
      <c r="G762" s="405"/>
    </row>
    <row r="763">
      <c r="A763" s="404"/>
      <c r="B763" s="404"/>
      <c r="C763" s="404"/>
      <c r="D763" s="383"/>
      <c r="E763" s="417"/>
      <c r="F763" s="392"/>
      <c r="G763" s="405"/>
    </row>
    <row r="764">
      <c r="A764" s="404"/>
      <c r="B764" s="404"/>
      <c r="C764" s="404"/>
      <c r="D764" s="383"/>
      <c r="E764" s="417"/>
      <c r="F764" s="392"/>
      <c r="G764" s="405"/>
    </row>
    <row r="765">
      <c r="A765" s="404"/>
      <c r="B765" s="404"/>
      <c r="C765" s="404"/>
      <c r="D765" s="383"/>
      <c r="E765" s="417"/>
      <c r="F765" s="392"/>
      <c r="G765" s="405"/>
    </row>
    <row r="766">
      <c r="A766" s="404"/>
      <c r="B766" s="404"/>
      <c r="C766" s="404"/>
      <c r="D766" s="383"/>
      <c r="E766" s="417"/>
      <c r="F766" s="392"/>
      <c r="G766" s="405"/>
    </row>
    <row r="767">
      <c r="A767" s="404"/>
      <c r="B767" s="404"/>
      <c r="C767" s="404"/>
      <c r="D767" s="383"/>
      <c r="E767" s="417"/>
      <c r="F767" s="392"/>
      <c r="G767" s="405"/>
    </row>
    <row r="768">
      <c r="A768" s="404"/>
      <c r="B768" s="404"/>
      <c r="C768" s="404"/>
      <c r="D768" s="383"/>
      <c r="E768" s="417"/>
      <c r="F768" s="392"/>
      <c r="G768" s="405"/>
    </row>
    <row r="769">
      <c r="A769" s="404"/>
      <c r="B769" s="404"/>
      <c r="C769" s="404"/>
      <c r="D769" s="383"/>
      <c r="E769" s="417"/>
      <c r="F769" s="392"/>
      <c r="G769" s="405"/>
    </row>
    <row r="770">
      <c r="A770" s="404"/>
      <c r="B770" s="404"/>
      <c r="C770" s="404"/>
      <c r="D770" s="383"/>
      <c r="E770" s="417"/>
      <c r="F770" s="392"/>
      <c r="G770" s="405"/>
    </row>
    <row r="771">
      <c r="A771" s="404"/>
      <c r="B771" s="404"/>
      <c r="C771" s="404"/>
      <c r="D771" s="383"/>
      <c r="E771" s="417"/>
      <c r="F771" s="392"/>
      <c r="G771" s="405"/>
    </row>
    <row r="772">
      <c r="A772" s="404"/>
      <c r="B772" s="404"/>
      <c r="C772" s="404"/>
      <c r="D772" s="383"/>
      <c r="E772" s="417"/>
      <c r="F772" s="392"/>
      <c r="G772" s="405"/>
    </row>
    <row r="773">
      <c r="A773" s="404"/>
      <c r="B773" s="404"/>
      <c r="C773" s="404"/>
      <c r="D773" s="383"/>
      <c r="E773" s="417"/>
      <c r="F773" s="392"/>
      <c r="G773" s="405"/>
    </row>
    <row r="774">
      <c r="A774" s="404"/>
      <c r="B774" s="404"/>
      <c r="C774" s="404"/>
      <c r="D774" s="383"/>
      <c r="E774" s="417"/>
      <c r="F774" s="392"/>
      <c r="G774" s="405"/>
    </row>
    <row r="775">
      <c r="A775" s="404"/>
      <c r="B775" s="404"/>
      <c r="C775" s="404"/>
      <c r="D775" s="383"/>
      <c r="E775" s="417"/>
      <c r="F775" s="392"/>
      <c r="G775" s="405"/>
    </row>
    <row r="776">
      <c r="A776" s="404"/>
      <c r="B776" s="404"/>
      <c r="C776" s="404"/>
      <c r="D776" s="383"/>
      <c r="E776" s="417"/>
      <c r="F776" s="392"/>
      <c r="G776" s="405"/>
    </row>
    <row r="777">
      <c r="A777" s="404"/>
      <c r="B777" s="404"/>
      <c r="C777" s="404"/>
      <c r="D777" s="383"/>
      <c r="E777" s="417"/>
      <c r="F777" s="392"/>
      <c r="G777" s="405"/>
    </row>
    <row r="778">
      <c r="A778" s="404"/>
      <c r="B778" s="404"/>
      <c r="C778" s="404"/>
      <c r="D778" s="383"/>
      <c r="E778" s="417"/>
      <c r="F778" s="392"/>
      <c r="G778" s="405"/>
    </row>
    <row r="779">
      <c r="A779" s="404"/>
      <c r="B779" s="404"/>
      <c r="C779" s="404"/>
      <c r="D779" s="383"/>
      <c r="E779" s="417"/>
      <c r="F779" s="392"/>
      <c r="G779" s="405"/>
    </row>
    <row r="780">
      <c r="A780" s="404"/>
      <c r="B780" s="404"/>
      <c r="C780" s="404"/>
      <c r="D780" s="383"/>
      <c r="E780" s="417"/>
      <c r="F780" s="392"/>
      <c r="G780" s="405"/>
    </row>
    <row r="781">
      <c r="A781" s="404"/>
      <c r="B781" s="404"/>
      <c r="C781" s="404"/>
      <c r="D781" s="383"/>
      <c r="E781" s="417"/>
      <c r="F781" s="392"/>
      <c r="G781" s="405"/>
    </row>
    <row r="782">
      <c r="A782" s="404"/>
      <c r="B782" s="404"/>
      <c r="C782" s="404"/>
      <c r="D782" s="383"/>
      <c r="E782" s="417"/>
      <c r="F782" s="392"/>
      <c r="G782" s="405"/>
    </row>
    <row r="783">
      <c r="A783" s="404"/>
      <c r="B783" s="404"/>
      <c r="C783" s="404"/>
      <c r="D783" s="383"/>
      <c r="E783" s="417"/>
      <c r="F783" s="392"/>
      <c r="G783" s="405"/>
    </row>
    <row r="784">
      <c r="A784" s="404"/>
      <c r="B784" s="404"/>
      <c r="C784" s="404"/>
      <c r="D784" s="383"/>
      <c r="E784" s="417"/>
      <c r="F784" s="392"/>
      <c r="G784" s="405"/>
    </row>
    <row r="785">
      <c r="A785" s="404"/>
      <c r="B785" s="404"/>
      <c r="C785" s="404"/>
      <c r="D785" s="383"/>
      <c r="E785" s="417"/>
      <c r="F785" s="392"/>
      <c r="G785" s="405"/>
    </row>
    <row r="786">
      <c r="A786" s="404"/>
      <c r="B786" s="404"/>
      <c r="C786" s="404"/>
      <c r="D786" s="383"/>
      <c r="E786" s="417"/>
      <c r="F786" s="392"/>
      <c r="G786" s="405"/>
    </row>
    <row r="787">
      <c r="A787" s="404"/>
      <c r="B787" s="404"/>
      <c r="C787" s="404"/>
      <c r="D787" s="383"/>
      <c r="E787" s="417"/>
      <c r="F787" s="392"/>
      <c r="G787" s="405"/>
    </row>
    <row r="788">
      <c r="A788" s="404"/>
      <c r="B788" s="404"/>
      <c r="C788" s="404"/>
      <c r="D788" s="383"/>
      <c r="E788" s="417"/>
      <c r="F788" s="392"/>
      <c r="G788" s="405"/>
    </row>
    <row r="789">
      <c r="A789" s="404"/>
      <c r="B789" s="404"/>
      <c r="C789" s="404"/>
      <c r="D789" s="383"/>
      <c r="E789" s="417"/>
      <c r="F789" s="392"/>
      <c r="G789" s="405"/>
    </row>
    <row r="790">
      <c r="A790" s="404"/>
      <c r="B790" s="404"/>
      <c r="C790" s="404"/>
      <c r="D790" s="383"/>
      <c r="E790" s="417"/>
      <c r="F790" s="392"/>
      <c r="G790" s="405"/>
    </row>
    <row r="791">
      <c r="A791" s="404"/>
      <c r="B791" s="404"/>
      <c r="C791" s="404"/>
      <c r="D791" s="383"/>
      <c r="E791" s="417"/>
      <c r="F791" s="392"/>
      <c r="G791" s="405"/>
    </row>
    <row r="792">
      <c r="A792" s="404"/>
      <c r="B792" s="404"/>
      <c r="C792" s="404"/>
      <c r="D792" s="383"/>
      <c r="E792" s="417"/>
      <c r="F792" s="392"/>
      <c r="G792" s="405"/>
    </row>
    <row r="793">
      <c r="A793" s="404"/>
      <c r="B793" s="404"/>
      <c r="C793" s="404"/>
      <c r="D793" s="383"/>
      <c r="E793" s="417"/>
      <c r="F793" s="392"/>
      <c r="G793" s="405"/>
    </row>
    <row r="794">
      <c r="A794" s="404"/>
      <c r="B794" s="404"/>
      <c r="C794" s="404"/>
      <c r="D794" s="383"/>
      <c r="E794" s="417"/>
      <c r="F794" s="392"/>
      <c r="G794" s="405"/>
    </row>
    <row r="795">
      <c r="A795" s="404"/>
      <c r="B795" s="404"/>
      <c r="C795" s="404"/>
      <c r="D795" s="383"/>
      <c r="E795" s="417"/>
      <c r="F795" s="392"/>
      <c r="G795" s="405"/>
    </row>
    <row r="796">
      <c r="A796" s="404"/>
      <c r="B796" s="404"/>
      <c r="C796" s="404"/>
      <c r="D796" s="383"/>
      <c r="E796" s="417"/>
      <c r="F796" s="392"/>
      <c r="G796" s="405"/>
    </row>
    <row r="797">
      <c r="A797" s="404"/>
      <c r="B797" s="404"/>
      <c r="C797" s="404"/>
      <c r="D797" s="383"/>
      <c r="E797" s="417"/>
      <c r="F797" s="392"/>
      <c r="G797" s="405"/>
    </row>
    <row r="798">
      <c r="A798" s="404"/>
      <c r="B798" s="404"/>
      <c r="C798" s="404"/>
      <c r="D798" s="383"/>
      <c r="E798" s="417"/>
      <c r="F798" s="392"/>
      <c r="G798" s="405"/>
    </row>
    <row r="799">
      <c r="A799" s="404"/>
      <c r="B799" s="404"/>
      <c r="C799" s="404"/>
      <c r="D799" s="383"/>
      <c r="E799" s="417"/>
      <c r="F799" s="392"/>
      <c r="G799" s="405"/>
    </row>
    <row r="800">
      <c r="A800" s="404"/>
      <c r="B800" s="404"/>
      <c r="C800" s="404"/>
      <c r="D800" s="383"/>
      <c r="E800" s="417"/>
      <c r="F800" s="392"/>
      <c r="G800" s="405"/>
    </row>
    <row r="801">
      <c r="A801" s="404"/>
      <c r="B801" s="404"/>
      <c r="C801" s="404"/>
      <c r="D801" s="383"/>
      <c r="E801" s="417"/>
      <c r="F801" s="392"/>
      <c r="G801" s="405"/>
    </row>
    <row r="802">
      <c r="A802" s="404"/>
      <c r="B802" s="404"/>
      <c r="C802" s="404"/>
      <c r="D802" s="383"/>
      <c r="E802" s="417"/>
      <c r="F802" s="392"/>
      <c r="G802" s="405"/>
    </row>
    <row r="803">
      <c r="A803" s="404"/>
      <c r="B803" s="404"/>
      <c r="C803" s="404"/>
      <c r="D803" s="383"/>
      <c r="E803" s="417"/>
      <c r="F803" s="392"/>
      <c r="G803" s="405"/>
    </row>
    <row r="804">
      <c r="A804" s="404"/>
      <c r="B804" s="404"/>
      <c r="C804" s="404"/>
      <c r="D804" s="383"/>
      <c r="E804" s="417"/>
      <c r="F804" s="392"/>
      <c r="G804" s="405"/>
    </row>
    <row r="805">
      <c r="A805" s="404"/>
      <c r="B805" s="404"/>
      <c r="C805" s="404"/>
      <c r="D805" s="383"/>
      <c r="E805" s="417"/>
      <c r="F805" s="392"/>
      <c r="G805" s="405"/>
    </row>
    <row r="806">
      <c r="A806" s="404"/>
      <c r="B806" s="404"/>
      <c r="C806" s="404"/>
      <c r="D806" s="383"/>
      <c r="E806" s="417"/>
      <c r="F806" s="392"/>
      <c r="G806" s="405"/>
    </row>
    <row r="807">
      <c r="A807" s="404"/>
      <c r="B807" s="404"/>
      <c r="C807" s="404"/>
      <c r="D807" s="383"/>
      <c r="E807" s="417"/>
      <c r="F807" s="392"/>
      <c r="G807" s="405"/>
    </row>
    <row r="808">
      <c r="A808" s="404"/>
      <c r="B808" s="404"/>
      <c r="C808" s="404"/>
      <c r="D808" s="383"/>
      <c r="E808" s="417"/>
      <c r="F808" s="392"/>
      <c r="G808" s="405"/>
    </row>
    <row r="809">
      <c r="A809" s="404"/>
      <c r="B809" s="404"/>
      <c r="C809" s="404"/>
      <c r="D809" s="383"/>
      <c r="E809" s="417"/>
      <c r="F809" s="392"/>
      <c r="G809" s="405"/>
    </row>
    <row r="810">
      <c r="A810" s="404"/>
      <c r="B810" s="404"/>
      <c r="C810" s="404"/>
      <c r="D810" s="383"/>
      <c r="E810" s="417"/>
      <c r="F810" s="392"/>
      <c r="G810" s="405"/>
    </row>
    <row r="811">
      <c r="A811" s="404"/>
      <c r="B811" s="404"/>
      <c r="C811" s="404"/>
      <c r="D811" s="383"/>
      <c r="E811" s="417"/>
      <c r="F811" s="392"/>
      <c r="G811" s="405"/>
    </row>
    <row r="812">
      <c r="A812" s="404"/>
      <c r="B812" s="404"/>
      <c r="C812" s="404"/>
      <c r="D812" s="383"/>
      <c r="E812" s="417"/>
      <c r="F812" s="392"/>
      <c r="G812" s="405"/>
    </row>
    <row r="813">
      <c r="A813" s="404"/>
      <c r="B813" s="404"/>
      <c r="C813" s="404"/>
      <c r="D813" s="383"/>
      <c r="E813" s="417"/>
      <c r="F813" s="392"/>
      <c r="G813" s="405"/>
    </row>
    <row r="814">
      <c r="A814" s="404"/>
      <c r="B814" s="404"/>
      <c r="C814" s="404"/>
      <c r="D814" s="383"/>
      <c r="E814" s="417"/>
      <c r="F814" s="392"/>
      <c r="G814" s="405"/>
    </row>
    <row r="815">
      <c r="A815" s="404"/>
      <c r="B815" s="404"/>
      <c r="C815" s="404"/>
      <c r="D815" s="383"/>
      <c r="E815" s="417"/>
      <c r="F815" s="392"/>
      <c r="G815" s="405"/>
    </row>
    <row r="816">
      <c r="A816" s="404"/>
      <c r="B816" s="404"/>
      <c r="C816" s="404"/>
      <c r="D816" s="383"/>
      <c r="E816" s="417"/>
      <c r="F816" s="392"/>
      <c r="G816" s="405"/>
    </row>
    <row r="817">
      <c r="A817" s="404"/>
      <c r="B817" s="404"/>
      <c r="C817" s="404"/>
      <c r="D817" s="383"/>
      <c r="E817" s="417"/>
      <c r="F817" s="392"/>
      <c r="G817" s="405"/>
    </row>
    <row r="818">
      <c r="A818" s="404"/>
      <c r="B818" s="404"/>
      <c r="C818" s="404"/>
      <c r="D818" s="383"/>
      <c r="E818" s="417"/>
      <c r="F818" s="392"/>
      <c r="G818" s="405"/>
    </row>
    <row r="819">
      <c r="A819" s="404"/>
      <c r="B819" s="404"/>
      <c r="C819" s="404"/>
      <c r="D819" s="383"/>
      <c r="E819" s="417"/>
      <c r="F819" s="392"/>
      <c r="G819" s="405"/>
    </row>
    <row r="820">
      <c r="A820" s="404"/>
      <c r="B820" s="404"/>
      <c r="C820" s="404"/>
      <c r="D820" s="383"/>
      <c r="E820" s="417"/>
      <c r="F820" s="392"/>
      <c r="G820" s="405"/>
    </row>
    <row r="821">
      <c r="A821" s="404"/>
      <c r="B821" s="404"/>
      <c r="C821" s="404"/>
      <c r="D821" s="383"/>
      <c r="E821" s="417"/>
      <c r="F821" s="392"/>
      <c r="G821" s="405"/>
    </row>
    <row r="822">
      <c r="A822" s="404"/>
      <c r="B822" s="404"/>
      <c r="C822" s="404"/>
      <c r="D822" s="383"/>
      <c r="E822" s="417"/>
      <c r="F822" s="392"/>
      <c r="G822" s="405"/>
    </row>
    <row r="823">
      <c r="A823" s="404"/>
      <c r="B823" s="404"/>
      <c r="C823" s="404"/>
      <c r="D823" s="383"/>
      <c r="E823" s="417"/>
      <c r="F823" s="392"/>
      <c r="G823" s="405"/>
    </row>
    <row r="824">
      <c r="A824" s="404"/>
      <c r="B824" s="404"/>
      <c r="C824" s="404"/>
      <c r="D824" s="383"/>
      <c r="E824" s="417"/>
      <c r="F824" s="392"/>
      <c r="G824" s="405"/>
    </row>
    <row r="825">
      <c r="A825" s="404"/>
      <c r="B825" s="404"/>
      <c r="C825" s="404"/>
      <c r="D825" s="383"/>
      <c r="E825" s="417"/>
      <c r="F825" s="392"/>
      <c r="G825" s="405"/>
    </row>
    <row r="826">
      <c r="A826" s="404"/>
      <c r="B826" s="404"/>
      <c r="C826" s="404"/>
      <c r="D826" s="383"/>
      <c r="E826" s="417"/>
      <c r="F826" s="392"/>
      <c r="G826" s="405"/>
    </row>
    <row r="827">
      <c r="A827" s="404"/>
      <c r="B827" s="404"/>
      <c r="C827" s="404"/>
      <c r="D827" s="383"/>
      <c r="E827" s="417"/>
      <c r="F827" s="392"/>
      <c r="G827" s="405"/>
    </row>
    <row r="828">
      <c r="A828" s="404"/>
      <c r="B828" s="404"/>
      <c r="C828" s="404"/>
      <c r="D828" s="383"/>
      <c r="E828" s="417"/>
      <c r="F828" s="392"/>
      <c r="G828" s="405"/>
    </row>
    <row r="829">
      <c r="A829" s="404"/>
      <c r="B829" s="404"/>
      <c r="C829" s="404"/>
      <c r="D829" s="383"/>
      <c r="E829" s="417"/>
      <c r="F829" s="392"/>
      <c r="G829" s="405"/>
    </row>
    <row r="830">
      <c r="A830" s="404"/>
      <c r="B830" s="404"/>
      <c r="C830" s="404"/>
      <c r="D830" s="383"/>
      <c r="E830" s="417"/>
      <c r="F830" s="392"/>
      <c r="G830" s="405"/>
    </row>
    <row r="831">
      <c r="A831" s="404"/>
      <c r="B831" s="404"/>
      <c r="C831" s="404"/>
      <c r="D831" s="383"/>
      <c r="E831" s="417"/>
      <c r="F831" s="392"/>
      <c r="G831" s="405"/>
    </row>
    <row r="832">
      <c r="A832" s="404"/>
      <c r="B832" s="404"/>
      <c r="C832" s="404"/>
      <c r="D832" s="383"/>
      <c r="E832" s="417"/>
      <c r="F832" s="392"/>
      <c r="G832" s="405"/>
    </row>
    <row r="833">
      <c r="A833" s="404"/>
      <c r="B833" s="404"/>
      <c r="C833" s="404"/>
      <c r="D833" s="383"/>
      <c r="E833" s="417"/>
      <c r="F833" s="392"/>
      <c r="G833" s="405"/>
    </row>
    <row r="834">
      <c r="A834" s="404"/>
      <c r="B834" s="404"/>
      <c r="C834" s="404"/>
      <c r="D834" s="383"/>
      <c r="E834" s="417"/>
      <c r="F834" s="392"/>
      <c r="G834" s="405"/>
    </row>
    <row r="835">
      <c r="A835" s="404"/>
      <c r="B835" s="404"/>
      <c r="C835" s="404"/>
      <c r="D835" s="383"/>
      <c r="E835" s="417"/>
      <c r="F835" s="392"/>
      <c r="G835" s="405"/>
    </row>
    <row r="836">
      <c r="A836" s="404"/>
      <c r="B836" s="404"/>
      <c r="C836" s="404"/>
      <c r="D836" s="383"/>
      <c r="E836" s="417"/>
      <c r="F836" s="392"/>
      <c r="G836" s="405"/>
    </row>
    <row r="837">
      <c r="A837" s="404"/>
      <c r="B837" s="404"/>
      <c r="C837" s="404"/>
      <c r="D837" s="383"/>
      <c r="E837" s="417"/>
      <c r="F837" s="392"/>
      <c r="G837" s="405"/>
    </row>
    <row r="838">
      <c r="A838" s="404"/>
      <c r="B838" s="404"/>
      <c r="C838" s="404"/>
      <c r="D838" s="383"/>
      <c r="E838" s="417"/>
      <c r="F838" s="392"/>
      <c r="G838" s="405"/>
    </row>
    <row r="839">
      <c r="A839" s="404"/>
      <c r="B839" s="404"/>
      <c r="C839" s="404"/>
      <c r="D839" s="383"/>
      <c r="E839" s="417"/>
      <c r="F839" s="392"/>
      <c r="G839" s="405"/>
    </row>
    <row r="840">
      <c r="A840" s="404"/>
      <c r="B840" s="404"/>
      <c r="C840" s="404"/>
      <c r="D840" s="383"/>
      <c r="E840" s="417"/>
      <c r="F840" s="392"/>
      <c r="G840" s="405"/>
    </row>
    <row r="841">
      <c r="A841" s="404"/>
      <c r="B841" s="404"/>
      <c r="C841" s="404"/>
      <c r="D841" s="383"/>
      <c r="E841" s="417"/>
      <c r="F841" s="392"/>
      <c r="G841" s="405"/>
    </row>
    <row r="842">
      <c r="A842" s="404"/>
      <c r="B842" s="404"/>
      <c r="C842" s="404"/>
      <c r="D842" s="383"/>
      <c r="E842" s="417"/>
      <c r="F842" s="392"/>
      <c r="G842" s="405"/>
    </row>
    <row r="843">
      <c r="A843" s="404"/>
      <c r="B843" s="404"/>
      <c r="C843" s="404"/>
      <c r="D843" s="383"/>
      <c r="E843" s="417"/>
      <c r="F843" s="392"/>
      <c r="G843" s="405"/>
    </row>
    <row r="844">
      <c r="A844" s="404"/>
      <c r="B844" s="404"/>
      <c r="C844" s="404"/>
      <c r="D844" s="383"/>
      <c r="E844" s="417"/>
      <c r="F844" s="392"/>
      <c r="G844" s="405"/>
    </row>
    <row r="845">
      <c r="A845" s="404"/>
      <c r="B845" s="404"/>
      <c r="C845" s="404"/>
      <c r="D845" s="383"/>
      <c r="E845" s="417"/>
      <c r="F845" s="392"/>
      <c r="G845" s="405"/>
    </row>
    <row r="846">
      <c r="A846" s="404"/>
      <c r="B846" s="404"/>
      <c r="C846" s="404"/>
      <c r="D846" s="383"/>
      <c r="E846" s="417"/>
      <c r="F846" s="392"/>
      <c r="G846" s="405"/>
    </row>
    <row r="847">
      <c r="A847" s="404"/>
      <c r="B847" s="404"/>
      <c r="C847" s="404"/>
      <c r="D847" s="383"/>
      <c r="E847" s="417"/>
      <c r="F847" s="392"/>
      <c r="G847" s="405"/>
    </row>
    <row r="848">
      <c r="A848" s="404"/>
      <c r="B848" s="404"/>
      <c r="C848" s="404"/>
      <c r="D848" s="383"/>
      <c r="E848" s="417"/>
      <c r="F848" s="392"/>
      <c r="G848" s="405"/>
    </row>
    <row r="849">
      <c r="A849" s="404"/>
      <c r="B849" s="404"/>
      <c r="C849" s="404"/>
      <c r="D849" s="383"/>
      <c r="E849" s="417"/>
      <c r="F849" s="392"/>
      <c r="G849" s="405"/>
    </row>
    <row r="850">
      <c r="A850" s="404"/>
      <c r="B850" s="404"/>
      <c r="C850" s="404"/>
      <c r="D850" s="383"/>
      <c r="E850" s="417"/>
      <c r="F850" s="392"/>
      <c r="G850" s="405"/>
    </row>
    <row r="851">
      <c r="A851" s="404"/>
      <c r="B851" s="404"/>
      <c r="C851" s="404"/>
      <c r="D851" s="383"/>
      <c r="E851" s="417"/>
      <c r="F851" s="392"/>
      <c r="G851" s="405"/>
    </row>
    <row r="852">
      <c r="A852" s="404"/>
      <c r="B852" s="404"/>
      <c r="C852" s="404"/>
      <c r="D852" s="383"/>
      <c r="E852" s="417"/>
      <c r="F852" s="392"/>
      <c r="G852" s="405"/>
    </row>
    <row r="853">
      <c r="A853" s="404"/>
      <c r="B853" s="404"/>
      <c r="C853" s="404"/>
      <c r="D853" s="383"/>
      <c r="E853" s="417"/>
      <c r="F853" s="392"/>
      <c r="G853" s="405"/>
    </row>
    <row r="854">
      <c r="A854" s="404"/>
      <c r="B854" s="404"/>
      <c r="C854" s="404"/>
      <c r="D854" s="383"/>
      <c r="E854" s="417"/>
      <c r="F854" s="392"/>
      <c r="G854" s="405"/>
    </row>
    <row r="855">
      <c r="A855" s="404"/>
      <c r="B855" s="404"/>
      <c r="C855" s="404"/>
      <c r="D855" s="383"/>
      <c r="E855" s="417"/>
      <c r="F855" s="392"/>
      <c r="G855" s="405"/>
    </row>
    <row r="856">
      <c r="A856" s="404"/>
      <c r="B856" s="404"/>
      <c r="C856" s="404"/>
      <c r="D856" s="383"/>
      <c r="E856" s="417"/>
      <c r="F856" s="392"/>
      <c r="G856" s="405"/>
    </row>
    <row r="857">
      <c r="A857" s="404"/>
      <c r="B857" s="404"/>
      <c r="C857" s="404"/>
      <c r="D857" s="383"/>
      <c r="E857" s="417"/>
      <c r="F857" s="392"/>
      <c r="G857" s="405"/>
    </row>
    <row r="858">
      <c r="A858" s="404"/>
      <c r="B858" s="404"/>
      <c r="C858" s="404"/>
      <c r="D858" s="383"/>
      <c r="E858" s="417"/>
      <c r="F858" s="392"/>
      <c r="G858" s="405"/>
    </row>
    <row r="859">
      <c r="A859" s="404"/>
      <c r="B859" s="404"/>
      <c r="C859" s="404"/>
      <c r="D859" s="383"/>
      <c r="E859" s="417"/>
      <c r="F859" s="392"/>
      <c r="G859" s="405"/>
    </row>
    <row r="860">
      <c r="A860" s="404"/>
      <c r="B860" s="404"/>
      <c r="C860" s="404"/>
      <c r="D860" s="383"/>
      <c r="E860" s="417"/>
      <c r="F860" s="392"/>
      <c r="G860" s="405"/>
    </row>
    <row r="861">
      <c r="A861" s="404"/>
      <c r="B861" s="404"/>
      <c r="C861" s="404"/>
      <c r="D861" s="383"/>
      <c r="E861" s="417"/>
      <c r="F861" s="392"/>
      <c r="G861" s="405"/>
    </row>
    <row r="862">
      <c r="A862" s="404"/>
      <c r="B862" s="404"/>
      <c r="C862" s="404"/>
      <c r="D862" s="383"/>
      <c r="E862" s="417"/>
      <c r="F862" s="392"/>
      <c r="G862" s="405"/>
    </row>
    <row r="863">
      <c r="A863" s="404"/>
      <c r="B863" s="404"/>
      <c r="C863" s="404"/>
      <c r="D863" s="383"/>
      <c r="E863" s="417"/>
      <c r="F863" s="392"/>
      <c r="G863" s="405"/>
    </row>
    <row r="864">
      <c r="A864" s="404"/>
      <c r="B864" s="404"/>
      <c r="C864" s="404"/>
      <c r="D864" s="383"/>
      <c r="E864" s="417"/>
      <c r="F864" s="392"/>
      <c r="G864" s="405"/>
    </row>
    <row r="865">
      <c r="A865" s="404"/>
      <c r="B865" s="404"/>
      <c r="C865" s="404"/>
      <c r="D865" s="383"/>
      <c r="E865" s="417"/>
      <c r="F865" s="392"/>
      <c r="G865" s="405"/>
    </row>
    <row r="866">
      <c r="A866" s="404"/>
      <c r="B866" s="404"/>
      <c r="C866" s="404"/>
      <c r="D866" s="383"/>
      <c r="E866" s="417"/>
      <c r="F866" s="392"/>
      <c r="G866" s="405"/>
    </row>
    <row r="867">
      <c r="A867" s="404"/>
      <c r="B867" s="404"/>
      <c r="C867" s="404"/>
      <c r="D867" s="383"/>
      <c r="E867" s="417"/>
      <c r="F867" s="392"/>
      <c r="G867" s="405"/>
    </row>
    <row r="868">
      <c r="A868" s="404"/>
      <c r="B868" s="404"/>
      <c r="C868" s="404"/>
      <c r="D868" s="383"/>
      <c r="E868" s="417"/>
      <c r="F868" s="392"/>
      <c r="G868" s="405"/>
    </row>
    <row r="869">
      <c r="A869" s="404"/>
      <c r="B869" s="404"/>
      <c r="C869" s="404"/>
      <c r="D869" s="383"/>
      <c r="E869" s="417"/>
      <c r="F869" s="392"/>
      <c r="G869" s="405"/>
    </row>
    <row r="870">
      <c r="A870" s="404"/>
      <c r="B870" s="404"/>
      <c r="C870" s="404"/>
      <c r="D870" s="383"/>
      <c r="E870" s="417"/>
      <c r="F870" s="392"/>
      <c r="G870" s="405"/>
    </row>
    <row r="871">
      <c r="A871" s="404"/>
      <c r="B871" s="404"/>
      <c r="C871" s="404"/>
      <c r="D871" s="383"/>
      <c r="E871" s="417"/>
      <c r="F871" s="392"/>
      <c r="G871" s="405"/>
    </row>
    <row r="872">
      <c r="A872" s="404"/>
      <c r="B872" s="404"/>
      <c r="C872" s="404"/>
      <c r="D872" s="383"/>
      <c r="E872" s="417"/>
      <c r="F872" s="392"/>
      <c r="G872" s="405"/>
    </row>
    <row r="873">
      <c r="A873" s="404"/>
      <c r="B873" s="404"/>
      <c r="C873" s="404"/>
      <c r="D873" s="383"/>
      <c r="E873" s="417"/>
      <c r="F873" s="392"/>
      <c r="G873" s="405"/>
    </row>
    <row r="874">
      <c r="A874" s="404"/>
      <c r="B874" s="404"/>
      <c r="C874" s="404"/>
      <c r="D874" s="383"/>
      <c r="E874" s="417"/>
      <c r="F874" s="392"/>
      <c r="G874" s="405"/>
    </row>
    <row r="875">
      <c r="A875" s="404"/>
      <c r="B875" s="404"/>
      <c r="C875" s="404"/>
      <c r="D875" s="383"/>
      <c r="E875" s="417"/>
      <c r="F875" s="392"/>
      <c r="G875" s="405"/>
    </row>
    <row r="876">
      <c r="A876" s="404"/>
      <c r="B876" s="404"/>
      <c r="C876" s="404"/>
      <c r="D876" s="383"/>
      <c r="E876" s="417"/>
      <c r="F876" s="392"/>
      <c r="G876" s="405"/>
    </row>
    <row r="877">
      <c r="A877" s="404"/>
      <c r="B877" s="404"/>
      <c r="C877" s="404"/>
      <c r="D877" s="383"/>
      <c r="E877" s="417"/>
      <c r="F877" s="392"/>
      <c r="G877" s="405"/>
    </row>
    <row r="878">
      <c r="A878" s="404"/>
      <c r="B878" s="404"/>
      <c r="C878" s="404"/>
      <c r="D878" s="383"/>
      <c r="E878" s="417"/>
      <c r="F878" s="392"/>
      <c r="G878" s="405"/>
    </row>
    <row r="879">
      <c r="A879" s="404"/>
      <c r="B879" s="404"/>
      <c r="C879" s="404"/>
      <c r="D879" s="383"/>
      <c r="E879" s="417"/>
      <c r="F879" s="392"/>
      <c r="G879" s="405"/>
    </row>
    <row r="880">
      <c r="A880" s="404"/>
      <c r="B880" s="404"/>
      <c r="C880" s="404"/>
      <c r="D880" s="383"/>
      <c r="E880" s="417"/>
      <c r="F880" s="392"/>
      <c r="G880" s="405"/>
    </row>
    <row r="881">
      <c r="A881" s="404"/>
      <c r="B881" s="404"/>
      <c r="C881" s="404"/>
      <c r="D881" s="383"/>
      <c r="E881" s="417"/>
      <c r="F881" s="392"/>
      <c r="G881" s="405"/>
    </row>
    <row r="882">
      <c r="A882" s="404"/>
      <c r="B882" s="404"/>
      <c r="C882" s="404"/>
      <c r="D882" s="383"/>
      <c r="E882" s="417"/>
      <c r="F882" s="392"/>
      <c r="G882" s="405"/>
    </row>
    <row r="883">
      <c r="A883" s="404"/>
      <c r="B883" s="404"/>
      <c r="C883" s="404"/>
      <c r="D883" s="383"/>
      <c r="E883" s="417"/>
      <c r="F883" s="392"/>
      <c r="G883" s="405"/>
    </row>
    <row r="884">
      <c r="A884" s="404"/>
      <c r="B884" s="404"/>
      <c r="C884" s="404"/>
      <c r="D884" s="383"/>
      <c r="E884" s="417"/>
      <c r="F884" s="392"/>
      <c r="G884" s="405"/>
    </row>
    <row r="885">
      <c r="A885" s="404"/>
      <c r="B885" s="404"/>
      <c r="C885" s="404"/>
      <c r="D885" s="383"/>
      <c r="E885" s="417"/>
      <c r="F885" s="392"/>
      <c r="G885" s="405"/>
    </row>
    <row r="886">
      <c r="A886" s="404"/>
      <c r="B886" s="404"/>
      <c r="C886" s="404"/>
      <c r="D886" s="383"/>
      <c r="E886" s="417"/>
      <c r="F886" s="392"/>
      <c r="G886" s="405"/>
    </row>
    <row r="887">
      <c r="A887" s="404"/>
      <c r="B887" s="404"/>
      <c r="C887" s="404"/>
      <c r="D887" s="383"/>
      <c r="E887" s="417"/>
      <c r="F887" s="392"/>
      <c r="G887" s="405"/>
    </row>
    <row r="888">
      <c r="A888" s="404"/>
      <c r="B888" s="404"/>
      <c r="C888" s="404"/>
      <c r="D888" s="383"/>
      <c r="E888" s="417"/>
      <c r="F888" s="392"/>
      <c r="G888" s="405"/>
    </row>
    <row r="889">
      <c r="A889" s="404"/>
      <c r="B889" s="404"/>
      <c r="C889" s="404"/>
      <c r="D889" s="383"/>
      <c r="E889" s="417"/>
      <c r="F889" s="392"/>
      <c r="G889" s="405"/>
    </row>
    <row r="890">
      <c r="A890" s="404"/>
      <c r="B890" s="404"/>
      <c r="C890" s="404"/>
      <c r="D890" s="383"/>
      <c r="E890" s="417"/>
      <c r="F890" s="392"/>
      <c r="G890" s="405"/>
    </row>
    <row r="891">
      <c r="A891" s="404"/>
      <c r="B891" s="404"/>
      <c r="C891" s="404"/>
      <c r="D891" s="383"/>
      <c r="E891" s="417"/>
      <c r="F891" s="392"/>
      <c r="G891" s="405"/>
    </row>
    <row r="892">
      <c r="A892" s="404"/>
      <c r="B892" s="404"/>
      <c r="C892" s="404"/>
      <c r="D892" s="383"/>
      <c r="E892" s="417"/>
      <c r="F892" s="392"/>
      <c r="G892" s="405"/>
    </row>
    <row r="893">
      <c r="A893" s="404"/>
      <c r="B893" s="404"/>
      <c r="C893" s="404"/>
      <c r="D893" s="383"/>
      <c r="E893" s="417"/>
      <c r="F893" s="392"/>
      <c r="G893" s="405"/>
    </row>
    <row r="894">
      <c r="A894" s="404"/>
      <c r="B894" s="404"/>
      <c r="C894" s="404"/>
      <c r="D894" s="383"/>
      <c r="E894" s="417"/>
      <c r="F894" s="392"/>
      <c r="G894" s="405"/>
    </row>
    <row r="895">
      <c r="A895" s="404"/>
      <c r="B895" s="404"/>
      <c r="C895" s="404"/>
      <c r="D895" s="383"/>
      <c r="E895" s="417"/>
      <c r="F895" s="392"/>
      <c r="G895" s="405"/>
    </row>
    <row r="896">
      <c r="A896" s="404"/>
      <c r="B896" s="404"/>
      <c r="C896" s="404"/>
      <c r="D896" s="383"/>
      <c r="E896" s="417"/>
      <c r="F896" s="392"/>
      <c r="G896" s="405"/>
    </row>
    <row r="897">
      <c r="A897" s="404"/>
      <c r="B897" s="404"/>
      <c r="C897" s="404"/>
      <c r="D897" s="383"/>
      <c r="E897" s="417"/>
      <c r="F897" s="392"/>
      <c r="G897" s="405"/>
    </row>
    <row r="898">
      <c r="A898" s="404"/>
      <c r="B898" s="404"/>
      <c r="C898" s="404"/>
      <c r="D898" s="383"/>
      <c r="E898" s="417"/>
      <c r="F898" s="392"/>
      <c r="G898" s="405"/>
    </row>
    <row r="899">
      <c r="A899" s="404"/>
      <c r="B899" s="404"/>
      <c r="C899" s="404"/>
      <c r="D899" s="383"/>
      <c r="E899" s="417"/>
      <c r="F899" s="392"/>
      <c r="G899" s="405"/>
    </row>
    <row r="900">
      <c r="A900" s="404"/>
      <c r="B900" s="404"/>
      <c r="C900" s="404"/>
      <c r="D900" s="383"/>
      <c r="E900" s="417"/>
      <c r="F900" s="392"/>
      <c r="G900" s="405"/>
    </row>
    <row r="901">
      <c r="A901" s="404"/>
      <c r="B901" s="404"/>
      <c r="C901" s="404"/>
      <c r="D901" s="383"/>
      <c r="E901" s="417"/>
      <c r="F901" s="392"/>
      <c r="G901" s="405"/>
    </row>
    <row r="902">
      <c r="A902" s="404"/>
      <c r="B902" s="404"/>
      <c r="C902" s="404"/>
      <c r="D902" s="383"/>
      <c r="E902" s="417"/>
      <c r="F902" s="392"/>
      <c r="G902" s="405"/>
    </row>
    <row r="903">
      <c r="A903" s="404"/>
      <c r="B903" s="404"/>
      <c r="C903" s="404"/>
      <c r="D903" s="383"/>
      <c r="E903" s="417"/>
      <c r="F903" s="392"/>
      <c r="G903" s="405"/>
    </row>
    <row r="904">
      <c r="A904" s="404"/>
      <c r="B904" s="404"/>
      <c r="C904" s="404"/>
      <c r="D904" s="383"/>
      <c r="E904" s="417"/>
      <c r="F904" s="392"/>
      <c r="G904" s="405"/>
    </row>
    <row r="905">
      <c r="A905" s="404"/>
      <c r="B905" s="404"/>
      <c r="C905" s="404"/>
      <c r="D905" s="383"/>
      <c r="E905" s="417"/>
      <c r="F905" s="392"/>
      <c r="G905" s="405"/>
    </row>
    <row r="906">
      <c r="A906" s="404"/>
      <c r="B906" s="404"/>
      <c r="C906" s="404"/>
      <c r="D906" s="383"/>
      <c r="E906" s="417"/>
      <c r="F906" s="392"/>
      <c r="G906" s="405"/>
    </row>
    <row r="907">
      <c r="A907" s="404"/>
      <c r="B907" s="404"/>
      <c r="C907" s="404"/>
      <c r="D907" s="383"/>
      <c r="E907" s="417"/>
      <c r="F907" s="392"/>
      <c r="G907" s="405"/>
    </row>
    <row r="908">
      <c r="A908" s="404"/>
      <c r="B908" s="404"/>
      <c r="C908" s="404"/>
      <c r="D908" s="383"/>
      <c r="E908" s="417"/>
      <c r="F908" s="392"/>
      <c r="G908" s="405"/>
    </row>
    <row r="909">
      <c r="A909" s="404"/>
      <c r="B909" s="404"/>
      <c r="C909" s="404"/>
      <c r="D909" s="383"/>
      <c r="E909" s="417"/>
      <c r="F909" s="392"/>
      <c r="G909" s="405"/>
    </row>
    <row r="910">
      <c r="A910" s="404"/>
      <c r="B910" s="404"/>
      <c r="C910" s="404"/>
      <c r="D910" s="383"/>
      <c r="E910" s="417"/>
      <c r="F910" s="392"/>
      <c r="G910" s="405"/>
    </row>
    <row r="911">
      <c r="A911" s="404"/>
      <c r="B911" s="404"/>
      <c r="C911" s="404"/>
      <c r="D911" s="383"/>
      <c r="E911" s="417"/>
      <c r="F911" s="392"/>
      <c r="G911" s="405"/>
    </row>
    <row r="912">
      <c r="A912" s="404"/>
      <c r="B912" s="404"/>
      <c r="C912" s="404"/>
      <c r="D912" s="383"/>
      <c r="E912" s="417"/>
      <c r="F912" s="392"/>
      <c r="G912" s="405"/>
    </row>
    <row r="913">
      <c r="A913" s="404"/>
      <c r="B913" s="404"/>
      <c r="C913" s="404"/>
      <c r="D913" s="383"/>
      <c r="E913" s="417"/>
      <c r="F913" s="392"/>
      <c r="G913" s="405"/>
    </row>
    <row r="914">
      <c r="A914" s="404"/>
      <c r="B914" s="404"/>
      <c r="C914" s="404"/>
      <c r="D914" s="383"/>
      <c r="E914" s="417"/>
      <c r="F914" s="392"/>
      <c r="G914" s="405"/>
    </row>
    <row r="915">
      <c r="A915" s="404"/>
      <c r="B915" s="404"/>
      <c r="C915" s="404"/>
      <c r="D915" s="383"/>
      <c r="E915" s="417"/>
      <c r="F915" s="392"/>
      <c r="G915" s="405"/>
    </row>
    <row r="916">
      <c r="A916" s="404"/>
      <c r="B916" s="404"/>
      <c r="C916" s="404"/>
      <c r="D916" s="383"/>
      <c r="E916" s="417"/>
      <c r="F916" s="392"/>
      <c r="G916" s="405"/>
    </row>
    <row r="917">
      <c r="A917" s="404"/>
      <c r="B917" s="404"/>
      <c r="C917" s="404"/>
      <c r="D917" s="383"/>
      <c r="E917" s="417"/>
      <c r="F917" s="392"/>
      <c r="G917" s="405"/>
    </row>
    <row r="918">
      <c r="A918" s="404"/>
      <c r="B918" s="404"/>
      <c r="C918" s="404"/>
      <c r="D918" s="383"/>
      <c r="E918" s="417"/>
      <c r="F918" s="392"/>
      <c r="G918" s="405"/>
    </row>
    <row r="919">
      <c r="A919" s="404"/>
      <c r="B919" s="404"/>
      <c r="C919" s="404"/>
      <c r="D919" s="383"/>
      <c r="E919" s="417"/>
      <c r="F919" s="392"/>
      <c r="G919" s="405"/>
    </row>
    <row r="920">
      <c r="A920" s="404"/>
      <c r="B920" s="404"/>
      <c r="C920" s="404"/>
      <c r="D920" s="383"/>
      <c r="E920" s="417"/>
      <c r="F920" s="392"/>
      <c r="G920" s="405"/>
    </row>
    <row r="921">
      <c r="A921" s="404"/>
      <c r="B921" s="404"/>
      <c r="C921" s="404"/>
      <c r="D921" s="383"/>
      <c r="E921" s="417"/>
      <c r="F921" s="392"/>
      <c r="G921" s="405"/>
    </row>
    <row r="922">
      <c r="A922" s="404"/>
      <c r="B922" s="404"/>
      <c r="C922" s="404"/>
      <c r="D922" s="383"/>
      <c r="E922" s="417"/>
      <c r="F922" s="392"/>
      <c r="G922" s="405"/>
    </row>
    <row r="923">
      <c r="A923" s="404"/>
      <c r="B923" s="404"/>
      <c r="C923" s="404"/>
      <c r="D923" s="383"/>
      <c r="E923" s="417"/>
      <c r="F923" s="392"/>
      <c r="G923" s="405"/>
    </row>
    <row r="924">
      <c r="A924" s="404"/>
      <c r="B924" s="404"/>
      <c r="C924" s="404"/>
      <c r="D924" s="383"/>
      <c r="E924" s="417"/>
      <c r="F924" s="392"/>
      <c r="G924" s="405"/>
    </row>
    <row r="925">
      <c r="A925" s="404"/>
      <c r="B925" s="404"/>
      <c r="C925" s="404"/>
      <c r="D925" s="383"/>
      <c r="E925" s="417"/>
      <c r="F925" s="392"/>
      <c r="G925" s="405"/>
    </row>
    <row r="926">
      <c r="A926" s="404"/>
      <c r="B926" s="404"/>
      <c r="C926" s="404"/>
      <c r="D926" s="383"/>
      <c r="E926" s="417"/>
      <c r="F926" s="392"/>
      <c r="G926" s="405"/>
    </row>
    <row r="927">
      <c r="A927" s="404"/>
      <c r="B927" s="404"/>
      <c r="C927" s="404"/>
      <c r="D927" s="383"/>
      <c r="E927" s="417"/>
      <c r="F927" s="392"/>
      <c r="G927" s="405"/>
    </row>
    <row r="928">
      <c r="A928" s="404"/>
      <c r="B928" s="404"/>
      <c r="C928" s="404"/>
      <c r="D928" s="383"/>
      <c r="E928" s="417"/>
      <c r="F928" s="392"/>
      <c r="G928" s="405"/>
    </row>
    <row r="929">
      <c r="A929" s="404"/>
      <c r="B929" s="404"/>
      <c r="C929" s="404"/>
      <c r="D929" s="383"/>
      <c r="E929" s="417"/>
      <c r="F929" s="392"/>
      <c r="G929" s="405"/>
    </row>
    <row r="930">
      <c r="A930" s="404"/>
      <c r="B930" s="404"/>
      <c r="C930" s="404"/>
      <c r="D930" s="383"/>
      <c r="E930" s="417"/>
      <c r="F930" s="392"/>
      <c r="G930" s="405"/>
    </row>
    <row r="931">
      <c r="A931" s="404"/>
      <c r="B931" s="404"/>
      <c r="C931" s="404"/>
      <c r="D931" s="383"/>
      <c r="E931" s="417"/>
      <c r="F931" s="392"/>
      <c r="G931" s="405"/>
    </row>
    <row r="932">
      <c r="A932" s="404"/>
      <c r="B932" s="404"/>
      <c r="C932" s="404"/>
      <c r="D932" s="383"/>
      <c r="E932" s="417"/>
      <c r="F932" s="392"/>
      <c r="G932" s="405"/>
    </row>
    <row r="933">
      <c r="A933" s="404"/>
      <c r="B933" s="404"/>
      <c r="C933" s="404"/>
      <c r="D933" s="383"/>
      <c r="E933" s="417"/>
      <c r="F933" s="392"/>
      <c r="G933" s="405"/>
    </row>
    <row r="934">
      <c r="A934" s="404"/>
      <c r="B934" s="404"/>
      <c r="C934" s="404"/>
      <c r="D934" s="383"/>
      <c r="E934" s="417"/>
      <c r="F934" s="392"/>
      <c r="G934" s="405"/>
    </row>
    <row r="935">
      <c r="A935" s="404"/>
      <c r="B935" s="404"/>
      <c r="C935" s="404"/>
      <c r="D935" s="383"/>
      <c r="E935" s="417"/>
      <c r="F935" s="392"/>
      <c r="G935" s="405"/>
    </row>
    <row r="936">
      <c r="A936" s="404"/>
      <c r="B936" s="404"/>
      <c r="C936" s="404"/>
      <c r="D936" s="383"/>
      <c r="E936" s="417"/>
      <c r="F936" s="392"/>
      <c r="G936" s="405"/>
    </row>
    <row r="937">
      <c r="A937" s="404"/>
      <c r="B937" s="404"/>
      <c r="C937" s="404"/>
      <c r="D937" s="383"/>
      <c r="E937" s="417"/>
      <c r="F937" s="392"/>
      <c r="G937" s="405"/>
    </row>
    <row r="938">
      <c r="A938" s="404"/>
      <c r="B938" s="404"/>
      <c r="C938" s="404"/>
      <c r="D938" s="383"/>
      <c r="E938" s="417"/>
      <c r="F938" s="392"/>
      <c r="G938" s="405"/>
    </row>
    <row r="939">
      <c r="A939" s="404"/>
      <c r="B939" s="404"/>
      <c r="C939" s="404"/>
      <c r="D939" s="383"/>
      <c r="E939" s="417"/>
      <c r="F939" s="392"/>
      <c r="G939" s="405"/>
    </row>
    <row r="940">
      <c r="A940" s="404"/>
      <c r="B940" s="404"/>
      <c r="C940" s="404"/>
      <c r="D940" s="383"/>
      <c r="E940" s="417"/>
      <c r="F940" s="392"/>
      <c r="G940" s="405"/>
    </row>
    <row r="941">
      <c r="A941" s="404"/>
      <c r="B941" s="404"/>
      <c r="C941" s="404"/>
      <c r="D941" s="383"/>
      <c r="E941" s="417"/>
      <c r="F941" s="392"/>
      <c r="G941" s="405"/>
    </row>
    <row r="942">
      <c r="A942" s="404"/>
      <c r="B942" s="404"/>
      <c r="C942" s="404"/>
      <c r="D942" s="383"/>
      <c r="E942" s="417"/>
      <c r="F942" s="392"/>
      <c r="G942" s="405"/>
    </row>
    <row r="943">
      <c r="A943" s="404"/>
      <c r="B943" s="404"/>
      <c r="C943" s="404"/>
      <c r="D943" s="383"/>
      <c r="E943" s="417"/>
      <c r="F943" s="392"/>
      <c r="G943" s="405"/>
    </row>
    <row r="944">
      <c r="A944" s="404"/>
      <c r="B944" s="404"/>
      <c r="C944" s="404"/>
      <c r="D944" s="383"/>
      <c r="E944" s="417"/>
      <c r="F944" s="392"/>
      <c r="G944" s="405"/>
    </row>
    <row r="945">
      <c r="A945" s="404"/>
      <c r="B945" s="404"/>
      <c r="C945" s="404"/>
      <c r="D945" s="383"/>
      <c r="E945" s="417"/>
      <c r="F945" s="392"/>
      <c r="G945" s="405"/>
    </row>
    <row r="946">
      <c r="A946" s="404"/>
      <c r="B946" s="404"/>
      <c r="C946" s="404"/>
      <c r="D946" s="383"/>
      <c r="E946" s="417"/>
      <c r="F946" s="392"/>
      <c r="G946" s="405"/>
    </row>
    <row r="947">
      <c r="A947" s="404"/>
      <c r="B947" s="404"/>
      <c r="C947" s="404"/>
      <c r="D947" s="383"/>
      <c r="E947" s="417"/>
      <c r="F947" s="392"/>
      <c r="G947" s="405"/>
    </row>
    <row r="948">
      <c r="A948" s="404"/>
      <c r="B948" s="404"/>
      <c r="C948" s="404"/>
      <c r="D948" s="383"/>
      <c r="E948" s="417"/>
      <c r="F948" s="392"/>
      <c r="G948" s="405"/>
    </row>
    <row r="949">
      <c r="A949" s="404"/>
      <c r="B949" s="404"/>
      <c r="C949" s="404"/>
      <c r="D949" s="383"/>
      <c r="E949" s="417"/>
      <c r="F949" s="392"/>
      <c r="G949" s="405"/>
    </row>
    <row r="950">
      <c r="A950" s="404"/>
      <c r="B950" s="404"/>
      <c r="C950" s="404"/>
      <c r="D950" s="383"/>
      <c r="E950" s="417"/>
      <c r="F950" s="392"/>
      <c r="G950" s="405"/>
    </row>
    <row r="951">
      <c r="A951" s="404"/>
      <c r="B951" s="404"/>
      <c r="C951" s="404"/>
      <c r="D951" s="383"/>
      <c r="E951" s="417"/>
      <c r="F951" s="392"/>
      <c r="G951" s="405"/>
    </row>
    <row r="952">
      <c r="A952" s="404"/>
      <c r="B952" s="404"/>
      <c r="C952" s="404"/>
      <c r="D952" s="383"/>
      <c r="E952" s="417"/>
      <c r="F952" s="392"/>
      <c r="G952" s="405"/>
    </row>
    <row r="953">
      <c r="A953" s="404"/>
      <c r="B953" s="404"/>
      <c r="C953" s="404"/>
      <c r="D953" s="383"/>
      <c r="E953" s="417"/>
      <c r="F953" s="392"/>
      <c r="G953" s="405"/>
    </row>
    <row r="954">
      <c r="A954" s="404"/>
      <c r="B954" s="404"/>
      <c r="C954" s="404"/>
      <c r="D954" s="383"/>
      <c r="E954" s="417"/>
      <c r="F954" s="392"/>
      <c r="G954" s="405"/>
    </row>
    <row r="955">
      <c r="A955" s="404"/>
      <c r="B955" s="404"/>
      <c r="C955" s="404"/>
      <c r="D955" s="383"/>
      <c r="E955" s="417"/>
      <c r="F955" s="392"/>
      <c r="G955" s="405"/>
    </row>
    <row r="956">
      <c r="A956" s="404"/>
      <c r="B956" s="404"/>
      <c r="C956" s="404"/>
      <c r="D956" s="383"/>
      <c r="E956" s="417"/>
      <c r="F956" s="392"/>
      <c r="G956" s="405"/>
    </row>
    <row r="957">
      <c r="A957" s="404"/>
      <c r="B957" s="404"/>
      <c r="C957" s="404"/>
      <c r="D957" s="383"/>
      <c r="E957" s="417"/>
      <c r="F957" s="392"/>
      <c r="G957" s="405"/>
    </row>
    <row r="958">
      <c r="A958" s="404"/>
      <c r="B958" s="404"/>
      <c r="C958" s="404"/>
      <c r="D958" s="383"/>
      <c r="E958" s="417"/>
      <c r="F958" s="392"/>
      <c r="G958" s="405"/>
    </row>
    <row r="959">
      <c r="A959" s="404"/>
      <c r="B959" s="404"/>
      <c r="C959" s="404"/>
      <c r="D959" s="383"/>
      <c r="E959" s="417"/>
      <c r="F959" s="392"/>
      <c r="G959" s="405"/>
    </row>
    <row r="960">
      <c r="A960" s="404"/>
      <c r="B960" s="404"/>
      <c r="C960" s="404"/>
      <c r="D960" s="383"/>
      <c r="E960" s="417"/>
      <c r="F960" s="392"/>
      <c r="G960" s="405"/>
    </row>
    <row r="961">
      <c r="A961" s="404"/>
      <c r="B961" s="404"/>
      <c r="C961" s="404"/>
      <c r="D961" s="383"/>
      <c r="E961" s="417"/>
      <c r="F961" s="392"/>
      <c r="G961" s="405"/>
    </row>
    <row r="962">
      <c r="A962" s="404"/>
      <c r="B962" s="404"/>
      <c r="C962" s="404"/>
      <c r="D962" s="383"/>
      <c r="E962" s="417"/>
      <c r="F962" s="392"/>
      <c r="G962" s="405"/>
    </row>
    <row r="963">
      <c r="A963" s="404"/>
      <c r="B963" s="404"/>
      <c r="C963" s="404"/>
      <c r="D963" s="383"/>
      <c r="E963" s="417"/>
      <c r="F963" s="392"/>
      <c r="G963" s="405"/>
    </row>
    <row r="964">
      <c r="A964" s="404"/>
      <c r="B964" s="404"/>
      <c r="C964" s="404"/>
      <c r="D964" s="383"/>
      <c r="E964" s="417"/>
      <c r="F964" s="392"/>
      <c r="G964" s="405"/>
    </row>
    <row r="965">
      <c r="A965" s="404"/>
      <c r="B965" s="404"/>
      <c r="C965" s="404"/>
      <c r="D965" s="383"/>
      <c r="E965" s="417"/>
      <c r="F965" s="392"/>
      <c r="G965" s="405"/>
    </row>
    <row r="966">
      <c r="A966" s="404"/>
      <c r="B966" s="404"/>
      <c r="C966" s="404"/>
      <c r="D966" s="383"/>
      <c r="E966" s="417"/>
      <c r="F966" s="392"/>
      <c r="G966" s="405"/>
    </row>
    <row r="967">
      <c r="A967" s="404"/>
      <c r="B967" s="404"/>
      <c r="C967" s="404"/>
      <c r="D967" s="383"/>
      <c r="E967" s="417"/>
      <c r="F967" s="392"/>
      <c r="G967" s="405"/>
    </row>
    <row r="968">
      <c r="A968" s="404"/>
      <c r="B968" s="404"/>
      <c r="C968" s="404"/>
      <c r="D968" s="383"/>
      <c r="E968" s="417"/>
      <c r="F968" s="392"/>
      <c r="G968" s="405"/>
    </row>
    <row r="969">
      <c r="A969" s="404"/>
      <c r="B969" s="404"/>
      <c r="C969" s="404"/>
      <c r="D969" s="383"/>
      <c r="E969" s="417"/>
      <c r="F969" s="392"/>
      <c r="G969" s="405"/>
    </row>
    <row r="970">
      <c r="A970" s="404"/>
      <c r="B970" s="404"/>
      <c r="C970" s="404"/>
      <c r="D970" s="383"/>
      <c r="E970" s="417"/>
      <c r="F970" s="392"/>
      <c r="G970" s="405"/>
    </row>
    <row r="971">
      <c r="A971" s="404"/>
      <c r="B971" s="404"/>
      <c r="C971" s="404"/>
      <c r="D971" s="383"/>
      <c r="E971" s="417"/>
      <c r="F971" s="392"/>
      <c r="G971" s="405"/>
    </row>
    <row r="972">
      <c r="A972" s="404"/>
      <c r="B972" s="404"/>
      <c r="C972" s="404"/>
      <c r="D972" s="383"/>
      <c r="E972" s="417"/>
      <c r="F972" s="392"/>
      <c r="G972" s="405"/>
    </row>
    <row r="973">
      <c r="A973" s="404"/>
      <c r="B973" s="404"/>
      <c r="C973" s="404"/>
      <c r="D973" s="383"/>
      <c r="E973" s="417"/>
      <c r="F973" s="392"/>
      <c r="G973" s="405"/>
    </row>
    <row r="974">
      <c r="A974" s="404"/>
      <c r="B974" s="404"/>
      <c r="C974" s="404"/>
      <c r="D974" s="383"/>
      <c r="E974" s="417"/>
      <c r="F974" s="392"/>
      <c r="G974" s="405"/>
    </row>
    <row r="975">
      <c r="A975" s="404"/>
      <c r="B975" s="404"/>
      <c r="C975" s="404"/>
      <c r="D975" s="383"/>
      <c r="E975" s="417"/>
      <c r="F975" s="392"/>
      <c r="G975" s="405"/>
    </row>
    <row r="976">
      <c r="A976" s="404"/>
      <c r="B976" s="404"/>
      <c r="C976" s="404"/>
      <c r="D976" s="383"/>
      <c r="E976" s="417"/>
      <c r="F976" s="392"/>
      <c r="G976" s="405"/>
    </row>
    <row r="977">
      <c r="A977" s="404"/>
      <c r="B977" s="404"/>
      <c r="C977" s="404"/>
      <c r="D977" s="383"/>
      <c r="E977" s="417"/>
      <c r="F977" s="392"/>
      <c r="G977" s="405"/>
    </row>
    <row r="978">
      <c r="A978" s="404"/>
      <c r="B978" s="404"/>
      <c r="C978" s="404"/>
      <c r="D978" s="383"/>
      <c r="E978" s="417"/>
      <c r="F978" s="392"/>
      <c r="G978" s="405"/>
    </row>
    <row r="979">
      <c r="A979" s="404"/>
      <c r="B979" s="404"/>
      <c r="C979" s="404"/>
      <c r="D979" s="383"/>
      <c r="E979" s="417"/>
      <c r="F979" s="392"/>
      <c r="G979" s="405"/>
    </row>
    <row r="980">
      <c r="A980" s="404"/>
      <c r="B980" s="404"/>
      <c r="C980" s="404"/>
      <c r="D980" s="383"/>
      <c r="E980" s="417"/>
      <c r="F980" s="392"/>
      <c r="G980" s="405"/>
    </row>
    <row r="981">
      <c r="A981" s="404"/>
      <c r="B981" s="404"/>
      <c r="C981" s="404"/>
      <c r="D981" s="383"/>
      <c r="E981" s="417"/>
      <c r="F981" s="392"/>
      <c r="G981" s="405"/>
    </row>
    <row r="982">
      <c r="A982" s="404"/>
      <c r="B982" s="404"/>
      <c r="C982" s="404"/>
      <c r="D982" s="383"/>
      <c r="E982" s="417"/>
      <c r="F982" s="392"/>
      <c r="G982" s="405"/>
    </row>
    <row r="983">
      <c r="A983" s="404"/>
      <c r="B983" s="404"/>
      <c r="C983" s="404"/>
      <c r="D983" s="383"/>
      <c r="E983" s="417"/>
      <c r="F983" s="392"/>
      <c r="G983" s="405"/>
    </row>
    <row r="984">
      <c r="A984" s="404"/>
      <c r="B984" s="404"/>
      <c r="C984" s="404"/>
      <c r="D984" s="383"/>
      <c r="E984" s="417"/>
      <c r="F984" s="392"/>
      <c r="G984" s="405"/>
    </row>
    <row r="985">
      <c r="A985" s="404"/>
      <c r="B985" s="404"/>
      <c r="C985" s="404"/>
      <c r="D985" s="383"/>
      <c r="E985" s="417"/>
      <c r="F985" s="392"/>
      <c r="G985" s="405"/>
    </row>
    <row r="986">
      <c r="A986" s="404"/>
      <c r="B986" s="404"/>
      <c r="C986" s="404"/>
      <c r="D986" s="383"/>
      <c r="E986" s="417"/>
      <c r="F986" s="392"/>
      <c r="G986" s="405"/>
    </row>
    <row r="987">
      <c r="A987" s="404"/>
      <c r="B987" s="404"/>
      <c r="C987" s="404"/>
      <c r="D987" s="383"/>
      <c r="E987" s="417"/>
      <c r="F987" s="392"/>
      <c r="G987" s="405"/>
    </row>
    <row r="988">
      <c r="A988" s="404"/>
      <c r="B988" s="404"/>
      <c r="C988" s="404"/>
      <c r="D988" s="383"/>
      <c r="E988" s="417"/>
      <c r="F988" s="392"/>
      <c r="G988" s="405"/>
    </row>
    <row r="989">
      <c r="A989" s="404"/>
      <c r="B989" s="404"/>
      <c r="C989" s="404"/>
      <c r="D989" s="383"/>
      <c r="E989" s="417"/>
      <c r="F989" s="392"/>
      <c r="G989" s="405"/>
    </row>
    <row r="990">
      <c r="A990" s="404"/>
      <c r="B990" s="404"/>
      <c r="C990" s="404"/>
      <c r="D990" s="383"/>
      <c r="E990" s="417"/>
      <c r="F990" s="392"/>
      <c r="G990" s="405"/>
    </row>
    <row r="991">
      <c r="A991" s="404"/>
      <c r="B991" s="404"/>
      <c r="C991" s="404"/>
      <c r="D991" s="383"/>
      <c r="E991" s="417"/>
      <c r="F991" s="392"/>
      <c r="G991" s="405"/>
    </row>
    <row r="992">
      <c r="A992" s="404"/>
      <c r="B992" s="404"/>
      <c r="C992" s="404"/>
      <c r="D992" s="383"/>
      <c r="E992" s="417"/>
      <c r="F992" s="392"/>
      <c r="G992" s="405"/>
    </row>
    <row r="993">
      <c r="A993" s="404"/>
      <c r="B993" s="404"/>
      <c r="C993" s="404"/>
      <c r="D993" s="383"/>
      <c r="E993" s="417"/>
      <c r="F993" s="392"/>
      <c r="G993" s="405"/>
    </row>
    <row r="994">
      <c r="A994" s="404"/>
      <c r="B994" s="404"/>
      <c r="C994" s="404"/>
      <c r="D994" s="383"/>
      <c r="E994" s="417"/>
      <c r="F994" s="392"/>
      <c r="G994" s="405"/>
    </row>
    <row r="995">
      <c r="A995" s="404"/>
      <c r="B995" s="404"/>
      <c r="C995" s="404"/>
      <c r="D995" s="383"/>
      <c r="E995" s="417"/>
      <c r="F995" s="392"/>
      <c r="G995" s="405"/>
    </row>
    <row r="996">
      <c r="A996" s="404"/>
      <c r="B996" s="404"/>
      <c r="C996" s="404"/>
      <c r="D996" s="383"/>
      <c r="E996" s="417"/>
      <c r="F996" s="392"/>
      <c r="G996" s="405"/>
    </row>
    <row r="997">
      <c r="A997" s="404"/>
      <c r="B997" s="404"/>
      <c r="C997" s="404"/>
      <c r="D997" s="383"/>
      <c r="E997" s="417"/>
      <c r="F997" s="392"/>
      <c r="G997" s="405"/>
    </row>
    <row r="998">
      <c r="A998" s="404"/>
      <c r="B998" s="404"/>
      <c r="C998" s="404"/>
      <c r="D998" s="383"/>
      <c r="E998" s="417"/>
      <c r="F998" s="392"/>
      <c r="G998" s="405"/>
    </row>
    <row r="999">
      <c r="A999" s="404"/>
      <c r="B999" s="404"/>
      <c r="C999" s="404"/>
      <c r="D999" s="383"/>
      <c r="E999" s="417"/>
      <c r="F999" s="392"/>
      <c r="G999" s="405"/>
    </row>
    <row r="1000">
      <c r="A1000" s="404"/>
      <c r="B1000" s="404"/>
      <c r="C1000" s="404"/>
      <c r="D1000" s="383"/>
      <c r="E1000" s="417"/>
      <c r="F1000" s="392"/>
      <c r="G1000" s="405"/>
    </row>
    <row r="1001">
      <c r="A1001" s="404"/>
      <c r="B1001" s="404"/>
      <c r="C1001" s="404"/>
      <c r="D1001" s="383"/>
      <c r="E1001" s="417"/>
      <c r="F1001" s="392"/>
      <c r="G1001" s="405"/>
    </row>
    <row r="1002">
      <c r="A1002" s="404"/>
      <c r="B1002" s="404"/>
      <c r="C1002" s="404"/>
      <c r="D1002" s="383"/>
      <c r="E1002" s="417"/>
      <c r="F1002" s="392"/>
      <c r="G1002" s="405"/>
    </row>
    <row r="1003">
      <c r="A1003" s="404"/>
      <c r="B1003" s="404"/>
      <c r="C1003" s="404"/>
      <c r="D1003" s="383"/>
      <c r="E1003" s="417"/>
      <c r="F1003" s="392"/>
      <c r="G1003" s="405"/>
    </row>
    <row r="1004">
      <c r="A1004" s="404"/>
      <c r="B1004" s="404"/>
      <c r="C1004" s="404"/>
      <c r="D1004" s="383"/>
      <c r="E1004" s="417"/>
      <c r="F1004" s="392"/>
      <c r="G1004" s="405"/>
    </row>
    <row r="1005">
      <c r="A1005" s="404"/>
      <c r="B1005" s="404"/>
      <c r="C1005" s="404"/>
      <c r="D1005" s="383"/>
      <c r="E1005" s="417"/>
      <c r="F1005" s="392"/>
      <c r="G1005" s="405"/>
    </row>
    <row r="1006">
      <c r="A1006" s="404"/>
      <c r="B1006" s="404"/>
      <c r="C1006" s="404"/>
      <c r="D1006" s="383"/>
      <c r="E1006" s="417"/>
      <c r="F1006" s="392"/>
      <c r="G1006" s="405"/>
    </row>
    <row r="1007">
      <c r="A1007" s="404"/>
      <c r="B1007" s="404"/>
      <c r="C1007" s="404"/>
      <c r="D1007" s="383"/>
      <c r="E1007" s="417"/>
      <c r="F1007" s="392"/>
      <c r="G1007" s="405"/>
    </row>
    <row r="1008">
      <c r="A1008" s="404"/>
      <c r="B1008" s="404"/>
      <c r="C1008" s="404"/>
      <c r="D1008" s="383"/>
      <c r="E1008" s="417"/>
      <c r="F1008" s="392"/>
      <c r="G1008" s="405"/>
    </row>
    <row r="1009">
      <c r="A1009" s="404"/>
      <c r="B1009" s="404"/>
      <c r="C1009" s="404"/>
      <c r="D1009" s="383"/>
      <c r="E1009" s="417"/>
      <c r="F1009" s="392"/>
      <c r="G1009" s="405"/>
    </row>
    <row r="1010">
      <c r="A1010" s="404"/>
      <c r="B1010" s="404"/>
      <c r="C1010" s="404"/>
      <c r="D1010" s="383"/>
      <c r="E1010" s="417"/>
      <c r="F1010" s="392"/>
      <c r="G1010" s="405"/>
    </row>
    <row r="1011">
      <c r="A1011" s="404"/>
      <c r="B1011" s="404"/>
      <c r="C1011" s="404"/>
      <c r="D1011" s="383"/>
      <c r="E1011" s="417"/>
      <c r="F1011" s="392"/>
      <c r="G1011" s="405"/>
    </row>
    <row r="1012">
      <c r="A1012" s="404"/>
      <c r="B1012" s="404"/>
      <c r="C1012" s="404"/>
      <c r="D1012" s="383"/>
      <c r="E1012" s="417"/>
      <c r="F1012" s="392"/>
      <c r="G1012" s="405"/>
    </row>
    <row r="1013">
      <c r="A1013" s="404"/>
      <c r="B1013" s="404"/>
      <c r="C1013" s="404"/>
      <c r="D1013" s="383"/>
      <c r="E1013" s="417"/>
      <c r="F1013" s="392"/>
      <c r="G1013" s="405"/>
    </row>
    <row r="1014">
      <c r="A1014" s="404"/>
      <c r="B1014" s="404"/>
      <c r="C1014" s="404"/>
      <c r="D1014" s="383"/>
      <c r="E1014" s="417"/>
      <c r="F1014" s="392"/>
      <c r="G1014" s="405"/>
    </row>
    <row r="1015">
      <c r="A1015" s="404"/>
      <c r="B1015" s="404"/>
      <c r="C1015" s="404"/>
      <c r="D1015" s="383"/>
      <c r="E1015" s="417"/>
      <c r="F1015" s="392"/>
      <c r="G1015" s="405"/>
    </row>
    <row r="1016">
      <c r="A1016" s="404"/>
      <c r="B1016" s="404"/>
      <c r="C1016" s="404"/>
      <c r="D1016" s="383"/>
      <c r="E1016" s="417"/>
      <c r="F1016" s="392"/>
      <c r="G1016" s="405"/>
    </row>
    <row r="1017">
      <c r="A1017" s="404"/>
      <c r="B1017" s="404"/>
      <c r="C1017" s="404"/>
      <c r="D1017" s="383"/>
      <c r="E1017" s="417"/>
      <c r="F1017" s="392"/>
      <c r="G1017" s="405"/>
    </row>
    <row r="1018">
      <c r="A1018" s="404"/>
      <c r="B1018" s="404"/>
      <c r="C1018" s="404"/>
      <c r="D1018" s="383"/>
      <c r="E1018" s="417"/>
      <c r="F1018" s="392"/>
      <c r="G1018" s="405"/>
    </row>
    <row r="1019">
      <c r="A1019" s="404"/>
      <c r="B1019" s="404"/>
      <c r="C1019" s="404"/>
      <c r="D1019" s="383"/>
      <c r="E1019" s="417"/>
      <c r="F1019" s="392"/>
      <c r="G1019" s="405"/>
    </row>
    <row r="1020">
      <c r="A1020" s="404"/>
      <c r="B1020" s="404"/>
      <c r="C1020" s="404"/>
      <c r="D1020" s="383"/>
      <c r="E1020" s="417"/>
      <c r="F1020" s="392"/>
      <c r="G1020" s="405"/>
    </row>
    <row r="1021">
      <c r="A1021" s="404"/>
      <c r="B1021" s="404"/>
      <c r="C1021" s="404"/>
      <c r="D1021" s="383"/>
      <c r="E1021" s="417"/>
      <c r="F1021" s="392"/>
      <c r="G1021" s="405"/>
    </row>
    <row r="1022">
      <c r="A1022" s="404"/>
      <c r="B1022" s="404"/>
      <c r="C1022" s="404"/>
      <c r="D1022" s="383"/>
      <c r="E1022" s="417"/>
      <c r="F1022" s="392"/>
      <c r="G1022" s="405"/>
    </row>
    <row r="1023">
      <c r="A1023" s="404"/>
      <c r="B1023" s="404"/>
      <c r="C1023" s="404"/>
      <c r="D1023" s="383"/>
      <c r="E1023" s="417"/>
      <c r="F1023" s="392"/>
      <c r="G1023" s="405"/>
    </row>
    <row r="1024">
      <c r="A1024" s="404"/>
      <c r="B1024" s="404"/>
      <c r="C1024" s="404"/>
      <c r="D1024" s="383"/>
      <c r="E1024" s="417"/>
      <c r="F1024" s="392"/>
      <c r="G1024" s="405"/>
    </row>
    <row r="1025">
      <c r="A1025" s="404"/>
      <c r="B1025" s="404"/>
      <c r="C1025" s="404"/>
      <c r="D1025" s="383"/>
      <c r="E1025" s="417"/>
      <c r="F1025" s="392"/>
      <c r="G1025" s="405"/>
    </row>
    <row r="1026">
      <c r="A1026" s="404"/>
      <c r="B1026" s="404"/>
      <c r="C1026" s="404"/>
      <c r="D1026" s="383"/>
      <c r="E1026" s="417"/>
      <c r="F1026" s="392"/>
      <c r="G1026" s="405"/>
    </row>
    <row r="1027">
      <c r="A1027" s="404"/>
      <c r="B1027" s="404"/>
      <c r="C1027" s="404"/>
      <c r="D1027" s="383"/>
      <c r="E1027" s="417"/>
      <c r="F1027" s="392"/>
      <c r="G1027" s="405"/>
    </row>
    <row r="1028">
      <c r="A1028" s="404"/>
      <c r="B1028" s="404"/>
      <c r="C1028" s="404"/>
      <c r="D1028" s="383"/>
      <c r="E1028" s="417"/>
      <c r="F1028" s="392"/>
      <c r="G1028" s="405"/>
    </row>
    <row r="1029">
      <c r="A1029" s="404"/>
      <c r="B1029" s="404"/>
      <c r="C1029" s="404"/>
      <c r="D1029" s="383"/>
      <c r="E1029" s="417"/>
      <c r="F1029" s="392"/>
      <c r="G1029" s="405"/>
    </row>
    <row r="1030">
      <c r="A1030" s="404"/>
      <c r="B1030" s="404"/>
      <c r="C1030" s="404"/>
      <c r="D1030" s="383"/>
      <c r="E1030" s="417"/>
      <c r="F1030" s="392"/>
      <c r="G1030" s="405"/>
    </row>
    <row r="1031">
      <c r="A1031" s="404"/>
      <c r="B1031" s="404"/>
      <c r="C1031" s="404"/>
      <c r="D1031" s="383"/>
      <c r="E1031" s="417"/>
      <c r="F1031" s="392"/>
      <c r="G1031" s="405"/>
    </row>
    <row r="1032">
      <c r="A1032" s="404"/>
      <c r="B1032" s="404"/>
      <c r="C1032" s="404"/>
      <c r="D1032" s="383"/>
      <c r="E1032" s="417"/>
      <c r="F1032" s="392"/>
      <c r="G1032" s="405"/>
    </row>
    <row r="1033">
      <c r="A1033" s="404"/>
      <c r="B1033" s="404"/>
      <c r="C1033" s="404"/>
      <c r="D1033" s="383"/>
      <c r="E1033" s="417"/>
      <c r="F1033" s="392"/>
      <c r="G1033" s="405"/>
    </row>
    <row r="1034">
      <c r="A1034" s="404"/>
      <c r="B1034" s="404"/>
      <c r="C1034" s="404"/>
      <c r="D1034" s="383"/>
      <c r="E1034" s="417"/>
      <c r="F1034" s="392"/>
      <c r="G1034" s="405"/>
    </row>
    <row r="1035">
      <c r="A1035" s="404"/>
      <c r="B1035" s="404"/>
      <c r="C1035" s="404"/>
      <c r="D1035" s="383"/>
      <c r="E1035" s="417"/>
      <c r="F1035" s="392"/>
      <c r="G1035" s="405"/>
    </row>
    <row r="1036">
      <c r="A1036" s="404"/>
      <c r="B1036" s="404"/>
      <c r="C1036" s="404"/>
      <c r="D1036" s="383"/>
      <c r="E1036" s="417"/>
      <c r="F1036" s="392"/>
      <c r="G1036" s="405"/>
    </row>
    <row r="1037">
      <c r="A1037" s="404"/>
      <c r="B1037" s="404"/>
      <c r="C1037" s="404"/>
      <c r="D1037" s="383"/>
      <c r="E1037" s="417"/>
      <c r="F1037" s="392"/>
      <c r="G1037" s="405"/>
    </row>
    <row r="1038">
      <c r="A1038" s="404"/>
      <c r="B1038" s="404"/>
      <c r="C1038" s="404"/>
      <c r="D1038" s="383"/>
      <c r="E1038" s="417"/>
      <c r="F1038" s="392"/>
      <c r="G1038" s="405"/>
    </row>
    <row r="1039">
      <c r="A1039" s="404"/>
      <c r="B1039" s="404"/>
      <c r="C1039" s="404"/>
      <c r="D1039" s="383"/>
      <c r="E1039" s="417"/>
      <c r="F1039" s="392"/>
      <c r="G1039" s="405"/>
    </row>
    <row r="1040">
      <c r="A1040" s="404"/>
      <c r="B1040" s="404"/>
      <c r="C1040" s="404"/>
      <c r="D1040" s="383"/>
      <c r="E1040" s="417"/>
      <c r="F1040" s="392"/>
      <c r="G1040" s="405"/>
    </row>
    <row r="1041">
      <c r="A1041" s="404"/>
      <c r="B1041" s="404"/>
      <c r="C1041" s="404"/>
      <c r="D1041" s="383"/>
      <c r="E1041" s="417"/>
      <c r="F1041" s="392"/>
      <c r="G1041" s="405"/>
    </row>
    <row r="1042">
      <c r="A1042" s="404"/>
      <c r="B1042" s="404"/>
      <c r="C1042" s="404"/>
      <c r="D1042" s="383"/>
      <c r="E1042" s="417"/>
      <c r="F1042" s="392"/>
      <c r="G1042" s="405"/>
    </row>
    <row r="1043">
      <c r="A1043" s="404"/>
      <c r="B1043" s="404"/>
      <c r="C1043" s="404"/>
      <c r="D1043" s="383"/>
      <c r="E1043" s="417"/>
      <c r="F1043" s="392"/>
      <c r="G1043" s="405"/>
    </row>
    <row r="1044">
      <c r="A1044" s="404"/>
      <c r="B1044" s="404"/>
      <c r="C1044" s="404"/>
      <c r="D1044" s="383"/>
      <c r="E1044" s="417"/>
      <c r="F1044" s="392"/>
      <c r="G1044" s="405"/>
    </row>
    <row r="1045">
      <c r="A1045" s="404"/>
      <c r="B1045" s="404"/>
      <c r="C1045" s="404"/>
      <c r="D1045" s="383"/>
      <c r="E1045" s="417"/>
      <c r="F1045" s="392"/>
      <c r="G1045" s="405"/>
    </row>
    <row r="1046">
      <c r="A1046" s="404"/>
      <c r="B1046" s="404"/>
      <c r="C1046" s="404"/>
      <c r="D1046" s="383"/>
      <c r="E1046" s="417"/>
      <c r="F1046" s="392"/>
      <c r="G1046" s="405"/>
    </row>
    <row r="1047">
      <c r="A1047" s="404"/>
      <c r="B1047" s="404"/>
      <c r="C1047" s="404"/>
      <c r="D1047" s="383"/>
      <c r="E1047" s="417"/>
      <c r="F1047" s="392"/>
      <c r="G1047" s="405"/>
    </row>
    <row r="1048">
      <c r="A1048" s="404"/>
      <c r="B1048" s="404"/>
      <c r="C1048" s="404"/>
      <c r="D1048" s="383"/>
      <c r="E1048" s="417"/>
      <c r="F1048" s="392"/>
      <c r="G1048" s="405"/>
    </row>
    <row r="1049">
      <c r="A1049" s="404"/>
      <c r="B1049" s="404"/>
      <c r="C1049" s="404"/>
      <c r="D1049" s="383"/>
      <c r="E1049" s="417"/>
      <c r="F1049" s="392"/>
      <c r="G1049" s="405"/>
    </row>
    <row r="1050">
      <c r="A1050" s="404"/>
      <c r="B1050" s="404"/>
      <c r="C1050" s="404"/>
      <c r="D1050" s="383"/>
      <c r="E1050" s="417"/>
      <c r="F1050" s="392"/>
      <c r="G1050" s="405"/>
    </row>
    <row r="1051">
      <c r="A1051" s="404"/>
      <c r="B1051" s="404"/>
      <c r="C1051" s="404"/>
      <c r="D1051" s="383"/>
      <c r="E1051" s="417"/>
      <c r="F1051" s="392"/>
      <c r="G1051" s="405"/>
    </row>
    <row r="1052">
      <c r="A1052" s="404"/>
      <c r="B1052" s="404"/>
      <c r="C1052" s="404"/>
      <c r="D1052" s="383"/>
      <c r="E1052" s="417"/>
      <c r="F1052" s="392"/>
      <c r="G1052" s="405"/>
    </row>
    <row r="1053">
      <c r="A1053" s="404"/>
      <c r="B1053" s="404"/>
      <c r="C1053" s="404"/>
      <c r="D1053" s="383"/>
      <c r="E1053" s="417"/>
      <c r="F1053" s="392"/>
      <c r="G1053" s="405"/>
    </row>
    <row r="1054">
      <c r="A1054" s="404"/>
      <c r="B1054" s="404"/>
      <c r="C1054" s="404"/>
      <c r="D1054" s="383"/>
      <c r="E1054" s="417"/>
      <c r="F1054" s="392"/>
      <c r="G1054" s="405"/>
    </row>
    <row r="1055">
      <c r="A1055" s="404"/>
      <c r="B1055" s="404"/>
      <c r="C1055" s="404"/>
      <c r="D1055" s="383"/>
      <c r="E1055" s="417"/>
      <c r="F1055" s="392"/>
      <c r="G1055" s="405"/>
    </row>
    <row r="1056">
      <c r="A1056" s="404"/>
      <c r="B1056" s="404"/>
      <c r="C1056" s="404"/>
      <c r="D1056" s="383"/>
      <c r="E1056" s="417"/>
      <c r="F1056" s="392"/>
      <c r="G1056" s="405"/>
    </row>
    <row r="1057">
      <c r="A1057" s="404"/>
      <c r="B1057" s="404"/>
      <c r="C1057" s="404"/>
      <c r="D1057" s="383"/>
      <c r="E1057" s="417"/>
      <c r="F1057" s="392"/>
      <c r="G1057" s="405"/>
    </row>
    <row r="1058">
      <c r="A1058" s="404"/>
      <c r="B1058" s="404"/>
      <c r="C1058" s="404"/>
      <c r="D1058" s="383"/>
      <c r="E1058" s="417"/>
      <c r="F1058" s="392"/>
      <c r="G1058" s="405"/>
    </row>
    <row r="1059">
      <c r="A1059" s="404"/>
      <c r="B1059" s="404"/>
      <c r="C1059" s="404"/>
      <c r="D1059" s="383"/>
      <c r="E1059" s="417"/>
      <c r="F1059" s="392"/>
      <c r="G1059" s="405"/>
    </row>
    <row r="1060">
      <c r="A1060" s="404"/>
      <c r="B1060" s="404"/>
      <c r="C1060" s="404"/>
      <c r="D1060" s="383"/>
      <c r="E1060" s="417"/>
      <c r="F1060" s="392"/>
      <c r="G1060" s="405"/>
    </row>
    <row r="1061">
      <c r="A1061" s="404"/>
      <c r="B1061" s="404"/>
      <c r="C1061" s="404"/>
      <c r="D1061" s="383"/>
      <c r="E1061" s="417"/>
      <c r="F1061" s="392"/>
      <c r="G1061" s="405"/>
    </row>
    <row r="1062">
      <c r="A1062" s="404"/>
      <c r="B1062" s="404"/>
      <c r="C1062" s="404"/>
      <c r="D1062" s="383"/>
      <c r="E1062" s="417"/>
      <c r="F1062" s="392"/>
      <c r="G1062" s="405"/>
    </row>
    <row r="1063">
      <c r="A1063" s="404"/>
      <c r="B1063" s="404"/>
      <c r="C1063" s="404"/>
      <c r="D1063" s="383"/>
      <c r="E1063" s="417"/>
      <c r="F1063" s="392"/>
      <c r="G1063" s="405"/>
    </row>
    <row r="1064">
      <c r="A1064" s="404"/>
      <c r="B1064" s="404"/>
      <c r="C1064" s="404"/>
      <c r="D1064" s="383"/>
      <c r="E1064" s="417"/>
      <c r="F1064" s="392"/>
      <c r="G1064" s="405"/>
    </row>
    <row r="1065">
      <c r="A1065" s="404"/>
      <c r="B1065" s="404"/>
      <c r="C1065" s="404"/>
      <c r="D1065" s="383"/>
      <c r="E1065" s="417"/>
      <c r="F1065" s="392"/>
      <c r="G1065" s="405"/>
    </row>
    <row r="1066">
      <c r="A1066" s="404"/>
      <c r="B1066" s="404"/>
      <c r="C1066" s="404"/>
      <c r="D1066" s="383"/>
      <c r="E1066" s="417"/>
      <c r="F1066" s="392"/>
      <c r="G1066" s="405"/>
    </row>
    <row r="1067">
      <c r="A1067" s="404"/>
      <c r="B1067" s="404"/>
      <c r="C1067" s="404"/>
      <c r="D1067" s="383"/>
      <c r="E1067" s="417"/>
      <c r="F1067" s="392"/>
      <c r="G1067" s="405"/>
    </row>
    <row r="1068">
      <c r="A1068" s="404"/>
      <c r="B1068" s="404"/>
      <c r="C1068" s="404"/>
      <c r="D1068" s="383"/>
      <c r="E1068" s="417"/>
      <c r="F1068" s="392"/>
      <c r="G1068" s="405"/>
    </row>
    <row r="1069">
      <c r="A1069" s="404"/>
      <c r="B1069" s="404"/>
      <c r="C1069" s="404"/>
      <c r="D1069" s="383"/>
      <c r="E1069" s="417"/>
      <c r="F1069" s="392"/>
      <c r="G1069" s="405"/>
    </row>
    <row r="1070">
      <c r="A1070" s="404"/>
      <c r="B1070" s="404"/>
      <c r="C1070" s="404"/>
      <c r="D1070" s="383"/>
      <c r="E1070" s="417"/>
      <c r="F1070" s="392"/>
      <c r="G1070" s="405"/>
    </row>
    <row r="1071">
      <c r="A1071" s="404"/>
      <c r="B1071" s="404"/>
      <c r="C1071" s="404"/>
      <c r="D1071" s="383"/>
      <c r="E1071" s="417"/>
      <c r="F1071" s="392"/>
      <c r="G1071" s="405"/>
    </row>
    <row r="1072">
      <c r="A1072" s="404"/>
      <c r="B1072" s="404"/>
      <c r="C1072" s="404"/>
      <c r="D1072" s="383"/>
      <c r="E1072" s="417"/>
      <c r="F1072" s="392"/>
      <c r="G1072" s="405"/>
    </row>
    <row r="1073">
      <c r="A1073" s="404"/>
      <c r="B1073" s="404"/>
      <c r="C1073" s="404"/>
      <c r="D1073" s="383"/>
      <c r="E1073" s="417"/>
      <c r="F1073" s="392"/>
      <c r="G1073" s="405"/>
    </row>
    <row r="1074">
      <c r="A1074" s="404"/>
      <c r="B1074" s="404"/>
      <c r="C1074" s="404"/>
      <c r="D1074" s="383"/>
      <c r="E1074" s="417"/>
      <c r="F1074" s="392"/>
      <c r="G1074" s="405"/>
    </row>
    <row r="1075">
      <c r="A1075" s="404"/>
      <c r="B1075" s="404"/>
      <c r="C1075" s="404"/>
      <c r="D1075" s="383"/>
      <c r="E1075" s="417"/>
      <c r="F1075" s="392"/>
      <c r="G1075" s="405"/>
    </row>
    <row r="1076">
      <c r="A1076" s="404"/>
      <c r="B1076" s="404"/>
      <c r="C1076" s="404"/>
      <c r="D1076" s="383"/>
      <c r="E1076" s="417"/>
      <c r="F1076" s="392"/>
      <c r="G1076" s="405"/>
    </row>
    <row r="1077">
      <c r="A1077" s="404"/>
      <c r="B1077" s="404"/>
      <c r="C1077" s="404"/>
      <c r="D1077" s="383"/>
      <c r="E1077" s="417"/>
      <c r="F1077" s="392"/>
      <c r="G1077" s="405"/>
    </row>
    <row r="1078">
      <c r="A1078" s="404"/>
      <c r="B1078" s="404"/>
      <c r="C1078" s="404"/>
      <c r="D1078" s="383"/>
      <c r="E1078" s="417"/>
      <c r="F1078" s="392"/>
      <c r="G1078" s="405"/>
    </row>
    <row r="1079">
      <c r="A1079" s="404"/>
      <c r="B1079" s="404"/>
      <c r="C1079" s="404"/>
      <c r="D1079" s="383"/>
      <c r="E1079" s="417"/>
      <c r="F1079" s="392"/>
      <c r="G1079" s="405"/>
    </row>
    <row r="1080">
      <c r="A1080" s="404"/>
      <c r="B1080" s="404"/>
      <c r="C1080" s="404"/>
      <c r="D1080" s="383"/>
      <c r="E1080" s="417"/>
      <c r="F1080" s="392"/>
      <c r="G1080" s="405"/>
    </row>
    <row r="1081">
      <c r="A1081" s="404"/>
      <c r="B1081" s="404"/>
      <c r="C1081" s="404"/>
      <c r="D1081" s="383"/>
      <c r="E1081" s="417"/>
      <c r="F1081" s="392"/>
      <c r="G1081" s="405"/>
    </row>
    <row r="1082">
      <c r="A1082" s="404"/>
      <c r="B1082" s="404"/>
      <c r="C1082" s="404"/>
      <c r="D1082" s="383"/>
      <c r="E1082" s="417"/>
      <c r="F1082" s="392"/>
      <c r="G1082" s="405"/>
    </row>
    <row r="1083">
      <c r="A1083" s="404"/>
      <c r="B1083" s="404"/>
      <c r="C1083" s="404"/>
      <c r="D1083" s="383"/>
      <c r="E1083" s="417"/>
      <c r="F1083" s="392"/>
      <c r="G1083" s="405"/>
    </row>
    <row r="1084">
      <c r="A1084" s="404"/>
      <c r="B1084" s="404"/>
      <c r="C1084" s="404"/>
      <c r="D1084" s="383"/>
      <c r="E1084" s="417"/>
      <c r="F1084" s="392"/>
      <c r="G1084" s="405"/>
    </row>
    <row r="1085">
      <c r="A1085" s="404"/>
      <c r="B1085" s="404"/>
      <c r="C1085" s="404"/>
      <c r="D1085" s="383"/>
      <c r="E1085" s="417"/>
      <c r="F1085" s="392"/>
      <c r="G1085" s="405"/>
    </row>
    <row r="1086">
      <c r="A1086" s="404"/>
      <c r="B1086" s="404"/>
      <c r="C1086" s="404"/>
      <c r="D1086" s="383"/>
      <c r="E1086" s="417"/>
      <c r="F1086" s="392"/>
      <c r="G1086" s="405"/>
    </row>
    <row r="1087">
      <c r="A1087" s="404"/>
      <c r="B1087" s="404"/>
      <c r="C1087" s="404"/>
      <c r="D1087" s="383"/>
      <c r="E1087" s="417"/>
      <c r="F1087" s="392"/>
      <c r="G1087" s="405"/>
    </row>
    <row r="1088">
      <c r="A1088" s="404"/>
      <c r="B1088" s="404"/>
      <c r="C1088" s="404"/>
      <c r="D1088" s="383"/>
      <c r="E1088" s="417"/>
      <c r="F1088" s="392"/>
      <c r="G1088" s="405"/>
    </row>
    <row r="1089">
      <c r="A1089" s="404"/>
      <c r="B1089" s="404"/>
      <c r="C1089" s="404"/>
      <c r="D1089" s="383"/>
      <c r="E1089" s="417"/>
      <c r="F1089" s="392"/>
      <c r="G1089" s="405"/>
    </row>
    <row r="1090">
      <c r="A1090" s="404"/>
      <c r="B1090" s="404"/>
      <c r="C1090" s="404"/>
      <c r="D1090" s="383"/>
      <c r="E1090" s="417"/>
      <c r="F1090" s="392"/>
      <c r="G1090" s="405"/>
    </row>
    <row r="1091">
      <c r="A1091" s="404"/>
      <c r="B1091" s="404"/>
      <c r="C1091" s="404"/>
      <c r="D1091" s="383"/>
      <c r="E1091" s="417"/>
      <c r="F1091" s="392"/>
      <c r="G1091" s="405"/>
    </row>
    <row r="1092">
      <c r="A1092" s="404"/>
      <c r="B1092" s="404"/>
      <c r="C1092" s="404"/>
      <c r="D1092" s="383"/>
      <c r="E1092" s="417"/>
      <c r="F1092" s="392"/>
      <c r="G1092" s="405"/>
    </row>
    <row r="1093">
      <c r="A1093" s="404"/>
      <c r="B1093" s="404"/>
      <c r="C1093" s="404"/>
      <c r="D1093" s="383"/>
      <c r="E1093" s="417"/>
      <c r="F1093" s="392"/>
      <c r="G1093" s="405"/>
    </row>
    <row r="1094">
      <c r="A1094" s="404"/>
      <c r="B1094" s="404"/>
      <c r="C1094" s="404"/>
      <c r="D1094" s="383"/>
      <c r="E1094" s="417"/>
      <c r="F1094" s="392"/>
      <c r="G1094" s="405"/>
    </row>
    <row r="1095">
      <c r="A1095" s="404"/>
      <c r="B1095" s="404"/>
      <c r="C1095" s="404"/>
      <c r="D1095" s="383"/>
      <c r="E1095" s="417"/>
      <c r="F1095" s="392"/>
      <c r="G1095" s="405"/>
    </row>
    <row r="1096">
      <c r="A1096" s="404"/>
      <c r="B1096" s="404"/>
      <c r="C1096" s="404"/>
      <c r="D1096" s="383"/>
      <c r="E1096" s="417"/>
      <c r="F1096" s="392"/>
      <c r="G1096" s="405"/>
    </row>
    <row r="1097">
      <c r="A1097" s="404"/>
      <c r="B1097" s="404"/>
      <c r="C1097" s="404"/>
      <c r="D1097" s="383"/>
      <c r="E1097" s="417"/>
      <c r="F1097" s="392"/>
      <c r="G1097" s="405"/>
    </row>
    <row r="1098">
      <c r="A1098" s="404"/>
      <c r="B1098" s="404"/>
      <c r="C1098" s="404"/>
      <c r="D1098" s="383"/>
      <c r="E1098" s="417"/>
      <c r="F1098" s="392"/>
      <c r="G1098" s="405"/>
    </row>
    <row r="1099">
      <c r="A1099" s="404"/>
      <c r="B1099" s="404"/>
      <c r="C1099" s="404"/>
      <c r="D1099" s="383"/>
      <c r="E1099" s="417"/>
      <c r="F1099" s="392"/>
      <c r="G1099" s="405"/>
    </row>
    <row r="1100">
      <c r="A1100" s="404"/>
      <c r="B1100" s="404"/>
      <c r="C1100" s="404"/>
      <c r="D1100" s="383"/>
      <c r="E1100" s="417"/>
      <c r="F1100" s="392"/>
      <c r="G1100" s="405"/>
    </row>
    <row r="1101">
      <c r="A1101" s="404"/>
      <c r="B1101" s="404"/>
      <c r="C1101" s="404"/>
      <c r="D1101" s="383"/>
      <c r="E1101" s="417"/>
      <c r="F1101" s="392"/>
      <c r="G1101" s="405"/>
    </row>
    <row r="1102">
      <c r="A1102" s="404"/>
      <c r="B1102" s="404"/>
      <c r="C1102" s="404"/>
      <c r="D1102" s="383"/>
      <c r="E1102" s="417"/>
      <c r="F1102" s="392"/>
      <c r="G1102" s="405"/>
    </row>
    <row r="1103">
      <c r="A1103" s="404"/>
      <c r="B1103" s="404"/>
      <c r="C1103" s="404"/>
      <c r="D1103" s="383"/>
      <c r="E1103" s="417"/>
      <c r="F1103" s="392"/>
      <c r="G1103" s="405"/>
    </row>
    <row r="1104">
      <c r="A1104" s="404"/>
      <c r="B1104" s="404"/>
      <c r="C1104" s="404"/>
      <c r="D1104" s="383"/>
      <c r="E1104" s="417"/>
      <c r="F1104" s="392"/>
      <c r="G1104" s="405"/>
    </row>
    <row r="1105">
      <c r="A1105" s="404"/>
      <c r="B1105" s="404"/>
      <c r="C1105" s="404"/>
      <c r="D1105" s="383"/>
      <c r="E1105" s="417"/>
      <c r="F1105" s="392"/>
      <c r="G1105" s="405"/>
    </row>
    <row r="1106">
      <c r="A1106" s="404"/>
      <c r="B1106" s="404"/>
      <c r="C1106" s="404"/>
      <c r="D1106" s="383"/>
      <c r="E1106" s="417"/>
      <c r="F1106" s="392"/>
      <c r="G1106" s="405"/>
    </row>
    <row r="1107">
      <c r="A1107" s="404"/>
      <c r="B1107" s="404"/>
      <c r="C1107" s="404"/>
      <c r="D1107" s="383"/>
      <c r="E1107" s="417"/>
      <c r="F1107" s="392"/>
      <c r="G1107" s="405"/>
    </row>
    <row r="1108">
      <c r="A1108" s="404"/>
      <c r="B1108" s="404"/>
      <c r="C1108" s="404"/>
      <c r="D1108" s="383"/>
      <c r="E1108" s="417"/>
      <c r="F1108" s="392"/>
      <c r="G1108" s="405"/>
    </row>
    <row r="1109">
      <c r="A1109" s="404"/>
      <c r="B1109" s="404"/>
      <c r="C1109" s="404"/>
      <c r="D1109" s="383"/>
      <c r="E1109" s="417"/>
      <c r="F1109" s="392"/>
      <c r="G1109" s="405"/>
    </row>
    <row r="1110">
      <c r="A1110" s="404"/>
      <c r="B1110" s="404"/>
      <c r="C1110" s="404"/>
      <c r="D1110" s="383"/>
      <c r="E1110" s="417"/>
      <c r="F1110" s="392"/>
      <c r="G1110" s="405"/>
    </row>
    <row r="1111">
      <c r="A1111" s="404"/>
      <c r="B1111" s="404"/>
      <c r="C1111" s="404"/>
      <c r="D1111" s="383"/>
      <c r="E1111" s="417"/>
      <c r="F1111" s="392"/>
      <c r="G1111" s="405"/>
    </row>
    <row r="1112">
      <c r="A1112" s="404"/>
      <c r="B1112" s="404"/>
      <c r="C1112" s="404"/>
      <c r="D1112" s="383"/>
      <c r="E1112" s="417"/>
      <c r="F1112" s="392"/>
      <c r="G1112" s="405"/>
    </row>
    <row r="1113">
      <c r="A1113" s="404"/>
      <c r="B1113" s="404"/>
      <c r="C1113" s="404"/>
      <c r="D1113" s="383"/>
      <c r="E1113" s="417"/>
      <c r="F1113" s="392"/>
      <c r="G1113" s="405"/>
    </row>
    <row r="1114">
      <c r="A1114" s="404"/>
      <c r="B1114" s="404"/>
      <c r="C1114" s="404"/>
      <c r="D1114" s="383"/>
      <c r="E1114" s="417"/>
      <c r="F1114" s="392"/>
      <c r="G1114" s="405"/>
    </row>
    <row r="1115">
      <c r="A1115" s="404"/>
      <c r="B1115" s="404"/>
      <c r="C1115" s="404"/>
      <c r="D1115" s="383"/>
      <c r="E1115" s="417"/>
      <c r="F1115" s="392"/>
      <c r="G1115" s="405"/>
    </row>
    <row r="1116">
      <c r="A1116" s="404"/>
      <c r="B1116" s="404"/>
      <c r="C1116" s="404"/>
      <c r="D1116" s="383"/>
      <c r="E1116" s="417"/>
      <c r="F1116" s="392"/>
      <c r="G1116" s="405"/>
    </row>
    <row r="1117">
      <c r="A1117" s="404"/>
      <c r="B1117" s="404"/>
      <c r="C1117" s="404"/>
      <c r="D1117" s="383"/>
      <c r="E1117" s="417"/>
      <c r="F1117" s="392"/>
      <c r="G1117" s="405"/>
    </row>
    <row r="1118">
      <c r="A1118" s="404"/>
      <c r="B1118" s="404"/>
      <c r="C1118" s="404"/>
      <c r="D1118" s="383"/>
      <c r="E1118" s="417"/>
      <c r="F1118" s="392"/>
      <c r="G1118" s="405"/>
    </row>
    <row r="1119">
      <c r="A1119" s="404"/>
      <c r="B1119" s="404"/>
      <c r="C1119" s="404"/>
      <c r="D1119" s="383"/>
      <c r="E1119" s="417"/>
      <c r="F1119" s="392"/>
      <c r="G1119" s="405"/>
    </row>
    <row r="1120">
      <c r="A1120" s="404"/>
      <c r="B1120" s="404"/>
      <c r="C1120" s="404"/>
      <c r="D1120" s="383"/>
      <c r="E1120" s="417"/>
      <c r="F1120" s="392"/>
      <c r="G1120" s="405"/>
    </row>
    <row r="1121">
      <c r="A1121" s="404"/>
      <c r="B1121" s="404"/>
      <c r="C1121" s="404"/>
      <c r="D1121" s="383"/>
      <c r="E1121" s="417"/>
      <c r="F1121" s="392"/>
      <c r="G1121" s="405"/>
    </row>
    <row r="1122">
      <c r="A1122" s="404"/>
      <c r="B1122" s="404"/>
      <c r="C1122" s="404"/>
      <c r="D1122" s="383"/>
      <c r="E1122" s="417"/>
      <c r="F1122" s="392"/>
      <c r="G1122" s="405"/>
    </row>
    <row r="1123">
      <c r="A1123" s="404"/>
      <c r="B1123" s="404"/>
      <c r="C1123" s="404"/>
      <c r="D1123" s="383"/>
      <c r="E1123" s="417"/>
      <c r="F1123" s="392"/>
      <c r="G1123" s="405"/>
    </row>
    <row r="1124">
      <c r="A1124" s="404"/>
      <c r="B1124" s="404"/>
      <c r="C1124" s="404"/>
      <c r="D1124" s="383"/>
      <c r="E1124" s="417"/>
      <c r="F1124" s="392"/>
      <c r="G1124" s="405"/>
    </row>
    <row r="1125">
      <c r="A1125" s="404"/>
      <c r="B1125" s="404"/>
      <c r="C1125" s="404"/>
      <c r="D1125" s="383"/>
      <c r="E1125" s="417"/>
      <c r="F1125" s="392"/>
      <c r="G1125" s="405"/>
    </row>
    <row r="1126">
      <c r="A1126" s="404"/>
      <c r="B1126" s="404"/>
      <c r="C1126" s="404"/>
      <c r="D1126" s="383"/>
      <c r="E1126" s="417"/>
      <c r="F1126" s="392"/>
      <c r="G1126" s="405"/>
    </row>
    <row r="1127">
      <c r="A1127" s="404"/>
      <c r="B1127" s="404"/>
      <c r="C1127" s="404"/>
      <c r="D1127" s="383"/>
      <c r="E1127" s="417"/>
      <c r="F1127" s="392"/>
      <c r="G1127" s="405"/>
    </row>
    <row r="1128">
      <c r="A1128" s="404"/>
      <c r="B1128" s="404"/>
      <c r="C1128" s="404"/>
      <c r="D1128" s="383"/>
      <c r="E1128" s="417"/>
      <c r="F1128" s="392"/>
      <c r="G1128" s="405"/>
    </row>
    <row r="1129">
      <c r="A1129" s="404"/>
      <c r="B1129" s="404"/>
      <c r="C1129" s="404"/>
      <c r="D1129" s="383"/>
      <c r="E1129" s="417"/>
      <c r="F1129" s="392"/>
      <c r="G1129" s="405"/>
    </row>
    <row r="1130">
      <c r="A1130" s="404"/>
      <c r="B1130" s="404"/>
      <c r="C1130" s="404"/>
      <c r="D1130" s="383"/>
      <c r="E1130" s="417"/>
      <c r="F1130" s="392"/>
      <c r="G1130" s="405"/>
    </row>
    <row r="1131">
      <c r="A1131" s="404"/>
      <c r="B1131" s="404"/>
      <c r="C1131" s="404"/>
      <c r="D1131" s="383"/>
      <c r="E1131" s="417"/>
      <c r="F1131" s="392"/>
      <c r="G1131" s="405"/>
    </row>
    <row r="1132">
      <c r="A1132" s="404"/>
      <c r="B1132" s="404"/>
      <c r="C1132" s="404"/>
      <c r="D1132" s="383"/>
      <c r="E1132" s="417"/>
      <c r="F1132" s="392"/>
      <c r="G1132" s="405"/>
    </row>
    <row r="1133">
      <c r="A1133" s="404"/>
      <c r="B1133" s="404"/>
      <c r="C1133" s="404"/>
      <c r="D1133" s="383"/>
      <c r="E1133" s="417"/>
      <c r="F1133" s="392"/>
      <c r="G1133" s="405"/>
    </row>
    <row r="1134">
      <c r="A1134" s="404"/>
      <c r="B1134" s="404"/>
      <c r="C1134" s="404"/>
      <c r="D1134" s="383"/>
      <c r="E1134" s="417"/>
      <c r="F1134" s="392"/>
      <c r="G1134" s="405"/>
    </row>
    <row r="1135">
      <c r="A1135" s="404"/>
      <c r="B1135" s="404"/>
      <c r="C1135" s="404"/>
      <c r="D1135" s="383"/>
      <c r="E1135" s="417"/>
      <c r="F1135" s="392"/>
      <c r="G1135" s="405"/>
    </row>
    <row r="1136">
      <c r="A1136" s="404"/>
      <c r="B1136" s="404"/>
      <c r="C1136" s="404"/>
      <c r="D1136" s="383"/>
      <c r="E1136" s="417"/>
      <c r="F1136" s="392"/>
      <c r="G1136" s="405"/>
    </row>
    <row r="1137">
      <c r="A1137" s="404"/>
      <c r="B1137" s="404"/>
      <c r="C1137" s="404"/>
      <c r="D1137" s="383"/>
      <c r="E1137" s="417"/>
      <c r="F1137" s="392"/>
      <c r="G1137" s="405"/>
    </row>
    <row r="1138">
      <c r="A1138" s="404"/>
      <c r="B1138" s="404"/>
      <c r="C1138" s="404"/>
      <c r="D1138" s="383"/>
      <c r="E1138" s="417"/>
      <c r="F1138" s="392"/>
      <c r="G1138" s="405"/>
    </row>
    <row r="1139">
      <c r="A1139" s="404"/>
      <c r="B1139" s="404"/>
      <c r="C1139" s="404"/>
      <c r="D1139" s="383"/>
      <c r="E1139" s="417"/>
      <c r="F1139" s="392"/>
      <c r="G1139" s="405"/>
    </row>
    <row r="1140">
      <c r="A1140" s="404"/>
      <c r="B1140" s="404"/>
      <c r="C1140" s="404"/>
      <c r="D1140" s="383"/>
      <c r="E1140" s="417"/>
      <c r="F1140" s="392"/>
      <c r="G1140" s="405"/>
    </row>
    <row r="1141">
      <c r="A1141" s="404"/>
      <c r="B1141" s="404"/>
      <c r="C1141" s="404"/>
      <c r="D1141" s="383"/>
      <c r="E1141" s="417"/>
      <c r="F1141" s="392"/>
      <c r="G1141" s="405"/>
    </row>
    <row r="1142">
      <c r="A1142" s="404"/>
      <c r="B1142" s="404"/>
      <c r="C1142" s="404"/>
      <c r="D1142" s="383"/>
      <c r="E1142" s="417"/>
      <c r="F1142" s="392"/>
      <c r="G1142" s="405"/>
    </row>
    <row r="1143">
      <c r="A1143" s="404"/>
      <c r="B1143" s="404"/>
      <c r="C1143" s="404"/>
      <c r="D1143" s="383"/>
      <c r="E1143" s="417"/>
      <c r="F1143" s="392"/>
      <c r="G1143" s="405"/>
    </row>
    <row r="1144">
      <c r="A1144" s="404"/>
      <c r="B1144" s="404"/>
      <c r="C1144" s="404"/>
      <c r="D1144" s="383"/>
      <c r="E1144" s="417"/>
      <c r="F1144" s="392"/>
      <c r="G1144" s="405"/>
    </row>
    <row r="1145">
      <c r="A1145" s="404"/>
      <c r="B1145" s="404"/>
      <c r="C1145" s="404"/>
      <c r="D1145" s="383"/>
      <c r="E1145" s="417"/>
      <c r="F1145" s="392"/>
      <c r="G1145" s="405"/>
    </row>
    <row r="1146">
      <c r="A1146" s="404"/>
      <c r="B1146" s="404"/>
      <c r="C1146" s="404"/>
      <c r="D1146" s="383"/>
      <c r="E1146" s="417"/>
      <c r="F1146" s="392"/>
      <c r="G1146" s="405"/>
    </row>
    <row r="1147">
      <c r="A1147" s="404"/>
      <c r="B1147" s="404"/>
      <c r="C1147" s="404"/>
      <c r="D1147" s="383"/>
      <c r="E1147" s="417"/>
      <c r="F1147" s="392"/>
      <c r="G1147" s="405"/>
    </row>
    <row r="1148">
      <c r="A1148" s="404"/>
      <c r="B1148" s="404"/>
      <c r="C1148" s="404"/>
      <c r="D1148" s="383"/>
      <c r="E1148" s="417"/>
      <c r="F1148" s="392"/>
      <c r="G1148" s="405"/>
    </row>
    <row r="1149">
      <c r="A1149" s="404"/>
      <c r="B1149" s="404"/>
      <c r="C1149" s="404"/>
      <c r="D1149" s="383"/>
      <c r="E1149" s="417"/>
      <c r="F1149" s="392"/>
      <c r="G1149" s="405"/>
    </row>
    <row r="1150">
      <c r="A1150" s="404"/>
      <c r="B1150" s="404"/>
      <c r="C1150" s="404"/>
      <c r="D1150" s="383"/>
      <c r="E1150" s="417"/>
      <c r="F1150" s="392"/>
      <c r="G1150" s="405"/>
    </row>
    <row r="1151">
      <c r="A1151" s="404"/>
      <c r="B1151" s="404"/>
      <c r="C1151" s="404"/>
      <c r="D1151" s="383"/>
      <c r="E1151" s="417"/>
      <c r="F1151" s="392"/>
      <c r="G1151" s="405"/>
    </row>
    <row r="1152">
      <c r="A1152" s="404"/>
      <c r="B1152" s="404"/>
      <c r="C1152" s="404"/>
      <c r="D1152" s="383"/>
      <c r="E1152" s="417"/>
      <c r="F1152" s="392"/>
      <c r="G1152" s="405"/>
    </row>
    <row r="1153">
      <c r="A1153" s="404"/>
      <c r="B1153" s="404"/>
      <c r="C1153" s="404"/>
      <c r="D1153" s="383"/>
      <c r="E1153" s="417"/>
      <c r="F1153" s="392"/>
      <c r="G1153" s="405"/>
    </row>
    <row r="1154">
      <c r="A1154" s="404"/>
      <c r="B1154" s="404"/>
      <c r="C1154" s="404"/>
      <c r="D1154" s="383"/>
      <c r="E1154" s="417"/>
      <c r="F1154" s="392"/>
      <c r="G1154" s="405"/>
    </row>
    <row r="1155">
      <c r="A1155" s="404"/>
      <c r="B1155" s="404"/>
      <c r="C1155" s="404"/>
      <c r="D1155" s="383"/>
      <c r="E1155" s="417"/>
      <c r="F1155" s="392"/>
      <c r="G1155" s="405"/>
    </row>
    <row r="1156">
      <c r="A1156" s="404"/>
      <c r="B1156" s="404"/>
      <c r="C1156" s="404"/>
      <c r="D1156" s="383"/>
      <c r="E1156" s="417"/>
      <c r="F1156" s="392"/>
      <c r="G1156" s="405"/>
    </row>
    <row r="1157">
      <c r="A1157" s="404"/>
      <c r="B1157" s="404"/>
      <c r="C1157" s="404"/>
      <c r="D1157" s="383"/>
      <c r="E1157" s="417"/>
      <c r="F1157" s="392"/>
      <c r="G1157" s="405"/>
    </row>
    <row r="1158">
      <c r="A1158" s="404"/>
      <c r="B1158" s="404"/>
      <c r="C1158" s="404"/>
      <c r="D1158" s="383"/>
      <c r="E1158" s="417"/>
      <c r="F1158" s="392"/>
      <c r="G1158" s="405"/>
    </row>
    <row r="1159">
      <c r="A1159" s="404"/>
      <c r="B1159" s="404"/>
      <c r="C1159" s="404"/>
      <c r="D1159" s="383"/>
      <c r="E1159" s="417"/>
      <c r="F1159" s="392"/>
      <c r="G1159" s="405"/>
    </row>
    <row r="1160">
      <c r="A1160" s="404"/>
      <c r="B1160" s="404"/>
      <c r="C1160" s="404"/>
      <c r="D1160" s="383"/>
      <c r="E1160" s="417"/>
      <c r="F1160" s="392"/>
      <c r="G1160" s="405"/>
    </row>
    <row r="1161">
      <c r="A1161" s="404"/>
      <c r="B1161" s="404"/>
      <c r="C1161" s="404"/>
      <c r="D1161" s="383"/>
      <c r="E1161" s="417"/>
      <c r="F1161" s="392"/>
      <c r="G1161" s="405"/>
    </row>
    <row r="1162">
      <c r="A1162" s="404"/>
      <c r="B1162" s="404"/>
      <c r="C1162" s="404"/>
      <c r="D1162" s="383"/>
      <c r="E1162" s="417"/>
      <c r="F1162" s="392"/>
      <c r="G1162" s="405"/>
    </row>
    <row r="1163">
      <c r="A1163" s="404"/>
      <c r="B1163" s="404"/>
      <c r="C1163" s="404"/>
      <c r="D1163" s="383"/>
      <c r="E1163" s="417"/>
      <c r="F1163" s="392"/>
      <c r="G1163" s="405"/>
    </row>
    <row r="1164">
      <c r="A1164" s="404"/>
      <c r="B1164" s="404"/>
      <c r="C1164" s="404"/>
      <c r="D1164" s="383"/>
      <c r="E1164" s="417"/>
      <c r="F1164" s="392"/>
      <c r="G1164" s="405"/>
    </row>
    <row r="1165">
      <c r="A1165" s="404"/>
      <c r="B1165" s="404"/>
      <c r="C1165" s="404"/>
      <c r="D1165" s="383"/>
      <c r="E1165" s="417"/>
      <c r="F1165" s="392"/>
      <c r="G1165" s="405"/>
    </row>
    <row r="1166">
      <c r="A1166" s="404"/>
      <c r="B1166" s="404"/>
      <c r="C1166" s="404"/>
      <c r="D1166" s="383"/>
      <c r="E1166" s="417"/>
      <c r="F1166" s="392"/>
      <c r="G1166" s="405"/>
    </row>
    <row r="1167">
      <c r="A1167" s="404"/>
      <c r="B1167" s="404"/>
      <c r="C1167" s="404"/>
      <c r="D1167" s="383"/>
      <c r="E1167" s="417"/>
      <c r="F1167" s="392"/>
      <c r="G1167" s="405"/>
    </row>
    <row r="1168">
      <c r="A1168" s="404"/>
      <c r="B1168" s="404"/>
      <c r="C1168" s="404"/>
      <c r="D1168" s="383"/>
      <c r="E1168" s="417"/>
      <c r="F1168" s="392"/>
      <c r="G1168" s="405"/>
    </row>
    <row r="1169">
      <c r="A1169" s="404"/>
      <c r="B1169" s="404"/>
      <c r="C1169" s="404"/>
      <c r="D1169" s="383"/>
      <c r="E1169" s="417"/>
      <c r="F1169" s="392"/>
      <c r="G1169" s="405"/>
    </row>
    <row r="1170">
      <c r="A1170" s="404"/>
      <c r="B1170" s="404"/>
      <c r="C1170" s="404"/>
      <c r="D1170" s="383"/>
      <c r="E1170" s="417"/>
      <c r="F1170" s="392"/>
      <c r="G1170" s="405"/>
    </row>
    <row r="1171">
      <c r="A1171" s="404"/>
      <c r="B1171" s="404"/>
      <c r="C1171" s="404"/>
      <c r="D1171" s="383"/>
      <c r="E1171" s="417"/>
      <c r="F1171" s="392"/>
      <c r="G1171" s="405"/>
    </row>
    <row r="1172">
      <c r="A1172" s="404"/>
      <c r="B1172" s="404"/>
      <c r="C1172" s="404"/>
      <c r="D1172" s="383"/>
      <c r="E1172" s="417"/>
      <c r="F1172" s="392"/>
      <c r="G1172" s="405"/>
    </row>
    <row r="1173">
      <c r="A1173" s="404"/>
      <c r="B1173" s="404"/>
      <c r="C1173" s="404"/>
      <c r="D1173" s="383"/>
      <c r="E1173" s="417"/>
      <c r="F1173" s="392"/>
      <c r="G1173" s="405"/>
    </row>
    <row r="1174">
      <c r="A1174" s="404"/>
      <c r="B1174" s="404"/>
      <c r="C1174" s="404"/>
      <c r="D1174" s="383"/>
      <c r="E1174" s="417"/>
      <c r="F1174" s="392"/>
      <c r="G1174" s="405"/>
    </row>
    <row r="1175">
      <c r="A1175" s="404"/>
      <c r="B1175" s="404"/>
      <c r="C1175" s="404"/>
      <c r="D1175" s="383"/>
      <c r="E1175" s="417"/>
      <c r="F1175" s="392"/>
      <c r="G1175" s="405"/>
    </row>
    <row r="1176">
      <c r="A1176" s="404"/>
      <c r="B1176" s="404"/>
      <c r="C1176" s="404"/>
      <c r="D1176" s="383"/>
      <c r="E1176" s="417"/>
      <c r="F1176" s="392"/>
      <c r="G1176" s="405"/>
    </row>
    <row r="1177">
      <c r="A1177" s="404"/>
      <c r="B1177" s="404"/>
      <c r="C1177" s="404"/>
      <c r="D1177" s="383"/>
      <c r="E1177" s="417"/>
      <c r="F1177" s="392"/>
      <c r="G1177" s="405"/>
    </row>
    <row r="1178">
      <c r="A1178" s="404"/>
      <c r="B1178" s="404"/>
      <c r="C1178" s="404"/>
      <c r="D1178" s="383"/>
      <c r="E1178" s="417"/>
      <c r="F1178" s="392"/>
      <c r="G1178" s="405"/>
    </row>
    <row r="1179">
      <c r="A1179" s="404"/>
      <c r="B1179" s="404"/>
      <c r="C1179" s="404"/>
      <c r="D1179" s="383"/>
      <c r="E1179" s="417"/>
      <c r="F1179" s="392"/>
      <c r="G1179" s="405"/>
    </row>
  </sheetData>
  <mergeCells count="73">
    <mergeCell ref="A160:C160"/>
    <mergeCell ref="A164:C164"/>
    <mergeCell ref="A167:C167"/>
    <mergeCell ref="A171:C171"/>
    <mergeCell ref="A177:C177"/>
    <mergeCell ref="A181:C181"/>
    <mergeCell ref="A185:C185"/>
    <mergeCell ref="A218:C218"/>
    <mergeCell ref="A225:C225"/>
    <mergeCell ref="A242:C242"/>
    <mergeCell ref="A250:C250"/>
    <mergeCell ref="A262:C262"/>
    <mergeCell ref="A274:C274"/>
    <mergeCell ref="A280:C280"/>
    <mergeCell ref="A289:C289"/>
    <mergeCell ref="A290:G290"/>
    <mergeCell ref="A295:C295"/>
    <mergeCell ref="A300:C300"/>
    <mergeCell ref="A306:C306"/>
    <mergeCell ref="A313:C313"/>
    <mergeCell ref="A319:C319"/>
    <mergeCell ref="A323:C323"/>
    <mergeCell ref="A326:C326"/>
    <mergeCell ref="A330:C330"/>
    <mergeCell ref="A336:C336"/>
    <mergeCell ref="A342:C342"/>
    <mergeCell ref="A347:C347"/>
    <mergeCell ref="A354:G354"/>
    <mergeCell ref="A5:C5"/>
    <mergeCell ref="A10:C10"/>
    <mergeCell ref="A16:C16"/>
    <mergeCell ref="A22:C22"/>
    <mergeCell ref="A26:C26"/>
    <mergeCell ref="A27:G27"/>
    <mergeCell ref="A31:C31"/>
    <mergeCell ref="A36:C36"/>
    <mergeCell ref="A40:C40"/>
    <mergeCell ref="A44:C44"/>
    <mergeCell ref="A48:C48"/>
    <mergeCell ref="A52:C52"/>
    <mergeCell ref="A56:C56"/>
    <mergeCell ref="A60:C60"/>
    <mergeCell ref="A64:C64"/>
    <mergeCell ref="A68:C68"/>
    <mergeCell ref="A73:C73"/>
    <mergeCell ref="A79:C79"/>
    <mergeCell ref="A80:G80"/>
    <mergeCell ref="A89:C89"/>
    <mergeCell ref="A95:C95"/>
    <mergeCell ref="A99:C99"/>
    <mergeCell ref="A103:C103"/>
    <mergeCell ref="A108:C108"/>
    <mergeCell ref="A112:C112"/>
    <mergeCell ref="A116:C116"/>
    <mergeCell ref="A121:C121"/>
    <mergeCell ref="A125:C125"/>
    <mergeCell ref="A129:C129"/>
    <mergeCell ref="A134:C134"/>
    <mergeCell ref="A138:C138"/>
    <mergeCell ref="A139:G139"/>
    <mergeCell ref="A147:C147"/>
    <mergeCell ref="A152:C152"/>
    <mergeCell ref="A156:C156"/>
    <mergeCell ref="A189:C189"/>
    <mergeCell ref="A193:C193"/>
    <mergeCell ref="A194:G194"/>
    <mergeCell ref="A199:C199"/>
    <mergeCell ref="A203:C203"/>
    <mergeCell ref="A209:C209"/>
    <mergeCell ref="A214:C214"/>
    <mergeCell ref="A353:C353"/>
    <mergeCell ref="A361:C361"/>
    <mergeCell ref="A368:C368"/>
  </mergeCells>
  <dataValidations>
    <dataValidation type="list" allowBlank="1" showErrorMessage="1" sqref="F2:F26 F28:F79 F81:F138 F140:F193 F195:F289 F291:F353 F355:F1179">
      <formula1>"Sin problemas,Con observaciones"</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4.5"/>
    <col customWidth="1" min="3" max="3" width="19.38"/>
    <col customWidth="1" min="4" max="5" width="19.5"/>
    <col customWidth="1" min="6" max="6" width="17.0"/>
    <col customWidth="1" min="7" max="7" width="18.38"/>
    <col customWidth="1" min="8" max="9" width="19.38"/>
  </cols>
  <sheetData>
    <row r="1" ht="30.0" customHeight="1">
      <c r="A1" s="432" t="s">
        <v>8</v>
      </c>
      <c r="B1" s="433" t="s">
        <v>4062</v>
      </c>
      <c r="C1" s="432" t="s">
        <v>4724</v>
      </c>
      <c r="D1" s="434" t="s">
        <v>4725</v>
      </c>
      <c r="E1" s="435" t="s">
        <v>4726</v>
      </c>
      <c r="F1" s="436" t="s">
        <v>4727</v>
      </c>
      <c r="G1" s="437" t="s">
        <v>4728</v>
      </c>
      <c r="H1" s="438" t="s">
        <v>4729</v>
      </c>
      <c r="I1" s="439" t="s">
        <v>4730</v>
      </c>
    </row>
    <row r="2">
      <c r="A2" s="440">
        <v>2018.0</v>
      </c>
      <c r="B2" s="441">
        <v>1.0</v>
      </c>
      <c r="C2" s="442" t="str">
        <f>IFERROR(__xludf.DUMMYFUNCTION("IMPORTRANGE(""1kxrxmwdGk8B3vlkUVw7Gx35qnQsFuj1RIgh4JYLRAp0"",""Resumen año 2018!D4"") + IF(A2=+YEAR('Valores vigentes'!$B$3),+IF(B2=MONTH('Valores vigentes'!B3),SUM(Pagos!J2:J73)))"),"#REF!")</f>
        <v>#REF!</v>
      </c>
      <c r="D2" s="443">
        <f>IFERROR(__xludf.DUMMYFUNCTION("+SUM(FILTER('Detalle entregas'!D:D,'Detalle entregas'!A:A=A2,'Detalle entregas'!B:B=B2))"),127543.0)</f>
        <v>127543</v>
      </c>
      <c r="E2" s="444" t="str">
        <f t="shared" ref="E2:E69" si="1">+IF(C2&gt;=D2,C2-D2,"-")</f>
        <v>#REF!</v>
      </c>
      <c r="F2" s="442" t="str">
        <f t="shared" ref="F2:F69" si="2">+IF(D2&gt;C2,D2-C2,"-")</f>
        <v>#REF!</v>
      </c>
      <c r="G2" s="445" t="str">
        <f>IFERROR(__xludf.DUMMYFUNCTION("IMPORTRANGE(OFFSET('Codigos de planillas historicas'!$C2,MATCH($A:$A,'Codigos de planillas historicas'!A2:A73,0)-1,0,1,1),""Total_GASAV_anual"") + IF($A2=+YEAR('Valores vigentes'!$B$3),Recaudado)"),"#REF!")</f>
        <v>#REF!</v>
      </c>
      <c r="H2" s="445">
        <f>IFERROR(__xludf.DUMMYFUNCTION("SUM(FILTER('Detalle entregas'!D:D,'Detalle entregas'!A:A=A2))"),1430821.0)</f>
        <v>1430821</v>
      </c>
      <c r="I2" s="445" t="str">
        <f>G2-H2</f>
        <v>#REF!</v>
      </c>
    </row>
    <row r="3">
      <c r="A3" s="440">
        <v>2018.0</v>
      </c>
      <c r="B3" s="441">
        <v>2.0</v>
      </c>
      <c r="C3" s="442" t="str">
        <f>IFERROR(__xludf.DUMMYFUNCTION("IMPORTRANGE(""1kxrxmwdGk8B3vlkUVw7Gx35qnQsFuj1RIgh4JYLRAp0"",""Resumen año 2018!D5"") + IF(A3=+YEAR('Valores vigentes'!B4),+IF(B3=MONTH('Valores vigentes'!B4),SUM(Pagos!J3:J73)))"),"#REF!")</f>
        <v>#REF!</v>
      </c>
      <c r="D3" s="443">
        <f>IFERROR(__xludf.DUMMYFUNCTION("+SUM(FILTER('Detalle entregas'!D:D,'Detalle entregas'!A:A=A3,'Detalle entregas'!B:B=B3))"),131111.0)</f>
        <v>131111</v>
      </c>
      <c r="E3" s="444" t="str">
        <f t="shared" si="1"/>
        <v>#REF!</v>
      </c>
      <c r="F3" s="442" t="str">
        <f t="shared" si="2"/>
        <v>#REF!</v>
      </c>
      <c r="G3" s="392"/>
      <c r="H3" s="392"/>
      <c r="I3" s="392"/>
    </row>
    <row r="4">
      <c r="A4" s="440">
        <v>2018.0</v>
      </c>
      <c r="B4" s="441">
        <v>3.0</v>
      </c>
      <c r="C4" s="442" t="str">
        <f>IFERROR(__xludf.DUMMYFUNCTION("IMPORTRANGE(""1kxrxmwdGk8B3vlkUVw7Gx35qnQsFuj1RIgh4JYLRAp0"",""Resumen año 2018!D6"") + IF(A4=+YEAR('Valores vigentes'!B5),+IF(B4=MONTH('Valores vigentes'!B5),SUM(Pagos!J4:J73)))"),"#REF!")</f>
        <v>#REF!</v>
      </c>
      <c r="D4" s="443">
        <f>IFERROR(__xludf.DUMMYFUNCTION("+SUM(FILTER('Detalle entregas'!D:D,'Detalle entregas'!A:A=A4,'Detalle entregas'!B:B=B4))"),138028.0)</f>
        <v>138028</v>
      </c>
      <c r="E4" s="444" t="str">
        <f t="shared" si="1"/>
        <v>#REF!</v>
      </c>
      <c r="F4" s="442" t="str">
        <f t="shared" si="2"/>
        <v>#REF!</v>
      </c>
      <c r="G4" s="392"/>
      <c r="H4" s="392"/>
      <c r="I4" s="392"/>
    </row>
    <row r="5">
      <c r="A5" s="440">
        <v>2018.0</v>
      </c>
      <c r="B5" s="441">
        <v>4.0</v>
      </c>
      <c r="C5" s="442" t="str">
        <f>IFERROR(__xludf.DUMMYFUNCTION("IMPORTRANGE(""1kxrxmwdGk8B3vlkUVw7Gx35qnQsFuj1RIgh4JYLRAp0"",""Resumen año 2018!D7"") + IF(A5=+YEAR('Valores vigentes'!B6),+IF(B5=MONTH('Valores vigentes'!B6),SUM(Pagos!J5:J73)))"),"#REF!")</f>
        <v>#REF!</v>
      </c>
      <c r="D5" s="443">
        <f>IFERROR(__xludf.DUMMYFUNCTION("+SUM(FILTER('Detalle entregas'!D:D,'Detalle entregas'!A:A=A5,'Detalle entregas'!B:B=B5))"),99040.0)</f>
        <v>99040</v>
      </c>
      <c r="E5" s="444" t="str">
        <f t="shared" si="1"/>
        <v>#REF!</v>
      </c>
      <c r="F5" s="442" t="str">
        <f t="shared" si="2"/>
        <v>#REF!</v>
      </c>
      <c r="G5" s="392"/>
      <c r="H5" s="392"/>
      <c r="I5" s="392"/>
    </row>
    <row r="6">
      <c r="A6" s="440">
        <v>2018.0</v>
      </c>
      <c r="B6" s="441">
        <v>5.0</v>
      </c>
      <c r="C6" s="442" t="str">
        <f>IFERROR(__xludf.DUMMYFUNCTION("IMPORTRANGE(""1kxrxmwdGk8B3vlkUVw7Gx35qnQsFuj1RIgh4JYLRAp0"",""Resumen año 2018!D8"") + IF(A6=+YEAR('Valores vigentes'!B7),+IF(B6=MONTH('Valores vigentes'!B7),SUM(Pagos!J6:J73)))"),"#REF!")</f>
        <v>#REF!</v>
      </c>
      <c r="D6" s="443">
        <f>IFERROR(__xludf.DUMMYFUNCTION("+SUM(FILTER('Detalle entregas'!D:D,'Detalle entregas'!A:A=A6,'Detalle entregas'!B:B=B6))"),113642.0)</f>
        <v>113642</v>
      </c>
      <c r="E6" s="444" t="str">
        <f t="shared" si="1"/>
        <v>#REF!</v>
      </c>
      <c r="F6" s="442" t="str">
        <f t="shared" si="2"/>
        <v>#REF!</v>
      </c>
      <c r="G6" s="392"/>
      <c r="H6" s="392"/>
      <c r="I6" s="392"/>
    </row>
    <row r="7">
      <c r="A7" s="440">
        <v>2018.0</v>
      </c>
      <c r="B7" s="441">
        <v>6.0</v>
      </c>
      <c r="C7" s="442" t="str">
        <f>IFERROR(__xludf.DUMMYFUNCTION("IMPORTRANGE(""1kxrxmwdGk8B3vlkUVw7Gx35qnQsFuj1RIgh4JYLRAp0"",""Resumen año 2018!D9"") + IF(A7=+YEAR('Valores vigentes'!B8),+IF(B7=MONTH('Valores vigentes'!B8),SUM(Pagos!J7:J73)))"),"#REF!")</f>
        <v>#REF!</v>
      </c>
      <c r="D7" s="443">
        <f>IFERROR(__xludf.DUMMYFUNCTION("+SUM(FILTER('Detalle entregas'!D:D,'Detalle entregas'!A:A=A7,'Detalle entregas'!B:B=B7))"),95097.0)</f>
        <v>95097</v>
      </c>
      <c r="E7" s="444" t="str">
        <f t="shared" si="1"/>
        <v>#REF!</v>
      </c>
      <c r="F7" s="442" t="str">
        <f t="shared" si="2"/>
        <v>#REF!</v>
      </c>
      <c r="G7" s="392"/>
      <c r="H7" s="392"/>
      <c r="I7" s="392"/>
    </row>
    <row r="8">
      <c r="A8" s="440">
        <v>2018.0</v>
      </c>
      <c r="B8" s="441">
        <v>7.0</v>
      </c>
      <c r="C8" s="442" t="str">
        <f>IFERROR(__xludf.DUMMYFUNCTION("IMPORTRANGE(""1kxrxmwdGk8B3vlkUVw7Gx35qnQsFuj1RIgh4JYLRAp0"",""Resumen año 2018!D10"") + IF(A8=+YEAR('Valores vigentes'!B9),+IF(B8=MONTH('Valores vigentes'!B9),SUM(Pagos!J7:J73)))"),"#REF!")</f>
        <v>#REF!</v>
      </c>
      <c r="D8" s="443">
        <f>IFERROR(__xludf.DUMMYFUNCTION("+SUM(FILTER('Detalle entregas'!D:D,'Detalle entregas'!A:A=A8,'Detalle entregas'!B:B=B8))"),72155.0)</f>
        <v>72155</v>
      </c>
      <c r="E8" s="444" t="str">
        <f t="shared" si="1"/>
        <v>#REF!</v>
      </c>
      <c r="F8" s="442" t="str">
        <f t="shared" si="2"/>
        <v>#REF!</v>
      </c>
      <c r="G8" s="392"/>
      <c r="H8" s="392"/>
      <c r="I8" s="392"/>
    </row>
    <row r="9">
      <c r="A9" s="440">
        <v>2018.0</v>
      </c>
      <c r="B9" s="441">
        <v>8.0</v>
      </c>
      <c r="C9" s="442" t="str">
        <f>IFERROR(__xludf.DUMMYFUNCTION("IMPORTRANGE(""1kxrxmwdGk8B3vlkUVw7Gx35qnQsFuj1RIgh4JYLRAp0"",""Resumen año 2018!D11"") + IF(A9=+YEAR('Valores vigentes'!B10),+IF(B9=MONTH('Valores vigentes'!B10),SUM(Pagos!J8:J73)))"),"#REF!")</f>
        <v>#REF!</v>
      </c>
      <c r="D9" s="443">
        <f>IFERROR(__xludf.DUMMYFUNCTION("+SUM(FILTER('Detalle entregas'!D:D,'Detalle entregas'!A:A=A9,'Detalle entregas'!B:B=B9))"),145825.0)</f>
        <v>145825</v>
      </c>
      <c r="E9" s="444" t="str">
        <f t="shared" si="1"/>
        <v>#REF!</v>
      </c>
      <c r="F9" s="442" t="str">
        <f t="shared" si="2"/>
        <v>#REF!</v>
      </c>
      <c r="G9" s="392"/>
      <c r="H9" s="392"/>
      <c r="I9" s="392"/>
    </row>
    <row r="10">
      <c r="A10" s="440">
        <v>2018.0</v>
      </c>
      <c r="B10" s="441">
        <v>9.0</v>
      </c>
      <c r="C10" s="442" t="str">
        <f>IFERROR(__xludf.DUMMYFUNCTION("IMPORTRANGE(""1kxrxmwdGk8B3vlkUVw7Gx35qnQsFuj1RIgh4JYLRAp0"",""Resumen año 2018!D12"") + IF(A10=+YEAR('Valores vigentes'!B11),+IF(B10=MONTH('Valores vigentes'!B11),SUM(Pagos!J9:J73)))"),"#REF!")</f>
        <v>#REF!</v>
      </c>
      <c r="D10" s="443">
        <f>IFERROR(__xludf.DUMMYFUNCTION("+SUM(FILTER('Detalle entregas'!D:D,'Detalle entregas'!A:A=A10,'Detalle entregas'!B:B=B10))"),92287.0)</f>
        <v>92287</v>
      </c>
      <c r="E10" s="444" t="str">
        <f t="shared" si="1"/>
        <v>#REF!</v>
      </c>
      <c r="F10" s="442" t="str">
        <f t="shared" si="2"/>
        <v>#REF!</v>
      </c>
      <c r="G10" s="392"/>
      <c r="H10" s="392"/>
      <c r="I10" s="392"/>
    </row>
    <row r="11">
      <c r="A11" s="440">
        <v>2018.0</v>
      </c>
      <c r="B11" s="441">
        <v>10.0</v>
      </c>
      <c r="C11" s="442" t="str">
        <f>IFERROR(__xludf.DUMMYFUNCTION("IMPORTRANGE(""1kxrxmwdGk8B3vlkUVw7Gx35qnQsFuj1RIgh4JYLRAp0"",""Resumen año 2018!D13"") + IF(A11=+YEAR('Valores vigentes'!B12),+IF(B11=MONTH('Valores vigentes'!B12),SUM(Pagos!J13:J73)))"),"#REF!")</f>
        <v>#REF!</v>
      </c>
      <c r="D11" s="443">
        <f>IFERROR(__xludf.DUMMYFUNCTION("+SUM(FILTER('Detalle entregas'!D:D,'Detalle entregas'!A:A=A11,'Detalle entregas'!B:B=B11))"),148230.0)</f>
        <v>148230</v>
      </c>
      <c r="E11" s="444" t="str">
        <f t="shared" si="1"/>
        <v>#REF!</v>
      </c>
      <c r="F11" s="442" t="str">
        <f t="shared" si="2"/>
        <v>#REF!</v>
      </c>
      <c r="G11" s="392"/>
      <c r="H11" s="392"/>
      <c r="I11" s="392"/>
    </row>
    <row r="12">
      <c r="A12" s="440">
        <v>2018.0</v>
      </c>
      <c r="B12" s="441">
        <v>11.0</v>
      </c>
      <c r="C12" s="442" t="str">
        <f>IFERROR(__xludf.DUMMYFUNCTION("IMPORTRANGE(""1kxrxmwdGk8B3vlkUVw7Gx35qnQsFuj1RIgh4JYLRAp0"",""Resumen año 2018!D14"") + IF(A12=+YEAR('Valores vigentes'!B13),+IF(B12=MONTH('Valores vigentes'!B13),SUM(Pagos!J13:J73)))"),"#REF!")</f>
        <v>#REF!</v>
      </c>
      <c r="D12" s="443">
        <f>IFERROR(__xludf.DUMMYFUNCTION("+SUM(FILTER('Detalle entregas'!D:D,'Detalle entregas'!A:A=A12,'Detalle entregas'!B:B=B12))"),117284.0)</f>
        <v>117284</v>
      </c>
      <c r="E12" s="444" t="str">
        <f t="shared" si="1"/>
        <v>#REF!</v>
      </c>
      <c r="F12" s="442" t="str">
        <f t="shared" si="2"/>
        <v>#REF!</v>
      </c>
      <c r="G12" s="392"/>
      <c r="H12" s="392"/>
      <c r="I12" s="392"/>
    </row>
    <row r="13">
      <c r="A13" s="440">
        <v>2018.0</v>
      </c>
      <c r="B13" s="441">
        <v>12.0</v>
      </c>
      <c r="C13" s="442" t="str">
        <f>IFERROR(__xludf.DUMMYFUNCTION("IMPORTRANGE(""1kxrxmwdGk8B3vlkUVw7Gx35qnQsFuj1RIgh4JYLRAp0"",""Resumen año 2018!D15"") + IF(A13=+YEAR('Valores vigentes'!B14),+IF(B13=MONTH('Valores vigentes'!B14),SUM(Pagos!J14:J73)))"),"#REF!")</f>
        <v>#REF!</v>
      </c>
      <c r="D13" s="443">
        <f>IFERROR(__xludf.DUMMYFUNCTION("+SUM(FILTER('Detalle entregas'!D:D,'Detalle entregas'!A:A=A13,'Detalle entregas'!B:B=B13))"),150579.0)</f>
        <v>150579</v>
      </c>
      <c r="E13" s="444" t="str">
        <f t="shared" si="1"/>
        <v>#REF!</v>
      </c>
      <c r="F13" s="442" t="str">
        <f t="shared" si="2"/>
        <v>#REF!</v>
      </c>
      <c r="G13" s="179"/>
      <c r="H13" s="179"/>
      <c r="I13" s="179"/>
    </row>
    <row r="14">
      <c r="A14" s="446">
        <v>2019.0</v>
      </c>
      <c r="B14" s="447">
        <v>1.0</v>
      </c>
      <c r="C14" s="448" t="str">
        <f>IFERROR(__xludf.DUMMYFUNCTION("IMPORTRANGE(OFFSET('Codigos de planillas historicas'!$C$3,MATCH($A:$A,'Codigos de planillas historicas'!$A$3:$A73,0)-1,0,1,1),""Total_GASAV_Enero"") + IF(A14=+YEAR('Valores vigentes'!B$3),+IF(B14=MONTH('Valores vigentes'!B$3),SUM(Recaudado)))"),"#REF!")</f>
        <v>#REF!</v>
      </c>
      <c r="D14" s="449">
        <f>IFERROR(__xludf.DUMMYFUNCTION("if(ISERROR(+SUM(FILTER('Detalle entregas'!D:D,'Detalle entregas'!A:A=A14,'Detalle entregas'!B:B=B14))),0,+SUM(FILTER('Detalle entregas'!D:D,'Detalle entregas'!A:A=A14,'Detalle entregas'!B:B=B14)))"),166795.0)</f>
        <v>166795</v>
      </c>
      <c r="E14" s="450" t="str">
        <f t="shared" si="1"/>
        <v>#REF!</v>
      </c>
      <c r="F14" s="451" t="str">
        <f t="shared" si="2"/>
        <v>#REF!</v>
      </c>
      <c r="G14" s="445" t="str">
        <f>IFERROR(__xludf.DUMMYFUNCTION("IMPORTRANGE(OFFSET('Codigos de planillas historicas'!$C2,MATCH($A:$A,'Codigos de planillas historicas'!A2:A73,0)-1,0,1,1),""Total_GASAV_anual"") + IF($A14=+YEAR('Valores vigentes'!$B$3),Recaudado)"),"#REF!")</f>
        <v>#REF!</v>
      </c>
      <c r="H14" s="445">
        <f>IFERROR(__xludf.DUMMYFUNCTION("SUM(FILTER('Detalle entregas'!D:D,'Detalle entregas'!A:A=A14))"),2038339.7999999998)</f>
        <v>2038339.8</v>
      </c>
      <c r="I14" s="445" t="str">
        <f>G14-H14</f>
        <v>#REF!</v>
      </c>
    </row>
    <row r="15">
      <c r="A15" s="452">
        <v>2019.0</v>
      </c>
      <c r="B15" s="453">
        <v>2.0</v>
      </c>
      <c r="C15" s="347" t="str">
        <f>IFERROR(__xludf.DUMMYFUNCTION("IMPORTRANGE(OFFSET('Codigos de planillas historicas'!C$3,MATCH(A:A,'Codigos de planillas historicas'!A$3:A73,0)-1,0,1,1),""Total_GASAV_Febrero"") + IF(A15=+YEAR('Valores vigentes'!B$3),+IF(B15=MONTH('Valores vigentes'!B$3),SUM(Recaudado)))"),"#REF!")</f>
        <v>#REF!</v>
      </c>
      <c r="D15" s="454">
        <f>IFERROR(__xludf.DUMMYFUNCTION("if(ISERROR(+SUM(FILTER('Detalle entregas'!D:D,'Detalle entregas'!A:A=A15,'Detalle entregas'!B:B=B15))),0,+SUM(FILTER('Detalle entregas'!D:D,'Detalle entregas'!A:A=A15,'Detalle entregas'!B:B=B15)))"),148657.2)</f>
        <v>148657.2</v>
      </c>
      <c r="E15" s="455" t="str">
        <f t="shared" si="1"/>
        <v>#REF!</v>
      </c>
      <c r="F15" s="456" t="str">
        <f t="shared" si="2"/>
        <v>#REF!</v>
      </c>
      <c r="G15" s="392"/>
      <c r="H15" s="392"/>
      <c r="I15" s="392"/>
    </row>
    <row r="16">
      <c r="A16" s="452">
        <v>2019.0</v>
      </c>
      <c r="B16" s="453">
        <v>3.0</v>
      </c>
      <c r="C16" s="347" t="str">
        <f>IFERROR(__xludf.DUMMYFUNCTION("IMPORTRANGE(OFFSET('Codigos de planillas historicas'!C$3,MATCH(A:A,'Codigos de planillas historicas'!A$3:A73,0)-1,0,1,1),""Total_GASAV_Marzo"") + IF(A16=+YEAR('Valores vigentes'!B$3),+IF(B16=MONTH('Valores vigentes'!B$3),Recaudado))"),"#REF!")</f>
        <v>#REF!</v>
      </c>
      <c r="D16" s="454">
        <f>IFERROR(__xludf.DUMMYFUNCTION("if(ISERROR(+SUM(FILTER('Detalle entregas'!D:D,'Detalle entregas'!A:A=A16,'Detalle entregas'!B:B=B16))),0,+SUM(FILTER('Detalle entregas'!D:D,'Detalle entregas'!A:A=A16,'Detalle entregas'!B:B=B16)))"),195427.0)</f>
        <v>195427</v>
      </c>
      <c r="E16" s="455" t="str">
        <f t="shared" si="1"/>
        <v>#REF!</v>
      </c>
      <c r="F16" s="456" t="str">
        <f t="shared" si="2"/>
        <v>#REF!</v>
      </c>
      <c r="G16" s="392"/>
      <c r="H16" s="392"/>
      <c r="I16" s="392"/>
    </row>
    <row r="17">
      <c r="A17" s="452">
        <v>2019.0</v>
      </c>
      <c r="B17" s="453">
        <v>4.0</v>
      </c>
      <c r="C17" s="347" t="str">
        <f>IFERROR(__xludf.DUMMYFUNCTION("IMPORTRANGE(OFFSET('Codigos de planillas historicas'!C$3,MATCH(A:A,'Codigos de planillas historicas'!A$3:A73,0)-1,0,1,1),""Total_GASAV_Abril"") + IF(A17=+YEAR('Valores vigentes'!B$3),+IF(B17=MONTH('Valores vigentes'!B$3),Recaudado))"),"#REF!")</f>
        <v>#REF!</v>
      </c>
      <c r="D17" s="454">
        <f>IFERROR(__xludf.DUMMYFUNCTION("if(ISERROR(+SUM(FILTER('Detalle entregas'!D:D,'Detalle entregas'!A:A=A17,'Detalle entregas'!B:B=B17))),0,+SUM(FILTER('Detalle entregas'!D:D,'Detalle entregas'!A:A=A17,'Detalle entregas'!B:B=B17)))"),150093.6)</f>
        <v>150093.6</v>
      </c>
      <c r="E17" s="455" t="str">
        <f t="shared" si="1"/>
        <v>#REF!</v>
      </c>
      <c r="F17" s="456" t="str">
        <f t="shared" si="2"/>
        <v>#REF!</v>
      </c>
      <c r="G17" s="392"/>
      <c r="H17" s="392"/>
      <c r="I17" s="392"/>
    </row>
    <row r="18">
      <c r="A18" s="452">
        <v>2019.0</v>
      </c>
      <c r="B18" s="453">
        <v>5.0</v>
      </c>
      <c r="C18" s="347" t="str">
        <f>IFERROR(__xludf.DUMMYFUNCTION("IMPORTRANGE(OFFSET('Codigos de planillas historicas'!C$3,MATCH(A:A,'Codigos de planillas historicas'!A$3:A73,0)-1,0,1,1),""Total_GASAV_Mayo"") + IF(A18=+YEAR('Valores vigentes'!B$3),+IF(B18=MONTH('Valores vigentes'!B$3),Recaudado))"),"#REF!")</f>
        <v>#REF!</v>
      </c>
      <c r="D18" s="454">
        <f>IFERROR(__xludf.DUMMYFUNCTION("if(ISERROR(+SUM(FILTER('Detalle entregas'!D:D,'Detalle entregas'!A:A=A18,'Detalle entregas'!B:B=B18))),0,+SUM(FILTER('Detalle entregas'!D:D,'Detalle entregas'!A:A=A18,'Detalle entregas'!B:B=B18)))"),174360.0)</f>
        <v>174360</v>
      </c>
      <c r="E18" s="455" t="str">
        <f t="shared" si="1"/>
        <v>#REF!</v>
      </c>
      <c r="F18" s="456" t="str">
        <f t="shared" si="2"/>
        <v>#REF!</v>
      </c>
      <c r="G18" s="392"/>
      <c r="H18" s="392"/>
      <c r="I18" s="392"/>
    </row>
    <row r="19">
      <c r="A19" s="452">
        <v>2019.0</v>
      </c>
      <c r="B19" s="453">
        <v>6.0</v>
      </c>
      <c r="C19" s="347" t="str">
        <f>IFERROR(__xludf.DUMMYFUNCTION("IMPORTRANGE(OFFSET('Codigos de planillas historicas'!C$3,MATCH(A:A,'Codigos de planillas historicas'!A$3:A73,0)-1,0,1,1),""Total_GASAV_junio"") + IF(A19=+YEAR('Valores vigentes'!B$3),+IF(B19=MONTH('Valores vigentes'!B$3),Recaudado))"),"#REF!")</f>
        <v>#REF!</v>
      </c>
      <c r="D19" s="454">
        <f>IFERROR(__xludf.DUMMYFUNCTION("if(ISERROR(+SUM(FILTER('Detalle entregas'!D:D,'Detalle entregas'!A:A=A19,'Detalle entregas'!B:B=B19))),0,+SUM(FILTER('Detalle entregas'!D:D,'Detalle entregas'!A:A=A19,'Detalle entregas'!B:B=B19)))"),168201.0)</f>
        <v>168201</v>
      </c>
      <c r="E19" s="455" t="str">
        <f t="shared" si="1"/>
        <v>#REF!</v>
      </c>
      <c r="F19" s="456" t="str">
        <f t="shared" si="2"/>
        <v>#REF!</v>
      </c>
      <c r="G19" s="392"/>
      <c r="H19" s="392"/>
      <c r="I19" s="392"/>
    </row>
    <row r="20">
      <c r="A20" s="452">
        <v>2019.0</v>
      </c>
      <c r="B20" s="453">
        <v>7.0</v>
      </c>
      <c r="C20" s="347" t="str">
        <f>IFERROR(__xludf.DUMMYFUNCTION("IMPORTRANGE(OFFSET('Codigos de planillas historicas'!C$3,MATCH(A:A,'Codigos de planillas historicas'!A$3:A73,0)-1,0,1,1),""Total_GASAV_julio"") + IF(A20=+YEAR('Valores vigentes'!B$3),+IF(B20=MONTH('Valores vigentes'!B$3),Recaudado))"),"#REF!")</f>
        <v>#REF!</v>
      </c>
      <c r="D20" s="454">
        <f>IFERROR(__xludf.DUMMYFUNCTION("if(ISERROR(+SUM(FILTER('Detalle entregas'!D:D,'Detalle entregas'!A:A=A20,'Detalle entregas'!B:B=B20))),0,+SUM(FILTER('Detalle entregas'!D:D,'Detalle entregas'!A:A=A20,'Detalle entregas'!B:B=B20)))"),161038.0)</f>
        <v>161038</v>
      </c>
      <c r="E20" s="455" t="str">
        <f t="shared" si="1"/>
        <v>#REF!</v>
      </c>
      <c r="F20" s="456" t="str">
        <f t="shared" si="2"/>
        <v>#REF!</v>
      </c>
      <c r="G20" s="392"/>
      <c r="H20" s="392"/>
      <c r="I20" s="392"/>
    </row>
    <row r="21">
      <c r="A21" s="452">
        <v>2019.0</v>
      </c>
      <c r="B21" s="453">
        <v>8.0</v>
      </c>
      <c r="C21" s="347" t="str">
        <f>IFERROR(__xludf.DUMMYFUNCTION("IMPORTRANGE(OFFSET('Codigos de planillas historicas'!C$3,MATCH(A:A,'Codigos de planillas historicas'!A$3:A73,0)-1,0,1,1),""Total_GASAV_Agosto"") + IF(A21=+YEAR('Valores vigentes'!B$3),+IF(B21=MONTH('Valores vigentes'!B$3),Recaudado))"),"#REF!")</f>
        <v>#REF!</v>
      </c>
      <c r="D21" s="454">
        <f>IFERROR(__xludf.DUMMYFUNCTION("if(ISERROR(+SUM(FILTER('Detalle entregas'!D:D,'Detalle entregas'!A:A=A21,'Detalle entregas'!B:B=B21))),0,+SUM(FILTER('Detalle entregas'!D:D,'Detalle entregas'!A:A=A21,'Detalle entregas'!B:B=B21)))"),160600.0)</f>
        <v>160600</v>
      </c>
      <c r="E21" s="455" t="str">
        <f t="shared" si="1"/>
        <v>#REF!</v>
      </c>
      <c r="F21" s="456" t="str">
        <f t="shared" si="2"/>
        <v>#REF!</v>
      </c>
      <c r="G21" s="392"/>
      <c r="H21" s="392"/>
      <c r="I21" s="392"/>
    </row>
    <row r="22">
      <c r="A22" s="452">
        <v>2019.0</v>
      </c>
      <c r="B22" s="453">
        <v>9.0</v>
      </c>
      <c r="C22" s="347" t="str">
        <f>IFERROR(__xludf.DUMMYFUNCTION("IMPORTRANGE(OFFSET('Codigos de planillas historicas'!C$3,MATCH(A:A,'Codigos de planillas historicas'!A$3:A73,0)-1,0,1,1),""Total_GASAV_Septiembre"") + IF(A22=+YEAR('Valores vigentes'!B$3),+IF(B22=MONTH('Valores vigentes'!B$3),Recaudado))"),"#REF!")</f>
        <v>#REF!</v>
      </c>
      <c r="D22" s="454">
        <f>IFERROR(__xludf.DUMMYFUNCTION("if(ISERROR(+SUM(FILTER('Detalle entregas'!D:D,'Detalle entregas'!A:A=A22,'Detalle entregas'!B:B=B22))),0,+SUM(FILTER('Detalle entregas'!D:D,'Detalle entregas'!A:A=A22,'Detalle entregas'!B:B=B22)))"),258086.0)</f>
        <v>258086</v>
      </c>
      <c r="E22" s="455" t="str">
        <f t="shared" si="1"/>
        <v>#REF!</v>
      </c>
      <c r="F22" s="456" t="str">
        <f t="shared" si="2"/>
        <v>#REF!</v>
      </c>
      <c r="G22" s="392"/>
      <c r="H22" s="392"/>
      <c r="I22" s="392"/>
    </row>
    <row r="23">
      <c r="A23" s="452">
        <v>2019.0</v>
      </c>
      <c r="B23" s="453">
        <v>10.0</v>
      </c>
      <c r="C23" s="347" t="str">
        <f>IFERROR(__xludf.DUMMYFUNCTION("IMPORTRANGE(OFFSET('Codigos de planillas historicas'!C$3,MATCH(A:A,'Codigos de planillas historicas'!A$3:A73,0)-1,0,1,1),""Total_GASAV_Octubre"") + IF(A23=+YEAR('Valores vigentes'!B$3),+IF(B23=MONTH('Valores vigentes'!B$3),Recaudado))"),"#REF!")</f>
        <v>#REF!</v>
      </c>
      <c r="D23" s="454">
        <f>IFERROR(__xludf.DUMMYFUNCTION("if(ISERROR(+SUM(FILTER('Detalle entregas'!D:D,'Detalle entregas'!A:A=A23,'Detalle entregas'!B:B=B23))),0,+SUM(FILTER('Detalle entregas'!D:D,'Detalle entregas'!A:A=A23,'Detalle entregas'!B:B=B23)))"),124363.0)</f>
        <v>124363</v>
      </c>
      <c r="E23" s="455" t="str">
        <f t="shared" si="1"/>
        <v>#REF!</v>
      </c>
      <c r="F23" s="456" t="str">
        <f t="shared" si="2"/>
        <v>#REF!</v>
      </c>
      <c r="G23" s="392"/>
      <c r="H23" s="392"/>
      <c r="I23" s="392"/>
    </row>
    <row r="24">
      <c r="A24" s="452">
        <v>2019.0</v>
      </c>
      <c r="B24" s="453">
        <v>11.0</v>
      </c>
      <c r="C24" s="347" t="str">
        <f>IFERROR(__xludf.DUMMYFUNCTION("IMPORTRANGE(OFFSET('Codigos de planillas historicas'!C$3,MATCH(A:A,'Codigos de planillas historicas'!A$3:A73,0)-1,0,1,1),""Total_GASAV_Noviembre"") + IF(A24=+YEAR('Valores vigentes'!B$3),+IF(B24=MONTH('Valores vigentes'!B$3),Recaudado))"),"#REF!")</f>
        <v>#REF!</v>
      </c>
      <c r="D24" s="454">
        <f>IFERROR(__xludf.DUMMYFUNCTION("if(ISERROR(+SUM(FILTER('Detalle entregas'!D:D,'Detalle entregas'!A:A=A24,'Detalle entregas'!B:B=B24))),0,+SUM(FILTER('Detalle entregas'!D:D,'Detalle entregas'!A:A=A24,'Detalle entregas'!B:B=B24)))"),168748.0)</f>
        <v>168748</v>
      </c>
      <c r="E24" s="455" t="str">
        <f t="shared" si="1"/>
        <v>#REF!</v>
      </c>
      <c r="F24" s="456" t="str">
        <f t="shared" si="2"/>
        <v>#REF!</v>
      </c>
      <c r="G24" s="392"/>
      <c r="H24" s="392"/>
      <c r="I24" s="392"/>
    </row>
    <row r="25">
      <c r="A25" s="452">
        <v>2019.0</v>
      </c>
      <c r="B25" s="453">
        <v>12.0</v>
      </c>
      <c r="C25" s="347" t="str">
        <f>IFERROR(__xludf.DUMMYFUNCTION("IMPORTRANGE(OFFSET('Codigos de planillas historicas'!C$3,MATCH(A:A,'Codigos de planillas historicas'!A$3:A73,0)-1,0,1,1),""Total_GASAV_Diciembre"") + IF(A25=+YEAR('Valores vigentes'!B$3),+IF(B25=MONTH('Valores vigentes'!B$3),Recaudado))"),"#REF!")</f>
        <v>#REF!</v>
      </c>
      <c r="D25" s="454">
        <f>IFERROR(__xludf.DUMMYFUNCTION("if(ISERROR(+SUM(FILTER('Detalle entregas'!D:D,'Detalle entregas'!A:A=A25,'Detalle entregas'!B:B=B25))),0,+SUM(FILTER('Detalle entregas'!D:D,'Detalle entregas'!A:A=A25,'Detalle entregas'!B:B=B25)))"),161971.0)</f>
        <v>161971</v>
      </c>
      <c r="E25" s="455" t="str">
        <f t="shared" si="1"/>
        <v>#REF!</v>
      </c>
      <c r="F25" s="456" t="str">
        <f t="shared" si="2"/>
        <v>#REF!</v>
      </c>
      <c r="G25" s="179"/>
      <c r="H25" s="179"/>
      <c r="I25" s="179"/>
    </row>
    <row r="26">
      <c r="A26" s="457">
        <v>2020.0</v>
      </c>
      <c r="B26" s="458">
        <v>1.0</v>
      </c>
      <c r="C26" s="459" t="str">
        <f>IFERROR(__xludf.DUMMYFUNCTION("IMPORTRANGE(OFFSET('Codigos de planillas historicas'!C$3,MATCH(A:A,'Codigos de planillas historicas'!A$3:A73,0)-1,0,1,1),""Total_GASAV_Enero"") + IF(A26=+YEAR('Valores vigentes'!B$3),+IF(B26=MONTH('Valores vigentes'!B$3),Recaudado))"),"#REF!")</f>
        <v>#REF!</v>
      </c>
      <c r="D26" s="460">
        <f>IFERROR(__xludf.DUMMYFUNCTION("if(ISERROR(+SUM(FILTER('Detalle entregas'!D:D,'Detalle entregas'!A:A=A26,'Detalle entregas'!B:B=B26))),0,+SUM(FILTER('Detalle entregas'!D:D,'Detalle entregas'!A:A=A26,'Detalle entregas'!B:B=B26)))"),277982.0)</f>
        <v>277982</v>
      </c>
      <c r="E26" s="461" t="str">
        <f t="shared" si="1"/>
        <v>#REF!</v>
      </c>
      <c r="F26" s="462" t="str">
        <f t="shared" si="2"/>
        <v>#REF!</v>
      </c>
      <c r="G26" s="445" t="str">
        <f>IFERROR(__xludf.DUMMYFUNCTION("IMPORTRANGE(OFFSET('Codigos de planillas historicas'!$C2,MATCH($A:$A,'Codigos de planillas historicas'!A2:A73,0)-1,0,1,1),""Total_GASAV_anual"") + IF($A26=+YEAR('Valores vigentes'!$B$3),Recaudado)"),"#REF!")</f>
        <v>#REF!</v>
      </c>
      <c r="H26" s="445">
        <f>IFERROR(__xludf.DUMMYFUNCTION("SUM(FILTER('Detalle entregas'!D:D,'Detalle entregas'!A:A=A26))"),2812233.3)</f>
        <v>2812233.3</v>
      </c>
      <c r="I26" s="445" t="str">
        <f>G26-H26</f>
        <v>#REF!</v>
      </c>
    </row>
    <row r="27">
      <c r="A27" s="463">
        <v>2020.0</v>
      </c>
      <c r="B27" s="463">
        <v>2.0</v>
      </c>
      <c r="C27" s="464" t="str">
        <f>IFERROR(__xludf.DUMMYFUNCTION("IMPORTRANGE(OFFSET('Codigos de planillas historicas'!C$3,MATCH(A:A,'Codigos de planillas historicas'!A$3:A73,0)-1,0,1,1),""Total_GASAV_Febrero"") + IF(A27=+YEAR('Valores vigentes'!B$3),+IF(B27=MONTH('Valores vigentes'!B$3),Recaudado))"),"#REF!")</f>
        <v>#REF!</v>
      </c>
      <c r="D27" s="465">
        <f>IFERROR(__xludf.DUMMYFUNCTION("if(ISERROR(+SUM(FILTER('Detalle entregas'!D:D,'Detalle entregas'!A:A=A27,'Detalle entregas'!B:B=B27))),0,+SUM(FILTER('Detalle entregas'!D:D,'Detalle entregas'!A:A=A27,'Detalle entregas'!B:B=B27)))"),194704.0)</f>
        <v>194704</v>
      </c>
      <c r="E27" s="465" t="str">
        <f t="shared" si="1"/>
        <v>#REF!</v>
      </c>
      <c r="F27" s="465" t="str">
        <f t="shared" si="2"/>
        <v>#REF!</v>
      </c>
      <c r="G27" s="392"/>
      <c r="H27" s="392"/>
      <c r="I27" s="392"/>
    </row>
    <row r="28">
      <c r="A28" s="463">
        <v>2020.0</v>
      </c>
      <c r="B28" s="466">
        <v>3.0</v>
      </c>
      <c r="C28" s="464" t="str">
        <f>IFERROR(__xludf.DUMMYFUNCTION("IMPORTRANGE(OFFSET('Codigos de planillas historicas'!C$3,MATCH(A:A,'Codigos de planillas historicas'!A$3:A73,0)-1,0,1,1),""Total_GASAV_Marzo"") + IF(A28=+YEAR('Valores vigentes'!B$3),+IF(B28=MONTH('Valores vigentes'!B$3),Recaudado))"),"#REF!")</f>
        <v>#REF!</v>
      </c>
      <c r="D28" s="465">
        <f>IFERROR(__xludf.DUMMYFUNCTION("if(ISERROR(+SUM(FILTER('Detalle entregas'!D:D,'Detalle entregas'!A:A=A28,'Detalle entregas'!B:B=B28))),0,+SUM(FILTER('Detalle entregas'!D:D,'Detalle entregas'!A:A=A28,'Detalle entregas'!B:B=B28)))"),111975.0)</f>
        <v>111975</v>
      </c>
      <c r="E28" s="465" t="str">
        <f t="shared" si="1"/>
        <v>#REF!</v>
      </c>
      <c r="F28" s="465" t="str">
        <f t="shared" si="2"/>
        <v>#REF!</v>
      </c>
      <c r="G28" s="392"/>
      <c r="H28" s="392"/>
      <c r="I28" s="392"/>
    </row>
    <row r="29">
      <c r="A29" s="463">
        <v>2020.0</v>
      </c>
      <c r="B29" s="466">
        <v>4.0</v>
      </c>
      <c r="C29" s="464" t="str">
        <f>IFERROR(__xludf.DUMMYFUNCTION("IMPORTRANGE(OFFSET('Codigos de planillas historicas'!C$3,MATCH(A:A,'Codigos de planillas historicas'!A$3:A73,0)-1,0,1,1),""Total_GASAV_Abril"") + IF(A29=+YEAR('Valores vigentes'!B$3),+IF(B29=MONTH('Valores vigentes'!B$3),Recaudado))"),"#REF!")</f>
        <v>#REF!</v>
      </c>
      <c r="D29" s="465">
        <f>IFERROR(__xludf.DUMMYFUNCTION("if(ISERROR(+SUM(FILTER('Detalle entregas'!D:D,'Detalle entregas'!A:A=A29,'Detalle entregas'!B:B=B29))),0,+SUM(FILTER('Detalle entregas'!D:D,'Detalle entregas'!A:A=A29,'Detalle entregas'!B:B=B29)))"),131225.0)</f>
        <v>131225</v>
      </c>
      <c r="E29" s="465" t="str">
        <f t="shared" si="1"/>
        <v>#REF!</v>
      </c>
      <c r="F29" s="465" t="str">
        <f t="shared" si="2"/>
        <v>#REF!</v>
      </c>
      <c r="G29" s="392"/>
      <c r="H29" s="392"/>
      <c r="I29" s="392"/>
    </row>
    <row r="30">
      <c r="A30" s="463">
        <v>2020.0</v>
      </c>
      <c r="B30" s="466">
        <v>5.0</v>
      </c>
      <c r="C30" s="464" t="str">
        <f>IFERROR(__xludf.DUMMYFUNCTION("IMPORTRANGE(OFFSET('Codigos de planillas historicas'!C$3,MATCH(A:A,'Codigos de planillas historicas'!A$3:A73,0)-1,0,1,1),""Total_GASAV_Mayo"") + IF(A30=+YEAR('Valores vigentes'!B$3),+IF(B30=MONTH('Valores vigentes'!B$3),Recaudado))"),"#REF!")</f>
        <v>#REF!</v>
      </c>
      <c r="D30" s="465">
        <f>IFERROR(__xludf.DUMMYFUNCTION("if(ISERROR(+SUM(FILTER('Detalle entregas'!D:D,'Detalle entregas'!A:A=A30,'Detalle entregas'!B:B=B30))),0,+SUM(FILTER('Detalle entregas'!D:D,'Detalle entregas'!A:A=A30,'Detalle entregas'!B:B=B30)))"),232270.0)</f>
        <v>232270</v>
      </c>
      <c r="E30" s="465" t="str">
        <f t="shared" si="1"/>
        <v>#REF!</v>
      </c>
      <c r="F30" s="465" t="str">
        <f t="shared" si="2"/>
        <v>#REF!</v>
      </c>
      <c r="G30" s="392"/>
      <c r="H30" s="392"/>
      <c r="I30" s="392"/>
    </row>
    <row r="31">
      <c r="A31" s="463">
        <v>2020.0</v>
      </c>
      <c r="B31" s="466">
        <v>6.0</v>
      </c>
      <c r="C31" s="464" t="str">
        <f>IFERROR(__xludf.DUMMYFUNCTION("IMPORTRANGE(OFFSET('Codigos de planillas historicas'!C$3,MATCH(A:A,'Codigos de planillas historicas'!A$3:A73,0)-1,0,1,1),""Total_GASAV_Junio"") + IF(A31=+YEAR('Valores vigentes'!B$3),+IF(B31=MONTH('Valores vigentes'!B$3),Recaudado))"),"#REF!")</f>
        <v>#REF!</v>
      </c>
      <c r="D31" s="465">
        <f>IFERROR(__xludf.DUMMYFUNCTION("if(ISERROR(+SUM(FILTER('Detalle entregas'!D:D,'Detalle entregas'!A:A=A31,'Detalle entregas'!B:B=B31))),0,+SUM(FILTER('Detalle entregas'!D:D,'Detalle entregas'!A:A=A31,'Detalle entregas'!B:B=B31)))"),129828.0)</f>
        <v>129828</v>
      </c>
      <c r="E31" s="465" t="str">
        <f t="shared" si="1"/>
        <v>#REF!</v>
      </c>
      <c r="F31" s="465" t="str">
        <f t="shared" si="2"/>
        <v>#REF!</v>
      </c>
      <c r="G31" s="392"/>
      <c r="H31" s="392"/>
      <c r="I31" s="392"/>
    </row>
    <row r="32">
      <c r="A32" s="463">
        <v>2020.0</v>
      </c>
      <c r="B32" s="466">
        <v>7.0</v>
      </c>
      <c r="C32" s="464" t="str">
        <f>IFERROR(__xludf.DUMMYFUNCTION("IMPORTRANGE(OFFSET('Codigos de planillas historicas'!C$3,MATCH(A:A,'Codigos de planillas historicas'!A$3:A73,0)-1,0,1,1),""Total_GASAV_Julio"") + IF(A32=+YEAR('Valores vigentes'!B$3),+IF(B32=MONTH('Valores vigentes'!B$3),Recaudado))"),"#REF!")</f>
        <v>#REF!</v>
      </c>
      <c r="D32" s="465">
        <f>IFERROR(__xludf.DUMMYFUNCTION("if(ISERROR(+SUM(FILTER('Detalle entregas'!D:D,'Detalle entregas'!A:A=A32,'Detalle entregas'!B:B=B32))),0,+SUM(FILTER('Detalle entregas'!D:D,'Detalle entregas'!A:A=A32,'Detalle entregas'!B:B=B32)))"),201659.0)</f>
        <v>201659</v>
      </c>
      <c r="E32" s="465" t="str">
        <f t="shared" si="1"/>
        <v>#REF!</v>
      </c>
      <c r="F32" s="465" t="str">
        <f t="shared" si="2"/>
        <v>#REF!</v>
      </c>
      <c r="G32" s="392"/>
      <c r="H32" s="392"/>
      <c r="I32" s="392"/>
    </row>
    <row r="33">
      <c r="A33" s="463">
        <v>2020.0</v>
      </c>
      <c r="B33" s="466">
        <v>8.0</v>
      </c>
      <c r="C33" s="464" t="str">
        <f>IFERROR(__xludf.DUMMYFUNCTION("IMPORTRANGE(OFFSET('Codigos de planillas historicas'!C$3,MATCH(A:A,'Codigos de planillas historicas'!A$3:A73,0)-1,0,1,1),""Total_GASAV_Agosto"") + IF(A33=+YEAR('Valores vigentes'!B$3),+IF(B33=MONTH('Valores vigentes'!B$3),Recaudado))"),"#REF!")</f>
        <v>#REF!</v>
      </c>
      <c r="D33" s="465">
        <f>IFERROR(__xludf.DUMMYFUNCTION("if(ISERROR(+SUM(FILTER('Detalle entregas'!D:D,'Detalle entregas'!A:A=A33,'Detalle entregas'!B:B=B33))),0,+SUM(FILTER('Detalle entregas'!D:D,'Detalle entregas'!A:A=A33,'Detalle entregas'!B:B=B33)))"),211165.3)</f>
        <v>211165.3</v>
      </c>
      <c r="E33" s="465" t="str">
        <f t="shared" si="1"/>
        <v>#REF!</v>
      </c>
      <c r="F33" s="465" t="str">
        <f t="shared" si="2"/>
        <v>#REF!</v>
      </c>
      <c r="G33" s="392"/>
      <c r="H33" s="392"/>
      <c r="I33" s="392"/>
    </row>
    <row r="34">
      <c r="A34" s="463">
        <v>2020.0</v>
      </c>
      <c r="B34" s="466">
        <v>9.0</v>
      </c>
      <c r="C34" s="464" t="str">
        <f>IFERROR(__xludf.DUMMYFUNCTION("IMPORTRANGE(OFFSET('Codigos de planillas historicas'!C$3,MATCH(A:A,'Codigos de planillas historicas'!A$3:A73,0)-1,0,1,1),""Total_GASAV_Septiembre"") + IF(A34=+YEAR('Valores vigentes'!B$3),+IF(B34=MONTH('Valores vigentes'!B$3),Recaudado))"),"#REF!")</f>
        <v>#REF!</v>
      </c>
      <c r="D34" s="465">
        <f>IFERROR(__xludf.DUMMYFUNCTION("if(ISERROR(+SUM(FILTER('Detalle entregas'!D:D,'Detalle entregas'!A:A=A34,'Detalle entregas'!B:B=B34))),0,+SUM(FILTER('Detalle entregas'!D:D,'Detalle entregas'!A:A=A34,'Detalle entregas'!B:B=B34)))"),349272.0)</f>
        <v>349272</v>
      </c>
      <c r="E34" s="465" t="str">
        <f t="shared" si="1"/>
        <v>#REF!</v>
      </c>
      <c r="F34" s="465" t="str">
        <f t="shared" si="2"/>
        <v>#REF!</v>
      </c>
      <c r="G34" s="392"/>
      <c r="H34" s="392"/>
      <c r="I34" s="392"/>
    </row>
    <row r="35">
      <c r="A35" s="463">
        <v>2020.0</v>
      </c>
      <c r="B35" s="466">
        <v>10.0</v>
      </c>
      <c r="C35" s="464" t="str">
        <f>IFERROR(__xludf.DUMMYFUNCTION("IMPORTRANGE(OFFSET('Codigos de planillas historicas'!C$3,MATCH(A:A,'Codigos de planillas historicas'!A$3:A73,0)-1,0,1,1),""Total_GASAV_octubre"") + IF(A35=+YEAR('Valores vigentes'!B$3),+IF(B35=MONTH('Valores vigentes'!B$3),Recaudado))"),"#REF!")</f>
        <v>#REF!</v>
      </c>
      <c r="D35" s="465">
        <f>IFERROR(__xludf.DUMMYFUNCTION("if(ISERROR(+SUM(FILTER('Detalle entregas'!D:D,'Detalle entregas'!A:A=A35,'Detalle entregas'!B:B=B35))),0,+SUM(FILTER('Detalle entregas'!D:D,'Detalle entregas'!A:A=A35,'Detalle entregas'!B:B=B35)))"),344808.0)</f>
        <v>344808</v>
      </c>
      <c r="E35" s="465" t="str">
        <f t="shared" si="1"/>
        <v>#REF!</v>
      </c>
      <c r="F35" s="465" t="str">
        <f t="shared" si="2"/>
        <v>#REF!</v>
      </c>
      <c r="G35" s="392"/>
      <c r="H35" s="392"/>
      <c r="I35" s="392"/>
    </row>
    <row r="36">
      <c r="A36" s="463">
        <v>2020.0</v>
      </c>
      <c r="B36" s="466">
        <v>11.0</v>
      </c>
      <c r="C36" s="464" t="str">
        <f>IFERROR(__xludf.DUMMYFUNCTION("IMPORTRANGE(OFFSET('Codigos de planillas historicas'!C$3,MATCH(A:A,'Codigos de planillas historicas'!A$3:A73,0)-1,0,1,1),""Total_GASAV_noviembre"") + IF(A36=+YEAR('Valores vigentes'!B$3),+IF(B36=MONTH('Valores vigentes'!B$3),Recaudado))"),"#REF!")</f>
        <v>#REF!</v>
      </c>
      <c r="D36" s="465">
        <f>IFERROR(__xludf.DUMMYFUNCTION("if(ISERROR(+SUM(FILTER('Detalle entregas'!D:D,'Detalle entregas'!A:A=A36,'Detalle entregas'!B:B=B36))),0,+SUM(FILTER('Detalle entregas'!D:D,'Detalle entregas'!A:A=A36,'Detalle entregas'!B:B=B36)))"),313056.0)</f>
        <v>313056</v>
      </c>
      <c r="E36" s="465" t="str">
        <f t="shared" si="1"/>
        <v>#REF!</v>
      </c>
      <c r="F36" s="465" t="str">
        <f t="shared" si="2"/>
        <v>#REF!</v>
      </c>
      <c r="G36" s="392"/>
      <c r="H36" s="392"/>
      <c r="I36" s="392"/>
    </row>
    <row r="37">
      <c r="A37" s="463">
        <v>2020.0</v>
      </c>
      <c r="B37" s="466">
        <v>12.0</v>
      </c>
      <c r="C37" s="464" t="str">
        <f>IFERROR(__xludf.DUMMYFUNCTION("IMPORTRANGE(OFFSET('Codigos de planillas historicas'!C$3,MATCH(A:A,'Codigos de planillas historicas'!A$3:A73,0)-1,0,1,1),""Total_GASAV_diciembre"") + IF(A37=+YEAR('Valores vigentes'!B$3),+IF(B37=MONTH('Valores vigentes'!B$3),Recaudado))"),"#REF!")</f>
        <v>#REF!</v>
      </c>
      <c r="D37" s="465">
        <f>IFERROR(__xludf.DUMMYFUNCTION("if(ISERROR(+SUM(FILTER('Detalle entregas'!D:D,'Detalle entregas'!A:A=A37,'Detalle entregas'!B:B=B37))),0,+SUM(FILTER('Detalle entregas'!D:D,'Detalle entregas'!A:A=A37,'Detalle entregas'!B:B=B37)))"),314289.0)</f>
        <v>314289</v>
      </c>
      <c r="E37" s="465" t="str">
        <f t="shared" si="1"/>
        <v>#REF!</v>
      </c>
      <c r="F37" s="465" t="str">
        <f t="shared" si="2"/>
        <v>#REF!</v>
      </c>
      <c r="G37" s="392"/>
      <c r="H37" s="392"/>
      <c r="I37" s="392"/>
    </row>
    <row r="38">
      <c r="A38" s="467">
        <v>2021.0</v>
      </c>
      <c r="B38" s="467">
        <v>1.0</v>
      </c>
      <c r="C38" s="468" t="str">
        <f>IFERROR(__xludf.DUMMYFUNCTION("IMPORTRANGE(OFFSET('Codigos de planillas historicas'!C$3,MATCH(A:A,'Codigos de planillas historicas'!A$3:A73,0)-1,0,1,1),""Total_GASAV_Enero"") + IF(A38=+YEAR('Valores vigentes'!B$3),+IF(B38=MONTH('Valores vigentes'!B$3),Recaudado))"),"#REF!")</f>
        <v>#REF!</v>
      </c>
      <c r="D38" s="469">
        <f>IFERROR(__xludf.DUMMYFUNCTION("if(ISERROR(+SUM(FILTER('Detalle entregas'!D:D,'Detalle entregas'!A:A=A38,'Detalle entregas'!B:B=B38))),0,+SUM(FILTER('Detalle entregas'!D:D,'Detalle entregas'!A:A=A38,'Detalle entregas'!B:B=B38)))"),335110.0)</f>
        <v>335110</v>
      </c>
      <c r="E38" s="470" t="str">
        <f t="shared" si="1"/>
        <v>#REF!</v>
      </c>
      <c r="F38" s="470" t="str">
        <f t="shared" si="2"/>
        <v>#REF!</v>
      </c>
      <c r="G38" s="445" t="str">
        <f>IFERROR(__xludf.DUMMYFUNCTION("IMPORTRANGE(OFFSET('Codigos de planillas historicas'!$C$2,MATCH($A:$A,'Codigos de planillas historicas'!A2:A73,0)-1,0,1,1),""Total_GASAV_anual"") + IF($A38=+YEAR('Valores vigentes'!$B$3),Recaudado)"),"#REF!")</f>
        <v>#REF!</v>
      </c>
      <c r="H38" s="445">
        <f>IFERROR(__xludf.DUMMYFUNCTION("SUM(FILTER('Detalle entregas'!D:D,'Detalle entregas'!A:A=A38))"),4283216.0)</f>
        <v>4283216</v>
      </c>
      <c r="I38" s="445" t="str">
        <f>G38-H38</f>
        <v>#REF!</v>
      </c>
    </row>
    <row r="39">
      <c r="A39" s="471">
        <v>2021.0</v>
      </c>
      <c r="B39" s="472">
        <v>2.0</v>
      </c>
      <c r="C39" s="473" t="str">
        <f>IFERROR(__xludf.DUMMYFUNCTION("IMPORTRANGE(OFFSET('Codigos de planillas historicas'!C$3,MATCH(A:A,'Codigos de planillas historicas'!A$3:A73,0)-1,0,1,1),""Total_GASAV_Febrero"") + IF(A39=+YEAR('Valores vigentes'!B$3),+IF(B39=MONTH('Valores vigentes'!B$3),Recaudado))"),"#REF!")</f>
        <v>#REF!</v>
      </c>
      <c r="D39" s="474">
        <f>IFERROR(__xludf.DUMMYFUNCTION("if(ISERROR(+SUM(FILTER('Detalle entregas'!D:D,'Detalle entregas'!A:A=A39,'Detalle entregas'!B:B=B39))),0,+SUM(FILTER('Detalle entregas'!D:D,'Detalle entregas'!A:A=A39,'Detalle entregas'!B:B=B39)))"),321915.0)</f>
        <v>321915</v>
      </c>
      <c r="E39" s="473" t="str">
        <f t="shared" si="1"/>
        <v>#REF!</v>
      </c>
      <c r="F39" s="473" t="str">
        <f t="shared" si="2"/>
        <v>#REF!</v>
      </c>
      <c r="G39" s="392"/>
      <c r="H39" s="392"/>
      <c r="I39" s="392"/>
    </row>
    <row r="40">
      <c r="A40" s="471">
        <v>2021.0</v>
      </c>
      <c r="B40" s="471">
        <v>3.0</v>
      </c>
      <c r="C40" s="475" t="str">
        <f>IFERROR(__xludf.DUMMYFUNCTION("IMPORTRANGE(OFFSET('Codigos de planillas historicas'!C$3,MATCH(A:A,'Codigos de planillas historicas'!A$3:A73,0)-1,0,1,1),""Total_GASAV_marzo"") + IF(A40=+YEAR('Valores vigentes'!B$3),+IF(B40=MONTH('Valores vigentes'!B$3),Recaudado))"),"#REF!")</f>
        <v>#REF!</v>
      </c>
      <c r="D40" s="474">
        <f>IFERROR(__xludf.DUMMYFUNCTION("if(ISERROR(+SUM(FILTER('Detalle entregas'!D:D,'Detalle entregas'!A:A=A40,'Detalle entregas'!B:B=B40))),0,+SUM(FILTER('Detalle entregas'!D:D,'Detalle entregas'!A:A=A40,'Detalle entregas'!B:B=B40)))"),321610.0)</f>
        <v>321610</v>
      </c>
      <c r="E40" s="473" t="str">
        <f t="shared" si="1"/>
        <v>#REF!</v>
      </c>
      <c r="F40" s="473" t="str">
        <f t="shared" si="2"/>
        <v>#REF!</v>
      </c>
      <c r="G40" s="392"/>
      <c r="H40" s="392"/>
      <c r="I40" s="392"/>
    </row>
    <row r="41">
      <c r="A41" s="471">
        <v>2021.0</v>
      </c>
      <c r="B41" s="471">
        <v>4.0</v>
      </c>
      <c r="C41" s="475" t="str">
        <f>IFERROR(__xludf.DUMMYFUNCTION("IMPORTRANGE(OFFSET('Codigos de planillas historicas'!C$3,MATCH(A:A,'Codigos de planillas historicas'!A$3:A73,0)-1,0,1,1),""Total_GASAV_Abril"") + IF(A41=+YEAR('Valores vigentes'!B$3),+IF(B41=MONTH('Valores vigentes'!B$3),Recaudado))"),"#REF!")</f>
        <v>#REF!</v>
      </c>
      <c r="D41" s="474">
        <f>IFERROR(__xludf.DUMMYFUNCTION("if(ISERROR(+SUM(FILTER('Detalle entregas'!D:D,'Detalle entregas'!A:A=A41,'Detalle entregas'!B:B=B41))),0,+SUM(FILTER('Detalle entregas'!D:D,'Detalle entregas'!A:A=A41,'Detalle entregas'!B:B=B41)))"),282572.0)</f>
        <v>282572</v>
      </c>
      <c r="E41" s="473" t="str">
        <f t="shared" si="1"/>
        <v>#REF!</v>
      </c>
      <c r="F41" s="473" t="str">
        <f t="shared" si="2"/>
        <v>#REF!</v>
      </c>
      <c r="G41" s="392"/>
      <c r="H41" s="392"/>
      <c r="I41" s="392"/>
    </row>
    <row r="42">
      <c r="A42" s="471">
        <v>2021.0</v>
      </c>
      <c r="B42" s="471">
        <v>5.0</v>
      </c>
      <c r="C42" s="475" t="str">
        <f>IFERROR(__xludf.DUMMYFUNCTION("IMPORTRANGE(OFFSET('Codigos de planillas historicas'!C$3,MATCH(A:A,'Codigos de planillas historicas'!A$3:A73,0)-1,0,1,1),""Total_GASAV_Mayo"") + IF(A42=+YEAR('Valores vigentes'!B$3),+IF(B42=MONTH('Valores vigentes'!B$3),Recaudado))"),"#REF!")</f>
        <v>#REF!</v>
      </c>
      <c r="D42" s="474">
        <f>IFERROR(__xludf.DUMMYFUNCTION("if(ISERROR(+SUM(FILTER('Detalle entregas'!D:D,'Detalle entregas'!A:A=A42,'Detalle entregas'!B:B=B42))),0,+SUM(FILTER('Detalle entregas'!D:D,'Detalle entregas'!A:A=A42,'Detalle entregas'!B:B=B42)))"),387381.0)</f>
        <v>387381</v>
      </c>
      <c r="E42" s="473" t="str">
        <f t="shared" si="1"/>
        <v>#REF!</v>
      </c>
      <c r="F42" s="473" t="str">
        <f t="shared" si="2"/>
        <v>#REF!</v>
      </c>
      <c r="G42" s="392"/>
      <c r="H42" s="392"/>
      <c r="I42" s="392"/>
    </row>
    <row r="43">
      <c r="A43" s="471">
        <v>2021.0</v>
      </c>
      <c r="B43" s="471">
        <v>6.0</v>
      </c>
      <c r="C43" s="475" t="str">
        <f>IFERROR(__xludf.DUMMYFUNCTION("IMPORTRANGE(OFFSET('Codigos de planillas historicas'!C$3,MATCH(A:A,'Codigos de planillas historicas'!A$3:A73,0)-1,0,1,1),""Total_GASAV_Junio"") + IF(A43=+YEAR('Valores vigentes'!B$3),+IF(B43=MONTH('Valores vigentes'!B$3),Recaudado))"),"#REF!")</f>
        <v>#REF!</v>
      </c>
      <c r="D43" s="474">
        <f>IFERROR(__xludf.DUMMYFUNCTION("if(ISERROR(+SUM(FILTER('Detalle entregas'!D:D,'Detalle entregas'!A:A=A43,'Detalle entregas'!B:B=B43))),0,+SUM(FILTER('Detalle entregas'!D:D,'Detalle entregas'!A:A=A43,'Detalle entregas'!B:B=B43)))"),270555.0)</f>
        <v>270555</v>
      </c>
      <c r="E43" s="473" t="str">
        <f t="shared" si="1"/>
        <v>#REF!</v>
      </c>
      <c r="F43" s="473" t="str">
        <f t="shared" si="2"/>
        <v>#REF!</v>
      </c>
      <c r="G43" s="392"/>
      <c r="H43" s="392"/>
      <c r="I43" s="392"/>
    </row>
    <row r="44">
      <c r="A44" s="471">
        <v>2021.0</v>
      </c>
      <c r="B44" s="471">
        <v>7.0</v>
      </c>
      <c r="C44" s="475" t="str">
        <f>IFERROR(__xludf.DUMMYFUNCTION("IMPORTRANGE(OFFSET('Codigos de planillas historicas'!C$3,MATCH(A:A,'Codigos de planillas historicas'!A$3:A73,0)-1,0,1,1),""Total_GASAV_Julio"") + IF(A44=+YEAR('Valores vigentes'!B$3),+IF(B44=MONTH('Valores vigentes'!B$3),Recaudado))"),"#REF!")</f>
        <v>#REF!</v>
      </c>
      <c r="D44" s="474">
        <f>IFERROR(__xludf.DUMMYFUNCTION("if(ISERROR(+SUM(FILTER('Detalle entregas'!D:D,'Detalle entregas'!A:A=A44,'Detalle entregas'!B:B=B44))),0,+SUM(FILTER('Detalle entregas'!D:D,'Detalle entregas'!A:A=A44,'Detalle entregas'!B:B=B44)))"),374583.0)</f>
        <v>374583</v>
      </c>
      <c r="E44" s="473" t="str">
        <f t="shared" si="1"/>
        <v>#REF!</v>
      </c>
      <c r="F44" s="473" t="str">
        <f t="shared" si="2"/>
        <v>#REF!</v>
      </c>
      <c r="G44" s="392"/>
      <c r="H44" s="392"/>
      <c r="I44" s="392"/>
    </row>
    <row r="45">
      <c r="A45" s="471">
        <v>2021.0</v>
      </c>
      <c r="B45" s="471">
        <v>8.0</v>
      </c>
      <c r="C45" s="475" t="str">
        <f>IFERROR(__xludf.DUMMYFUNCTION("IMPORTRANGE(OFFSET('Codigos de planillas historicas'!C$3,MATCH(A:A,'Codigos de planillas historicas'!A$3:A73,0)-1,0,1,1),""Total_GASAV_Agosto"") + IF(A45=+YEAR('Valores vigentes'!B$3),+IF(B45=MONTH('Valores vigentes'!B$3),Recaudado))"),"#REF!")</f>
        <v>#REF!</v>
      </c>
      <c r="D45" s="474">
        <f>IFERROR(__xludf.DUMMYFUNCTION("if(ISERROR(+SUM(FILTER('Detalle entregas'!D:D,'Detalle entregas'!A:A=A45,'Detalle entregas'!B:B=B45))),0,+SUM(FILTER('Detalle entregas'!D:D,'Detalle entregas'!A:A=A45,'Detalle entregas'!B:B=B45)))"),334549.0)</f>
        <v>334549</v>
      </c>
      <c r="E45" s="473" t="str">
        <f t="shared" si="1"/>
        <v>#REF!</v>
      </c>
      <c r="F45" s="473" t="str">
        <f t="shared" si="2"/>
        <v>#REF!</v>
      </c>
      <c r="G45" s="392"/>
      <c r="H45" s="392"/>
      <c r="I45" s="392"/>
    </row>
    <row r="46">
      <c r="A46" s="471">
        <v>2021.0</v>
      </c>
      <c r="B46" s="471">
        <v>9.0</v>
      </c>
      <c r="C46" s="475" t="str">
        <f>IFERROR(__xludf.DUMMYFUNCTION("IMPORTRANGE(OFFSET('Codigos de planillas historicas'!C$3,MATCH(A:A,'Codigos de planillas historicas'!A$3:A73,0)-1,0,1,1),""Total_GASAV_Septiembre"") + IF(A46=+YEAR('Valores vigentes'!B$3),+IF(B46=MONTH('Valores vigentes'!B$3),Recaudado))"),"#REF!")</f>
        <v>#REF!</v>
      </c>
      <c r="D46" s="474">
        <f>IFERROR(__xludf.DUMMYFUNCTION("if(ISERROR(+SUM(FILTER('Detalle entregas'!D:D,'Detalle entregas'!A:A=A46,'Detalle entregas'!B:B=B46))),0,+SUM(FILTER('Detalle entregas'!D:D,'Detalle entregas'!A:A=A46,'Detalle entregas'!B:B=B46)))"),349410.0)</f>
        <v>349410</v>
      </c>
      <c r="E46" s="473" t="str">
        <f t="shared" si="1"/>
        <v>#REF!</v>
      </c>
      <c r="F46" s="473" t="str">
        <f t="shared" si="2"/>
        <v>#REF!</v>
      </c>
      <c r="G46" s="392"/>
      <c r="H46" s="392"/>
      <c r="I46" s="392"/>
    </row>
    <row r="47">
      <c r="A47" s="471">
        <v>2021.0</v>
      </c>
      <c r="B47" s="471">
        <v>10.0</v>
      </c>
      <c r="C47" s="475" t="str">
        <f>IFERROR(__xludf.DUMMYFUNCTION("IMPORTRANGE(OFFSET('Codigos de planillas historicas'!C$3,MATCH(A:A,'Codigos de planillas historicas'!A$3:A73,0)-1,0,1,1),""Total_GASAV_Octubre"") + IF(A47=+YEAR('Valores vigentes'!B$3),+IF(B47=MONTH('Valores vigentes'!B$3),Recaudado))"),"#REF!")</f>
        <v>#REF!</v>
      </c>
      <c r="D47" s="474">
        <f>IFERROR(__xludf.DUMMYFUNCTION("if(ISERROR(+SUM(FILTER('Detalle entregas'!D:D,'Detalle entregas'!A:A=A47,'Detalle entregas'!B:B=B47))),0,+SUM(FILTER('Detalle entregas'!D:D,'Detalle entregas'!A:A=A47,'Detalle entregas'!B:B=B47)))"),375479.0)</f>
        <v>375479</v>
      </c>
      <c r="E47" s="473" t="str">
        <f t="shared" si="1"/>
        <v>#REF!</v>
      </c>
      <c r="F47" s="473" t="str">
        <f t="shared" si="2"/>
        <v>#REF!</v>
      </c>
      <c r="G47" s="392"/>
      <c r="H47" s="392"/>
      <c r="I47" s="392"/>
    </row>
    <row r="48">
      <c r="A48" s="471">
        <v>2021.0</v>
      </c>
      <c r="B48" s="471">
        <v>11.0</v>
      </c>
      <c r="C48" s="475" t="str">
        <f>IFERROR(__xludf.DUMMYFUNCTION("IMPORTRANGE(OFFSET('Codigos de planillas historicas'!C$3,MATCH(A:A,'Codigos de planillas historicas'!A$3:A73,0)-1,0,1,1),""Total_GASAV_Noviembre"") + IF(A48=+YEAR('Valores vigentes'!B$3),+IF(B48=MONTH('Valores vigentes'!B$3),Recaudado))"),"#REF!")</f>
        <v>#REF!</v>
      </c>
      <c r="D48" s="474">
        <f>IFERROR(__xludf.DUMMYFUNCTION("if(ISERROR(+SUM(FILTER('Detalle entregas'!D:D,'Detalle entregas'!A:A=A48,'Detalle entregas'!B:B=B48))),0,+SUM(FILTER('Detalle entregas'!D:D,'Detalle entregas'!A:A=A48,'Detalle entregas'!B:B=B48)))"),404202.0)</f>
        <v>404202</v>
      </c>
      <c r="E48" s="473" t="str">
        <f t="shared" si="1"/>
        <v>#REF!</v>
      </c>
      <c r="F48" s="473" t="str">
        <f t="shared" si="2"/>
        <v>#REF!</v>
      </c>
      <c r="G48" s="392"/>
      <c r="H48" s="392"/>
      <c r="I48" s="392"/>
    </row>
    <row r="49">
      <c r="A49" s="471">
        <v>2021.0</v>
      </c>
      <c r="B49" s="471">
        <v>12.0</v>
      </c>
      <c r="C49" s="475" t="str">
        <f>IFERROR(__xludf.DUMMYFUNCTION("IMPORTRANGE(OFFSET('Codigos de planillas historicas'!C$3,MATCH(A:A,'Codigos de planillas historicas'!A$3:A73,0)-1,0,1,1),""Total_GASAV_Diciembre"") + IF(A49=+YEAR('Valores vigentes'!B$3),+IF(B49=MONTH('Valores vigentes'!B$3),Recaudado))"),"#REF!")</f>
        <v>#REF!</v>
      </c>
      <c r="D49" s="474">
        <f>IFERROR(__xludf.DUMMYFUNCTION("if(ISERROR(+SUM(FILTER('Detalle entregas'!D:D,'Detalle entregas'!A:A=A49,'Detalle entregas'!B:B=B49))),0,+SUM(FILTER('Detalle entregas'!D:D,'Detalle entregas'!A:A=A49,'Detalle entregas'!B:B=B49)))"),525850.0)</f>
        <v>525850</v>
      </c>
      <c r="E49" s="473" t="str">
        <f t="shared" si="1"/>
        <v>#REF!</v>
      </c>
      <c r="F49" s="473" t="str">
        <f t="shared" si="2"/>
        <v>#REF!</v>
      </c>
      <c r="G49" s="392"/>
      <c r="H49" s="392"/>
      <c r="I49" s="392"/>
    </row>
    <row r="50">
      <c r="A50" s="476">
        <v>2022.0</v>
      </c>
      <c r="B50" s="476">
        <v>1.0</v>
      </c>
      <c r="C50" s="477" t="str">
        <f>IFERROR(__xludf.DUMMYFUNCTION("IMPORTRANGE(OFFSET('Codigos de planillas historicas'!C$3,MATCH(A:A,'Codigos de planillas historicas'!A$3:A73,0)-1,0,1,1),""Total_GASAV_Enero"") + IF(A50=+YEAR('Valores vigentes'!B$3),+IF(B50=MONTH('Valores vigentes'!B$3),Recaudado))"),"#REF!")</f>
        <v>#REF!</v>
      </c>
      <c r="D50" s="478">
        <f>IFERROR(__xludf.DUMMYFUNCTION("if(ISERROR(+SUM(FILTER('Detalle entregas'!D:D,'Detalle entregas'!A:A=A50,'Detalle entregas'!B:B=B50))),0,+SUM(FILTER('Detalle entregas'!D:D,'Detalle entregas'!A:A=A50,'Detalle entregas'!B:B=B50)))"),619227.0)</f>
        <v>619227</v>
      </c>
      <c r="E50" s="479" t="str">
        <f t="shared" si="1"/>
        <v>#REF!</v>
      </c>
      <c r="F50" s="479" t="str">
        <f t="shared" si="2"/>
        <v>#REF!</v>
      </c>
      <c r="G50" s="445" t="str">
        <f>IFERROR(__xludf.DUMMYFUNCTION("IMPORTRANGE(OFFSET('Codigos de planillas historicas'!$C$2,MATCH($A:$A,'Codigos de planillas historicas'!A$2:A73,0)-1,0,1,1),""Total_GASAV_anual"") + IF($A50=+YEAR('Valores vigentes'!$B$3),Recaudado)"),"#REF!")</f>
        <v>#REF!</v>
      </c>
      <c r="H50" s="445">
        <f>IFERROR(__xludf.DUMMYFUNCTION("SUM(FILTER('Detalle entregas'!D:D,'Detalle entregas'!A:A=A50))"),8029071.0)</f>
        <v>8029071</v>
      </c>
      <c r="I50" s="445" t="str">
        <f>G50-H50</f>
        <v>#REF!</v>
      </c>
    </row>
    <row r="51">
      <c r="A51" s="480">
        <v>2022.0</v>
      </c>
      <c r="B51" s="480">
        <v>2.0</v>
      </c>
      <c r="C51" s="481" t="str">
        <f>IFERROR(__xludf.DUMMYFUNCTION("IMPORTRANGE(OFFSET('Codigos de planillas historicas'!C$3,MATCH(A:A,'Codigos de planillas historicas'!A$3:A73,0)-1,0,1,1),""Total_GASAV_Febrero"") + IF(A51=+YEAR('Valores vigentes'!B$3),+IF(B51=MONTH('Valores vigentes'!B$3),Recaudado))"),"#REF!")</f>
        <v>#REF!</v>
      </c>
      <c r="D51" s="482">
        <f>IFERROR(__xludf.DUMMYFUNCTION("if(ISERROR(+SUM(FILTER('Detalle entregas'!D:D,'Detalle entregas'!A:A=A51,'Detalle entregas'!B:B=B51))),0,+SUM(FILTER('Detalle entregas'!D:D,'Detalle entregas'!A:A=A51,'Detalle entregas'!B:B=B51)))"),467520.0)</f>
        <v>467520</v>
      </c>
      <c r="E51" s="483" t="str">
        <f t="shared" si="1"/>
        <v>#REF!</v>
      </c>
      <c r="F51" s="483" t="str">
        <f t="shared" si="2"/>
        <v>#REF!</v>
      </c>
      <c r="G51" s="392"/>
      <c r="H51" s="392"/>
      <c r="I51" s="392"/>
    </row>
    <row r="52">
      <c r="A52" s="480">
        <v>2022.0</v>
      </c>
      <c r="B52" s="480">
        <v>3.0</v>
      </c>
      <c r="C52" s="481" t="str">
        <f>IFERROR(__xludf.DUMMYFUNCTION("IMPORTRANGE(OFFSET('Codigos de planillas historicas'!C$3,MATCH(A:A,'Codigos de planillas historicas'!A$3:A73,0)-1,0,1,1),""Total_GASAV_Marzo"") + IF(A52=+YEAR('Valores vigentes'!B$3),+IF(B52=MONTH('Valores vigentes'!B$3),Recaudado))"),"#REF!")</f>
        <v>#REF!</v>
      </c>
      <c r="D52" s="482">
        <f>IFERROR(__xludf.DUMMYFUNCTION("if(ISERROR(+SUM(FILTER('Detalle entregas'!D:D,'Detalle entregas'!A:A=A52,'Detalle entregas'!B:B=B52))),0,+SUM(FILTER('Detalle entregas'!D:D,'Detalle entregas'!A:A=A52,'Detalle entregas'!B:B=B52)))"),463215.0)</f>
        <v>463215</v>
      </c>
      <c r="E52" s="483" t="str">
        <f t="shared" si="1"/>
        <v>#REF!</v>
      </c>
      <c r="F52" s="483" t="str">
        <f t="shared" si="2"/>
        <v>#REF!</v>
      </c>
      <c r="G52" s="392"/>
      <c r="H52" s="392"/>
      <c r="I52" s="392"/>
    </row>
    <row r="53">
      <c r="A53" s="480">
        <v>2022.0</v>
      </c>
      <c r="B53" s="480">
        <v>4.0</v>
      </c>
      <c r="C53" s="481" t="str">
        <f>IFERROR(__xludf.DUMMYFUNCTION("IMPORTRANGE(OFFSET('Codigos de planillas historicas'!C$3,MATCH(A:A,'Codigos de planillas historicas'!A$3:A73,0)-1,0,1,1),""Total_GASAV_Abril"") + IF(A53=+YEAR('Valores vigentes'!B$3),+IF(B53=MONTH('Valores vigentes'!B$3),Recaudado))"),"#REF!")</f>
        <v>#REF!</v>
      </c>
      <c r="D53" s="482">
        <f>IFERROR(__xludf.DUMMYFUNCTION("if(ISERROR(+SUM(FILTER('Detalle entregas'!D:D,'Detalle entregas'!A:A=A53,'Detalle entregas'!B:B=B53))),0,+SUM(FILTER('Detalle entregas'!D:D,'Detalle entregas'!A:A=A53,'Detalle entregas'!B:B=B53)))"),524752.0)</f>
        <v>524752</v>
      </c>
      <c r="E53" s="483" t="str">
        <f t="shared" si="1"/>
        <v>#REF!</v>
      </c>
      <c r="F53" s="483" t="str">
        <f t="shared" si="2"/>
        <v>#REF!</v>
      </c>
      <c r="G53" s="392"/>
      <c r="H53" s="392"/>
      <c r="I53" s="392"/>
    </row>
    <row r="54">
      <c r="A54" s="480">
        <v>2022.0</v>
      </c>
      <c r="B54" s="480">
        <v>5.0</v>
      </c>
      <c r="C54" s="481" t="str">
        <f>IFERROR(__xludf.DUMMYFUNCTION("IMPORTRANGE(OFFSET('Codigos de planillas historicas'!C$3,MATCH(A:A,'Codigos de planillas historicas'!A$3:A73,0)-1,0,1,1),""Total_GASAV_Mayo"") + IF(A54=+YEAR('Valores vigentes'!B$3),+IF(B54=MONTH('Valores vigentes'!B$3),Recaudado))"),"#REF!")</f>
        <v>#REF!</v>
      </c>
      <c r="D54" s="482">
        <f>IFERROR(__xludf.DUMMYFUNCTION("if(ISERROR(+SUM(FILTER('Detalle entregas'!D:D,'Detalle entregas'!A:A=A54,'Detalle entregas'!B:B=B54))),0,+SUM(FILTER('Detalle entregas'!D:D,'Detalle entregas'!A:A=A54,'Detalle entregas'!B:B=B54)))"),490031.0)</f>
        <v>490031</v>
      </c>
      <c r="E54" s="483" t="str">
        <f t="shared" si="1"/>
        <v>#REF!</v>
      </c>
      <c r="F54" s="483" t="str">
        <f t="shared" si="2"/>
        <v>#REF!</v>
      </c>
      <c r="G54" s="392"/>
      <c r="H54" s="392"/>
      <c r="I54" s="392"/>
    </row>
    <row r="55">
      <c r="A55" s="480">
        <v>2022.0</v>
      </c>
      <c r="B55" s="480">
        <v>6.0</v>
      </c>
      <c r="C55" s="481" t="str">
        <f>IFERROR(__xludf.DUMMYFUNCTION("IMPORTRANGE(OFFSET('Codigos de planillas historicas'!C$3,MATCH(A:A,'Codigos de planillas historicas'!A$3:A73,0)-1,0,1,1),""Total_GASAV_Junio"") + IF(A55=+YEAR('Valores vigentes'!B$3),+IF(B55=MONTH('Valores vigentes'!B$3),Recaudado))"),"#REF!")</f>
        <v>#REF!</v>
      </c>
      <c r="D55" s="482">
        <f>IFERROR(__xludf.DUMMYFUNCTION("if(ISERROR(+SUM(FILTER('Detalle entregas'!D:D,'Detalle entregas'!A:A=A55,'Detalle entregas'!B:B=B55))),0,+SUM(FILTER('Detalle entregas'!D:D,'Detalle entregas'!A:A=A55,'Detalle entregas'!B:B=B55)))"),468720.0)</f>
        <v>468720</v>
      </c>
      <c r="E55" s="483" t="str">
        <f t="shared" si="1"/>
        <v>#REF!</v>
      </c>
      <c r="F55" s="483" t="str">
        <f t="shared" si="2"/>
        <v>#REF!</v>
      </c>
      <c r="G55" s="392"/>
      <c r="H55" s="392"/>
      <c r="I55" s="392"/>
    </row>
    <row r="56">
      <c r="A56" s="480">
        <v>2022.0</v>
      </c>
      <c r="B56" s="480">
        <v>7.0</v>
      </c>
      <c r="C56" s="481" t="str">
        <f>IFERROR(__xludf.DUMMYFUNCTION("IMPORTRANGE(OFFSET('Codigos de planillas historicas'!C$3,MATCH(A:A,'Codigos de planillas historicas'!A$3:A73,0)-1,0,1,1),""Total_GASAV_Julio"") + IF(A56=+YEAR('Valores vigentes'!B$3),+IF(B56=MONTH('Valores vigentes'!B$3),Recaudado))"),"#REF!")</f>
        <v>#REF!</v>
      </c>
      <c r="D56" s="482">
        <f>IFERROR(__xludf.DUMMYFUNCTION("if(ISERROR(+SUM(FILTER('Detalle entregas'!D:D,'Detalle entregas'!A:A=A56,'Detalle entregas'!B:B=B56))),0,+SUM(FILTER('Detalle entregas'!D:D,'Detalle entregas'!A:A=A56,'Detalle entregas'!B:B=B56)))"),563320.0)</f>
        <v>563320</v>
      </c>
      <c r="E56" s="483" t="str">
        <f t="shared" si="1"/>
        <v>#REF!</v>
      </c>
      <c r="F56" s="483" t="str">
        <f t="shared" si="2"/>
        <v>#REF!</v>
      </c>
      <c r="G56" s="392"/>
      <c r="H56" s="392"/>
      <c r="I56" s="392"/>
    </row>
    <row r="57">
      <c r="A57" s="480">
        <v>2022.0</v>
      </c>
      <c r="B57" s="480">
        <v>8.0</v>
      </c>
      <c r="C57" s="481" t="str">
        <f>IFERROR(__xludf.DUMMYFUNCTION("IMPORTRANGE(OFFSET('Codigos de planillas historicas'!C$3,MATCH(A:A,'Codigos de planillas historicas'!A$3:A73,0)-1,0,1,1),""Total_GASAV_Agosto"") + IF(A57=+YEAR('Valores vigentes'!B$3),+IF(B57=MONTH('Valores vigentes'!B$3),Recaudado))"),"#REF!")</f>
        <v>#REF!</v>
      </c>
      <c r="D57" s="482">
        <f>IFERROR(__xludf.DUMMYFUNCTION("if(ISERROR(+SUM(FILTER('Detalle entregas'!D:D,'Detalle entregas'!A:A=A57,'Detalle entregas'!B:B=B57))),0,+SUM(FILTER('Detalle entregas'!D:D,'Detalle entregas'!A:A=A57,'Detalle entregas'!B:B=B57)))"),791950.0)</f>
        <v>791950</v>
      </c>
      <c r="E57" s="483" t="str">
        <f t="shared" si="1"/>
        <v>#REF!</v>
      </c>
      <c r="F57" s="483" t="str">
        <f t="shared" si="2"/>
        <v>#REF!</v>
      </c>
      <c r="G57" s="392"/>
      <c r="H57" s="392"/>
      <c r="I57" s="392"/>
    </row>
    <row r="58">
      <c r="A58" s="480">
        <v>2022.0</v>
      </c>
      <c r="B58" s="480">
        <v>9.0</v>
      </c>
      <c r="C58" s="481" t="str">
        <f>IFERROR(__xludf.DUMMYFUNCTION("IMPORTRANGE(OFFSET('Codigos de planillas historicas'!C$3,MATCH(A:A,'Codigos de planillas historicas'!A$3:A73,0)-1,0,1,1),""Total_GASAV_Septiembre"") + IF(A58=+YEAR('Valores vigentes'!B$3),+IF(B58=MONTH('Valores vigentes'!B$3),Recaudado))"),"#REF!")</f>
        <v>#REF!</v>
      </c>
      <c r="D58" s="482">
        <f>IFERROR(__xludf.DUMMYFUNCTION("if(ISERROR(+SUM(FILTER('Detalle entregas'!D:D,'Detalle entregas'!A:A=A58,'Detalle entregas'!B:B=B58))),0,+SUM(FILTER('Detalle entregas'!D:D,'Detalle entregas'!A:A=A58,'Detalle entregas'!B:B=B58)))"),812139.0)</f>
        <v>812139</v>
      </c>
      <c r="E58" s="483" t="str">
        <f t="shared" si="1"/>
        <v>#REF!</v>
      </c>
      <c r="F58" s="483" t="str">
        <f t="shared" si="2"/>
        <v>#REF!</v>
      </c>
      <c r="G58" s="392"/>
      <c r="H58" s="392"/>
      <c r="I58" s="392"/>
    </row>
    <row r="59">
      <c r="A59" s="480">
        <v>2022.0</v>
      </c>
      <c r="B59" s="480">
        <v>10.0</v>
      </c>
      <c r="C59" s="481" t="str">
        <f>IFERROR(__xludf.DUMMYFUNCTION("IMPORTRANGE(OFFSET('Codigos de planillas historicas'!C$3,MATCH(A:A,'Codigos de planillas historicas'!A$3:A73,0)-1,0,1,1),""Total_GASAV_Octubre"") + IF(A59=+YEAR('Valores vigentes'!B$3),+IF(B59=MONTH('Valores vigentes'!B$3),Recaudado))"),"#REF!")</f>
        <v>#REF!</v>
      </c>
      <c r="D59" s="482">
        <f>IFERROR(__xludf.DUMMYFUNCTION("if(ISERROR(+SUM(FILTER('Detalle entregas'!D:D,'Detalle entregas'!A:A=A59,'Detalle entregas'!B:B=B59))),0,+SUM(FILTER('Detalle entregas'!D:D,'Detalle entregas'!A:A=A59,'Detalle entregas'!B:B=B59)))"),717312.0)</f>
        <v>717312</v>
      </c>
      <c r="E59" s="483" t="str">
        <f t="shared" si="1"/>
        <v>#REF!</v>
      </c>
      <c r="F59" s="483" t="str">
        <f t="shared" si="2"/>
        <v>#REF!</v>
      </c>
      <c r="G59" s="392"/>
      <c r="H59" s="392"/>
      <c r="I59" s="392"/>
    </row>
    <row r="60">
      <c r="A60" s="480">
        <v>2022.0</v>
      </c>
      <c r="B60" s="480">
        <v>11.0</v>
      </c>
      <c r="C60" s="481" t="str">
        <f>IFERROR(__xludf.DUMMYFUNCTION("IMPORTRANGE(OFFSET('Codigos de planillas historicas'!C$3,MATCH(A:A,'Codigos de planillas historicas'!A$3:A73,0)-1,0,1,1),""Total_GASAV_Noviembre"") + IF(A60=+YEAR('Valores vigentes'!B$3),+IF(B60=MONTH('Valores vigentes'!B$3),Recaudado))"),"#REF!")</f>
        <v>#REF!</v>
      </c>
      <c r="D60" s="482">
        <f>IFERROR(__xludf.DUMMYFUNCTION("if(ISERROR(+SUM(FILTER('Detalle entregas'!D:D,'Detalle entregas'!A:A=A60,'Detalle entregas'!B:B=B60))),0,+SUM(FILTER('Detalle entregas'!D:D,'Detalle entregas'!A:A=A60,'Detalle entregas'!B:B=B60)))"),965561.0)</f>
        <v>965561</v>
      </c>
      <c r="E60" s="483" t="str">
        <f t="shared" si="1"/>
        <v>#REF!</v>
      </c>
      <c r="F60" s="483" t="str">
        <f t="shared" si="2"/>
        <v>#REF!</v>
      </c>
      <c r="G60" s="392"/>
      <c r="H60" s="392"/>
      <c r="I60" s="392"/>
    </row>
    <row r="61">
      <c r="A61" s="480">
        <v>2022.0</v>
      </c>
      <c r="B61" s="480">
        <v>12.0</v>
      </c>
      <c r="C61" s="481" t="str">
        <f>IFERROR(__xludf.DUMMYFUNCTION("IMPORTRANGE(OFFSET('Codigos de planillas historicas'!C$3,MATCH(A:A,'Codigos de planillas historicas'!A$3:A73,0)-1,0,1,1),""Total_GASAV_diciembre"") + IF(A61=+YEAR('Valores vigentes'!B$3),+IF(B61=MONTH('Valores vigentes'!B$3),Recaudado))"),"#REF!")</f>
        <v>#REF!</v>
      </c>
      <c r="D61" s="482">
        <f>IFERROR(__xludf.DUMMYFUNCTION("if(ISERROR(+SUM(FILTER('Detalle entregas'!D:D,'Detalle entregas'!A:A=A61,'Detalle entregas'!B:B=B61))),0,+SUM(FILTER('Detalle entregas'!D:D,'Detalle entregas'!A:A=A61,'Detalle entregas'!B:B=B61)))"),1145324.0)</f>
        <v>1145324</v>
      </c>
      <c r="E61" s="483" t="str">
        <f t="shared" si="1"/>
        <v>#REF!</v>
      </c>
      <c r="F61" s="483" t="str">
        <f t="shared" si="2"/>
        <v>#REF!</v>
      </c>
      <c r="G61" s="392"/>
      <c r="H61" s="392"/>
      <c r="I61" s="392"/>
    </row>
    <row r="62">
      <c r="A62" s="476">
        <v>2023.0</v>
      </c>
      <c r="B62" s="476">
        <v>1.0</v>
      </c>
      <c r="C62" s="477" t="str">
        <f>IFERROR(__xludf.DUMMYFUNCTION("IMPORTRANGE(OFFSET('Codigos de planillas historicas'!C$3,MATCH(A:A,'Codigos de planillas historicas'!A$3:A73,0)-1,0,1,1),""Total_GASAV_Enero"") + IF(A62=+YEAR('Valores vigentes'!B$3),+IF(B62=MONTH('Valores vigentes'!B$3),Recaudado))"),"#REF!")</f>
        <v>#REF!</v>
      </c>
      <c r="D62" s="478">
        <f>IFERROR(__xludf.DUMMYFUNCTION("if(ISERROR(+SUM(FILTER('Detalle entregas'!D:D,'Detalle entregas'!A:A=A62,'Detalle entregas'!B:B=B62))),0,+SUM(FILTER('Detalle entregas'!D:D,'Detalle entregas'!A:A=A62,'Detalle entregas'!B:B=B62)))"),1942041.0)</f>
        <v>1942041</v>
      </c>
      <c r="E62" s="479" t="str">
        <f t="shared" si="1"/>
        <v>#REF!</v>
      </c>
      <c r="F62" s="479" t="str">
        <f t="shared" si="2"/>
        <v>#REF!</v>
      </c>
      <c r="G62" s="445" t="str">
        <f>IFERROR(__xludf.DUMMYFUNCTION("IMPORTRANGE(OFFSET('Codigos de planillas historicas'!$C$2,MATCH($A:$A,'Codigos de planillas historicas'!A$2:A73,0)-1,0,1,1),""Total_GASAV_anual"") + IF($A62=+YEAR('Valores vigentes'!$B$3),Recaudado)"),"#REF!")</f>
        <v>#REF!</v>
      </c>
      <c r="H62" s="445">
        <f>IFERROR(__xludf.DUMMYFUNCTION("SUM(FILTER('Detalle entregas'!D:D,'Detalle entregas'!A:A=A62))"),2.4164985E7)</f>
        <v>24164985</v>
      </c>
      <c r="I62" s="445" t="str">
        <f>G62-H62</f>
        <v>#REF!</v>
      </c>
    </row>
    <row r="63">
      <c r="A63" s="480">
        <v>2023.0</v>
      </c>
      <c r="B63" s="480">
        <v>2.0</v>
      </c>
      <c r="C63" s="481" t="str">
        <f>IFERROR(__xludf.DUMMYFUNCTION("IMPORTRANGE(OFFSET('Codigos de planillas historicas'!C$3,MATCH(A:A,'Codigos de planillas historicas'!A$3:A73,0)-1,0,1,1),""Total_GASAV_Febrero"") + IF(A63=+YEAR('Valores vigentes'!B$3),+IF(B63=MONTH('Valores vigentes'!B$3),Recaudado))"),"#REF!")</f>
        <v>#REF!</v>
      </c>
      <c r="D63" s="482">
        <f>IFERROR(__xludf.DUMMYFUNCTION("if(ISERROR(+SUM(FILTER('Detalle entregas'!D:D,'Detalle entregas'!A:A=A63,'Detalle entregas'!B:B=B63))),0,+SUM(FILTER('Detalle entregas'!D:D,'Detalle entregas'!A:A=A63,'Detalle entregas'!B:B=B63)))"),1108800.0)</f>
        <v>1108800</v>
      </c>
      <c r="E63" s="483" t="str">
        <f t="shared" si="1"/>
        <v>#REF!</v>
      </c>
      <c r="F63" s="483" t="str">
        <f t="shared" si="2"/>
        <v>#REF!</v>
      </c>
      <c r="G63" s="392"/>
      <c r="H63" s="392"/>
      <c r="I63" s="392"/>
    </row>
    <row r="64">
      <c r="A64" s="480">
        <v>2023.0</v>
      </c>
      <c r="B64" s="480">
        <v>3.0</v>
      </c>
      <c r="C64" s="481" t="str">
        <f>IFERROR(__xludf.DUMMYFUNCTION("IMPORTRANGE(OFFSET('Codigos de planillas historicas'!C$3,MATCH(A:A,'Codigos de planillas historicas'!A$3:A73,0)-1,0,1,1),""Total_GASAV_Marzo"") + IF(A64=+YEAR('Valores vigentes'!B$3),+IF(B64=MONTH('Valores vigentes'!B$3),Recaudado))"),"#REF!")</f>
        <v>#REF!</v>
      </c>
      <c r="D64" s="482">
        <f>IFERROR(__xludf.DUMMYFUNCTION("if(ISERROR(+SUM(FILTER('Detalle entregas'!D:D,'Detalle entregas'!A:A=A64,'Detalle entregas'!B:B=B64))),0,+SUM(FILTER('Detalle entregas'!D:D,'Detalle entregas'!A:A=A64,'Detalle entregas'!B:B=B64)))"),1280115.0)</f>
        <v>1280115</v>
      </c>
      <c r="E64" s="483" t="str">
        <f t="shared" si="1"/>
        <v>#REF!</v>
      </c>
      <c r="F64" s="483" t="str">
        <f t="shared" si="2"/>
        <v>#REF!</v>
      </c>
      <c r="G64" s="392"/>
      <c r="H64" s="392"/>
      <c r="I64" s="392"/>
    </row>
    <row r="65">
      <c r="A65" s="480">
        <v>2023.0</v>
      </c>
      <c r="B65" s="480">
        <v>4.0</v>
      </c>
      <c r="C65" s="481" t="str">
        <f>IFERROR(__xludf.DUMMYFUNCTION("IMPORTRANGE(OFFSET('Codigos de planillas historicas'!C$3,MATCH(A:A,'Codigos de planillas historicas'!A$3:A73,0)-1,0,1,1),""Total_GASAV_Abril"") + IF(A65=+YEAR('Valores vigentes'!B$3),+IF(B65=MONTH('Valores vigentes'!B$3),Recaudado))"),"#REF!")</f>
        <v>#REF!</v>
      </c>
      <c r="D65" s="482">
        <f>IFERROR(__xludf.DUMMYFUNCTION("if(ISERROR(+SUM(FILTER('Detalle entregas'!D:D,'Detalle entregas'!A:A=A65,'Detalle entregas'!B:B=B65))),0,+SUM(FILTER('Detalle entregas'!D:D,'Detalle entregas'!A:A=A65,'Detalle entregas'!B:B=B65)))"),1162150.0)</f>
        <v>1162150</v>
      </c>
      <c r="E65" s="483" t="str">
        <f t="shared" si="1"/>
        <v>#REF!</v>
      </c>
      <c r="F65" s="483" t="str">
        <f t="shared" si="2"/>
        <v>#REF!</v>
      </c>
      <c r="G65" s="392"/>
      <c r="H65" s="392"/>
      <c r="I65" s="392"/>
    </row>
    <row r="66">
      <c r="A66" s="480">
        <v>2023.0</v>
      </c>
      <c r="B66" s="480">
        <v>5.0</v>
      </c>
      <c r="C66" s="481" t="str">
        <f>IFERROR(__xludf.DUMMYFUNCTION("IMPORTRANGE(OFFSET('Codigos de planillas historicas'!C$3,MATCH(A:A,'Codigos de planillas historicas'!A$3:A73,0)-1,0,1,1),""Total_GASAV_Mayo"") + IF(A66=+YEAR('Valores vigentes'!B$3),+IF(B66=MONTH('Valores vigentes'!B$3),Recaudado))"),"#REF!")</f>
        <v>#REF!</v>
      </c>
      <c r="D66" s="482">
        <f>IFERROR(__xludf.DUMMYFUNCTION("if(ISERROR(+SUM(FILTER('Detalle entregas'!D:D,'Detalle entregas'!A:A=A66,'Detalle entregas'!B:B=B66))),0,+SUM(FILTER('Detalle entregas'!D:D,'Detalle entregas'!A:A=A66,'Detalle entregas'!B:B=B66)))"),1325323.0)</f>
        <v>1325323</v>
      </c>
      <c r="E66" s="483" t="str">
        <f t="shared" si="1"/>
        <v>#REF!</v>
      </c>
      <c r="F66" s="483" t="str">
        <f t="shared" si="2"/>
        <v>#REF!</v>
      </c>
      <c r="G66" s="392"/>
      <c r="H66" s="392"/>
      <c r="I66" s="392"/>
    </row>
    <row r="67">
      <c r="A67" s="480">
        <v>2023.0</v>
      </c>
      <c r="B67" s="480">
        <v>6.0</v>
      </c>
      <c r="C67" s="481" t="str">
        <f>IFERROR(__xludf.DUMMYFUNCTION("IMPORTRANGE(OFFSET('Codigos de planillas historicas'!C$3,MATCH(A:A,'Codigos de planillas historicas'!A$3:A73,0)-1,0,1,1),""Total_GASAV_Junio"") + IF(A67=+YEAR('Valores vigentes'!B$3),+IF(B67=MONTH('Valores vigentes'!B$3),Recaudado))"),"#REF!")</f>
        <v>#REF!</v>
      </c>
      <c r="D67" s="482">
        <f>IFERROR(__xludf.DUMMYFUNCTION("if(ISERROR(+SUM(FILTER('Detalle entregas'!D:D,'Detalle entregas'!A:A=A67,'Detalle entregas'!B:B=B67))),0,+SUM(FILTER('Detalle entregas'!D:D,'Detalle entregas'!A:A=A67,'Detalle entregas'!B:B=B67)))"),1458493.0)</f>
        <v>1458493</v>
      </c>
      <c r="E67" s="483" t="str">
        <f t="shared" si="1"/>
        <v>#REF!</v>
      </c>
      <c r="F67" s="483" t="str">
        <f t="shared" si="2"/>
        <v>#REF!</v>
      </c>
      <c r="G67" s="392"/>
      <c r="H67" s="392"/>
      <c r="I67" s="392"/>
    </row>
    <row r="68">
      <c r="A68" s="480">
        <v>2023.0</v>
      </c>
      <c r="B68" s="480">
        <v>7.0</v>
      </c>
      <c r="C68" s="481" t="str">
        <f>IFERROR(__xludf.DUMMYFUNCTION("IMPORTRANGE(OFFSET('Codigos de planillas historicas'!C$3,MATCH(A:A,'Codigos de planillas historicas'!A$3:A73,0)-1,0,1,1),""Total_GASAV_Julio"") + IF(A68=+YEAR('Valores vigentes'!B$3),+IF(B68=MONTH('Valores vigentes'!B$3),Recaudado))"),"#REF!")</f>
        <v>#REF!</v>
      </c>
      <c r="D68" s="482">
        <f>IFERROR(__xludf.DUMMYFUNCTION("if(ISERROR(+SUM(FILTER('Detalle entregas'!D:D,'Detalle entregas'!A:A=A68,'Detalle entregas'!B:B=B68))),0,+SUM(FILTER('Detalle entregas'!D:D,'Detalle entregas'!A:A=A68,'Detalle entregas'!B:B=B68)))"),1345863.0)</f>
        <v>1345863</v>
      </c>
      <c r="E68" s="483" t="str">
        <f t="shared" si="1"/>
        <v>#REF!</v>
      </c>
      <c r="F68" s="483" t="str">
        <f t="shared" si="2"/>
        <v>#REF!</v>
      </c>
      <c r="G68" s="392"/>
      <c r="H68" s="392"/>
      <c r="I68" s="392"/>
    </row>
    <row r="69">
      <c r="A69" s="480">
        <v>2023.0</v>
      </c>
      <c r="B69" s="480">
        <v>8.0</v>
      </c>
      <c r="C69" s="481" t="str">
        <f>IFERROR(__xludf.DUMMYFUNCTION("IMPORTRANGE(OFFSET('Codigos de planillas historicas'!C$3,MATCH(A:A,'Codigos de planillas historicas'!A$3:A73,0)-1,0,1,1),""Total_GASAV_Agosto"") + IF(A69=+YEAR('Valores vigentes'!B$3),+IF(B69=MONTH('Valores vigentes'!B$3),Recaudado))"),"#REF!")</f>
        <v>#REF!</v>
      </c>
      <c r="D69" s="482">
        <f>IFERROR(__xludf.DUMMYFUNCTION("if(ISERROR(+SUM(FILTER('Detalle entregas'!D:D,'Detalle entregas'!A:A=A69,'Detalle entregas'!B:B=B69))),0,+SUM(FILTER('Detalle entregas'!D:D,'Detalle entregas'!A:A=A69,'Detalle entregas'!B:B=B69)))"),1.425855E7)</f>
        <v>14258550</v>
      </c>
      <c r="E69" s="483" t="str">
        <f t="shared" si="1"/>
        <v>#REF!</v>
      </c>
      <c r="F69" s="483" t="str">
        <f t="shared" si="2"/>
        <v>#REF!</v>
      </c>
      <c r="G69" s="392"/>
      <c r="H69" s="392"/>
      <c r="I69" s="392"/>
    </row>
    <row r="70">
      <c r="A70" s="480"/>
      <c r="B70" s="480"/>
      <c r="C70" s="482"/>
      <c r="D70" s="482"/>
      <c r="E70" s="483"/>
      <c r="F70" s="483"/>
      <c r="G70" s="392"/>
      <c r="H70" s="392"/>
      <c r="I70" s="392"/>
    </row>
    <row r="71">
      <c r="A71" s="480"/>
      <c r="B71" s="480"/>
      <c r="C71" s="482"/>
      <c r="D71" s="482"/>
      <c r="E71" s="483"/>
      <c r="F71" s="483"/>
      <c r="G71" s="392"/>
      <c r="H71" s="392"/>
      <c r="I71" s="392"/>
    </row>
    <row r="72">
      <c r="A72" s="480"/>
      <c r="B72" s="480"/>
      <c r="C72" s="482"/>
      <c r="D72" s="482"/>
      <c r="E72" s="483"/>
      <c r="F72" s="483"/>
      <c r="G72" s="392"/>
      <c r="H72" s="392"/>
      <c r="I72" s="392"/>
    </row>
    <row r="73">
      <c r="A73" s="480"/>
      <c r="B73" s="480"/>
      <c r="C73" s="482"/>
      <c r="D73" s="482"/>
      <c r="E73" s="483"/>
      <c r="F73" s="483"/>
      <c r="G73" s="392"/>
      <c r="H73" s="392"/>
      <c r="I73" s="392"/>
    </row>
  </sheetData>
  <mergeCells count="18">
    <mergeCell ref="H26:H37"/>
    <mergeCell ref="I26:I37"/>
    <mergeCell ref="G2:G13"/>
    <mergeCell ref="H2:H13"/>
    <mergeCell ref="I2:I13"/>
    <mergeCell ref="G14:G25"/>
    <mergeCell ref="H14:H25"/>
    <mergeCell ref="I14:I25"/>
    <mergeCell ref="G26:G37"/>
    <mergeCell ref="H62:H73"/>
    <mergeCell ref="I62:I73"/>
    <mergeCell ref="G38:G49"/>
    <mergeCell ref="H38:H49"/>
    <mergeCell ref="I38:I49"/>
    <mergeCell ref="G50:G61"/>
    <mergeCell ref="H50:H61"/>
    <mergeCell ref="I50:I61"/>
    <mergeCell ref="G62:G7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fitToPage="1"/>
  </sheetPr>
  <sheetViews>
    <sheetView workbookViewId="0"/>
  </sheetViews>
  <sheetFormatPr customHeight="1" defaultColWidth="12.63" defaultRowHeight="15.75"/>
  <cols>
    <col customWidth="1" min="1" max="1" width="7.25"/>
    <col customWidth="1" min="2" max="2" width="15.25"/>
    <col customWidth="1" min="3" max="3" width="27.5"/>
    <col customWidth="1" min="4" max="4" width="14.5"/>
    <col customWidth="1" min="5" max="5" width="39.63"/>
    <col customWidth="1" min="6" max="6" width="21.75"/>
    <col customWidth="1" hidden="1" min="7" max="7" width="21.75"/>
  </cols>
  <sheetData>
    <row r="1">
      <c r="A1" s="484" t="s">
        <v>154</v>
      </c>
      <c r="B1" s="485" t="s">
        <v>4731</v>
      </c>
      <c r="C1" s="486" t="s">
        <v>25</v>
      </c>
      <c r="D1" s="484" t="s">
        <v>512</v>
      </c>
      <c r="E1" s="485" t="s">
        <v>33</v>
      </c>
      <c r="F1" s="487" t="s">
        <v>4732</v>
      </c>
      <c r="G1" s="487" t="s">
        <v>4732</v>
      </c>
    </row>
    <row r="2">
      <c r="A2" s="488" t="s">
        <v>4733</v>
      </c>
      <c r="B2" s="489">
        <f>IF(iserror(vlookup(A:A,Pagos!$B$5:$L91,2,false)),"Disponible",vlookup(A:A,Pagos!$B$5:$L91,2,false))</f>
        <v>2249</v>
      </c>
      <c r="C2" s="490" t="str">
        <f>IF(iserror(vlookup(A:A,Pagos!$B$5:$L91,3,false)),"Disponible",vlookup(A:A,Pagos!$B$5:$L91,3,false))</f>
        <v>MOSQUERA, FEDERICO</v>
      </c>
      <c r="D2" s="491">
        <f>IF(iserror(vlookup(A:A,Pagos!$B$5:$L91,4,false)),"Disponible",If(vlookup(A:A,Pagos!$B$5:$L91,5,false),vlookup(A:A,Pagos!$B$5:$L91,5,false),vlookup(A:A,Pagos!$B$5:$L91,4,false)))</f>
        <v>45870</v>
      </c>
      <c r="E2" s="492"/>
      <c r="F2" s="493" t="str">
        <f t="shared" ref="F2:F83" si="1">IF(G2,"Sobreasignada","")</f>
        <v/>
      </c>
      <c r="G2" s="493" t="b">
        <f>If(COUNTIF(Pagos!B:B,A2)&gt;1,true,false)</f>
        <v>0</v>
      </c>
    </row>
    <row r="3">
      <c r="A3" s="488" t="s">
        <v>4295</v>
      </c>
      <c r="B3" s="489">
        <f>IF(iserror(vlookup(A:A,Pagos!$B$5:$L91,2,false)),"Disponible",vlookup(A:A,Pagos!$B$5:$L91,2,false))</f>
        <v>2327</v>
      </c>
      <c r="C3" s="490" t="str">
        <f>IF(iserror(vlookup(A:A,Pagos!$B$5:$L91,3,false)),"Disponible",vlookup(A:A,Pagos!$B$5:$L91,3,false))</f>
        <v>IANNUZZI, MATILDE</v>
      </c>
      <c r="D3" s="491">
        <f>IF(iserror(vlookup(A:A,Pagos!$B$5:$L91,4,false)),"Disponible",If(vlookup(A:A,Pagos!$B$5:$L91,5,false),vlookup(A:A,Pagos!$B$5:$L91,5,false),vlookup(A:A,Pagos!$B$5:$L91,4,false)))</f>
        <v>45870</v>
      </c>
      <c r="E3" s="492"/>
      <c r="F3" s="493" t="str">
        <f t="shared" si="1"/>
        <v/>
      </c>
      <c r="G3" s="493" t="b">
        <f>If(COUNTIF(Pagos!B:B,A3)&gt;1,true,false)</f>
        <v>0</v>
      </c>
    </row>
    <row r="4">
      <c r="A4" s="488" t="s">
        <v>4296</v>
      </c>
      <c r="B4" s="489">
        <f>IF(iserror(vlookup(A:A,Pagos!$B$5:$L91,2,false)),"Disponible",vlookup(A:A,Pagos!$B$5:$L91,2,false))</f>
        <v>1918</v>
      </c>
      <c r="C4" s="490" t="str">
        <f>IF(iserror(vlookup(A:A,Pagos!$B$5:$L91,3,false)),"Disponible",vlookup(A:A,Pagos!$B$5:$L91,3,false))</f>
        <v>BREM , RAFAEL</v>
      </c>
      <c r="D4" s="491">
        <f>IF(iserror(vlookup(A:A,Pagos!$B$5:$L91,4,false)),"Disponible",If(vlookup(A:A,Pagos!$B$5:$L91,5,false),vlookup(A:A,Pagos!$B$5:$L91,5,false),vlookup(A:A,Pagos!$B$5:$L91,4,false)))</f>
        <v>45901</v>
      </c>
      <c r="E4" s="494"/>
      <c r="F4" s="493" t="str">
        <f t="shared" si="1"/>
        <v/>
      </c>
      <c r="G4" s="493" t="b">
        <f>If(COUNTIF(Pagos!B:B,A4)&gt;1,true,false)</f>
        <v>0</v>
      </c>
    </row>
    <row r="5">
      <c r="A5" s="488" t="s">
        <v>204</v>
      </c>
      <c r="B5" s="489">
        <f>IF(iserror(vlookup(A:A,Pagos!$B$5:$L91,2,false)),"Disponible",vlookup(A:A,Pagos!$B$5:$L91,2,false))</f>
        <v>1660</v>
      </c>
      <c r="C5" s="490" t="str">
        <f>IF(iserror(vlookup(A:A,Pagos!$B$5:$L91,3,false)),"Disponible",vlookup(A:A,Pagos!$B$5:$L91,3,false))</f>
        <v>GABRIEL, GABRIELA VICTORIA</v>
      </c>
      <c r="D5" s="491">
        <f>IF(iserror(vlookup(A:A,Pagos!$B$5:$L91,4,false)),"Disponible",If(vlookup(A:A,Pagos!$B$5:$L91,5,false),vlookup(A:A,Pagos!$B$5:$L91,5,false),vlookup(A:A,Pagos!$B$5:$L91,4,false)))</f>
        <v>45870</v>
      </c>
      <c r="E5" s="492"/>
      <c r="F5" s="493" t="str">
        <f t="shared" si="1"/>
        <v/>
      </c>
      <c r="G5" s="493" t="b">
        <f>If(COUNTIF(Pagos!B:B,A5)&gt;1,true,false)</f>
        <v>0</v>
      </c>
    </row>
    <row r="6">
      <c r="A6" s="495" t="s">
        <v>245</v>
      </c>
      <c r="B6" s="489">
        <f>IF(iserror(vlookup(A:A,Pagos!$B$5:$L91,2,false)),"Disponible",vlookup(A:A,Pagos!$B$5:$L91,2,false))</f>
        <v>1773</v>
      </c>
      <c r="C6" s="490" t="str">
        <f>IF(iserror(vlookup(A:A,Pagos!$B$5:$L91,3,false)),"Disponible",vlookup(A:A,Pagos!$B$5:$L91,3,false))</f>
        <v>GARIBALDI, JOSE LUIS</v>
      </c>
      <c r="D6" s="491">
        <f>IF(iserror(vlookup(A:A,Pagos!$B$5:$L91,4,false)),"Disponible",If(vlookup(A:A,Pagos!$B$5:$L91,5,false),vlookup(A:A,Pagos!$B$5:$L91,5,false),vlookup(A:A,Pagos!$B$5:$L91,4,false)))</f>
        <v>45870</v>
      </c>
      <c r="E6" s="492"/>
      <c r="F6" s="493" t="str">
        <f t="shared" si="1"/>
        <v/>
      </c>
      <c r="G6" s="493" t="b">
        <f>If(COUNTIF(Pagos!B:B,A6)&gt;1,true,false)</f>
        <v>0</v>
      </c>
    </row>
    <row r="7">
      <c r="A7" s="495" t="s">
        <v>4297</v>
      </c>
      <c r="B7" s="489">
        <f>IF(iserror(vlookup(A:A,Pagos!$B$5:$L91,2,false)),"Disponible",vlookup(A:A,Pagos!$B$5:$L91,2,false))</f>
        <v>2209</v>
      </c>
      <c r="C7" s="490" t="str">
        <f>IF(iserror(vlookup(A:A,Pagos!$B$5:$L91,3,false)),"Disponible",vlookup(A:A,Pagos!$B$5:$L91,3,false))</f>
        <v>QUINTERO BLANCO, SERGIO</v>
      </c>
      <c r="D7" s="491">
        <f>IF(iserror(vlookup(A:A,Pagos!$B$5:$L91,4,false)),"Disponible",If(vlookup(A:A,Pagos!$B$5:$L91,5,false),vlookup(A:A,Pagos!$B$5:$L91,5,false),vlookup(A:A,Pagos!$B$5:$L91,4,false)))</f>
        <v>45870</v>
      </c>
      <c r="E7" s="492"/>
      <c r="F7" s="493" t="str">
        <f t="shared" si="1"/>
        <v/>
      </c>
      <c r="G7" s="493" t="b">
        <f>If(COUNTIF(Pagos!B:B,A7)&gt;1,true,false)</f>
        <v>0</v>
      </c>
    </row>
    <row r="8">
      <c r="A8" s="488" t="s">
        <v>4298</v>
      </c>
      <c r="B8" s="489">
        <f>IF(iserror(vlookup(A:A,Pagos!$B$5:$L91,2,false)),"Disponible",vlookup(A:A,Pagos!$B$5:$L91,2,false))</f>
        <v>2328</v>
      </c>
      <c r="C8" s="490" t="str">
        <f>IF(iserror(vlookup(A:A,Pagos!$B$5:$L91,3,false)),"Disponible",vlookup(A:A,Pagos!$B$5:$L91,3,false))</f>
        <v>ALTEREIB, DIEGO</v>
      </c>
      <c r="D8" s="491">
        <f>IF(iserror(vlookup(A:A,Pagos!$B$5:$L91,4,false)),"Disponible",If(vlookup(A:A,Pagos!$B$5:$L91,5,false),vlookup(A:A,Pagos!$B$5:$L91,5,false),vlookup(A:A,Pagos!$B$5:$L91,4,false)))</f>
        <v>45870</v>
      </c>
      <c r="E8" s="494"/>
      <c r="F8" s="493" t="str">
        <f t="shared" si="1"/>
        <v/>
      </c>
      <c r="G8" s="493" t="b">
        <f>If(COUNTIF(Pagos!B:B,A8)&gt;1,true,false)</f>
        <v>0</v>
      </c>
    </row>
    <row r="9">
      <c r="A9" s="488" t="s">
        <v>4299</v>
      </c>
      <c r="B9" s="489">
        <f>IF(iserror(vlookup(A:A,Pagos!$B$5:$L91,2,false)),"Disponible",vlookup(A:A,Pagos!$B$5:$L91,2,false))</f>
        <v>2188</v>
      </c>
      <c r="C9" s="490" t="str">
        <f>IF(iserror(vlookup(A:A,Pagos!$B$5:$L91,3,false)),"Disponible",vlookup(A:A,Pagos!$B$5:$L91,3,false))</f>
        <v>GALVAN, MANUEL</v>
      </c>
      <c r="D9" s="491">
        <f>IF(iserror(vlookup(A:A,Pagos!$B$5:$L91,4,false)),"Disponible",If(vlookup(A:A,Pagos!$B$5:$L91,5,false),vlookup(A:A,Pagos!$B$5:$L91,5,false),vlookup(A:A,Pagos!$B$5:$L91,4,false)))</f>
        <v>45901</v>
      </c>
      <c r="E9" s="492"/>
      <c r="F9" s="493" t="str">
        <f t="shared" si="1"/>
        <v/>
      </c>
      <c r="G9" s="493" t="b">
        <f>If(COUNTIF(Pagos!B:B,A9)&gt;1,true,false)</f>
        <v>0</v>
      </c>
    </row>
    <row r="10">
      <c r="A10" s="495" t="s">
        <v>185</v>
      </c>
      <c r="B10" s="489">
        <f>IF(iserror(vlookup(A:A,Pagos!$B$5:$L91,2,false)),"Disponible",vlookup(A:A,Pagos!$B$5:$L91,2,false))</f>
        <v>1632</v>
      </c>
      <c r="C10" s="490" t="str">
        <f>IF(iserror(vlookup(A:A,Pagos!$B$5:$L91,3,false)),"Disponible",vlookup(A:A,Pagos!$B$5:$L91,3,false))</f>
        <v>ANGELINETTI, CARLOS</v>
      </c>
      <c r="D10" s="491">
        <f>IF(iserror(vlookup(A:A,Pagos!$B$5:$L91,4,false)),"Disponible",If(vlookup(A:A,Pagos!$B$5:$L91,5,false),vlookup(A:A,Pagos!$B$5:$L91,5,false),vlookup(A:A,Pagos!$B$5:$L91,4,false)))</f>
        <v>45870</v>
      </c>
      <c r="E10" s="492"/>
      <c r="F10" s="493" t="str">
        <f t="shared" si="1"/>
        <v/>
      </c>
      <c r="G10" s="493" t="b">
        <f>If(COUNTIF(Pagos!B:B,A10)&gt;1,true,false)</f>
        <v>0</v>
      </c>
    </row>
    <row r="11">
      <c r="A11" s="488" t="s">
        <v>96</v>
      </c>
      <c r="B11" s="489">
        <f>IF(iserror(vlookup(A:A,Pagos!$B$5:$L91,2,false)),"Disponible",vlookup(A:A,Pagos!$B$5:$L91,2,false))</f>
        <v>1048</v>
      </c>
      <c r="C11" s="490" t="str">
        <f>IF(iserror(vlookup(A:A,Pagos!$B$5:$L91,3,false)),"Disponible",vlookup(A:A,Pagos!$B$5:$L91,3,false))</f>
        <v>CASADO ,EDUARDO</v>
      </c>
      <c r="D11" s="491">
        <f>IF(iserror(vlookup(A:A,Pagos!$B$5:$L91,4,false)),"Disponible",If(vlookup(A:A,Pagos!$B$5:$L91,5,false),vlookup(A:A,Pagos!$B$5:$L91,5,false),vlookup(A:A,Pagos!$B$5:$L91,4,false)))</f>
        <v>45870</v>
      </c>
      <c r="E11" s="492"/>
      <c r="F11" s="493" t="str">
        <f t="shared" si="1"/>
        <v/>
      </c>
      <c r="G11" s="493" t="b">
        <f>If(COUNTIF(Pagos!B:B,A11)&gt;1,true,false)</f>
        <v>0</v>
      </c>
    </row>
    <row r="12">
      <c r="A12" s="488" t="s">
        <v>4300</v>
      </c>
      <c r="B12" s="489" t="str">
        <f>IF(iserror(vlookup(A:A,Pagos!$B$5:$L91,2,false)),"Disponible",vlookup(A:A,Pagos!$B$5:$L91,2,false))</f>
        <v>Disponible</v>
      </c>
      <c r="C12" s="490" t="str">
        <f>IF(iserror(vlookup(A:A,Pagos!$B$5:$L91,3,false)),"Disponible",vlookup(A:A,Pagos!$B$5:$L91,3,false))</f>
        <v>Disponible</v>
      </c>
      <c r="D12" s="491" t="str">
        <f>IF(iserror(vlookup(A:A,Pagos!$B$5:$L91,4,false)),"Disponible",If(vlookup(A:A,Pagos!$B$5:$L91,5,false),vlookup(A:A,Pagos!$B$5:$L91,5,false),vlookup(A:A,Pagos!$B$5:$L91,4,false)))</f>
        <v>Disponible</v>
      </c>
      <c r="E12" s="494"/>
      <c r="F12" s="493" t="str">
        <f t="shared" si="1"/>
        <v/>
      </c>
      <c r="G12" s="493" t="b">
        <f>If(COUNTIF(Pagos!B:B,A12)&gt;1,true,false)</f>
        <v>0</v>
      </c>
    </row>
    <row r="13">
      <c r="A13" s="488" t="s">
        <v>241</v>
      </c>
      <c r="B13" s="489">
        <f>IF(iserror(vlookup(A:A,Pagos!$B$5:$L91,2,false)),"Disponible",vlookup(A:A,Pagos!$B$5:$L91,2,false))</f>
        <v>1763</v>
      </c>
      <c r="C13" s="490" t="str">
        <f>IF(iserror(vlookup(A:A,Pagos!$B$5:$L91,3,false)),"Disponible",vlookup(A:A,Pagos!$B$5:$L91,3,false))</f>
        <v>BRACCIALE, ADRIAN</v>
      </c>
      <c r="D13" s="491">
        <f>IF(iserror(vlookup(A:A,Pagos!$B$5:$L91,4,false)),"Disponible",If(vlookup(A:A,Pagos!$B$5:$L91,5,false),vlookup(A:A,Pagos!$B$5:$L91,5,false),vlookup(A:A,Pagos!$B$5:$L91,4,false)))</f>
        <v>45839</v>
      </c>
      <c r="E13" s="492"/>
      <c r="F13" s="493" t="str">
        <f t="shared" si="1"/>
        <v/>
      </c>
      <c r="G13" s="493" t="b">
        <f>If(COUNTIF(Pagos!B:B,A13)&gt;1,true,false)</f>
        <v>0</v>
      </c>
    </row>
    <row r="14">
      <c r="A14" s="495" t="s">
        <v>4301</v>
      </c>
      <c r="B14" s="489">
        <f>IF(iserror(vlookup(A:A,Pagos!$B$5:$L91,2,false)),"Disponible",vlookup(A:A,Pagos!$B$5:$L91,2,false))</f>
        <v>1526</v>
      </c>
      <c r="C14" s="490" t="str">
        <f>IF(iserror(vlookup(A:A,Pagos!$B$5:$L91,3,false)),"Disponible",vlookup(A:A,Pagos!$B$5:$L91,3,false))</f>
        <v>GABOTTO, PAUL</v>
      </c>
      <c r="D14" s="491">
        <f>IF(iserror(vlookup(A:A,Pagos!$B$5:$L91,4,false)),"Disponible",If(vlookup(A:A,Pagos!$B$5:$L91,5,false),vlookup(A:A,Pagos!$B$5:$L91,5,false),vlookup(A:A,Pagos!$B$5:$L91,4,false)))</f>
        <v>45870</v>
      </c>
      <c r="E14" s="494"/>
      <c r="F14" s="493" t="str">
        <f t="shared" si="1"/>
        <v/>
      </c>
      <c r="G14" s="493" t="b">
        <f>If(COUNTIF(Pagos!B:B,A14)&gt;1,true,false)</f>
        <v>0</v>
      </c>
    </row>
    <row r="15">
      <c r="A15" s="495" t="s">
        <v>156</v>
      </c>
      <c r="B15" s="489">
        <f>IF(iserror(vlookup(A:A,Pagos!$B$5:$L91,2,false)),"Disponible",vlookup(A:A,Pagos!$B$5:$L91,2,false))</f>
        <v>1551</v>
      </c>
      <c r="C15" s="490" t="str">
        <f>IF(iserror(vlookup(A:A,Pagos!$B$5:$L91,3,false)),"Disponible",vlookup(A:A,Pagos!$B$5:$L91,3,false))</f>
        <v>ALESI, ITATI</v>
      </c>
      <c r="D15" s="491">
        <f>IF(iserror(vlookup(A:A,Pagos!$B$5:$L91,4,false)),"Disponible",If(vlookup(A:A,Pagos!$B$5:$L91,5,false),vlookup(A:A,Pagos!$B$5:$L91,5,false),vlookup(A:A,Pagos!$B$5:$L91,4,false)))</f>
        <v>45870</v>
      </c>
      <c r="E15" s="492"/>
      <c r="F15" s="493" t="str">
        <f t="shared" si="1"/>
        <v/>
      </c>
      <c r="G15" s="493" t="b">
        <f>If(COUNTIF(Pagos!B:B,A15)&gt;1,true,false)</f>
        <v>0</v>
      </c>
    </row>
    <row r="16">
      <c r="A16" s="495" t="s">
        <v>4302</v>
      </c>
      <c r="B16" s="489">
        <f>IF(iserror(vlookup(A:A,Pagos!$B$5:$L91,2,false)),"Disponible",vlookup(A:A,Pagos!$B$5:$L91,2,false))</f>
        <v>2138</v>
      </c>
      <c r="C16" s="490" t="str">
        <f>IF(iserror(vlookup(A:A,Pagos!$B$5:$L91,3,false)),"Disponible",vlookup(A:A,Pagos!$B$5:$L91,3,false))</f>
        <v>KARAGENZIAN, MATIAS</v>
      </c>
      <c r="D16" s="491">
        <f>IF(iserror(vlookup(A:A,Pagos!$B$5:$L91,4,false)),"Disponible",If(vlookup(A:A,Pagos!$B$5:$L91,5,false),vlookup(A:A,Pagos!$B$5:$L91,5,false),vlookup(A:A,Pagos!$B$5:$L91,4,false)))</f>
        <v>45870</v>
      </c>
      <c r="E16" s="492"/>
      <c r="F16" s="493" t="str">
        <f t="shared" si="1"/>
        <v/>
      </c>
      <c r="G16" s="493" t="b">
        <f>If(COUNTIF(Pagos!B:B,A16)&gt;1,true,false)</f>
        <v>0</v>
      </c>
    </row>
    <row r="17">
      <c r="A17" s="495" t="s">
        <v>307</v>
      </c>
      <c r="B17" s="489">
        <f>IF(iserror(vlookup(A:A,Pagos!$B$5:$L91,2,false)),"Disponible",vlookup(A:A,Pagos!$B$5:$L91,2,false))</f>
        <v>1951</v>
      </c>
      <c r="C17" s="490" t="str">
        <f>IF(iserror(vlookup(A:A,Pagos!$B$5:$L91,3,false)),"Disponible",vlookup(A:A,Pagos!$B$5:$L91,3,false))</f>
        <v>ARCONDO, ABIGAIL ANAKE</v>
      </c>
      <c r="D17" s="491">
        <f>IF(iserror(vlookup(A:A,Pagos!$B$5:$L91,4,false)),"Disponible",If(vlookup(A:A,Pagos!$B$5:$L91,5,false),vlookup(A:A,Pagos!$B$5:$L91,5,false),vlookup(A:A,Pagos!$B$5:$L91,4,false)))</f>
        <v>45870</v>
      </c>
      <c r="E17" s="492"/>
      <c r="F17" s="493" t="str">
        <f t="shared" si="1"/>
        <v/>
      </c>
      <c r="G17" s="493" t="b">
        <f>If(COUNTIF(Pagos!B:B,A17)&gt;1,true,false)</f>
        <v>0</v>
      </c>
    </row>
    <row r="18">
      <c r="A18" s="495" t="s">
        <v>4303</v>
      </c>
      <c r="B18" s="489">
        <f>IF(iserror(vlookup(A:A,Pagos!$B$5:$L91,2,false)),"Disponible",vlookup(A:A,Pagos!$B$5:$L91,2,false))</f>
        <v>2040</v>
      </c>
      <c r="C18" s="490" t="str">
        <f>IF(iserror(vlookup(A:A,Pagos!$B$5:$L91,3,false)),"Disponible",vlookup(A:A,Pagos!$B$5:$L91,3,false))</f>
        <v>MARTINEZ DUMONT, LETICIA</v>
      </c>
      <c r="D18" s="491">
        <f>IF(iserror(vlookup(A:A,Pagos!$B$5:$L91,4,false)),"Disponible",If(vlookup(A:A,Pagos!$B$5:$L91,5,false),vlookup(A:A,Pagos!$B$5:$L91,5,false),vlookup(A:A,Pagos!$B$5:$L91,4,false)))</f>
        <v>45870</v>
      </c>
      <c r="E18" s="494"/>
      <c r="F18" s="493" t="str">
        <f t="shared" si="1"/>
        <v/>
      </c>
      <c r="G18" s="493" t="b">
        <f>If(COUNTIF(Pagos!B:B,A18)&gt;1,true,false)</f>
        <v>0</v>
      </c>
    </row>
    <row r="19">
      <c r="A19" s="495" t="s">
        <v>152</v>
      </c>
      <c r="B19" s="489">
        <f>IF(iserror(vlookup(A:A,Pagos!$B$5:$L91,2,false)),"Disponible",vlookup(A:A,Pagos!$B$5:$L91,2,false))</f>
        <v>1527</v>
      </c>
      <c r="C19" s="490" t="str">
        <f>IF(iserror(vlookup(A:A,Pagos!$B$5:$L91,3,false)),"Disponible",vlookup(A:A,Pagos!$B$5:$L91,3,false))</f>
        <v>ZANETTI DANIEL</v>
      </c>
      <c r="D19" s="491">
        <f>IF(iserror(vlookup(A:A,Pagos!$B$5:$L91,4,false)),"Disponible",If(vlookup(A:A,Pagos!$B$5:$L91,5,false),vlookup(A:A,Pagos!$B$5:$L91,5,false),vlookup(A:A,Pagos!$B$5:$L91,4,false)))</f>
        <v>45870</v>
      </c>
      <c r="E19" s="492"/>
      <c r="F19" s="493" t="str">
        <f t="shared" si="1"/>
        <v/>
      </c>
      <c r="G19" s="493" t="b">
        <f>If(COUNTIF(Pagos!B:B,A19)&gt;1,true,false)</f>
        <v>0</v>
      </c>
    </row>
    <row r="20">
      <c r="A20" s="495" t="s">
        <v>83</v>
      </c>
      <c r="B20" s="489">
        <f>IF(iserror(vlookup(A:A,Pagos!$B$5:$L91,2,false)),"Disponible",vlookup(A:A,Pagos!$B$5:$L91,2,false))</f>
        <v>869</v>
      </c>
      <c r="C20" s="490" t="str">
        <f>IF(iserror(vlookup(A:A,Pagos!$B$5:$L91,3,false)),"Disponible",vlookup(A:A,Pagos!$B$5:$L91,3,false))</f>
        <v>SORENSEN, HANS</v>
      </c>
      <c r="D20" s="491">
        <f>IF(iserror(vlookup(A:A,Pagos!$B$5:$L91,4,false)),"Disponible",If(vlookup(A:A,Pagos!$B$5:$L91,5,false),vlookup(A:A,Pagos!$B$5:$L91,5,false),vlookup(A:A,Pagos!$B$5:$L91,4,false)))</f>
        <v>45870</v>
      </c>
      <c r="E20" s="492"/>
      <c r="F20" s="493" t="str">
        <f t="shared" si="1"/>
        <v/>
      </c>
      <c r="G20" s="493" t="b">
        <f>If(COUNTIF(Pagos!B:B,A20)&gt;1,true,false)</f>
        <v>0</v>
      </c>
    </row>
    <row r="21">
      <c r="A21" s="495" t="s">
        <v>376</v>
      </c>
      <c r="B21" s="489">
        <f>IF(iserror(vlookup(A:A,Pagos!$B$5:$L91,2,false)),"Disponible",vlookup(A:A,Pagos!$B$5:$L91,2,false))</f>
        <v>2113</v>
      </c>
      <c r="C21" s="490" t="str">
        <f>IF(iserror(vlookup(A:A,Pagos!$B$5:$L91,3,false)),"Disponible",vlookup(A:A,Pagos!$B$5:$L91,3,false))</f>
        <v>ESQUIVEL, TEODORO RUBEN</v>
      </c>
      <c r="D21" s="491">
        <f>IF(iserror(vlookup(A:A,Pagos!$B$5:$L91,4,false)),"Disponible",If(vlookup(A:A,Pagos!$B$5:$L91,5,false),vlookup(A:A,Pagos!$B$5:$L91,5,false),vlookup(A:A,Pagos!$B$5:$L91,4,false)))</f>
        <v>45870</v>
      </c>
      <c r="E21" s="492"/>
      <c r="F21" s="493" t="str">
        <f t="shared" si="1"/>
        <v/>
      </c>
      <c r="G21" s="493" t="b">
        <f>If(COUNTIF(Pagos!B:B,A21)&gt;1,true,false)</f>
        <v>0</v>
      </c>
    </row>
    <row r="22">
      <c r="A22" s="488" t="s">
        <v>162</v>
      </c>
      <c r="B22" s="489">
        <f>IF(iserror(vlookup(A:A,Pagos!$B$5:$L91,2,false)),"Disponible",vlookup(A:A,Pagos!$B$5:$L91,2,false))</f>
        <v>1557</v>
      </c>
      <c r="C22" s="490" t="str">
        <f>IF(iserror(vlookup(A:A,Pagos!$B$5:$L91,3,false)),"Disponible",vlookup(A:A,Pagos!$B$5:$L91,3,false))</f>
        <v>MEDEL SANTIAGO HERNAN</v>
      </c>
      <c r="D22" s="491">
        <f>IF(iserror(vlookup(A:A,Pagos!$B$5:$L91,4,false)),"Disponible",If(vlookup(A:A,Pagos!$B$5:$L91,5,false),vlookup(A:A,Pagos!$B$5:$L91,5,false),vlookup(A:A,Pagos!$B$5:$L91,4,false)))</f>
        <v>45870</v>
      </c>
      <c r="E22" s="494"/>
      <c r="F22" s="493" t="str">
        <f t="shared" si="1"/>
        <v/>
      </c>
      <c r="G22" s="493" t="b">
        <f>If(COUNTIF(Pagos!B:B,A22)&gt;1,true,false)</f>
        <v>0</v>
      </c>
    </row>
    <row r="23">
      <c r="A23" s="488" t="s">
        <v>4304</v>
      </c>
      <c r="B23" s="489" t="str">
        <f>IF(iserror(vlookup(A:A,Pagos!$B$5:$L91,2,false)),"Disponible",vlookup(A:A,Pagos!$B$5:$L91,2,false))</f>
        <v>Disponible</v>
      </c>
      <c r="C23" s="490" t="str">
        <f>IF(iserror(vlookup(A:A,Pagos!$B$5:$L91,3,false)),"Disponible",vlookup(A:A,Pagos!$B$5:$L91,3,false))</f>
        <v>Disponible</v>
      </c>
      <c r="D23" s="491" t="str">
        <f>IF(iserror(vlookup(A:A,Pagos!$B$5:$L91,4,false)),"Disponible",If(vlookup(A:A,Pagos!$B$5:$L91,5,false),vlookup(A:A,Pagos!$B$5:$L91,5,false),vlookup(A:A,Pagos!$B$5:$L91,4,false)))</f>
        <v>Disponible</v>
      </c>
      <c r="E23" s="494" t="s">
        <v>526</v>
      </c>
      <c r="F23" s="493" t="str">
        <f t="shared" si="1"/>
        <v/>
      </c>
      <c r="G23" s="493" t="b">
        <f>If(COUNTIF(Pagos!B:B,A23)&gt;1,true,false)</f>
        <v>0</v>
      </c>
    </row>
    <row r="24">
      <c r="A24" s="495" t="s">
        <v>4305</v>
      </c>
      <c r="B24" s="489">
        <f>IF(iserror(vlookup(A:A,Pagos!$B$5:$L91,2,false)),"Disponible",vlookup(A:A,Pagos!$B$5:$L91,2,false))</f>
        <v>2200</v>
      </c>
      <c r="C24" s="490" t="str">
        <f>IF(iserror(vlookup(A:A,Pagos!$B$5:$L91,3,false)),"Disponible",vlookup(A:A,Pagos!$B$5:$L91,3,false))</f>
        <v>RADI ,NORA EDITH</v>
      </c>
      <c r="D24" s="491">
        <f>IF(iserror(vlookup(A:A,Pagos!$B$5:$L91,4,false)),"Disponible",If(vlookup(A:A,Pagos!$B$5:$L91,5,false),vlookup(A:A,Pagos!$B$5:$L91,5,false),vlookup(A:A,Pagos!$B$5:$L91,4,false)))</f>
        <v>45870</v>
      </c>
      <c r="E24" s="494"/>
      <c r="F24" s="493" t="str">
        <f t="shared" si="1"/>
        <v/>
      </c>
      <c r="G24" s="493" t="b">
        <f>If(COUNTIF(Pagos!B:B,A24)&gt;1,true,false)</f>
        <v>0</v>
      </c>
    </row>
    <row r="25">
      <c r="A25" s="488" t="s">
        <v>287</v>
      </c>
      <c r="B25" s="489">
        <f>IF(iserror(vlookup(A:A,Pagos!$B$5:$L91,2,false)),"Disponible",vlookup(A:A,Pagos!$B$5:$L91,2,false))</f>
        <v>1913</v>
      </c>
      <c r="C25" s="490" t="str">
        <f>IF(iserror(vlookup(A:A,Pagos!$B$5:$L91,3,false)),"Disponible",vlookup(A:A,Pagos!$B$5:$L91,3,false))</f>
        <v>SUAREZ, ANGELA DEL CARMEN</v>
      </c>
      <c r="D25" s="491">
        <f>IF(iserror(vlookup(A:A,Pagos!$B$5:$L91,4,false)),"Disponible",If(vlookup(A:A,Pagos!$B$5:$L91,5,false),vlookup(A:A,Pagos!$B$5:$L91,5,false),vlookup(A:A,Pagos!$B$5:$L91,4,false)))</f>
        <v>45870</v>
      </c>
      <c r="E25" s="492"/>
      <c r="F25" s="493" t="str">
        <f t="shared" si="1"/>
        <v/>
      </c>
      <c r="G25" s="493" t="b">
        <f>If(COUNTIF(Pagos!B:B,A25)&gt;1,true,false)</f>
        <v>0</v>
      </c>
    </row>
    <row r="26">
      <c r="A26" s="495" t="s">
        <v>4306</v>
      </c>
      <c r="B26" s="489">
        <f>IF(iserror(vlookup(A:A,Pagos!$B$5:$L91,2,false)),"Disponible",vlookup(A:A,Pagos!$B$5:$L91,2,false))</f>
        <v>2249</v>
      </c>
      <c r="C26" s="490" t="str">
        <f>IF(iserror(vlookup(A:A,Pagos!$B$5:$L91,3,false)),"Disponible",vlookup(A:A,Pagos!$B$5:$L91,3,false))</f>
        <v>MOSQUERA, FEDERICO</v>
      </c>
      <c r="D26" s="491">
        <f>IF(iserror(vlookup(A:A,Pagos!$B$5:$L91,4,false)),"Disponible",If(vlookup(A:A,Pagos!$B$5:$L91,5,false),vlookup(A:A,Pagos!$B$5:$L91,5,false),vlookup(A:A,Pagos!$B$5:$L91,4,false)))</f>
        <v>45870</v>
      </c>
      <c r="E26" s="492"/>
      <c r="F26" s="493" t="str">
        <f t="shared" si="1"/>
        <v/>
      </c>
      <c r="G26" s="493" t="b">
        <f>If(COUNTIF(Pagos!B:B,A26)&gt;1,true,false)</f>
        <v>0</v>
      </c>
    </row>
    <row r="27">
      <c r="A27" s="495" t="s">
        <v>203</v>
      </c>
      <c r="B27" s="489">
        <f>IF(iserror(vlookup(A:A,Pagos!$B$5:$L91,2,false)),"Disponible",vlookup(A:A,Pagos!$B$5:$L91,2,false))</f>
        <v>1659</v>
      </c>
      <c r="C27" s="490" t="str">
        <f>IF(iserror(vlookup(A:A,Pagos!$B$5:$L91,3,false)),"Disponible",vlookup(A:A,Pagos!$B$5:$L91,3,false))</f>
        <v>Marino, Fernando</v>
      </c>
      <c r="D27" s="491">
        <f>IF(iserror(vlookup(A:A,Pagos!$B$5:$L91,4,false)),"Disponible",If(vlookup(A:A,Pagos!$B$5:$L91,5,false),vlookup(A:A,Pagos!$B$5:$L91,5,false),vlookup(A:A,Pagos!$B$5:$L91,4,false)))</f>
        <v>45870</v>
      </c>
      <c r="E27" s="492"/>
      <c r="F27" s="493" t="str">
        <f t="shared" si="1"/>
        <v/>
      </c>
      <c r="G27" s="493" t="b">
        <f>If(COUNTIF(Pagos!B:B,A27)&gt;1,true,false)</f>
        <v>0</v>
      </c>
    </row>
    <row r="28">
      <c r="A28" s="495" t="s">
        <v>4307</v>
      </c>
      <c r="B28" s="489">
        <f>IF(iserror(vlookup(A:A,Pagos!$B$5:$L91,2,false)),"Disponible",vlookup(A:A,Pagos!$B$5:$L91,2,false))</f>
        <v>2383</v>
      </c>
      <c r="C28" s="490" t="str">
        <f>IF(iserror(vlookup(A:A,Pagos!$B$5:$L91,3,false)),"Disponible",vlookup(A:A,Pagos!$B$5:$L91,3,false))</f>
        <v>GAROFALO, JAVIER GUSTAVO</v>
      </c>
      <c r="D28" s="491">
        <f>IF(iserror(vlookup(A:A,Pagos!$B$5:$L91,4,false)),"Disponible",If(vlookup(A:A,Pagos!$B$5:$L91,5,false),vlookup(A:A,Pagos!$B$5:$L91,5,false),vlookup(A:A,Pagos!$B$5:$L91,4,false)))</f>
        <v>45931</v>
      </c>
      <c r="E28" s="492"/>
      <c r="F28" s="493" t="str">
        <f t="shared" si="1"/>
        <v/>
      </c>
      <c r="G28" s="493" t="b">
        <f>If(COUNTIF(Pagos!B:B,A28)&gt;1,true,false)</f>
        <v>0</v>
      </c>
    </row>
    <row r="29">
      <c r="A29" s="495" t="s">
        <v>4308</v>
      </c>
      <c r="B29" s="489">
        <f>IF(iserror(vlookup(A:A,Pagos!$B$5:$L91,2,false)),"Disponible",vlookup(A:A,Pagos!$B$5:$L91,2,false))</f>
        <v>1649</v>
      </c>
      <c r="C29" s="490" t="str">
        <f>IF(iserror(vlookup(A:A,Pagos!$B$5:$L91,3,false)),"Disponible",vlookup(A:A,Pagos!$B$5:$L91,3,false))</f>
        <v>DEL PERO, ROBERTO</v>
      </c>
      <c r="D29" s="491">
        <f>IF(iserror(vlookup(A:A,Pagos!$B$5:$L91,4,false)),"Disponible",If(vlookup(A:A,Pagos!$B$5:$L91,5,false),vlookup(A:A,Pagos!$B$5:$L91,5,false),vlookup(A:A,Pagos!$B$5:$L91,4,false)))</f>
        <v>45901</v>
      </c>
      <c r="E29" s="494"/>
      <c r="F29" s="493" t="str">
        <f t="shared" si="1"/>
        <v/>
      </c>
      <c r="G29" s="493" t="b">
        <f>If(COUNTIF(Pagos!B:B,A29)&gt;1,true,false)</f>
        <v>0</v>
      </c>
    </row>
    <row r="30">
      <c r="A30" s="488" t="s">
        <v>4309</v>
      </c>
      <c r="B30" s="489">
        <f>IF(iserror(vlookup(A:A,Pagos!$B$5:$L91,2,false)),"Disponible",vlookup(A:A,Pagos!$B$5:$L91,2,false))</f>
        <v>1649</v>
      </c>
      <c r="C30" s="490" t="str">
        <f>IF(iserror(vlookup(A:A,Pagos!$B$5:$L91,3,false)),"Disponible",vlookup(A:A,Pagos!$B$5:$L91,3,false))</f>
        <v>DEL PERO, ROBERTO</v>
      </c>
      <c r="D30" s="491">
        <f>IF(iserror(vlookup(A:A,Pagos!$B$5:$L91,4,false)),"Disponible",If(vlookup(A:A,Pagos!$B$5:$L91,5,false),vlookup(A:A,Pagos!$B$5:$L91,5,false),vlookup(A:A,Pagos!$B$5:$L91,4,false)))</f>
        <v>45901</v>
      </c>
      <c r="E30" s="494"/>
      <c r="F30" s="493" t="str">
        <f t="shared" si="1"/>
        <v/>
      </c>
      <c r="G30" s="493" t="b">
        <f>If(COUNTIF(Pagos!B:B,A30)&gt;1,true,false)</f>
        <v>0</v>
      </c>
    </row>
    <row r="31">
      <c r="A31" s="488" t="s">
        <v>4310</v>
      </c>
      <c r="B31" s="489">
        <f>IF(iserror(vlookup(A:A,Pagos!$B$5:$L91,2,false)),"Disponible",vlookup(A:A,Pagos!$B$5:$L91,2,false))</f>
        <v>1952</v>
      </c>
      <c r="C31" s="490" t="str">
        <f>IF(iserror(vlookup(A:A,Pagos!$B$5:$L91,3,false)),"Disponible",vlookup(A:A,Pagos!$B$5:$L91,3,false))</f>
        <v>AGUILAR, IVAN MAURICIO</v>
      </c>
      <c r="D31" s="491">
        <f>IF(iserror(vlookup(A:A,Pagos!$B$5:$L91,4,false)),"Disponible",If(vlookup(A:A,Pagos!$B$5:$L91,5,false),vlookup(A:A,Pagos!$B$5:$L91,5,false),vlookup(A:A,Pagos!$B$5:$L91,4,false)))</f>
        <v>45870</v>
      </c>
      <c r="E31" s="492"/>
      <c r="F31" s="493" t="str">
        <f t="shared" si="1"/>
        <v/>
      </c>
      <c r="G31" s="493" t="b">
        <f>If(COUNTIF(Pagos!B:B,A31)&gt;1,true,false)</f>
        <v>0</v>
      </c>
    </row>
    <row r="32">
      <c r="A32" s="488" t="s">
        <v>4311</v>
      </c>
      <c r="B32" s="489">
        <f>IF(iserror(vlookup(A:A,Pagos!$B$5:$L91,2,false)),"Disponible",vlookup(A:A,Pagos!$B$5:$L91,2,false))</f>
        <v>2387</v>
      </c>
      <c r="C32" s="490" t="str">
        <f>IF(iserror(vlookup(A:A,Pagos!$B$5:$L91,3,false)),"Disponible",vlookup(A:A,Pagos!$B$5:$L91,3,false))</f>
        <v>GHIGLIONE, JUAN PABLO</v>
      </c>
      <c r="D32" s="491">
        <f>IF(iserror(vlookup(A:A,Pagos!$B$5:$L91,4,false)),"Disponible",If(vlookup(A:A,Pagos!$B$5:$L91,5,false),vlookup(A:A,Pagos!$B$5:$L91,5,false),vlookup(A:A,Pagos!$B$5:$L91,4,false)))</f>
        <v>45992</v>
      </c>
      <c r="E32" s="494"/>
      <c r="F32" s="493" t="str">
        <f t="shared" si="1"/>
        <v/>
      </c>
      <c r="G32" s="493" t="b">
        <f>If(COUNTIF(Pagos!B:B,A32)&gt;1,true,false)</f>
        <v>0</v>
      </c>
    </row>
    <row r="33">
      <c r="A33" s="488" t="s">
        <v>4312</v>
      </c>
      <c r="B33" s="489">
        <f>IF(iserror(vlookup(A:A,Pagos!$B$5:$L91,2,false)),"Disponible",vlookup(A:A,Pagos!$B$5:$L91,2,false))</f>
        <v>2216</v>
      </c>
      <c r="C33" s="490" t="str">
        <f>IF(iserror(vlookup(A:A,Pagos!$B$5:$L91,3,false)),"Disponible",vlookup(A:A,Pagos!$B$5:$L91,3,false))</f>
        <v>PEREZ, MARCELO FABIO</v>
      </c>
      <c r="D33" s="491">
        <f>IF(iserror(vlookup(A:A,Pagos!$B$5:$L91,4,false)),"Disponible",If(vlookup(A:A,Pagos!$B$5:$L91,5,false),vlookup(A:A,Pagos!$B$5:$L91,5,false),vlookup(A:A,Pagos!$B$5:$L91,4,false)))</f>
        <v>45870</v>
      </c>
      <c r="E33" s="492"/>
      <c r="F33" s="493" t="str">
        <f t="shared" si="1"/>
        <v/>
      </c>
      <c r="G33" s="493" t="b">
        <f>If(COUNTIF(Pagos!B:B,A33)&gt;1,true,false)</f>
        <v>0</v>
      </c>
    </row>
    <row r="34">
      <c r="A34" s="488" t="s">
        <v>4313</v>
      </c>
      <c r="B34" s="489">
        <f>IF(iserror(vlookup(A:A,Pagos!$B$5:$L91,2,false)),"Disponible",vlookup(A:A,Pagos!$B$5:$L91,2,false))</f>
        <v>2254</v>
      </c>
      <c r="C34" s="490" t="str">
        <f>IF(iserror(vlookup(A:A,Pagos!$B$5:$L91,3,false)),"Disponible",vlookup(A:A,Pagos!$B$5:$L91,3,false))</f>
        <v>ROMERO, ALEJANDRO</v>
      </c>
      <c r="D34" s="491">
        <f>IF(iserror(vlookup(A:A,Pagos!$B$5:$L91,4,false)),"Disponible",If(vlookup(A:A,Pagos!$B$5:$L91,5,false),vlookup(A:A,Pagos!$B$5:$L91,5,false),vlookup(A:A,Pagos!$B$5:$L91,4,false)))</f>
        <v>45870</v>
      </c>
      <c r="E34" s="492"/>
      <c r="F34" s="493" t="str">
        <f t="shared" si="1"/>
        <v/>
      </c>
      <c r="G34" s="493" t="b">
        <f>If(COUNTIF(Pagos!B:B,A34)&gt;1,true,false)</f>
        <v>0</v>
      </c>
    </row>
    <row r="35">
      <c r="A35" s="488" t="s">
        <v>214</v>
      </c>
      <c r="B35" s="489">
        <f>IF(iserror(vlookup(A:A,Pagos!$B$5:$L91,2,false)),"Disponible",vlookup(A:A,Pagos!$B$5:$L91,2,false))</f>
        <v>1708</v>
      </c>
      <c r="C35" s="490" t="str">
        <f>IF(iserror(vlookup(A:A,Pagos!$B$5:$L91,3,false)),"Disponible",vlookup(A:A,Pagos!$B$5:$L91,3,false))</f>
        <v>CESTONA, MARCOS</v>
      </c>
      <c r="D35" s="491">
        <f>IF(iserror(vlookup(A:A,Pagos!$B$5:$L91,4,false)),"Disponible",If(vlookup(A:A,Pagos!$B$5:$L91,5,false),vlookup(A:A,Pagos!$B$5:$L91,5,false),vlookup(A:A,Pagos!$B$5:$L91,4,false)))</f>
        <v>45870</v>
      </c>
      <c r="E35" s="492"/>
      <c r="F35" s="493" t="str">
        <f t="shared" si="1"/>
        <v/>
      </c>
      <c r="G35" s="493" t="b">
        <f>If(COUNTIF(Pagos!B:B,A35)&gt;1,true,false)</f>
        <v>0</v>
      </c>
    </row>
    <row r="36">
      <c r="A36" s="495" t="s">
        <v>4314</v>
      </c>
      <c r="B36" s="489">
        <f>IF(iserror(vlookup(A:A,Pagos!$B$5:$L91,2,false)),"Disponible",vlookup(A:A,Pagos!$B$5:$L91,2,false))</f>
        <v>2172</v>
      </c>
      <c r="C36" s="490" t="str">
        <f>IF(iserror(vlookup(A:A,Pagos!$B$5:$L91,3,false)),"Disponible",vlookup(A:A,Pagos!$B$5:$L91,3,false))</f>
        <v>CERDA, DIEGO</v>
      </c>
      <c r="D36" s="491">
        <f>IF(iserror(vlookup(A:A,Pagos!$B$5:$L91,4,false)),"Disponible",If(vlookup(A:A,Pagos!$B$5:$L91,5,false),vlookup(A:A,Pagos!$B$5:$L91,5,false),vlookup(A:A,Pagos!$B$5:$L91,4,false)))</f>
        <v>45870</v>
      </c>
      <c r="E36" s="494"/>
      <c r="F36" s="493" t="str">
        <f t="shared" si="1"/>
        <v/>
      </c>
      <c r="G36" s="493" t="b">
        <f>If(COUNTIF(Pagos!B:B,A36)&gt;1,true,false)</f>
        <v>0</v>
      </c>
    </row>
    <row r="37">
      <c r="A37" s="495" t="s">
        <v>4315</v>
      </c>
      <c r="B37" s="489">
        <f>IF(iserror(vlookup(A:A,Pagos!$B$5:$L91,2,false)),"Disponible",vlookup(A:A,Pagos!$B$5:$L91,2,false))</f>
        <v>1632</v>
      </c>
      <c r="C37" s="490" t="str">
        <f>IF(iserror(vlookup(A:A,Pagos!$B$5:$L91,3,false)),"Disponible",vlookup(A:A,Pagos!$B$5:$L91,3,false))</f>
        <v>ANGELINETTI, CARLOS</v>
      </c>
      <c r="D37" s="491">
        <f>IF(iserror(vlookup(A:A,Pagos!$B$5:$L91,4,false)),"Disponible",If(vlookup(A:A,Pagos!$B$5:$L91,5,false),vlookup(A:A,Pagos!$B$5:$L91,5,false),vlookup(A:A,Pagos!$B$5:$L91,4,false)))</f>
        <v>45870</v>
      </c>
      <c r="E37" s="492"/>
      <c r="F37" s="493" t="str">
        <f t="shared" si="1"/>
        <v/>
      </c>
      <c r="G37" s="493" t="b">
        <f>If(COUNTIF(Pagos!B:B,A37)&gt;1,true,false)</f>
        <v>0</v>
      </c>
    </row>
    <row r="38">
      <c r="A38" s="496" t="s">
        <v>4316</v>
      </c>
      <c r="B38" s="489">
        <f>IF(iserror(vlookup(A:A,Pagos!$B$5:$L91,2,false)),"Disponible",vlookup(A:A,Pagos!$B$5:$L91,2,false))</f>
        <v>1906</v>
      </c>
      <c r="C38" s="490" t="str">
        <f>IF(iserror(vlookup(A:A,Pagos!$B$5:$L91,3,false)),"Disponible",vlookup(A:A,Pagos!$B$5:$L91,3,false))</f>
        <v>VILLANUEVA, MARCELO</v>
      </c>
      <c r="D38" s="491">
        <f>IF(iserror(vlookup(A:A,Pagos!$B$5:$L91,4,false)),"Disponible",If(vlookup(A:A,Pagos!$B$5:$L91,5,false),vlookup(A:A,Pagos!$B$5:$L91,5,false),vlookup(A:A,Pagos!$B$5:$L91,4,false)))</f>
        <v>45839</v>
      </c>
      <c r="E38" s="492"/>
      <c r="F38" s="493" t="str">
        <f t="shared" si="1"/>
        <v/>
      </c>
      <c r="G38" s="493" t="b">
        <f>If(COUNTIF(Pagos!B:B,A38)&gt;1,true,false)</f>
        <v>0</v>
      </c>
    </row>
    <row r="39">
      <c r="A39" s="495" t="s">
        <v>189</v>
      </c>
      <c r="B39" s="489">
        <f>IF(iserror(vlookup(A:A,Pagos!$B$5:$L91,2,false)),"Disponible",vlookup(A:A,Pagos!$B$5:$L91,2,false))</f>
        <v>1635</v>
      </c>
      <c r="C39" s="490" t="str">
        <f>IF(iserror(vlookup(A:A,Pagos!$B$5:$L91,3,false)),"Disponible",vlookup(A:A,Pagos!$B$5:$L91,3,false))</f>
        <v>TORANZA, DANIEL</v>
      </c>
      <c r="D39" s="491">
        <f>IF(iserror(vlookup(A:A,Pagos!$B$5:$L91,4,false)),"Disponible",If(vlookup(A:A,Pagos!$B$5:$L91,5,false),vlookup(A:A,Pagos!$B$5:$L91,5,false),vlookup(A:A,Pagos!$B$5:$L91,4,false)))</f>
        <v>45839</v>
      </c>
      <c r="E39" s="492"/>
      <c r="F39" s="493" t="str">
        <f t="shared" si="1"/>
        <v/>
      </c>
      <c r="G39" s="493" t="b">
        <f>If(COUNTIF(Pagos!B:B,A39)&gt;1,true,false)</f>
        <v>0</v>
      </c>
    </row>
    <row r="40">
      <c r="A40" s="488" t="s">
        <v>4317</v>
      </c>
      <c r="B40" s="489">
        <f>IF(iserror(vlookup(A:A,Pagos!$B$5:$L91,2,false)),"Disponible",vlookup(A:A,Pagos!$B$5:$L91,2,false))</f>
        <v>2052</v>
      </c>
      <c r="C40" s="490" t="str">
        <f>IF(iserror(vlookup(A:A,Pagos!$B$5:$L91,3,false)),"Disponible",vlookup(A:A,Pagos!$B$5:$L91,3,false))</f>
        <v>BALLESTERO, BRENDA</v>
      </c>
      <c r="D40" s="491">
        <f>IF(iserror(vlookup(A:A,Pagos!$B$5:$L91,4,false)),"Disponible",If(vlookup(A:A,Pagos!$B$5:$L91,5,false),vlookup(A:A,Pagos!$B$5:$L91,5,false),vlookup(A:A,Pagos!$B$5:$L91,4,false)))</f>
        <v>45870</v>
      </c>
      <c r="E40" s="492"/>
      <c r="F40" s="493" t="str">
        <f t="shared" si="1"/>
        <v/>
      </c>
      <c r="G40" s="493" t="b">
        <f>If(COUNTIF(Pagos!B:B,A40)&gt;1,true,false)</f>
        <v>0</v>
      </c>
    </row>
    <row r="41">
      <c r="A41" s="495" t="s">
        <v>4318</v>
      </c>
      <c r="B41" s="489">
        <f>IF(iserror(vlookup(A:A,Pagos!$B$5:$L91,2,false)),"Disponible",vlookup(A:A,Pagos!$B$5:$L91,2,false))</f>
        <v>2240</v>
      </c>
      <c r="C41" s="490" t="str">
        <f>IF(iserror(vlookup(A:A,Pagos!$B$5:$L91,3,false)),"Disponible",vlookup(A:A,Pagos!$B$5:$L91,3,false))</f>
        <v>GARRITANO, MIGUEL ANGEL</v>
      </c>
      <c r="D41" s="491">
        <f>IF(iserror(vlookup(A:A,Pagos!$B$5:$L91,4,false)),"Disponible",If(vlookup(A:A,Pagos!$B$5:$L91,5,false),vlookup(A:A,Pagos!$B$5:$L91,5,false),vlookup(A:A,Pagos!$B$5:$L91,4,false)))</f>
        <v>45870</v>
      </c>
      <c r="E41" s="492"/>
      <c r="F41" s="493" t="str">
        <f t="shared" si="1"/>
        <v/>
      </c>
      <c r="G41" s="493" t="b">
        <f>If(COUNTIF(Pagos!B:B,A41)&gt;1,true,false)</f>
        <v>0</v>
      </c>
    </row>
    <row r="42">
      <c r="A42" s="495" t="s">
        <v>401</v>
      </c>
      <c r="B42" s="489">
        <f>IF(iserror(vlookup(A:A,Pagos!$B$5:$L91,2,false)),"Disponible",vlookup(A:A,Pagos!$B$5:$L91,2,false))</f>
        <v>2168</v>
      </c>
      <c r="C42" s="490" t="str">
        <f>IF(iserror(vlookup(A:A,Pagos!$B$5:$L91,3,false)),"Disponible",vlookup(A:A,Pagos!$B$5:$L91,3,false))</f>
        <v>PELLIZZARI, KARINA</v>
      </c>
      <c r="D42" s="491">
        <f>IF(iserror(vlookup(A:A,Pagos!$B$5:$L91,4,false)),"Disponible",If(vlookup(A:A,Pagos!$B$5:$L91,5,false),vlookup(A:A,Pagos!$B$5:$L91,5,false),vlookup(A:A,Pagos!$B$5:$L91,4,false)))</f>
        <v>45839</v>
      </c>
      <c r="E42" s="492"/>
      <c r="F42" s="493" t="str">
        <f t="shared" si="1"/>
        <v/>
      </c>
      <c r="G42" s="493" t="b">
        <f>If(COUNTIF(Pagos!B:B,A42)&gt;1,true,false)</f>
        <v>0</v>
      </c>
    </row>
    <row r="43">
      <c r="A43" s="495" t="s">
        <v>406</v>
      </c>
      <c r="B43" s="489">
        <f>IF(iserror(vlookup(A:A,Pagos!$B$5:$L91,2,false)),"Disponible",vlookup(A:A,Pagos!$B$5:$L91,2,false))</f>
        <v>2172</v>
      </c>
      <c r="C43" s="490" t="str">
        <f>IF(iserror(vlookup(A:A,Pagos!$B$5:$L91,3,false)),"Disponible",vlookup(A:A,Pagos!$B$5:$L91,3,false))</f>
        <v>CERDA, DIEGO</v>
      </c>
      <c r="D43" s="491">
        <f>IF(iserror(vlookup(A:A,Pagos!$B$5:$L91,4,false)),"Disponible",If(vlookup(A:A,Pagos!$B$5:$L91,5,false),vlookup(A:A,Pagos!$B$5:$L91,5,false),vlookup(A:A,Pagos!$B$5:$L91,4,false)))</f>
        <v>45870</v>
      </c>
      <c r="E43" s="492"/>
      <c r="F43" s="493" t="str">
        <f t="shared" si="1"/>
        <v/>
      </c>
      <c r="G43" s="493" t="b">
        <f>If(COUNTIF(Pagos!B:B,A43)&gt;1,true,false)</f>
        <v>0</v>
      </c>
    </row>
    <row r="44">
      <c r="A44" s="495" t="s">
        <v>348</v>
      </c>
      <c r="B44" s="489">
        <f>IF(iserror(vlookup(A:A,Pagos!$B$5:$L91,2,false)),"Disponible",vlookup(A:A,Pagos!$B$5:$L91,2,false))</f>
        <v>2053</v>
      </c>
      <c r="C44" s="490" t="str">
        <f>IF(iserror(vlookup(A:A,Pagos!$B$5:$L91,3,false)),"Disponible",vlookup(A:A,Pagos!$B$5:$L91,3,false))</f>
        <v>CEBALLOS, NICOLAS</v>
      </c>
      <c r="D44" s="491">
        <f>IF(iserror(vlookup(A:A,Pagos!$B$5:$L91,4,false)),"Disponible",If(vlookup(A:A,Pagos!$B$5:$L91,5,false),vlookup(A:A,Pagos!$B$5:$L91,5,false),vlookup(A:A,Pagos!$B$5:$L91,4,false)))</f>
        <v>45870</v>
      </c>
      <c r="E44" s="492"/>
      <c r="F44" s="493" t="str">
        <f t="shared" si="1"/>
        <v/>
      </c>
      <c r="G44" s="493" t="b">
        <f>If(COUNTIF(Pagos!B:B,A44)&gt;1,true,false)</f>
        <v>0</v>
      </c>
    </row>
    <row r="45">
      <c r="A45" s="488" t="s">
        <v>4319</v>
      </c>
      <c r="B45" s="489">
        <f>IF(iserror(vlookup(A:A,Pagos!$B$5:$L91,2,false)),"Disponible",vlookup(A:A,Pagos!$B$5:$L91,2,false))</f>
        <v>2338</v>
      </c>
      <c r="C45" s="490" t="str">
        <f>IF(iserror(vlookup(A:A,Pagos!$B$5:$L91,3,false)),"Disponible",vlookup(A:A,Pagos!$B$5:$L91,3,false))</f>
        <v>CABRAL, DANTE</v>
      </c>
      <c r="D45" s="491">
        <f>IF(iserror(vlookup(A:A,Pagos!$B$5:$L91,4,false)),"Disponible",If(vlookup(A:A,Pagos!$B$5:$L91,5,false),vlookup(A:A,Pagos!$B$5:$L91,5,false),vlookup(A:A,Pagos!$B$5:$L91,4,false)))</f>
        <v>45870</v>
      </c>
      <c r="E45" s="492"/>
      <c r="F45" s="493" t="str">
        <f t="shared" si="1"/>
        <v/>
      </c>
      <c r="G45" s="493" t="b">
        <f>If(COUNTIF(Pagos!B:B,A45)&gt;1,true,false)</f>
        <v>0</v>
      </c>
    </row>
    <row r="46">
      <c r="A46" s="495" t="s">
        <v>4320</v>
      </c>
      <c r="B46" s="489">
        <f>IF(iserror(vlookup(A:A,Pagos!$B$5:$L91,2,false)),"Disponible",vlookup(A:A,Pagos!$B$5:$L91,2,false))</f>
        <v>2338</v>
      </c>
      <c r="C46" s="490" t="str">
        <f>IF(iserror(vlookup(A:A,Pagos!$B$5:$L91,3,false)),"Disponible",vlookup(A:A,Pagos!$B$5:$L91,3,false))</f>
        <v>CABRAL, DANTE</v>
      </c>
      <c r="D46" s="491">
        <f>IF(iserror(vlookup(A:A,Pagos!$B$5:$L91,4,false)),"Disponible",If(vlookup(A:A,Pagos!$B$5:$L91,5,false),vlookup(A:A,Pagos!$B$5:$L91,5,false),vlookup(A:A,Pagos!$B$5:$L91,4,false)))</f>
        <v>45839</v>
      </c>
      <c r="E46" s="492"/>
      <c r="F46" s="493" t="str">
        <f t="shared" si="1"/>
        <v/>
      </c>
      <c r="G46" s="493" t="b">
        <f>If(COUNTIF(Pagos!B:B,A46)&gt;1,true,false)</f>
        <v>0</v>
      </c>
    </row>
    <row r="47">
      <c r="A47" s="495" t="s">
        <v>4321</v>
      </c>
      <c r="B47" s="489">
        <f>IF(iserror(vlookup(A:A,Pagos!$B$5:$L91,2,false)),"Disponible",vlookup(A:A,Pagos!$B$5:$L91,2,false))</f>
        <v>2339</v>
      </c>
      <c r="C47" s="490" t="str">
        <f>IF(iserror(vlookup(A:A,Pagos!$B$5:$L91,3,false)),"Disponible",vlookup(A:A,Pagos!$B$5:$L91,3,false))</f>
        <v>TORNO, LUCAS</v>
      </c>
      <c r="D47" s="491">
        <f>IF(iserror(vlookup(A:A,Pagos!$B$5:$L91,4,false)),"Disponible",If(vlookup(A:A,Pagos!$B$5:$L91,5,false),vlookup(A:A,Pagos!$B$5:$L91,5,false),vlookup(A:A,Pagos!$B$5:$L91,4,false)))</f>
        <v>45962</v>
      </c>
      <c r="E47" s="494"/>
      <c r="F47" s="493" t="str">
        <f t="shared" si="1"/>
        <v/>
      </c>
      <c r="G47" s="493" t="b">
        <f>If(COUNTIF(Pagos!B:B,A47)&gt;1,true,false)</f>
        <v>0</v>
      </c>
    </row>
    <row r="48">
      <c r="A48" s="495" t="s">
        <v>4322</v>
      </c>
      <c r="B48" s="489">
        <f>IF(iserror(vlookup(A:A,Pagos!$B$5:$L91,2,false)),"Disponible",vlookup(A:A,Pagos!$B$5:$L91,2,false))</f>
        <v>1777</v>
      </c>
      <c r="C48" s="490" t="str">
        <f>IF(iserror(vlookup(A:A,Pagos!$B$5:$L91,3,false)),"Disponible",vlookup(A:A,Pagos!$B$5:$L91,3,false))</f>
        <v>SILVA, MA. FLORENCIA</v>
      </c>
      <c r="D48" s="491">
        <f>IF(iserror(vlookup(A:A,Pagos!$B$5:$L91,4,false)),"Disponible",If(vlookup(A:A,Pagos!$B$5:$L91,5,false),vlookup(A:A,Pagos!$B$5:$L91,5,false),vlookup(A:A,Pagos!$B$5:$L91,4,false)))</f>
        <v>45870</v>
      </c>
      <c r="E48" s="492"/>
      <c r="F48" s="493" t="str">
        <f t="shared" si="1"/>
        <v/>
      </c>
      <c r="G48" s="493" t="b">
        <f>If(COUNTIF(Pagos!B:B,A48)&gt;1,true,false)</f>
        <v>0</v>
      </c>
    </row>
    <row r="49">
      <c r="A49" s="495" t="s">
        <v>409</v>
      </c>
      <c r="B49" s="489">
        <f>IF(iserror(vlookup(A:A,Pagos!$B$5:$L91,2,false)),"Disponible",vlookup(A:A,Pagos!$B$5:$L91,2,false))</f>
        <v>2176</v>
      </c>
      <c r="C49" s="490" t="str">
        <f>IF(iserror(vlookup(A:A,Pagos!$B$5:$L91,3,false)),"Disponible",vlookup(A:A,Pagos!$B$5:$L91,3,false))</f>
        <v>BASUALDO, MIGUEL ANGEL</v>
      </c>
      <c r="D49" s="491">
        <f>IF(iserror(vlookup(A:A,Pagos!$B$5:$L91,4,false)),"Disponible",If(vlookup(A:A,Pagos!$B$5:$L91,5,false),vlookup(A:A,Pagos!$B$5:$L91,5,false),vlookup(A:A,Pagos!$B$5:$L91,4,false)))</f>
        <v>45839</v>
      </c>
      <c r="E49" s="492"/>
      <c r="F49" s="493" t="str">
        <f t="shared" si="1"/>
        <v/>
      </c>
      <c r="G49" s="493" t="b">
        <f>If(COUNTIF(Pagos!B:B,A49)&gt;1,true,false)</f>
        <v>0</v>
      </c>
    </row>
    <row r="50">
      <c r="A50" s="495" t="s">
        <v>4323</v>
      </c>
      <c r="B50" s="489">
        <f>IF(iserror(vlookup(A:A,Pagos!$B$5:$L91,2,false)),"Disponible",vlookup(A:A,Pagos!$B$5:$L91,2,false))</f>
        <v>1649</v>
      </c>
      <c r="C50" s="490" t="str">
        <f>IF(iserror(vlookup(A:A,Pagos!$B$5:$L91,3,false)),"Disponible",vlookup(A:A,Pagos!$B$5:$L91,3,false))</f>
        <v>DEL PERO, ROBERTO</v>
      </c>
      <c r="D50" s="491">
        <f>IF(iserror(vlookup(A:A,Pagos!$B$5:$L91,4,false)),"Disponible",If(vlookup(A:A,Pagos!$B$5:$L91,5,false),vlookup(A:A,Pagos!$B$5:$L91,5,false),vlookup(A:A,Pagos!$B$5:$L91,4,false)))</f>
        <v>45901</v>
      </c>
      <c r="E50" s="492"/>
      <c r="F50" s="493" t="str">
        <f t="shared" si="1"/>
        <v/>
      </c>
      <c r="G50" s="493" t="b">
        <f>If(COUNTIF(Pagos!B:B,A50)&gt;1,true,false)</f>
        <v>0</v>
      </c>
    </row>
    <row r="51">
      <c r="A51" s="495" t="s">
        <v>157</v>
      </c>
      <c r="B51" s="489">
        <f>IF(iserror(vlookup(A:A,Pagos!$B$5:$L91,2,false)),"Disponible",vlookup(A:A,Pagos!$B$5:$L91,2,false))</f>
        <v>1552</v>
      </c>
      <c r="C51" s="490" t="str">
        <f>IF(iserror(vlookup(A:A,Pagos!$B$5:$L91,3,false)),"Disponible",vlookup(A:A,Pagos!$B$5:$L91,3,false))</f>
        <v>MARKARIAN, DANIEL</v>
      </c>
      <c r="D51" s="491">
        <f>IF(iserror(vlookup(A:A,Pagos!$B$5:$L91,4,false)),"Disponible",If(vlookup(A:A,Pagos!$B$5:$L91,5,false),vlookup(A:A,Pagos!$B$5:$L91,5,false),vlookup(A:A,Pagos!$B$5:$L91,4,false)))</f>
        <v>45870</v>
      </c>
      <c r="E51" s="492"/>
      <c r="F51" s="493" t="str">
        <f t="shared" si="1"/>
        <v/>
      </c>
      <c r="G51" s="493" t="b">
        <f>If(COUNTIF(Pagos!B:B,A51)&gt;1,true,false)</f>
        <v>0</v>
      </c>
    </row>
    <row r="52">
      <c r="A52" s="495" t="s">
        <v>4324</v>
      </c>
      <c r="B52" s="489">
        <f>IF(iserror(vlookup(A:A,Pagos!$B$5:$L91,2,false)),"Disponible",vlookup(A:A,Pagos!$B$5:$L91,2,false))</f>
        <v>2375</v>
      </c>
      <c r="C52" s="490" t="str">
        <f>IF(iserror(vlookup(A:A,Pagos!$B$5:$L91,3,false)),"Disponible",vlookup(A:A,Pagos!$B$5:$L91,3,false))</f>
        <v>MOORE CASTELLI, MARTIN</v>
      </c>
      <c r="D52" s="491">
        <f>IF(iserror(vlookup(A:A,Pagos!$B$5:$L91,4,false)),"Disponible",If(vlookup(A:A,Pagos!$B$5:$L91,5,false),vlookup(A:A,Pagos!$B$5:$L91,5,false),vlookup(A:A,Pagos!$B$5:$L91,4,false)))</f>
        <v>45870</v>
      </c>
      <c r="E52" s="492"/>
      <c r="F52" s="493" t="str">
        <f t="shared" si="1"/>
        <v/>
      </c>
      <c r="G52" s="493" t="b">
        <f>If(COUNTIF(Pagos!B:B,A52)&gt;1,true,false)</f>
        <v>0</v>
      </c>
    </row>
    <row r="53">
      <c r="A53" s="495" t="s">
        <v>4325</v>
      </c>
      <c r="B53" s="489">
        <f>IF(iserror(vlookup(A:A,Pagos!$B$5:$L91,2,false)),"Disponible",vlookup(A:A,Pagos!$B$5:$L91,2,false))</f>
        <v>2312</v>
      </c>
      <c r="C53" s="490" t="str">
        <f>IF(iserror(vlookup(A:A,Pagos!$B$5:$L91,3,false)),"Disponible",vlookup(A:A,Pagos!$B$5:$L91,3,false))</f>
        <v>OTERO,  MARINA LAURA</v>
      </c>
      <c r="D53" s="491">
        <f>IF(iserror(vlookup(A:A,Pagos!$B$5:$L91,4,false)),"Disponible",If(vlookup(A:A,Pagos!$B$5:$L91,5,false),vlookup(A:A,Pagos!$B$5:$L91,5,false),vlookup(A:A,Pagos!$B$5:$L91,4,false)))</f>
        <v>45839</v>
      </c>
      <c r="E53" s="494"/>
      <c r="F53" s="493" t="str">
        <f t="shared" si="1"/>
        <v/>
      </c>
      <c r="G53" s="493" t="b">
        <f>If(COUNTIF(Pagos!B:B,A53)&gt;1,true,false)</f>
        <v>0</v>
      </c>
    </row>
    <row r="54">
      <c r="A54" s="495" t="s">
        <v>212</v>
      </c>
      <c r="B54" s="489">
        <f>IF(iserror(vlookup(A:A,Pagos!$B$5:$L91,2,false)),"Disponible",vlookup(A:A,Pagos!$B$5:$L91,2,false))</f>
        <v>1694</v>
      </c>
      <c r="C54" s="490" t="str">
        <f>IF(iserror(vlookup(A:A,Pagos!$B$5:$L91,3,false)),"Disponible",vlookup(A:A,Pagos!$B$5:$L91,3,false))</f>
        <v>GOMEZ, JORGE</v>
      </c>
      <c r="D54" s="491">
        <f>IF(iserror(vlookup(A:A,Pagos!$B$5:$L91,4,false)),"Disponible",If(vlookup(A:A,Pagos!$B$5:$L91,5,false),vlookup(A:A,Pagos!$B$5:$L91,5,false),vlookup(A:A,Pagos!$B$5:$L91,4,false)))</f>
        <v>45870</v>
      </c>
      <c r="E54" s="492"/>
      <c r="F54" s="493" t="str">
        <f t="shared" si="1"/>
        <v/>
      </c>
      <c r="G54" s="493" t="b">
        <f>If(COUNTIF(Pagos!B:B,A54)&gt;1,true,false)</f>
        <v>0</v>
      </c>
    </row>
    <row r="55">
      <c r="A55" s="495" t="s">
        <v>114</v>
      </c>
      <c r="B55" s="489">
        <f>IF(iserror(vlookup(A:A,Pagos!$B$5:$L91,2,false)),"Disponible",vlookup(A:A,Pagos!$B$5:$L91,2,false))</f>
        <v>1293</v>
      </c>
      <c r="C55" s="490" t="str">
        <f>IF(iserror(vlookup(A:A,Pagos!$B$5:$L91,3,false)),"Disponible",vlookup(A:A,Pagos!$B$5:$L91,3,false))</f>
        <v>PARDO, AUGUSTO</v>
      </c>
      <c r="D55" s="491">
        <f>IF(iserror(vlookup(A:A,Pagos!$B$5:$L91,4,false)),"Disponible",If(vlookup(A:A,Pagos!$B$5:$L91,5,false),vlookup(A:A,Pagos!$B$5:$L91,5,false),vlookup(A:A,Pagos!$B$5:$L91,4,false)))</f>
        <v>45870</v>
      </c>
      <c r="E55" s="492"/>
      <c r="F55" s="493" t="str">
        <f t="shared" si="1"/>
        <v/>
      </c>
      <c r="G55" s="493" t="b">
        <f>If(COUNTIF(Pagos!B:B,A55)&gt;1,true,false)</f>
        <v>0</v>
      </c>
    </row>
    <row r="56">
      <c r="A56" s="495" t="s">
        <v>4326</v>
      </c>
      <c r="B56" s="489">
        <f>IF(iserror(vlookup(A:A,Pagos!$B$5:$L91,2,false)),"Disponible",vlookup(A:A,Pagos!$B$5:$L91,2,false))</f>
        <v>1930</v>
      </c>
      <c r="C56" s="490" t="str">
        <f>IF(iserror(vlookup(A:A,Pagos!$B$5:$L91,3,false)),"Disponible",vlookup(A:A,Pagos!$B$5:$L91,3,false))</f>
        <v>MARIN, SEBASTIAN</v>
      </c>
      <c r="D56" s="491">
        <f>IF(iserror(vlookup(A:A,Pagos!$B$5:$L91,4,false)),"Disponible",If(vlookup(A:A,Pagos!$B$5:$L91,5,false),vlookup(A:A,Pagos!$B$5:$L91,5,false),vlookup(A:A,Pagos!$B$5:$L91,4,false)))</f>
        <v>45870</v>
      </c>
      <c r="E56" s="492"/>
      <c r="F56" s="493" t="str">
        <f t="shared" si="1"/>
        <v/>
      </c>
      <c r="G56" s="493" t="b">
        <f>If(COUNTIF(Pagos!B:B,A56)&gt;1,true,false)</f>
        <v>0</v>
      </c>
    </row>
    <row r="57">
      <c r="A57" s="495" t="s">
        <v>462</v>
      </c>
      <c r="B57" s="489">
        <f>IF(iserror(vlookup(A:A,Pagos!$B$5:$L91,2,false)),"Disponible",vlookup(A:A,Pagos!$B$5:$L91,2,false))</f>
        <v>2299</v>
      </c>
      <c r="C57" s="490" t="str">
        <f>IF(iserror(vlookup(A:A,Pagos!$B$5:$L91,3,false)),"Disponible",vlookup(A:A,Pagos!$B$5:$L91,3,false))</f>
        <v>CANCELA, JONATAN</v>
      </c>
      <c r="D57" s="491">
        <f>IF(iserror(vlookup(A:A,Pagos!$B$5:$L91,4,false)),"Disponible",If(vlookup(A:A,Pagos!$B$5:$L91,5,false),vlookup(A:A,Pagos!$B$5:$L91,5,false),vlookup(A:A,Pagos!$B$5:$L91,4,false)))</f>
        <v>45870</v>
      </c>
      <c r="E57" s="492"/>
      <c r="F57" s="493" t="str">
        <f t="shared" si="1"/>
        <v/>
      </c>
      <c r="G57" s="493" t="b">
        <f>If(COUNTIF(Pagos!B:B,A57)&gt;1,true,false)</f>
        <v>0</v>
      </c>
    </row>
    <row r="58">
      <c r="A58" s="495" t="s">
        <v>4327</v>
      </c>
      <c r="B58" s="489">
        <f>IF(iserror(vlookup(A:A,Pagos!$B$5:$L91,2,false)),"Disponible",vlookup(A:A,Pagos!$B$5:$L91,2,false))</f>
        <v>1863</v>
      </c>
      <c r="C58" s="490" t="str">
        <f>IF(iserror(vlookup(A:A,Pagos!$B$5:$L91,3,false)),"Disponible",vlookup(A:A,Pagos!$B$5:$L91,3,false))</f>
        <v>QUINTEROS, MARIO</v>
      </c>
      <c r="D58" s="491">
        <f>IF(iserror(vlookup(A:A,Pagos!$B$5:$L91,4,false)),"Disponible",If(vlookup(A:A,Pagos!$B$5:$L91,5,false),vlookup(A:A,Pagos!$B$5:$L91,5,false),vlookup(A:A,Pagos!$B$5:$L91,4,false)))</f>
        <v>45870</v>
      </c>
      <c r="E58" s="492"/>
      <c r="F58" s="493" t="str">
        <f t="shared" si="1"/>
        <v/>
      </c>
      <c r="G58" s="493" t="b">
        <f>If(COUNTIF(Pagos!B:B,A58)&gt;1,true,false)</f>
        <v>0</v>
      </c>
    </row>
    <row r="59">
      <c r="A59" s="495" t="s">
        <v>455</v>
      </c>
      <c r="B59" s="489">
        <f>IF(iserror(vlookup(A:A,Pagos!$B$5:$L91,2,false)),"Disponible",vlookup(A:A,Pagos!$B$5:$L91,2,false))</f>
        <v>2287</v>
      </c>
      <c r="C59" s="490" t="str">
        <f>IF(iserror(vlookup(A:A,Pagos!$B$5:$L91,3,false)),"Disponible",vlookup(A:A,Pagos!$B$5:$L91,3,false))</f>
        <v>LUISI, GASTON</v>
      </c>
      <c r="D59" s="491">
        <f>IF(iserror(vlookup(A:A,Pagos!$B$5:$L91,4,false)),"Disponible",If(vlookup(A:A,Pagos!$B$5:$L91,5,false),vlookup(A:A,Pagos!$B$5:$L91,5,false),vlookup(A:A,Pagos!$B$5:$L91,4,false)))</f>
        <v>45839</v>
      </c>
      <c r="E59" s="492"/>
      <c r="F59" s="493" t="str">
        <f t="shared" si="1"/>
        <v/>
      </c>
      <c r="G59" s="493" t="b">
        <f>If(COUNTIF(Pagos!B:B,A59)&gt;1,true,false)</f>
        <v>0</v>
      </c>
    </row>
    <row r="60">
      <c r="A60" s="495" t="s">
        <v>4328</v>
      </c>
      <c r="B60" s="489">
        <f>IF(iserror(vlookup(A:A,Pagos!$B$5:$L91,2,false)),"Disponible",vlookup(A:A,Pagos!$B$5:$L91,2,false))</f>
        <v>1863</v>
      </c>
      <c r="C60" s="490" t="str">
        <f>IF(iserror(vlookup(A:A,Pagos!$B$5:$L91,3,false)),"Disponible",vlookup(A:A,Pagos!$B$5:$L91,3,false))</f>
        <v>QUINTEROS, MARIO</v>
      </c>
      <c r="D60" s="491">
        <f>IF(iserror(vlookup(A:A,Pagos!$B$5:$L91,4,false)),"Disponible",If(vlookup(A:A,Pagos!$B$5:$L91,5,false),vlookup(A:A,Pagos!$B$5:$L91,5,false),vlookup(A:A,Pagos!$B$5:$L91,4,false)))</f>
        <v>45870</v>
      </c>
      <c r="E60" s="492"/>
      <c r="F60" s="493" t="str">
        <f t="shared" si="1"/>
        <v/>
      </c>
      <c r="G60" s="493" t="b">
        <f>If(COUNTIF(Pagos!B:B,A60)&gt;1,true,false)</f>
        <v>0</v>
      </c>
    </row>
    <row r="61">
      <c r="A61" s="495" t="s">
        <v>193</v>
      </c>
      <c r="B61" s="489">
        <f>IF(iserror(vlookup(A:A,Pagos!$B$5:$L91,2,false)),"Disponible",vlookup(A:A,Pagos!$B$5:$L91,2,false))</f>
        <v>1640</v>
      </c>
      <c r="C61" s="490" t="str">
        <f>IF(iserror(vlookup(A:A,Pagos!$B$5:$L91,3,false)),"Disponible",vlookup(A:A,Pagos!$B$5:$L91,3,false))</f>
        <v>COBEÑAS, CARLOS</v>
      </c>
      <c r="D61" s="491">
        <f>IF(iserror(vlookup(A:A,Pagos!$B$5:$L91,4,false)),"Disponible",If(vlookup(A:A,Pagos!$B$5:$L91,5,false),vlookup(A:A,Pagos!$B$5:$L91,5,false),vlookup(A:A,Pagos!$B$5:$L91,4,false)))</f>
        <v>45839</v>
      </c>
      <c r="E61" s="492"/>
      <c r="F61" s="493" t="str">
        <f t="shared" si="1"/>
        <v/>
      </c>
      <c r="G61" s="493" t="b">
        <f>If(COUNTIF(Pagos!B:B,A61)&gt;1,true,false)</f>
        <v>0</v>
      </c>
    </row>
    <row r="62">
      <c r="A62" s="495" t="s">
        <v>4329</v>
      </c>
      <c r="B62" s="489">
        <f>IF(iserror(vlookup(A:A,Pagos!$B$5:$L91,2,false)),"Disponible",vlookup(A:A,Pagos!$B$5:$L91,2,false))</f>
        <v>1946</v>
      </c>
      <c r="C62" s="490" t="str">
        <f>IF(iserror(vlookup(A:A,Pagos!$B$5:$L91,3,false)),"Disponible",vlookup(A:A,Pagos!$B$5:$L91,3,false))</f>
        <v>BOMBELLI, JUAN IGNACIO</v>
      </c>
      <c r="D62" s="491">
        <f>IF(iserror(vlookup(A:A,Pagos!$B$5:$L91,4,false)),"Disponible",If(vlookup(A:A,Pagos!$B$5:$L91,5,false),vlookup(A:A,Pagos!$B$5:$L91,5,false),vlookup(A:A,Pagos!$B$5:$L91,4,false)))</f>
        <v>45870</v>
      </c>
      <c r="E62" s="492"/>
      <c r="F62" s="493" t="str">
        <f t="shared" si="1"/>
        <v/>
      </c>
      <c r="G62" s="493" t="b">
        <f>If(COUNTIF(Pagos!B:B,A62)&gt;1,true,false)</f>
        <v>0</v>
      </c>
    </row>
    <row r="63">
      <c r="A63" s="495" t="s">
        <v>4330</v>
      </c>
      <c r="B63" s="489">
        <f>IF(iserror(vlookup(A:A,Pagos!$B$5:$L91,2,false)),"Disponible",vlookup(A:A,Pagos!$B$5:$L91,2,false))</f>
        <v>2319</v>
      </c>
      <c r="C63" s="490" t="str">
        <f>IF(iserror(vlookup(A:A,Pagos!$B$5:$L91,3,false)),"Disponible",vlookup(A:A,Pagos!$B$5:$L91,3,false))</f>
        <v>GALCERAN, VIRGINIA EDITH</v>
      </c>
      <c r="D63" s="491">
        <f>IF(iserror(vlookup(A:A,Pagos!$B$5:$L91,4,false)),"Disponible",If(vlookup(A:A,Pagos!$B$5:$L91,5,false),vlookup(A:A,Pagos!$B$5:$L91,5,false),vlookup(A:A,Pagos!$B$5:$L91,4,false)))</f>
        <v>45870</v>
      </c>
      <c r="E63" s="492"/>
      <c r="F63" s="493" t="str">
        <f t="shared" si="1"/>
        <v/>
      </c>
      <c r="G63" s="493" t="b">
        <f>If(COUNTIF(Pagos!B:B,A63)&gt;1,true,false)</f>
        <v>0</v>
      </c>
    </row>
    <row r="64">
      <c r="A64" s="495" t="s">
        <v>457</v>
      </c>
      <c r="B64" s="489">
        <f>IF(iserror(vlookup(A:A,Pagos!$B$5:$L91,2,false)),"Disponible",vlookup(A:A,Pagos!$B$5:$L91,2,false))</f>
        <v>2291</v>
      </c>
      <c r="C64" s="490" t="str">
        <f>IF(iserror(vlookup(A:A,Pagos!$B$5:$L91,3,false)),"Disponible",vlookup(A:A,Pagos!$B$5:$L91,3,false))</f>
        <v>MARTINEZ, VALERIA SOLEDAD</v>
      </c>
      <c r="D64" s="491">
        <f>IF(iserror(vlookup(A:A,Pagos!$B$5:$L91,4,false)),"Disponible",If(vlookup(A:A,Pagos!$B$5:$L91,5,false),vlookup(A:A,Pagos!$B$5:$L91,5,false),vlookup(A:A,Pagos!$B$5:$L91,4,false)))</f>
        <v>45870</v>
      </c>
      <c r="E64" s="492"/>
      <c r="F64" s="493" t="str">
        <f t="shared" si="1"/>
        <v/>
      </c>
      <c r="G64" s="493" t="b">
        <f>If(COUNTIF(Pagos!B:B,A64)&gt;1,true,false)</f>
        <v>0</v>
      </c>
    </row>
    <row r="65" ht="13.5" customHeight="1">
      <c r="A65" s="495" t="s">
        <v>139</v>
      </c>
      <c r="B65" s="489">
        <f>IF(iserror(vlookup(A:A,Pagos!$B$5:$L91,2,false)),"Disponible",vlookup(A:A,Pagos!$B$5:$L91,2,false))</f>
        <v>1460</v>
      </c>
      <c r="C65" s="490" t="str">
        <f>IF(iserror(vlookup(A:A,Pagos!$B$5:$L91,3,false)),"Disponible",vlookup(A:A,Pagos!$B$5:$L91,3,false))</f>
        <v>BILOS, CLAUDIO</v>
      </c>
      <c r="D65" s="491">
        <f>IF(iserror(vlookup(A:A,Pagos!$B$5:$L91,4,false)),"Disponible",If(vlookup(A:A,Pagos!$B$5:$L91,5,false),vlookup(A:A,Pagos!$B$5:$L91,5,false),vlookup(A:A,Pagos!$B$5:$L91,4,false)))</f>
        <v>45870</v>
      </c>
      <c r="E65" s="492"/>
      <c r="F65" s="493" t="str">
        <f t="shared" si="1"/>
        <v/>
      </c>
      <c r="G65" s="493" t="b">
        <f>If(COUNTIF(Pagos!B:B,A65)&gt;1,true,false)</f>
        <v>0</v>
      </c>
    </row>
    <row r="66" ht="13.5" customHeight="1">
      <c r="A66" s="495" t="s">
        <v>4331</v>
      </c>
      <c r="B66" s="489">
        <f>IF(iserror(vlookup(A:A,Pagos!$B$5:$L91,2,false)),"Disponible",vlookup(A:A,Pagos!$B$5:$L91,2,false))</f>
        <v>2055</v>
      </c>
      <c r="C66" s="490" t="str">
        <f>IF(iserror(vlookup(A:A,Pagos!$B$5:$L91,3,false)),"Disponible",vlookup(A:A,Pagos!$B$5:$L91,3,false))</f>
        <v>TORRANO, PATRICIA</v>
      </c>
      <c r="D66" s="491">
        <f>IF(iserror(vlookup(A:A,Pagos!$B$5:$L91,4,false)),"Disponible",If(vlookup(A:A,Pagos!$B$5:$L91,5,false),vlookup(A:A,Pagos!$B$5:$L91,5,false),vlookup(A:A,Pagos!$B$5:$L91,4,false)))</f>
        <v>45870</v>
      </c>
      <c r="E66" s="492"/>
      <c r="F66" s="493" t="str">
        <f t="shared" si="1"/>
        <v/>
      </c>
      <c r="G66" s="493" t="b">
        <f>If(COUNTIF(Pagos!B:B,A66)&gt;1,true,false)</f>
        <v>0</v>
      </c>
    </row>
    <row r="67" ht="13.5" customHeight="1">
      <c r="A67" s="495" t="s">
        <v>422</v>
      </c>
      <c r="B67" s="489">
        <f>IF(iserror(vlookup(A:A,Pagos!$B$5:$L91,2,false)),"Disponible",vlookup(A:A,Pagos!$B$5:$L91,2,false))</f>
        <v>2211</v>
      </c>
      <c r="C67" s="490" t="str">
        <f>IF(iserror(vlookup(A:A,Pagos!$B$5:$L91,3,false)),"Disponible",vlookup(A:A,Pagos!$B$5:$L91,3,false))</f>
        <v>COLLENZ, JUSTINA</v>
      </c>
      <c r="D67" s="491">
        <f>IF(iserror(vlookup(A:A,Pagos!$B$5:$L91,4,false)),"Disponible",If(vlookup(A:A,Pagos!$B$5:$L91,5,false),vlookup(A:A,Pagos!$B$5:$L91,5,false),vlookup(A:A,Pagos!$B$5:$L91,4,false)))</f>
        <v>45870</v>
      </c>
      <c r="E67" s="497"/>
      <c r="F67" s="493" t="str">
        <f t="shared" si="1"/>
        <v/>
      </c>
      <c r="G67" s="493" t="b">
        <f>If(COUNTIF(Pagos!B:B,A67)&gt;1,true,false)</f>
        <v>0</v>
      </c>
    </row>
    <row r="68" ht="13.5" customHeight="1">
      <c r="A68" s="495" t="s">
        <v>4332</v>
      </c>
      <c r="B68" s="489">
        <f>IF(iserror(vlookup(A:A,Pagos!$B$5:$L91,2,false)),"Disponible",vlookup(A:A,Pagos!$B$5:$L91,2,false))</f>
        <v>1763</v>
      </c>
      <c r="C68" s="490" t="str">
        <f>IF(iserror(vlookup(A:A,Pagos!$B$5:$L91,3,false)),"Disponible",vlookup(A:A,Pagos!$B$5:$L91,3,false))</f>
        <v>BRACCIALE, ADRIAN</v>
      </c>
      <c r="D68" s="491">
        <f>IF(iserror(vlookup(A:A,Pagos!$B$5:$L91,4,false)),"Disponible",If(vlookup(A:A,Pagos!$B$5:$L91,5,false),vlookup(A:A,Pagos!$B$5:$L91,5,false),vlookup(A:A,Pagos!$B$5:$L91,4,false)))</f>
        <v>45839</v>
      </c>
      <c r="E68" s="494"/>
      <c r="F68" s="493" t="str">
        <f t="shared" si="1"/>
        <v/>
      </c>
      <c r="G68" s="493" t="b">
        <f>If(COUNTIF(Pagos!B:B,A68)&gt;1,true,false)</f>
        <v>0</v>
      </c>
    </row>
    <row r="69" ht="13.5" customHeight="1">
      <c r="A69" s="496" t="s">
        <v>4333</v>
      </c>
      <c r="B69" s="489">
        <f>IF(iserror(vlookup(A:A,Pagos!$B$5:$L91,2,false)),"Disponible",vlookup(A:A,Pagos!$B$5:$L91,2,false))</f>
        <v>2276</v>
      </c>
      <c r="C69" s="490" t="str">
        <f>IF(iserror(vlookup(A:A,Pagos!$B$5:$L91,3,false)),"Disponible",vlookup(A:A,Pagos!$B$5:$L91,3,false))</f>
        <v>PACOTTI, CAROLINA</v>
      </c>
      <c r="D69" s="491">
        <f>IF(iserror(vlookup(A:A,Pagos!$B$5:$L91,4,false)),"Disponible",If(vlookup(A:A,Pagos!$B$5:$L91,5,false),vlookup(A:A,Pagos!$B$5:$L91,5,false),vlookup(A:A,Pagos!$B$5:$L91,4,false)))</f>
        <v>45870</v>
      </c>
      <c r="E69" s="497"/>
      <c r="F69" s="493" t="str">
        <f t="shared" si="1"/>
        <v/>
      </c>
      <c r="G69" s="493" t="b">
        <f>If(COUNTIF(Pagos!B:B,A69)&gt;1,true,false)</f>
        <v>0</v>
      </c>
    </row>
    <row r="70" ht="13.5" customHeight="1">
      <c r="A70" s="496" t="s">
        <v>4334</v>
      </c>
      <c r="B70" s="489">
        <f>IF(iserror(vlookup(A:A,Pagos!$B$5:$L91,2,false)),"Disponible",vlookup(A:A,Pagos!$B$5:$L91,2,false))</f>
        <v>2081</v>
      </c>
      <c r="C70" s="490" t="str">
        <f>IF(iserror(vlookup(A:A,Pagos!$B$5:$L91,3,false)),"Disponible",vlookup(A:A,Pagos!$B$5:$L91,3,false))</f>
        <v>STEFANOFF, MA. EUGENIA</v>
      </c>
      <c r="D70" s="491">
        <f>IF(iserror(vlookup(A:A,Pagos!$B$5:$L91,4,false)),"Disponible",If(vlookup(A:A,Pagos!$B$5:$L91,5,false),vlookup(A:A,Pagos!$B$5:$L91,5,false),vlookup(A:A,Pagos!$B$5:$L91,4,false)))</f>
        <v>45870</v>
      </c>
      <c r="E70" s="497"/>
      <c r="F70" s="493" t="str">
        <f t="shared" si="1"/>
        <v/>
      </c>
      <c r="G70" s="493" t="b">
        <f>If(COUNTIF(Pagos!B:B,A70)&gt;1,true,false)</f>
        <v>0</v>
      </c>
    </row>
    <row r="71" ht="13.5" customHeight="1">
      <c r="A71" s="496" t="s">
        <v>4335</v>
      </c>
      <c r="B71" s="489">
        <f>IF(iserror(vlookup(A:A,Pagos!$B$5:$L91,2,false)),"Disponible",vlookup(A:A,Pagos!$B$5:$L91,2,false))</f>
        <v>1767</v>
      </c>
      <c r="C71" s="490" t="str">
        <f>IF(iserror(vlookup(A:A,Pagos!$B$5:$L91,3,false)),"Disponible",vlookup(A:A,Pagos!$B$5:$L91,3,false))</f>
        <v>MONZA, ALEJANDRO</v>
      </c>
      <c r="D71" s="491">
        <f>IF(iserror(vlookup(A:A,Pagos!$B$5:$L91,4,false)),"Disponible",If(vlookup(A:A,Pagos!$B$5:$L91,5,false),vlookup(A:A,Pagos!$B$5:$L91,5,false),vlookup(A:A,Pagos!$B$5:$L91,4,false)))</f>
        <v>45870</v>
      </c>
      <c r="E71" s="497"/>
      <c r="F71" s="493" t="str">
        <f t="shared" si="1"/>
        <v/>
      </c>
      <c r="G71" s="493" t="b">
        <f>If(COUNTIF(Pagos!B:B,A71)&gt;1,true,false)</f>
        <v>0</v>
      </c>
    </row>
    <row r="72">
      <c r="A72" s="496" t="s">
        <v>4336</v>
      </c>
      <c r="B72" s="489">
        <f>IF(iserror(vlookup(A:A,Pagos!$B$5:$L91,2,false)),"Disponible",vlookup(A:A,Pagos!$B$5:$L91,2,false))</f>
        <v>1643</v>
      </c>
      <c r="C72" s="490" t="str">
        <f>IF(iserror(vlookup(A:A,Pagos!$B$5:$L91,3,false)),"Disponible",vlookup(A:A,Pagos!$B$5:$L91,3,false))</f>
        <v>Archipretre, Maria</v>
      </c>
      <c r="D72" s="491">
        <f>IF(iserror(vlookup(A:A,Pagos!$B$5:$L91,4,false)),"Disponible",If(vlookup(A:A,Pagos!$B$5:$L91,5,false),vlookup(A:A,Pagos!$B$5:$L91,5,false),vlookup(A:A,Pagos!$B$5:$L91,4,false)))</f>
        <v>45870</v>
      </c>
      <c r="E72" s="494"/>
      <c r="F72" s="493" t="str">
        <f t="shared" si="1"/>
        <v/>
      </c>
      <c r="G72" s="493" t="b">
        <f>If(COUNTIF(Pagos!B:B,A72)&gt;1,true,false)</f>
        <v>0</v>
      </c>
    </row>
    <row r="73">
      <c r="A73" s="496" t="s">
        <v>4337</v>
      </c>
      <c r="B73" s="489">
        <f>IF(iserror(vlookup(A:A,Pagos!$B$5:$L91,2,false)),"Disponible",vlookup(A:A,Pagos!$B$5:$L91,2,false))</f>
        <v>1643</v>
      </c>
      <c r="C73" s="490" t="str">
        <f>IF(iserror(vlookup(A:A,Pagos!$B$5:$L91,3,false)),"Disponible",vlookup(A:A,Pagos!$B$5:$L91,3,false))</f>
        <v>Archipretre, Maria</v>
      </c>
      <c r="D73" s="491">
        <f>IF(iserror(vlookup(A:A,Pagos!$B$5:$L91,4,false)),"Disponible",If(vlookup(A:A,Pagos!$B$5:$L91,5,false),vlookup(A:A,Pagos!$B$5:$L91,5,false),vlookup(A:A,Pagos!$B$5:$L91,4,false)))</f>
        <v>45870</v>
      </c>
      <c r="E73" s="494"/>
      <c r="F73" s="493" t="str">
        <f t="shared" si="1"/>
        <v/>
      </c>
      <c r="G73" s="493" t="b">
        <f>If(COUNTIF(Pagos!B:B,A73)&gt;1,true,false)</f>
        <v>0</v>
      </c>
    </row>
    <row r="74">
      <c r="A74" s="496" t="s">
        <v>196</v>
      </c>
      <c r="B74" s="489">
        <f>IF(iserror(vlookup(A:A,Pagos!$B$5:$L91,2,false)),"Disponible",vlookup(A:A,Pagos!$B$5:$L91,2,false))</f>
        <v>1643</v>
      </c>
      <c r="C74" s="490" t="str">
        <f>IF(iserror(vlookup(A:A,Pagos!$B$5:$L91,3,false)),"Disponible",vlookup(A:A,Pagos!$B$5:$L91,3,false))</f>
        <v>Archipretre, Maria</v>
      </c>
      <c r="D74" s="491">
        <f>IF(iserror(vlookup(A:A,Pagos!$B$5:$L91,4,false)),"Disponible",If(vlookup(A:A,Pagos!$B$5:$L91,5,false),vlookup(A:A,Pagos!$B$5:$L91,5,false),vlookup(A:A,Pagos!$B$5:$L91,4,false)))</f>
        <v>45870</v>
      </c>
      <c r="E74" s="492"/>
      <c r="F74" s="493" t="str">
        <f t="shared" si="1"/>
        <v/>
      </c>
      <c r="G74" s="493" t="b">
        <f>If(COUNTIF(Pagos!B:B,A74)&gt;1,true,false)</f>
        <v>0</v>
      </c>
    </row>
    <row r="75" ht="13.5" customHeight="1">
      <c r="A75" s="496" t="s">
        <v>197</v>
      </c>
      <c r="B75" s="489">
        <f>IF(iserror(vlookup(A:A,Pagos!$B$5:$L91,2,false)),"Disponible",vlookup(A:A,Pagos!$B$5:$L91,2,false))</f>
        <v>1643</v>
      </c>
      <c r="C75" s="490" t="str">
        <f>IF(iserror(vlookup(A:A,Pagos!$B$5:$L91,3,false)),"Disponible",vlookup(A:A,Pagos!$B$5:$L91,3,false))</f>
        <v>Archipretre, Maria</v>
      </c>
      <c r="D75" s="491">
        <f>IF(iserror(vlookup(A:A,Pagos!$B$5:$L91,4,false)),"Disponible",If(vlookup(A:A,Pagos!$B$5:$L91,5,false),vlookup(A:A,Pagos!$B$5:$L91,5,false),vlookup(A:A,Pagos!$B$5:$L91,4,false)))</f>
        <v>45870</v>
      </c>
      <c r="E75" s="492"/>
      <c r="F75" s="493" t="str">
        <f t="shared" si="1"/>
        <v/>
      </c>
      <c r="G75" s="493" t="b">
        <f>If(COUNTIF(Pagos!B:B,A75)&gt;1,true,false)</f>
        <v>0</v>
      </c>
    </row>
    <row r="76" ht="13.5" customHeight="1">
      <c r="A76" s="496" t="s">
        <v>198</v>
      </c>
      <c r="B76" s="489">
        <f>IF(iserror(vlookup(A:A,Pagos!$B$5:$L91,2,false)),"Disponible",vlookup(A:A,Pagos!$B$5:$L91,2,false))</f>
        <v>1643</v>
      </c>
      <c r="C76" s="490" t="str">
        <f>IF(iserror(vlookup(A:A,Pagos!$B$5:$L91,3,false)),"Disponible",vlookup(A:A,Pagos!$B$5:$L91,3,false))</f>
        <v>Archipretre, Maria</v>
      </c>
      <c r="D76" s="491">
        <f>IF(iserror(vlookup(A:A,Pagos!$B$5:$L91,4,false)),"Disponible",If(vlookup(A:A,Pagos!$B$5:$L91,5,false),vlookup(A:A,Pagos!$B$5:$L91,5,false),vlookup(A:A,Pagos!$B$5:$L91,4,false)))</f>
        <v>45870</v>
      </c>
      <c r="E76" s="494"/>
      <c r="F76" s="493" t="str">
        <f t="shared" si="1"/>
        <v/>
      </c>
      <c r="G76" s="493" t="b">
        <f>If(COUNTIF(Pagos!B:B,A76)&gt;1,true,false)</f>
        <v>0</v>
      </c>
    </row>
    <row r="77" ht="13.5" customHeight="1">
      <c r="A77" s="496" t="s">
        <v>474</v>
      </c>
      <c r="B77" s="489">
        <f>IF(iserror(vlookup(A:A,Pagos!$B$5:$L91,2,false)),"Disponible",vlookup(A:A,Pagos!$B$5:$L91,2,false))</f>
        <v>2324</v>
      </c>
      <c r="C77" s="490" t="str">
        <f>IF(iserror(vlookup(A:A,Pagos!$B$5:$L91,3,false)),"Disponible",vlookup(A:A,Pagos!$B$5:$L91,3,false))</f>
        <v>GONZALEZ, MARIA GABRIELA</v>
      </c>
      <c r="D77" s="491">
        <f>IF(iserror(vlookup(A:A,Pagos!$B$5:$L91,4,false)),"Disponible",If(vlookup(A:A,Pagos!$B$5:$L91,5,false),vlookup(A:A,Pagos!$B$5:$L91,5,false),vlookup(A:A,Pagos!$B$5:$L91,4,false)))</f>
        <v>45870</v>
      </c>
      <c r="E77" s="497"/>
      <c r="F77" s="493" t="str">
        <f t="shared" si="1"/>
        <v/>
      </c>
      <c r="G77" s="493" t="b">
        <f>If(COUNTIF(Pagos!B:B,A77)&gt;1,true,false)</f>
        <v>0</v>
      </c>
    </row>
    <row r="78" ht="13.5" customHeight="1">
      <c r="A78" s="496" t="s">
        <v>317</v>
      </c>
      <c r="B78" s="489">
        <f>IF(iserror(vlookup(A:A,Pagos!$B$5:$L91,2,false)),"Disponible",vlookup(A:A,Pagos!$B$5:$L91,2,false))</f>
        <v>1984</v>
      </c>
      <c r="C78" s="490" t="str">
        <f>IF(iserror(vlookup(A:A,Pagos!$B$5:$L91,3,false)),"Disponible",vlookup(A:A,Pagos!$B$5:$L91,3,false))</f>
        <v>VASQUEZ, SANDRA</v>
      </c>
      <c r="D78" s="491">
        <f>IF(iserror(vlookup(A:A,Pagos!$B$5:$L91,4,false)),"Disponible",If(vlookup(A:A,Pagos!$B$5:$L91,5,false),vlookup(A:A,Pagos!$B$5:$L91,5,false),vlookup(A:A,Pagos!$B$5:$L91,4,false)))</f>
        <v>45870</v>
      </c>
      <c r="E78" s="494"/>
      <c r="F78" s="493" t="str">
        <f t="shared" si="1"/>
        <v/>
      </c>
      <c r="G78" s="493" t="b">
        <f>If(COUNTIF(Pagos!B:B,A78)&gt;1,true,false)</f>
        <v>0</v>
      </c>
    </row>
    <row r="79" ht="13.5" customHeight="1">
      <c r="A79" s="496" t="s">
        <v>4338</v>
      </c>
      <c r="B79" s="489">
        <f>IF(iserror(vlookup(A:A,Pagos!$B$5:$L91,2,false)),"Disponible",vlookup(A:A,Pagos!$B$5:$L91,2,false))</f>
        <v>1887</v>
      </c>
      <c r="C79" s="490" t="str">
        <f>IF(iserror(vlookup(A:A,Pagos!$B$5:$L91,3,false)),"Disponible",vlookup(A:A,Pagos!$B$5:$L91,3,false))</f>
        <v>BARRIOS, LUCRECIA</v>
      </c>
      <c r="D79" s="491">
        <f>IF(iserror(vlookup(A:A,Pagos!$B$5:$L91,4,false)),"Disponible",If(vlookup(A:A,Pagos!$B$5:$L91,5,false),vlookup(A:A,Pagos!$B$5:$L91,5,false),vlookup(A:A,Pagos!$B$5:$L91,4,false)))</f>
        <v>45870</v>
      </c>
      <c r="E79" s="497"/>
      <c r="F79" s="493" t="str">
        <f t="shared" si="1"/>
        <v/>
      </c>
      <c r="G79" s="493" t="b">
        <f>If(COUNTIF(Pagos!B:B,A79)&gt;1,true,false)</f>
        <v>0</v>
      </c>
    </row>
    <row r="80" ht="13.5" customHeight="1">
      <c r="A80" s="496" t="s">
        <v>4339</v>
      </c>
      <c r="B80" s="489">
        <f>IF(iserror(vlookup(A:A,Pagos!$B$5:$L91,2,false)),"Disponible",vlookup(A:A,Pagos!$B$5:$L91,2,false))</f>
        <v>2087</v>
      </c>
      <c r="C80" s="490" t="str">
        <f>IF(iserror(vlookup(A:A,Pagos!$B$5:$L91,3,false)),"Disponible",vlookup(A:A,Pagos!$B$5:$L91,3,false))</f>
        <v>GORGONE MACHE, MALEN</v>
      </c>
      <c r="D80" s="491">
        <f>IF(iserror(vlookup(A:A,Pagos!$B$5:$L91,4,false)),"Disponible",If(vlookup(A:A,Pagos!$B$5:$L91,5,false),vlookup(A:A,Pagos!$B$5:$L91,5,false),vlookup(A:A,Pagos!$B$5:$L91,4,false)))</f>
        <v>45839</v>
      </c>
      <c r="E80" s="497"/>
      <c r="F80" s="493" t="str">
        <f t="shared" si="1"/>
        <v/>
      </c>
      <c r="G80" s="493" t="b">
        <f>If(COUNTIF(Pagos!B:B,A80)&gt;1,true,false)</f>
        <v>0</v>
      </c>
    </row>
    <row r="81" ht="13.5" customHeight="1">
      <c r="A81" s="496" t="s">
        <v>431</v>
      </c>
      <c r="B81" s="489">
        <f>IF(iserror(vlookup(A:A,Pagos!$B$5:$L91,2,false)),"Disponible",vlookup(A:A,Pagos!$B$5:$L91,2,false))</f>
        <v>2227</v>
      </c>
      <c r="C81" s="490" t="str">
        <f>IF(iserror(vlookup(A:A,Pagos!$B$5:$L91,3,false)),"Disponible",vlookup(A:A,Pagos!$B$5:$L91,3,false))</f>
        <v>DEL RIO MARIANA</v>
      </c>
      <c r="D81" s="491">
        <f>IF(iserror(vlookup(A:A,Pagos!$B$5:$L91,4,false)),"Disponible",If(vlookup(A:A,Pagos!$B$5:$L91,5,false),vlookup(A:A,Pagos!$B$5:$L91,5,false),vlookup(A:A,Pagos!$B$5:$L91,4,false)))</f>
        <v>45870</v>
      </c>
      <c r="E81" s="497"/>
      <c r="F81" s="493" t="str">
        <f t="shared" si="1"/>
        <v/>
      </c>
      <c r="G81" s="493" t="b">
        <f>If(COUNTIF(Pagos!B:B,A81)&gt;1,true,false)</f>
        <v>0</v>
      </c>
    </row>
    <row r="82" ht="13.5" customHeight="1">
      <c r="A82" s="496" t="s">
        <v>472</v>
      </c>
      <c r="B82" s="489">
        <f>IF(iserror(vlookup(A:A,Pagos!$B$5:$L91,2,false)),"Disponible",vlookup(A:A,Pagos!$B$5:$L91,2,false))</f>
        <v>2320</v>
      </c>
      <c r="C82" s="490" t="str">
        <f>IF(iserror(vlookup(A:A,Pagos!$B$5:$L91,3,false)),"Disponible",vlookup(A:A,Pagos!$B$5:$L91,3,false))</f>
        <v>PEREA, MARIANO</v>
      </c>
      <c r="D82" s="491">
        <f>IF(iserror(vlookup(A:A,Pagos!$B$5:$L91,4,false)),"Disponible",If(vlookup(A:A,Pagos!$B$5:$L91,5,false),vlookup(A:A,Pagos!$B$5:$L91,5,false),vlookup(A:A,Pagos!$B$5:$L91,4,false)))</f>
        <v>45870</v>
      </c>
      <c r="E82" s="497"/>
      <c r="F82" s="493" t="str">
        <f t="shared" si="1"/>
        <v/>
      </c>
      <c r="G82" s="493" t="b">
        <f>If(COUNTIF(Pagos!B:B,A82)&gt;1,true,false)</f>
        <v>0</v>
      </c>
    </row>
    <row r="83" ht="13.5" customHeight="1">
      <c r="A83" s="496" t="s">
        <v>4340</v>
      </c>
      <c r="B83" s="489" t="str">
        <f>IF(iserror(vlookup(A:A,Pagos!$B$5:$L91,2,false)),"Disponible",vlookup(A:A,Pagos!$B$5:$L91,2,false))</f>
        <v>Disponible</v>
      </c>
      <c r="C83" s="490" t="str">
        <f>IF(iserror(vlookup(A:A,Pagos!$B$5:$L91,3,false)),"Disponible",vlookup(A:A,Pagos!$B$5:$L91,3,false))</f>
        <v>Disponible</v>
      </c>
      <c r="D83" s="491" t="str">
        <f>IF(iserror(vlookup(A:A,Pagos!$B$5:$L91,4,false)),"Disponible",If(vlookup(A:A,Pagos!$B$5:$L91,5,false),vlookup(A:A,Pagos!$B$5:$L91,5,false),vlookup(A:A,Pagos!$B$5:$L91,4,false)))</f>
        <v>Disponible</v>
      </c>
      <c r="E83" s="497"/>
      <c r="F83" s="493" t="str">
        <f t="shared" si="1"/>
        <v/>
      </c>
      <c r="G83" s="493" t="b">
        <f>If(COUNTIF(Pagos!B:B,A83)&gt;1,true,false)</f>
        <v>0</v>
      </c>
    </row>
    <row r="84" ht="13.5" customHeight="1">
      <c r="A84" s="498"/>
      <c r="B84" s="499"/>
      <c r="C84" s="500"/>
      <c r="D84" s="501"/>
      <c r="E84" s="502"/>
      <c r="F84" s="503"/>
      <c r="G84" s="503"/>
    </row>
    <row r="85" ht="13.5" customHeight="1">
      <c r="A85" s="498"/>
      <c r="B85" s="499"/>
      <c r="C85" s="500"/>
      <c r="D85" s="501"/>
      <c r="E85" s="502"/>
      <c r="F85" s="503"/>
      <c r="G85" s="503"/>
    </row>
    <row r="86" ht="13.5" customHeight="1">
      <c r="A86" s="498"/>
      <c r="B86" s="499"/>
      <c r="C86" s="500"/>
      <c r="D86" s="501"/>
      <c r="E86" s="502"/>
      <c r="F86" s="503"/>
      <c r="G86" s="503"/>
    </row>
    <row r="87" ht="13.5" customHeight="1">
      <c r="A87" s="498"/>
      <c r="B87" s="499"/>
      <c r="C87" s="500"/>
      <c r="D87" s="501"/>
      <c r="E87" s="502"/>
      <c r="F87" s="503"/>
      <c r="G87" s="503"/>
    </row>
    <row r="88" ht="13.5" customHeight="1">
      <c r="A88" s="498"/>
      <c r="B88" s="499"/>
      <c r="C88" s="500"/>
      <c r="D88" s="501"/>
      <c r="E88" s="502"/>
      <c r="F88" s="503"/>
      <c r="G88" s="503"/>
    </row>
    <row r="89" ht="13.5" customHeight="1">
      <c r="A89" s="498"/>
      <c r="B89" s="499"/>
      <c r="C89" s="500"/>
      <c r="D89" s="501"/>
      <c r="E89" s="502"/>
      <c r="F89" s="503"/>
      <c r="G89" s="503"/>
    </row>
    <row r="90" ht="13.5" customHeight="1">
      <c r="A90" s="498"/>
      <c r="B90" s="499"/>
      <c r="C90" s="500"/>
      <c r="D90" s="501"/>
      <c r="E90" s="502"/>
      <c r="F90" s="503"/>
      <c r="G90" s="503"/>
    </row>
    <row r="91" ht="13.5" customHeight="1">
      <c r="A91" s="498"/>
      <c r="B91" s="499"/>
      <c r="C91" s="500"/>
      <c r="D91" s="501"/>
      <c r="E91" s="502"/>
      <c r="F91" s="503"/>
      <c r="G91" s="503"/>
    </row>
  </sheetData>
  <conditionalFormatting sqref="E1:G1">
    <cfRule type="containsText" dxfId="19" priority="1" operator="containsText" text="Disponible">
      <formula>NOT(ISERROR(SEARCH(("Disponible"),(E1))))</formula>
    </cfRule>
  </conditionalFormatting>
  <conditionalFormatting sqref="B1:D91">
    <cfRule type="containsText" dxfId="9" priority="2" operator="containsText" text="Disponible">
      <formula>NOT(ISERROR(SEARCH(("Disponible"),(B1))))</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25"/>
    <col customWidth="1" min="2" max="2" width="28.63"/>
    <col customWidth="1" min="3" max="3" width="43.88"/>
    <col customWidth="1" min="4" max="4" width="9.0"/>
  </cols>
  <sheetData>
    <row r="1">
      <c r="A1" s="504" t="s">
        <v>4734</v>
      </c>
      <c r="B1" s="504" t="s">
        <v>507</v>
      </c>
      <c r="C1" s="504" t="s">
        <v>4735</v>
      </c>
      <c r="D1" s="505" t="s">
        <v>4736</v>
      </c>
    </row>
    <row r="2">
      <c r="A2" s="506" t="s">
        <v>4737</v>
      </c>
      <c r="B2" s="506" t="s">
        <v>520</v>
      </c>
      <c r="C2" s="507" t="s">
        <v>4738</v>
      </c>
    </row>
    <row r="3">
      <c r="A3" s="506" t="s">
        <v>4739</v>
      </c>
      <c r="B3" s="506" t="s">
        <v>556</v>
      </c>
      <c r="C3" s="507" t="s">
        <v>4738</v>
      </c>
    </row>
    <row r="4">
      <c r="A4" s="506" t="s">
        <v>862</v>
      </c>
      <c r="B4" s="506" t="s">
        <v>556</v>
      </c>
      <c r="C4" s="508" t="s">
        <v>4740</v>
      </c>
    </row>
    <row r="5">
      <c r="A5" s="506" t="s">
        <v>4741</v>
      </c>
      <c r="B5" s="506" t="s">
        <v>556</v>
      </c>
      <c r="C5" s="508" t="s">
        <v>4742</v>
      </c>
    </row>
    <row r="6">
      <c r="A6" s="506" t="s">
        <v>4743</v>
      </c>
      <c r="B6" s="506" t="s">
        <v>770</v>
      </c>
      <c r="C6" s="508" t="s">
        <v>4744</v>
      </c>
    </row>
    <row r="7">
      <c r="A7" s="506" t="s">
        <v>1028</v>
      </c>
      <c r="B7" s="506" t="s">
        <v>520</v>
      </c>
      <c r="C7" s="508" t="s">
        <v>4744</v>
      </c>
    </row>
    <row r="8">
      <c r="A8" s="506" t="s">
        <v>1032</v>
      </c>
      <c r="B8" s="506" t="s">
        <v>520</v>
      </c>
      <c r="C8" s="508" t="s">
        <v>4745</v>
      </c>
    </row>
    <row r="9">
      <c r="A9" s="506" t="s">
        <v>1051</v>
      </c>
      <c r="B9" s="506" t="s">
        <v>520</v>
      </c>
      <c r="C9" s="508" t="s">
        <v>4746</v>
      </c>
    </row>
    <row r="10">
      <c r="A10" s="506" t="s">
        <v>1057</v>
      </c>
      <c r="B10" s="506" t="s">
        <v>770</v>
      </c>
      <c r="C10" s="507" t="s">
        <v>4747</v>
      </c>
    </row>
    <row r="11">
      <c r="A11" s="506" t="s">
        <v>4748</v>
      </c>
      <c r="B11" s="506" t="s">
        <v>556</v>
      </c>
      <c r="C11" s="507" t="s">
        <v>4749</v>
      </c>
    </row>
    <row r="12">
      <c r="A12" s="506" t="s">
        <v>1171</v>
      </c>
      <c r="B12" s="506" t="s">
        <v>520</v>
      </c>
      <c r="C12" s="507" t="s">
        <v>4750</v>
      </c>
    </row>
    <row r="13">
      <c r="A13" s="506" t="s">
        <v>1174</v>
      </c>
      <c r="B13" s="506" t="s">
        <v>520</v>
      </c>
      <c r="C13" s="507" t="s">
        <v>4750</v>
      </c>
    </row>
    <row r="14">
      <c r="A14" s="506" t="s">
        <v>1190</v>
      </c>
      <c r="B14" s="506" t="s">
        <v>556</v>
      </c>
      <c r="C14" s="507" t="s">
        <v>4751</v>
      </c>
    </row>
    <row r="15">
      <c r="A15" s="506" t="s">
        <v>1200</v>
      </c>
      <c r="B15" s="506" t="s">
        <v>556</v>
      </c>
      <c r="C15" s="507" t="s">
        <v>4751</v>
      </c>
    </row>
    <row r="16">
      <c r="A16" s="506" t="s">
        <v>4752</v>
      </c>
      <c r="B16" s="506" t="s">
        <v>527</v>
      </c>
      <c r="C16" s="507" t="s">
        <v>4753</v>
      </c>
    </row>
    <row r="17">
      <c r="A17" s="506" t="s">
        <v>4754</v>
      </c>
      <c r="B17" s="506" t="s">
        <v>770</v>
      </c>
      <c r="C17" s="507" t="s">
        <v>4755</v>
      </c>
    </row>
    <row r="18">
      <c r="A18" s="506" t="s">
        <v>4756</v>
      </c>
      <c r="B18" s="506" t="s">
        <v>520</v>
      </c>
      <c r="C18" s="507" t="s">
        <v>4757</v>
      </c>
    </row>
    <row r="19">
      <c r="A19" s="506" t="s">
        <v>4758</v>
      </c>
      <c r="B19" s="506" t="s">
        <v>556</v>
      </c>
      <c r="C19" s="507" t="s">
        <v>4759</v>
      </c>
    </row>
    <row r="20">
      <c r="A20" s="506" t="s">
        <v>1412</v>
      </c>
      <c r="B20" s="506" t="s">
        <v>770</v>
      </c>
      <c r="C20" s="507" t="s">
        <v>4759</v>
      </c>
    </row>
    <row r="21">
      <c r="A21" s="506" t="s">
        <v>4760</v>
      </c>
      <c r="B21" s="506" t="s">
        <v>520</v>
      </c>
      <c r="C21" s="507" t="s">
        <v>4761</v>
      </c>
    </row>
    <row r="22">
      <c r="A22" s="506" t="s">
        <v>1525</v>
      </c>
      <c r="B22" s="506" t="s">
        <v>556</v>
      </c>
      <c r="C22" s="507" t="s">
        <v>4762</v>
      </c>
    </row>
    <row r="23">
      <c r="A23" s="506" t="s">
        <v>1547</v>
      </c>
      <c r="B23" s="506" t="s">
        <v>556</v>
      </c>
      <c r="C23" s="507" t="s">
        <v>4763</v>
      </c>
    </row>
    <row r="24">
      <c r="A24" s="506" t="s">
        <v>1564</v>
      </c>
      <c r="B24" s="506" t="s">
        <v>520</v>
      </c>
      <c r="C24" s="507" t="s">
        <v>4764</v>
      </c>
    </row>
    <row r="25">
      <c r="A25" s="506" t="s">
        <v>1679</v>
      </c>
      <c r="B25" s="506" t="s">
        <v>556</v>
      </c>
      <c r="C25" s="507" t="s">
        <v>4765</v>
      </c>
    </row>
    <row r="26">
      <c r="A26" s="506" t="s">
        <v>1694</v>
      </c>
      <c r="B26" s="506" t="s">
        <v>556</v>
      </c>
      <c r="C26" s="507" t="s">
        <v>4766</v>
      </c>
    </row>
    <row r="27">
      <c r="A27" s="506" t="s">
        <v>4767</v>
      </c>
      <c r="B27" s="506" t="s">
        <v>520</v>
      </c>
      <c r="C27" s="507" t="s">
        <v>4768</v>
      </c>
    </row>
    <row r="28">
      <c r="A28" s="506" t="s">
        <v>1726</v>
      </c>
      <c r="B28" s="506" t="s">
        <v>556</v>
      </c>
      <c r="C28" s="507" t="s">
        <v>4769</v>
      </c>
    </row>
    <row r="29">
      <c r="A29" s="506" t="s">
        <v>2055</v>
      </c>
      <c r="B29" s="506" t="s">
        <v>520</v>
      </c>
      <c r="C29" s="507" t="s">
        <v>4770</v>
      </c>
    </row>
    <row r="30">
      <c r="A30" s="506" t="s">
        <v>2071</v>
      </c>
      <c r="B30" s="506" t="s">
        <v>693</v>
      </c>
      <c r="C30" s="507" t="s">
        <v>4771</v>
      </c>
    </row>
    <row r="31">
      <c r="A31" s="506" t="s">
        <v>2100</v>
      </c>
      <c r="B31" s="506" t="s">
        <v>556</v>
      </c>
      <c r="C31" s="507" t="s">
        <v>4772</v>
      </c>
    </row>
    <row r="32">
      <c r="A32" s="506" t="s">
        <v>2206</v>
      </c>
      <c r="B32" s="506" t="s">
        <v>556</v>
      </c>
      <c r="C32" s="507" t="s">
        <v>4773</v>
      </c>
    </row>
    <row r="33">
      <c r="A33" s="506" t="s">
        <v>2222</v>
      </c>
      <c r="B33" s="506" t="s">
        <v>556</v>
      </c>
      <c r="C33" s="507" t="s">
        <v>4774</v>
      </c>
    </row>
    <row r="34">
      <c r="A34" s="506" t="s">
        <v>2436</v>
      </c>
      <c r="B34" s="506" t="s">
        <v>556</v>
      </c>
      <c r="C34" s="507" t="s">
        <v>4775</v>
      </c>
    </row>
    <row r="35">
      <c r="A35" s="506" t="s">
        <v>2454</v>
      </c>
      <c r="B35" s="506" t="s">
        <v>520</v>
      </c>
      <c r="C35" s="507" t="s">
        <v>4776</v>
      </c>
    </row>
    <row r="36">
      <c r="A36" s="506" t="s">
        <v>2464</v>
      </c>
      <c r="B36" s="506" t="s">
        <v>520</v>
      </c>
      <c r="C36" s="507" t="s">
        <v>4777</v>
      </c>
    </row>
    <row r="37">
      <c r="A37" s="506" t="s">
        <v>2469</v>
      </c>
      <c r="B37" s="506" t="s">
        <v>556</v>
      </c>
      <c r="C37" s="507" t="s">
        <v>4778</v>
      </c>
    </row>
    <row r="38">
      <c r="A38" s="506" t="s">
        <v>2497</v>
      </c>
      <c r="B38" s="506" t="s">
        <v>520</v>
      </c>
      <c r="C38" s="507" t="s">
        <v>4779</v>
      </c>
    </row>
    <row r="39">
      <c r="A39" s="506" t="s">
        <v>4780</v>
      </c>
      <c r="B39" s="506" t="s">
        <v>520</v>
      </c>
      <c r="C39" s="507" t="s">
        <v>4781</v>
      </c>
    </row>
    <row r="40">
      <c r="A40" s="506" t="s">
        <v>2557</v>
      </c>
      <c r="B40" s="506" t="s">
        <v>770</v>
      </c>
      <c r="C40" s="507" t="s">
        <v>4782</v>
      </c>
    </row>
    <row r="41">
      <c r="A41" s="506" t="s">
        <v>2604</v>
      </c>
      <c r="B41" s="506" t="s">
        <v>556</v>
      </c>
      <c r="C41" s="507" t="s">
        <v>4783</v>
      </c>
    </row>
    <row r="42">
      <c r="A42" s="506" t="s">
        <v>2703</v>
      </c>
      <c r="B42" s="506" t="s">
        <v>520</v>
      </c>
      <c r="C42" s="507" t="s">
        <v>4784</v>
      </c>
    </row>
    <row r="43">
      <c r="A43" s="506" t="s">
        <v>2763</v>
      </c>
      <c r="B43" s="506" t="s">
        <v>520</v>
      </c>
      <c r="C43" s="507" t="s">
        <v>4785</v>
      </c>
    </row>
    <row r="44">
      <c r="A44" s="506" t="s">
        <v>2769</v>
      </c>
      <c r="B44" s="506" t="s">
        <v>556</v>
      </c>
      <c r="C44" s="507" t="s">
        <v>4785</v>
      </c>
    </row>
    <row r="45">
      <c r="A45" s="506" t="s">
        <v>2843</v>
      </c>
      <c r="B45" s="506" t="s">
        <v>520</v>
      </c>
      <c r="C45" s="507" t="s">
        <v>4786</v>
      </c>
    </row>
    <row r="46">
      <c r="A46" s="506" t="s">
        <v>2955</v>
      </c>
      <c r="B46" s="506" t="s">
        <v>556</v>
      </c>
      <c r="C46" s="507" t="s">
        <v>4787</v>
      </c>
    </row>
    <row r="47">
      <c r="A47" s="506" t="s">
        <v>2960</v>
      </c>
      <c r="B47" s="506" t="s">
        <v>520</v>
      </c>
      <c r="C47" s="507" t="s">
        <v>4788</v>
      </c>
    </row>
    <row r="48">
      <c r="A48" s="506" t="s">
        <v>2961</v>
      </c>
      <c r="B48" s="506" t="s">
        <v>520</v>
      </c>
      <c r="C48" s="507" t="s">
        <v>4788</v>
      </c>
    </row>
    <row r="49">
      <c r="A49" s="506" t="s">
        <v>2972</v>
      </c>
      <c r="B49" s="506" t="s">
        <v>556</v>
      </c>
      <c r="C49" s="507" t="s">
        <v>4789</v>
      </c>
    </row>
    <row r="50">
      <c r="A50" s="506" t="s">
        <v>3030</v>
      </c>
      <c r="B50" s="506" t="s">
        <v>520</v>
      </c>
      <c r="C50" s="507" t="s">
        <v>4790</v>
      </c>
    </row>
    <row r="51">
      <c r="A51" s="506" t="s">
        <v>4791</v>
      </c>
      <c r="B51" s="506" t="s">
        <v>520</v>
      </c>
      <c r="C51" s="507" t="s">
        <v>4790</v>
      </c>
    </row>
    <row r="52">
      <c r="A52" s="506" t="s">
        <v>3035</v>
      </c>
      <c r="B52" s="506" t="s">
        <v>520</v>
      </c>
      <c r="C52" s="507" t="s">
        <v>4790</v>
      </c>
    </row>
    <row r="53">
      <c r="A53" s="506" t="s">
        <v>3075</v>
      </c>
      <c r="B53" s="506" t="s">
        <v>770</v>
      </c>
      <c r="C53" s="507" t="s">
        <v>4782</v>
      </c>
    </row>
    <row r="54">
      <c r="A54" s="506" t="s">
        <v>4792</v>
      </c>
      <c r="B54" s="506" t="s">
        <v>520</v>
      </c>
      <c r="C54" s="507" t="s">
        <v>4793</v>
      </c>
    </row>
    <row r="55">
      <c r="A55" s="506" t="s">
        <v>4794</v>
      </c>
      <c r="B55" s="506" t="s">
        <v>556</v>
      </c>
      <c r="C55" s="507" t="s">
        <v>4795</v>
      </c>
    </row>
    <row r="56">
      <c r="A56" s="506" t="s">
        <v>4796</v>
      </c>
      <c r="B56" s="506" t="s">
        <v>556</v>
      </c>
      <c r="C56" s="507" t="s">
        <v>4797</v>
      </c>
    </row>
    <row r="57">
      <c r="A57" s="506" t="s">
        <v>4798</v>
      </c>
      <c r="B57" s="506" t="s">
        <v>556</v>
      </c>
      <c r="C57" s="507" t="s">
        <v>4799</v>
      </c>
    </row>
    <row r="58">
      <c r="A58" s="506" t="s">
        <v>3255</v>
      </c>
      <c r="B58" s="506" t="s">
        <v>520</v>
      </c>
      <c r="C58" s="507" t="s">
        <v>4800</v>
      </c>
    </row>
    <row r="59">
      <c r="A59" s="506" t="s">
        <v>3345</v>
      </c>
      <c r="B59" s="506" t="s">
        <v>556</v>
      </c>
      <c r="C59" s="507" t="s">
        <v>4801</v>
      </c>
    </row>
    <row r="60">
      <c r="A60" s="506" t="s">
        <v>4802</v>
      </c>
      <c r="B60" s="506" t="s">
        <v>520</v>
      </c>
      <c r="C60" s="507" t="s">
        <v>4803</v>
      </c>
    </row>
    <row r="61">
      <c r="A61" s="506" t="s">
        <v>3384</v>
      </c>
      <c r="B61" s="506" t="s">
        <v>520</v>
      </c>
      <c r="C61" s="507" t="s">
        <v>4797</v>
      </c>
    </row>
    <row r="62">
      <c r="A62" s="506" t="s">
        <v>3473</v>
      </c>
      <c r="B62" s="506" t="s">
        <v>556</v>
      </c>
      <c r="C62" s="507" t="s">
        <v>4764</v>
      </c>
    </row>
    <row r="63">
      <c r="A63" s="506" t="s">
        <v>3511</v>
      </c>
      <c r="B63" s="506" t="s">
        <v>527</v>
      </c>
      <c r="C63" s="507" t="s">
        <v>4804</v>
      </c>
    </row>
    <row r="64">
      <c r="A64" s="506" t="s">
        <v>3522</v>
      </c>
      <c r="B64" s="506" t="s">
        <v>520</v>
      </c>
      <c r="C64" s="507" t="s">
        <v>4805</v>
      </c>
    </row>
    <row r="65">
      <c r="A65" s="506" t="s">
        <v>3546</v>
      </c>
      <c r="B65" s="506" t="s">
        <v>556</v>
      </c>
      <c r="C65" s="507" t="s">
        <v>4806</v>
      </c>
    </row>
    <row r="66">
      <c r="A66" s="506" t="s">
        <v>3573</v>
      </c>
      <c r="B66" s="506" t="s">
        <v>520</v>
      </c>
      <c r="C66" s="507" t="s">
        <v>4807</v>
      </c>
    </row>
    <row r="67">
      <c r="A67" s="506" t="s">
        <v>3644</v>
      </c>
      <c r="B67" s="506" t="s">
        <v>556</v>
      </c>
      <c r="C67" s="507" t="s">
        <v>4806</v>
      </c>
    </row>
    <row r="68">
      <c r="A68" s="506" t="s">
        <v>3657</v>
      </c>
      <c r="B68" s="506" t="s">
        <v>556</v>
      </c>
      <c r="C68" s="507" t="s">
        <v>4808</v>
      </c>
    </row>
    <row r="69">
      <c r="A69" s="506" t="s">
        <v>4809</v>
      </c>
      <c r="B69" s="506" t="s">
        <v>556</v>
      </c>
      <c r="C69" s="507" t="s">
        <v>4786</v>
      </c>
    </row>
    <row r="70">
      <c r="A70" s="506" t="s">
        <v>4810</v>
      </c>
      <c r="B70" s="506" t="s">
        <v>693</v>
      </c>
      <c r="C70" s="507" t="s">
        <v>4811</v>
      </c>
    </row>
    <row r="71">
      <c r="A71" s="506" t="s">
        <v>4812</v>
      </c>
      <c r="B71" s="506" t="s">
        <v>693</v>
      </c>
      <c r="C71" s="507" t="s">
        <v>4811</v>
      </c>
    </row>
    <row r="72">
      <c r="A72" s="506" t="s">
        <v>3739</v>
      </c>
      <c r="B72" s="506" t="s">
        <v>520</v>
      </c>
      <c r="C72" s="507" t="s">
        <v>4813</v>
      </c>
    </row>
    <row r="73">
      <c r="A73" s="506" t="s">
        <v>3815</v>
      </c>
      <c r="B73" s="506" t="s">
        <v>556</v>
      </c>
      <c r="C73" s="507" t="s">
        <v>4814</v>
      </c>
    </row>
    <row r="74">
      <c r="A74" s="506" t="s">
        <v>3833</v>
      </c>
      <c r="B74" s="506" t="s">
        <v>770</v>
      </c>
      <c r="C74" s="507" t="s">
        <v>4815</v>
      </c>
    </row>
    <row r="75">
      <c r="A75" s="506" t="s">
        <v>3882</v>
      </c>
      <c r="B75" s="506" t="s">
        <v>556</v>
      </c>
      <c r="C75" s="507" t="s">
        <v>4816</v>
      </c>
    </row>
    <row r="76">
      <c r="A76" s="506" t="s">
        <v>3888</v>
      </c>
      <c r="B76" s="506" t="s">
        <v>520</v>
      </c>
      <c r="C76" s="507" t="s">
        <v>4803</v>
      </c>
    </row>
    <row r="77">
      <c r="A77" s="506" t="s">
        <v>3889</v>
      </c>
      <c r="B77" s="506" t="s">
        <v>520</v>
      </c>
      <c r="C77" s="507" t="s">
        <v>4803</v>
      </c>
    </row>
    <row r="78">
      <c r="A78" s="506" t="s">
        <v>3899</v>
      </c>
      <c r="B78" s="506" t="s">
        <v>556</v>
      </c>
      <c r="C78" s="507" t="s">
        <v>4749</v>
      </c>
    </row>
    <row r="79">
      <c r="A79" s="506" t="s">
        <v>3900</v>
      </c>
      <c r="B79" s="506" t="s">
        <v>693</v>
      </c>
      <c r="C79" s="507" t="s">
        <v>4749</v>
      </c>
    </row>
    <row r="80">
      <c r="A80" s="506" t="s">
        <v>3902</v>
      </c>
      <c r="B80" s="506" t="s">
        <v>520</v>
      </c>
      <c r="C80" s="507" t="s">
        <v>4749</v>
      </c>
    </row>
    <row r="81">
      <c r="A81" s="506" t="s">
        <v>3879</v>
      </c>
      <c r="B81" s="506" t="s">
        <v>527</v>
      </c>
      <c r="C81" s="507" t="s">
        <v>4804</v>
      </c>
    </row>
    <row r="82">
      <c r="A82" s="506" t="s">
        <v>3969</v>
      </c>
      <c r="B82" s="506" t="s">
        <v>520</v>
      </c>
      <c r="C82" s="507" t="s">
        <v>4817</v>
      </c>
    </row>
    <row r="83">
      <c r="A83" s="506" t="s">
        <v>4818</v>
      </c>
      <c r="B83" s="506" t="s">
        <v>520</v>
      </c>
      <c r="C83" s="507" t="s">
        <v>4819</v>
      </c>
    </row>
    <row r="84">
      <c r="A84" s="506" t="s">
        <v>4031</v>
      </c>
      <c r="B84" s="506" t="s">
        <v>520</v>
      </c>
      <c r="C84" s="507" t="s">
        <v>4820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 customWidth="1" min="2" max="2" width="15.25"/>
    <col customWidth="1" min="3" max="3" width="29.38"/>
    <col customWidth="1" min="4" max="4" width="14.5"/>
    <col customWidth="1" min="5" max="5" width="39.75"/>
    <col customWidth="1" min="6" max="6" width="21.88"/>
    <col customWidth="1" hidden="1" min="7" max="7" width="21.88"/>
  </cols>
  <sheetData>
    <row r="1">
      <c r="A1" s="487" t="s">
        <v>4821</v>
      </c>
      <c r="B1" s="509" t="s">
        <v>4731</v>
      </c>
      <c r="C1" s="509" t="s">
        <v>25</v>
      </c>
      <c r="D1" s="484" t="s">
        <v>512</v>
      </c>
      <c r="E1" s="509" t="s">
        <v>33</v>
      </c>
      <c r="F1" s="487" t="s">
        <v>4732</v>
      </c>
      <c r="G1" s="487" t="s">
        <v>4732</v>
      </c>
    </row>
    <row r="2">
      <c r="A2" s="495" t="s">
        <v>254</v>
      </c>
      <c r="B2" s="489">
        <f>IF(iserror(vlookup(A:A,Pagos!$B$5:$L216,2,false)),"Disponible",vlookup(A:A,Pagos!$B$5:$L216,2,false))</f>
        <v>1836</v>
      </c>
      <c r="C2" s="510" t="str">
        <f>IF(iserror(vlookup(A:A,Pagos!$B$5:$L216,3,false)),"Disponible",vlookup(A:A,Pagos!$B$5:$L216,3,false))</f>
        <v>GARCIA DE LA MATA, LUIS</v>
      </c>
      <c r="D2" s="491">
        <f>IF(iserror(vlookup(A:A,Pagos!$B$5:$L216,4,false)),"Disponible",If(vlookup(A:A,Pagos!$B$5:$L216,5,false),vlookup(A:A,Pagos!$B$5:$L216,5,false),vlookup(A:A,Pagos!$B$5:$L216,4,false)))</f>
        <v>45870</v>
      </c>
      <c r="E2" s="510"/>
      <c r="F2" s="350" t="str">
        <f t="shared" ref="F2:F119" si="1">IF(G2,"Sobreasignada","")</f>
        <v/>
      </c>
      <c r="G2" s="350" t="b">
        <f>If(COUNTIF(Pagos!B:B,A2)&gt;1,true,false)</f>
        <v>0</v>
      </c>
    </row>
    <row r="3">
      <c r="A3" s="495" t="s">
        <v>295</v>
      </c>
      <c r="B3" s="489">
        <f>IF(iserror(vlookup(A:A,Pagos!$B$5:$L216,2,false)),"Disponible",vlookup(A:A,Pagos!$B$5:$L216,2,false))</f>
        <v>1929</v>
      </c>
      <c r="C3" s="510" t="str">
        <f>IF(iserror(vlookup(A:A,Pagos!$B$5:$L216,3,false)),"Disponible",vlookup(A:A,Pagos!$B$5:$L216,3,false))</f>
        <v>REPETTO, MARIA</v>
      </c>
      <c r="D3" s="491">
        <f>IF(iserror(vlookup(A:A,Pagos!$B$5:$L216,4,false)),"Disponible",If(vlookup(A:A,Pagos!$B$5:$L216,5,false),vlookup(A:A,Pagos!$B$5:$L216,5,false),vlookup(A:A,Pagos!$B$5:$L216,4,false)))</f>
        <v>45870</v>
      </c>
      <c r="E3" s="510"/>
      <c r="F3" s="350" t="str">
        <f t="shared" si="1"/>
        <v/>
      </c>
      <c r="G3" s="350" t="b">
        <f>If(COUNTIF(Pagos!B:B,A3)&gt;1,true,false)</f>
        <v>0</v>
      </c>
    </row>
    <row r="4">
      <c r="A4" s="495" t="s">
        <v>255</v>
      </c>
      <c r="B4" s="489">
        <f>IF(iserror(vlookup(A:A,Pagos!$B$5:$L216,2,false)),"Disponible",vlookup(A:A,Pagos!$B$5:$L216,2,false))</f>
        <v>1837</v>
      </c>
      <c r="C4" s="510" t="str">
        <f>IF(iserror(vlookup(A:A,Pagos!$B$5:$L216,3,false)),"Disponible",vlookup(A:A,Pagos!$B$5:$L216,3,false))</f>
        <v>ALMADA, GUILLERMO MARTIN</v>
      </c>
      <c r="D4" s="491">
        <f>IF(iserror(vlookup(A:A,Pagos!$B$5:$L216,4,false)),"Disponible",If(vlookup(A:A,Pagos!$B$5:$L216,5,false),vlookup(A:A,Pagos!$B$5:$L216,5,false),vlookup(A:A,Pagos!$B$5:$L216,4,false)))</f>
        <v>45870</v>
      </c>
      <c r="E4" s="510"/>
      <c r="F4" s="350" t="str">
        <f t="shared" si="1"/>
        <v/>
      </c>
      <c r="G4" s="350" t="b">
        <f>If(COUNTIF(Pagos!B:B,A4)&gt;1,true,false)</f>
        <v>0</v>
      </c>
    </row>
    <row r="5">
      <c r="A5" s="495" t="s">
        <v>173</v>
      </c>
      <c r="B5" s="489">
        <f>IF(iserror(vlookup(A:A,Pagos!$B$5:$L216,2,false)),"Disponible",vlookup(A:A,Pagos!$B$5:$L216,2,false))</f>
        <v>1602</v>
      </c>
      <c r="C5" s="510" t="str">
        <f>IF(iserror(vlookup(A:A,Pagos!$B$5:$L216,3,false)),"Disponible",vlookup(A:A,Pagos!$B$5:$L216,3,false))</f>
        <v>PELUSO, MIGUEL ANDRES</v>
      </c>
      <c r="D5" s="491">
        <f>IF(iserror(vlookup(A:A,Pagos!$B$5:$L216,4,false)),"Disponible",If(vlookup(A:A,Pagos!$B$5:$L216,5,false),vlookup(A:A,Pagos!$B$5:$L216,5,false),vlookup(A:A,Pagos!$B$5:$L216,4,false)))</f>
        <v>45870</v>
      </c>
      <c r="E5" s="510"/>
      <c r="F5" s="350" t="str">
        <f t="shared" si="1"/>
        <v/>
      </c>
      <c r="G5" s="350" t="b">
        <f>If(COUNTIF(Pagos!B:B,A5)&gt;1,true,false)</f>
        <v>0</v>
      </c>
    </row>
    <row r="6">
      <c r="A6" s="495" t="s">
        <v>244</v>
      </c>
      <c r="B6" s="489">
        <f>IF(iserror(vlookup(A:A,Pagos!$B$5:$L216,2,false)),"Disponible",vlookup(A:A,Pagos!$B$5:$L216,2,false))</f>
        <v>1768</v>
      </c>
      <c r="C6" s="510" t="str">
        <f>IF(iserror(vlookup(A:A,Pagos!$B$5:$L216,3,false)),"Disponible",vlookup(A:A,Pagos!$B$5:$L216,3,false))</f>
        <v>AMOREO, MONICA</v>
      </c>
      <c r="D6" s="491">
        <f>IF(iserror(vlookup(A:A,Pagos!$B$5:$L216,4,false)),"Disponible",If(vlookup(A:A,Pagos!$B$5:$L216,5,false),vlookup(A:A,Pagos!$B$5:$L216,5,false),vlookup(A:A,Pagos!$B$5:$L216,4,false)))</f>
        <v>45870</v>
      </c>
      <c r="E6" s="492"/>
      <c r="F6" s="350" t="str">
        <f t="shared" si="1"/>
        <v/>
      </c>
      <c r="G6" s="350" t="b">
        <f>If(COUNTIF(Pagos!B:B,A6)&gt;1,true,false)</f>
        <v>0</v>
      </c>
    </row>
    <row r="7">
      <c r="A7" s="488" t="s">
        <v>414</v>
      </c>
      <c r="B7" s="489">
        <f>IF(iserror(vlookup(A:A,Pagos!$B$5:$L216,2,false)),"Disponible",vlookup(A:A,Pagos!$B$5:$L216,2,false))</f>
        <v>2191</v>
      </c>
      <c r="C7" s="510" t="str">
        <f>IF(iserror(vlookup(A:A,Pagos!$B$5:$L216,3,false)),"Disponible",vlookup(A:A,Pagos!$B$5:$L216,3,false))</f>
        <v>ARAMBURU,MELINA</v>
      </c>
      <c r="D7" s="491">
        <f>IF(iserror(vlookup(A:A,Pagos!$B$5:$L216,4,false)),"Disponible",If(vlookup(A:A,Pagos!$B$5:$L216,5,false),vlookup(A:A,Pagos!$B$5:$L216,5,false),vlookup(A:A,Pagos!$B$5:$L216,4,false)))</f>
        <v>45901</v>
      </c>
      <c r="E7" s="492"/>
      <c r="F7" s="350" t="str">
        <f t="shared" si="1"/>
        <v/>
      </c>
      <c r="G7" s="350" t="b">
        <f>If(COUNTIF(Pagos!B:B,A7)&gt;1,true,false)</f>
        <v>0</v>
      </c>
    </row>
    <row r="8">
      <c r="A8" s="488" t="s">
        <v>153</v>
      </c>
      <c r="B8" s="489">
        <f>IF(iserror(vlookup(A:A,Pagos!$B$5:$L216,2,false)),"Disponible",vlookup(A:A,Pagos!$B$5:$L216,2,false))</f>
        <v>1536</v>
      </c>
      <c r="C8" s="510" t="str">
        <f>IF(iserror(vlookup(A:A,Pagos!$B$5:$L216,3,false)),"Disponible",vlookup(A:A,Pagos!$B$5:$L216,3,false))</f>
        <v>TARANTINO SEBASTIAN</v>
      </c>
      <c r="D8" s="491">
        <f>IF(iserror(vlookup(A:A,Pagos!$B$5:$L216,4,false)),"Disponible",If(vlookup(A:A,Pagos!$B$5:$L216,5,false),vlookup(A:A,Pagos!$B$5:$L216,5,false),vlookup(A:A,Pagos!$B$5:$L216,4,false)))</f>
        <v>45870</v>
      </c>
      <c r="E8" s="492"/>
      <c r="F8" s="350" t="str">
        <f t="shared" si="1"/>
        <v/>
      </c>
      <c r="G8" s="350" t="b">
        <f>If(COUNTIF(Pagos!B:B,A8)&gt;1,true,false)</f>
        <v>0</v>
      </c>
    </row>
    <row r="9">
      <c r="A9" s="495" t="s">
        <v>269</v>
      </c>
      <c r="B9" s="489">
        <f>IF(iserror(vlookup(A:A,Pagos!$B$5:$L216,2,false)),"Disponible",vlookup(A:A,Pagos!$B$5:$L216,2,false))</f>
        <v>1868</v>
      </c>
      <c r="C9" s="510" t="str">
        <f>IF(iserror(vlookup(A:A,Pagos!$B$5:$L216,3,false)),"Disponible",vlookup(A:A,Pagos!$B$5:$L216,3,false))</f>
        <v>PAVLETIC, CAMILA</v>
      </c>
      <c r="D9" s="491">
        <f>IF(iserror(vlookup(A:A,Pagos!$B$5:$L216,4,false)),"Disponible",If(vlookup(A:A,Pagos!$B$5:$L216,5,false),vlookup(A:A,Pagos!$B$5:$L216,5,false),vlookup(A:A,Pagos!$B$5:$L216,4,false)))</f>
        <v>45870</v>
      </c>
      <c r="E9" s="492"/>
      <c r="F9" s="350" t="str">
        <f t="shared" si="1"/>
        <v/>
      </c>
      <c r="G9" s="350" t="b">
        <f>If(COUNTIF(Pagos!B:B,A9)&gt;1,true,false)</f>
        <v>0</v>
      </c>
    </row>
    <row r="10">
      <c r="A10" s="488" t="s">
        <v>335</v>
      </c>
      <c r="B10" s="489">
        <f>IF(iserror(vlookup(A:A,Pagos!$B$5:$L216,2,false)),"Disponible",vlookup(A:A,Pagos!$B$5:$L216,2,false))</f>
        <v>2037</v>
      </c>
      <c r="C10" s="510" t="str">
        <f>IF(iserror(vlookup(A:A,Pagos!$B$5:$L216,3,false)),"Disponible",vlookup(A:A,Pagos!$B$5:$L216,3,false))</f>
        <v>KHOURY, NORA CLAUDIA</v>
      </c>
      <c r="D10" s="491">
        <f>IF(iserror(vlookup(A:A,Pagos!$B$5:$L216,4,false)),"Disponible",If(vlookup(A:A,Pagos!$B$5:$L216,5,false),vlookup(A:A,Pagos!$B$5:$L216,5,false),vlookup(A:A,Pagos!$B$5:$L216,4,false)))</f>
        <v>45870</v>
      </c>
      <c r="E10" s="510"/>
      <c r="F10" s="350" t="str">
        <f t="shared" si="1"/>
        <v/>
      </c>
      <c r="G10" s="350" t="b">
        <f>If(COUNTIF(Pagos!B:B,A10)&gt;1,true,false)</f>
        <v>0</v>
      </c>
    </row>
    <row r="11">
      <c r="A11" s="495" t="s">
        <v>342</v>
      </c>
      <c r="B11" s="489">
        <f>IF(iserror(vlookup(A:A,Pagos!$B$5:$L216,2,false)),"Disponible",vlookup(A:A,Pagos!$B$5:$L216,2,false))</f>
        <v>2046</v>
      </c>
      <c r="C11" s="510" t="str">
        <f>IF(iserror(vlookup(A:A,Pagos!$B$5:$L216,3,false)),"Disponible",vlookup(A:A,Pagos!$B$5:$L216,3,false))</f>
        <v>SCIACCHITANO, MA. GABRIELA</v>
      </c>
      <c r="D11" s="491">
        <f>IF(iserror(vlookup(A:A,Pagos!$B$5:$L216,4,false)),"Disponible",If(vlookup(A:A,Pagos!$B$5:$L216,5,false),vlookup(A:A,Pagos!$B$5:$L216,5,false),vlookup(A:A,Pagos!$B$5:$L216,4,false)))</f>
        <v>45870</v>
      </c>
      <c r="E11" s="492"/>
      <c r="F11" s="350" t="str">
        <f t="shared" si="1"/>
        <v/>
      </c>
      <c r="G11" s="350" t="b">
        <f>If(COUNTIF(Pagos!B:B,A11)&gt;1,true,false)</f>
        <v>0</v>
      </c>
    </row>
    <row r="12">
      <c r="A12" s="495" t="s">
        <v>330</v>
      </c>
      <c r="B12" s="489">
        <f>IF(iserror(vlookup(A:A,Pagos!$B$5:$L216,2,false)),"Disponible",vlookup(A:A,Pagos!$B$5:$L216,2,false))</f>
        <v>2029</v>
      </c>
      <c r="C12" s="510" t="str">
        <f>IF(iserror(vlookup(A:A,Pagos!$B$5:$L216,3,false)),"Disponible",vlookup(A:A,Pagos!$B$5:$L216,3,false))</f>
        <v>BARRIONUEVO, LORENA</v>
      </c>
      <c r="D12" s="491">
        <f>IF(iserror(vlookup(A:A,Pagos!$B$5:$L216,4,false)),"Disponible",If(vlookup(A:A,Pagos!$B$5:$L216,5,false),vlookup(A:A,Pagos!$B$5:$L216,5,false),vlookup(A:A,Pagos!$B$5:$L216,4,false)))</f>
        <v>45870</v>
      </c>
      <c r="E12" s="510"/>
      <c r="F12" s="350" t="str">
        <f t="shared" si="1"/>
        <v/>
      </c>
      <c r="G12" s="350" t="b">
        <f>If(COUNTIF(Pagos!B:B,A12)&gt;1,true,false)</f>
        <v>0</v>
      </c>
    </row>
    <row r="13">
      <c r="A13" s="495" t="s">
        <v>277</v>
      </c>
      <c r="B13" s="489">
        <f>IF(iserror(vlookup(A:A,Pagos!$B$5:$L216,2,false)),"Disponible",vlookup(A:A,Pagos!$B$5:$L216,2,false))</f>
        <v>1890</v>
      </c>
      <c r="C13" s="510" t="str">
        <f>IF(iserror(vlookup(A:A,Pagos!$B$5:$L216,3,false)),"Disponible",vlookup(A:A,Pagos!$B$5:$L216,3,false))</f>
        <v>SANCHEZ TURI, LUIS ALEJANDRO</v>
      </c>
      <c r="D13" s="491">
        <f>IF(iserror(vlookup(A:A,Pagos!$B$5:$L216,4,false)),"Disponible",If(vlookup(A:A,Pagos!$B$5:$L216,5,false),vlookup(A:A,Pagos!$B$5:$L216,5,false),vlookup(A:A,Pagos!$B$5:$L216,4,false)))</f>
        <v>45870</v>
      </c>
      <c r="E13" s="510"/>
      <c r="F13" s="350" t="str">
        <f t="shared" si="1"/>
        <v/>
      </c>
      <c r="G13" s="350" t="b">
        <f>If(COUNTIF(Pagos!B:B,A13)&gt;1,true,false)</f>
        <v>0</v>
      </c>
    </row>
    <row r="14">
      <c r="A14" s="495" t="s">
        <v>41</v>
      </c>
      <c r="B14" s="489">
        <f>IF(iserror(vlookup(A:A,Pagos!$B$5:$L216,2,false)),"Disponible",vlookup(A:A,Pagos!$B$5:$L216,2,false))</f>
        <v>14</v>
      </c>
      <c r="C14" s="510" t="str">
        <f>IF(iserror(vlookup(A:A,Pagos!$B$5:$L216,3,false)),"Disponible",vlookup(A:A,Pagos!$B$5:$L216,3,false))</f>
        <v>CABRERA, RICARDO JORGE</v>
      </c>
      <c r="D14" s="491">
        <f>IF(iserror(vlookup(A:A,Pagos!$B$5:$L216,4,false)),"Disponible",If(vlookup(A:A,Pagos!$B$5:$L216,5,false),vlookup(A:A,Pagos!$B$5:$L216,5,false),vlookup(A:A,Pagos!$B$5:$L216,4,false)))</f>
        <v>45870</v>
      </c>
      <c r="E14" s="492"/>
      <c r="F14" s="350" t="str">
        <f t="shared" si="1"/>
        <v/>
      </c>
      <c r="G14" s="350" t="b">
        <f>If(COUNTIF(Pagos!B:B,A14)&gt;1,true,false)</f>
        <v>0</v>
      </c>
    </row>
    <row r="15">
      <c r="A15" s="488" t="s">
        <v>144</v>
      </c>
      <c r="B15" s="489">
        <f>IF(iserror(vlookup(A:A,Pagos!$B$5:$L216,2,false)),"Disponible",vlookup(A:A,Pagos!$B$5:$L216,2,false))</f>
        <v>1479</v>
      </c>
      <c r="C15" s="510" t="str">
        <f>IF(iserror(vlookup(A:A,Pagos!$B$5:$L216,3,false)),"Disponible",vlookup(A:A,Pagos!$B$5:$L216,3,false))</f>
        <v>BLANCO, GUILLERMO</v>
      </c>
      <c r="D15" s="491">
        <f>IF(iserror(vlookup(A:A,Pagos!$B$5:$L216,4,false)),"Disponible",If(vlookup(A:A,Pagos!$B$5:$L216,5,false),vlookup(A:A,Pagos!$B$5:$L216,5,false),vlookup(A:A,Pagos!$B$5:$L216,4,false)))</f>
        <v>45901</v>
      </c>
      <c r="E15" s="492"/>
      <c r="F15" s="350" t="str">
        <f t="shared" si="1"/>
        <v/>
      </c>
      <c r="G15" s="350" t="b">
        <f>If(COUNTIF(Pagos!B:B,A15)&gt;1,true,false)</f>
        <v>0</v>
      </c>
    </row>
    <row r="16">
      <c r="A16" s="488" t="s">
        <v>84</v>
      </c>
      <c r="B16" s="489">
        <f>IF(iserror(vlookup(A:A,Pagos!$B$5:$L216,2,false)),"Disponible",vlookup(A:A,Pagos!$B$5:$L216,2,false))</f>
        <v>869</v>
      </c>
      <c r="C16" s="510" t="str">
        <f>IF(iserror(vlookup(A:A,Pagos!$B$5:$L216,3,false)),"Disponible",vlookup(A:A,Pagos!$B$5:$L216,3,false))</f>
        <v>SORENSEN, HANS</v>
      </c>
      <c r="D16" s="491">
        <f>IF(iserror(vlookup(A:A,Pagos!$B$5:$L216,4,false)),"Disponible",If(vlookup(A:A,Pagos!$B$5:$L216,5,false),vlookup(A:A,Pagos!$B$5:$L216,5,false),vlookup(A:A,Pagos!$B$5:$L216,4,false)))</f>
        <v>45870</v>
      </c>
      <c r="E16" s="492"/>
      <c r="F16" s="350" t="str">
        <f t="shared" si="1"/>
        <v/>
      </c>
      <c r="G16" s="350" t="b">
        <f>If(COUNTIF(Pagos!B:B,A16)&gt;1,true,false)</f>
        <v>0</v>
      </c>
    </row>
    <row r="17">
      <c r="A17" s="495" t="s">
        <v>467</v>
      </c>
      <c r="B17" s="489">
        <f>IF(iserror(vlookup(A:A,Pagos!$B$5:$L216,2,false)),"Disponible",vlookup(A:A,Pagos!$B$5:$L216,2,false))</f>
        <v>2315</v>
      </c>
      <c r="C17" s="510" t="str">
        <f>IF(iserror(vlookup(A:A,Pagos!$B$5:$L216,3,false)),"Disponible",vlookup(A:A,Pagos!$B$5:$L216,3,false))</f>
        <v>DAVAGNINO, LUCIANO</v>
      </c>
      <c r="D17" s="491">
        <f>IF(iserror(vlookup(A:A,Pagos!$B$5:$L216,4,false)),"Disponible",If(vlookup(A:A,Pagos!$B$5:$L216,5,false),vlookup(A:A,Pagos!$B$5:$L216,5,false),vlookup(A:A,Pagos!$B$5:$L216,4,false)))</f>
        <v>45870</v>
      </c>
      <c r="E17" s="510"/>
      <c r="F17" s="350" t="str">
        <f t="shared" si="1"/>
        <v/>
      </c>
      <c r="G17" s="350" t="b">
        <f>If(COUNTIF(Pagos!B:B,A17)&gt;1,true,false)</f>
        <v>0</v>
      </c>
    </row>
    <row r="18">
      <c r="A18" s="495" t="s">
        <v>304</v>
      </c>
      <c r="B18" s="489">
        <f>IF(iserror(vlookup(A:A,Pagos!$B$5:$L216,2,false)),"Disponible",vlookup(A:A,Pagos!$B$5:$L216,2,false))</f>
        <v>1942</v>
      </c>
      <c r="C18" s="510" t="str">
        <f>IF(iserror(vlookup(A:A,Pagos!$B$5:$L216,3,false)),"Disponible",vlookup(A:A,Pagos!$B$5:$L216,3,false))</f>
        <v>JAUREGUI, AYLEN</v>
      </c>
      <c r="D18" s="491">
        <f>IF(iserror(vlookup(A:A,Pagos!$B$5:$L216,4,false)),"Disponible",If(vlookup(A:A,Pagos!$B$5:$L216,5,false),vlookup(A:A,Pagos!$B$5:$L216,5,false),vlookup(A:A,Pagos!$B$5:$L216,4,false)))</f>
        <v>45778</v>
      </c>
      <c r="E18" s="510"/>
      <c r="F18" s="350" t="str">
        <f t="shared" si="1"/>
        <v/>
      </c>
      <c r="G18" s="350" t="b">
        <f>If(COUNTIF(Pagos!B:B,A18)&gt;1,true,false)</f>
        <v>0</v>
      </c>
    </row>
    <row r="19">
      <c r="A19" s="488" t="s">
        <v>4822</v>
      </c>
      <c r="B19" s="489" t="str">
        <f>IF(iserror(vlookup(A:A,Pagos!$B$5:$L216,2,false)),"Disponible",vlookup(A:A,Pagos!$B$5:$L216,2,false))</f>
        <v>Disponible</v>
      </c>
      <c r="C19" s="510" t="str">
        <f>IF(iserror(vlookup(A:A,Pagos!$B$5:$L216,3,false)),"Disponible",vlookup(A:A,Pagos!$B$5:$L216,3,false))</f>
        <v>Disponible</v>
      </c>
      <c r="D19" s="491" t="str">
        <f>IF(iserror(vlookup(A:A,Pagos!$B$5:$L216,4,false)),"Disponible",If(vlookup(A:A,Pagos!$B$5:$L216,5,false),vlookup(A:A,Pagos!$B$5:$L216,5,false),vlookup(A:A,Pagos!$B$5:$L216,4,false)))</f>
        <v>Disponible</v>
      </c>
      <c r="E19" s="510"/>
      <c r="F19" s="350" t="str">
        <f t="shared" si="1"/>
        <v/>
      </c>
      <c r="G19" s="350" t="b">
        <f>If(COUNTIF(Pagos!B:B,A19)&gt;1,true,false)</f>
        <v>0</v>
      </c>
    </row>
    <row r="20">
      <c r="A20" s="495" t="s">
        <v>4823</v>
      </c>
      <c r="B20" s="489" t="str">
        <f>IF(iserror(vlookup(A:A,Pagos!$B$5:$L216,2,false)),"Disponible",vlookup(A:A,Pagos!$B$5:$L216,2,false))</f>
        <v>Disponible</v>
      </c>
      <c r="C20" s="510" t="str">
        <f>IF(iserror(vlookup(A:A,Pagos!$B$5:$L216,3,false)),"Disponible",vlookup(A:A,Pagos!$B$5:$L216,3,false))</f>
        <v>Disponible</v>
      </c>
      <c r="D20" s="491" t="str">
        <f>IF(iserror(vlookup(A:A,Pagos!$B$5:$L216,4,false)),"Disponible",If(vlookup(A:A,Pagos!$B$5:$L216,5,false),vlookup(A:A,Pagos!$B$5:$L216,5,false),vlookup(A:A,Pagos!$B$5:$L216,4,false)))</f>
        <v>Disponible</v>
      </c>
      <c r="E20" s="492"/>
      <c r="F20" s="350" t="str">
        <f t="shared" si="1"/>
        <v/>
      </c>
      <c r="G20" s="350" t="b">
        <f>If(COUNTIF(Pagos!B:B,A20)&gt;1,true,false)</f>
        <v>0</v>
      </c>
    </row>
    <row r="21">
      <c r="A21" s="495" t="s">
        <v>4824</v>
      </c>
      <c r="B21" s="489" t="str">
        <f>IF(iserror(vlookup(A:A,Pagos!$B$5:$L216,2,false)),"Disponible",vlookup(A:A,Pagos!$B$5:$L216,2,false))</f>
        <v>Disponible</v>
      </c>
      <c r="C21" s="510" t="str">
        <f>IF(iserror(vlookup(A:A,Pagos!$B$5:$L216,3,false)),"Disponible",vlookup(A:A,Pagos!$B$5:$L216,3,false))</f>
        <v>Disponible</v>
      </c>
      <c r="D21" s="491" t="str">
        <f>IF(iserror(vlookup(A:A,Pagos!$B$5:$L216,4,false)),"Disponible",If(vlookup(A:A,Pagos!$B$5:$L216,5,false),vlookup(A:A,Pagos!$B$5:$L216,5,false),vlookup(A:A,Pagos!$B$5:$L216,4,false)))</f>
        <v>Disponible</v>
      </c>
      <c r="E21" s="510"/>
      <c r="F21" s="350" t="str">
        <f t="shared" si="1"/>
        <v/>
      </c>
      <c r="G21" s="350" t="b">
        <f>If(COUNTIF(Pagos!B:B,A21)&gt;1,true,false)</f>
        <v>0</v>
      </c>
    </row>
    <row r="22">
      <c r="A22" s="495" t="s">
        <v>4825</v>
      </c>
      <c r="B22" s="489" t="str">
        <f>IF(iserror(vlookup(A:A,Pagos!$B$5:$L216,2,false)),"Disponible",vlookup(A:A,Pagos!$B$5:$L216,2,false))</f>
        <v>Disponible</v>
      </c>
      <c r="C22" s="510" t="str">
        <f>IF(iserror(vlookup(A:A,Pagos!$B$5:$L216,3,false)),"Disponible",vlookup(A:A,Pagos!$B$5:$L216,3,false))</f>
        <v>Disponible</v>
      </c>
      <c r="D22" s="491" t="str">
        <f>IF(iserror(vlookup(A:A,Pagos!$B$5:$L216,4,false)),"Disponible",If(vlookup(A:A,Pagos!$B$5:$L216,5,false),vlookup(A:A,Pagos!$B$5:$L216,5,false),vlookup(A:A,Pagos!$B$5:$L216,4,false)))</f>
        <v>Disponible</v>
      </c>
      <c r="E22" s="492"/>
      <c r="F22" s="350" t="str">
        <f t="shared" si="1"/>
        <v/>
      </c>
      <c r="G22" s="350" t="b">
        <f>If(COUNTIF(Pagos!B:B,A22)&gt;1,true,false)</f>
        <v>0</v>
      </c>
    </row>
    <row r="23">
      <c r="A23" s="488" t="s">
        <v>248</v>
      </c>
      <c r="B23" s="489">
        <f>IF(iserror(vlookup(A:A,Pagos!$B$5:$L216,2,false)),"Disponible",vlookup(A:A,Pagos!$B$5:$L216,2,false))</f>
        <v>1784</v>
      </c>
      <c r="C23" s="510" t="str">
        <f>IF(iserror(vlookup(A:A,Pagos!$B$5:$L216,3,false)),"Disponible",vlookup(A:A,Pagos!$B$5:$L216,3,false))</f>
        <v>LESCANO, FABIAN</v>
      </c>
      <c r="D23" s="491">
        <f>IF(iserror(vlookup(A:A,Pagos!$B$5:$L216,4,false)),"Disponible",If(vlookup(A:A,Pagos!$B$5:$L216,5,false),vlookup(A:A,Pagos!$B$5:$L216,5,false),vlookup(A:A,Pagos!$B$5:$L216,4,false)))</f>
        <v>45870</v>
      </c>
      <c r="E23" s="492"/>
      <c r="F23" s="350" t="str">
        <f t="shared" si="1"/>
        <v/>
      </c>
      <c r="G23" s="350" t="b">
        <f>If(COUNTIF(Pagos!B:B,A23)&gt;1,true,false)</f>
        <v>0</v>
      </c>
    </row>
    <row r="24">
      <c r="A24" s="488" t="s">
        <v>179</v>
      </c>
      <c r="B24" s="489">
        <f>IF(iserror(vlookup(A:A,Pagos!$B$5:$L216,2,false)),"Disponible",vlookup(A:A,Pagos!$B$5:$L216,2,false))</f>
        <v>1618</v>
      </c>
      <c r="C24" s="510" t="str">
        <f>IF(iserror(vlookup(A:A,Pagos!$B$5:$L216,3,false)),"Disponible",vlookup(A:A,Pagos!$B$5:$L216,3,false))</f>
        <v>VILLACORTA, GERARDO</v>
      </c>
      <c r="D24" s="491">
        <f>IF(iserror(vlookup(A:A,Pagos!$B$5:$L216,4,false)),"Disponible",If(vlookup(A:A,Pagos!$B$5:$L216,5,false),vlookup(A:A,Pagos!$B$5:$L216,5,false),vlookup(A:A,Pagos!$B$5:$L216,4,false)))</f>
        <v>45901</v>
      </c>
      <c r="E24" s="492"/>
      <c r="F24" s="350" t="str">
        <f t="shared" si="1"/>
        <v/>
      </c>
      <c r="G24" s="350" t="b">
        <f>If(COUNTIF(Pagos!B:B,A24)&gt;1,true,false)</f>
        <v>0</v>
      </c>
    </row>
    <row r="25">
      <c r="A25" s="488" t="s">
        <v>4826</v>
      </c>
      <c r="B25" s="489" t="str">
        <f>IF(iserror(vlookup(A:A,Pagos!$B$5:$L216,2,false)),"Disponible",vlookup(A:A,Pagos!$B$5:$L216,2,false))</f>
        <v>Disponible</v>
      </c>
      <c r="C25" s="510" t="str">
        <f>IF(iserror(vlookup(A:A,Pagos!$B$5:$L216,3,false)),"Disponible",vlookup(A:A,Pagos!$B$5:$L216,3,false))</f>
        <v>Disponible</v>
      </c>
      <c r="D25" s="491" t="str">
        <f>IF(iserror(vlookup(A:A,Pagos!$B$5:$L216,4,false)),"Disponible",If(vlookup(A:A,Pagos!$B$5:$L216,5,false),vlookup(A:A,Pagos!$B$5:$L216,5,false),vlookup(A:A,Pagos!$B$5:$L216,4,false)))</f>
        <v>Disponible</v>
      </c>
      <c r="E25" s="492"/>
      <c r="F25" s="350" t="str">
        <f t="shared" si="1"/>
        <v/>
      </c>
      <c r="G25" s="350" t="b">
        <f>If(COUNTIF(Pagos!B:B,A25)&gt;1,true,false)</f>
        <v>0</v>
      </c>
    </row>
    <row r="26">
      <c r="A26" s="495" t="s">
        <v>4827</v>
      </c>
      <c r="B26" s="489" t="str">
        <f>IF(iserror(vlookup(A:A,Pagos!$B$5:$L216,2,false)),"Disponible",vlookup(A:A,Pagos!$B$5:$L216,2,false))</f>
        <v>Disponible</v>
      </c>
      <c r="C26" s="510" t="str">
        <f>IF(iserror(vlookup(A:A,Pagos!$B$5:$L216,3,false)),"Disponible",vlookup(A:A,Pagos!$B$5:$L216,3,false))</f>
        <v>Disponible</v>
      </c>
      <c r="D26" s="491" t="str">
        <f>IF(iserror(vlookup(A:A,Pagos!$B$5:$L216,4,false)),"Disponible",If(vlookup(A:A,Pagos!$B$5:$L216,5,false),vlookup(A:A,Pagos!$B$5:$L216,5,false),vlookup(A:A,Pagos!$B$5:$L216,4,false)))</f>
        <v>Disponible</v>
      </c>
      <c r="E26" s="492"/>
      <c r="F26" s="350" t="str">
        <f t="shared" si="1"/>
        <v/>
      </c>
      <c r="G26" s="350" t="b">
        <f>If(COUNTIF(Pagos!B:B,A26)&gt;1,true,false)</f>
        <v>0</v>
      </c>
    </row>
    <row r="27">
      <c r="A27" s="495" t="s">
        <v>205</v>
      </c>
      <c r="B27" s="489">
        <f>IF(iserror(vlookup(A:A,Pagos!$B$5:$L216,2,false)),"Disponible",vlookup(A:A,Pagos!$B$5:$L216,2,false))</f>
        <v>1671</v>
      </c>
      <c r="C27" s="510" t="str">
        <f>IF(iserror(vlookup(A:A,Pagos!$B$5:$L216,3,false)),"Disponible",vlookup(A:A,Pagos!$B$5:$L216,3,false))</f>
        <v>LAYANA, CLAUDIO</v>
      </c>
      <c r="D27" s="491">
        <f>IF(iserror(vlookup(A:A,Pagos!$B$5:$L216,4,false)),"Disponible",If(vlookup(A:A,Pagos!$B$5:$L216,5,false),vlookup(A:A,Pagos!$B$5:$L216,5,false),vlookup(A:A,Pagos!$B$5:$L216,4,false)))</f>
        <v>46357</v>
      </c>
      <c r="E27" s="492"/>
      <c r="F27" s="350" t="str">
        <f t="shared" si="1"/>
        <v/>
      </c>
      <c r="G27" s="350" t="b">
        <f>If(COUNTIF(Pagos!B:B,A27)&gt;1,true,false)</f>
        <v>0</v>
      </c>
    </row>
    <row r="28">
      <c r="A28" s="488" t="s">
        <v>208</v>
      </c>
      <c r="B28" s="489">
        <f>IF(iserror(vlookup(A:A,Pagos!$B$5:$L216,2,false)),"Disponible",vlookup(A:A,Pagos!$B$5:$L216,2,false))</f>
        <v>1678</v>
      </c>
      <c r="C28" s="510" t="str">
        <f>IF(iserror(vlookup(A:A,Pagos!$B$5:$L216,3,false)),"Disponible",vlookup(A:A,Pagos!$B$5:$L216,3,false))</f>
        <v>SPAHR, ELISA</v>
      </c>
      <c r="D28" s="491">
        <f>IF(iserror(vlookup(A:A,Pagos!$B$5:$L216,4,false)),"Disponible",If(vlookup(A:A,Pagos!$B$5:$L216,5,false),vlookup(A:A,Pagos!$B$5:$L216,5,false),vlookup(A:A,Pagos!$B$5:$L216,4,false)))</f>
        <v>45870</v>
      </c>
      <c r="E28" s="492"/>
      <c r="F28" s="350" t="str">
        <f t="shared" si="1"/>
        <v/>
      </c>
      <c r="G28" s="350" t="b">
        <f>If(COUNTIF(Pagos!B:B,A28)&gt;1,true,false)</f>
        <v>0</v>
      </c>
    </row>
    <row r="29">
      <c r="A29" s="488" t="s">
        <v>310</v>
      </c>
      <c r="B29" s="489">
        <f>IF(iserror(vlookup(A:A,Pagos!$B$5:$L216,2,false)),"Disponible",vlookup(A:A,Pagos!$B$5:$L216,2,false))</f>
        <v>1960</v>
      </c>
      <c r="C29" s="510" t="str">
        <f>IF(iserror(vlookup(A:A,Pagos!$B$5:$L216,3,false)),"Disponible",vlookup(A:A,Pagos!$B$5:$L216,3,false))</f>
        <v>CAMPARO, CARLOS</v>
      </c>
      <c r="D29" s="491">
        <f>IF(iserror(vlookup(A:A,Pagos!$B$5:$L216,4,false)),"Disponible",If(vlookup(A:A,Pagos!$B$5:$L216,5,false),vlookup(A:A,Pagos!$B$5:$L216,5,false),vlookup(A:A,Pagos!$B$5:$L216,4,false)))</f>
        <v>45870</v>
      </c>
      <c r="E29" s="510"/>
      <c r="F29" s="350" t="str">
        <f t="shared" si="1"/>
        <v/>
      </c>
      <c r="G29" s="350" t="b">
        <f>If(COUNTIF(Pagos!B:B,A29)&gt;1,true,false)</f>
        <v>0</v>
      </c>
    </row>
    <row r="30">
      <c r="A30" s="488" t="s">
        <v>102</v>
      </c>
      <c r="B30" s="489">
        <f>IF(iserror(vlookup(A:A,Pagos!$B$5:$L216,2,false)),"Disponible",vlookup(A:A,Pagos!$B$5:$L216,2,false))</f>
        <v>1141</v>
      </c>
      <c r="C30" s="510" t="str">
        <f>IF(iserror(vlookup(A:A,Pagos!$B$5:$L216,3,false)),"Disponible",vlookup(A:A,Pagos!$B$5:$L216,3,false))</f>
        <v>BASOALTO, CLAUDIA</v>
      </c>
      <c r="D30" s="491">
        <f>IF(iserror(vlookup(A:A,Pagos!$B$5:$L216,4,false)),"Disponible",If(vlookup(A:A,Pagos!$B$5:$L216,5,false),vlookup(A:A,Pagos!$B$5:$L216,5,false),vlookup(A:A,Pagos!$B$5:$L216,4,false)))</f>
        <v>45870</v>
      </c>
      <c r="E30" s="492"/>
      <c r="F30" s="350" t="str">
        <f t="shared" si="1"/>
        <v/>
      </c>
      <c r="G30" s="350" t="b">
        <f>If(COUNTIF(Pagos!B:B,A30)&gt;1,true,false)</f>
        <v>0</v>
      </c>
    </row>
    <row r="31">
      <c r="A31" s="488" t="s">
        <v>4828</v>
      </c>
      <c r="B31" s="489" t="str">
        <f>IF(iserror(vlookup(A:A,Pagos!$B$5:$L216,2,false)),"Disponible",vlookup(A:A,Pagos!$B$5:$L216,2,false))</f>
        <v>Disponible</v>
      </c>
      <c r="C31" s="510" t="str">
        <f>IF(iserror(vlookup(A:A,Pagos!$B$5:$L216,3,false)),"Disponible",vlookup(A:A,Pagos!$B$5:$L216,3,false))</f>
        <v>Disponible</v>
      </c>
      <c r="D31" s="491" t="str">
        <f>IF(iserror(vlookup(A:A,Pagos!$B$5:$L216,4,false)),"Disponible",If(vlookup(A:A,Pagos!$B$5:$L216,5,false),vlookup(A:A,Pagos!$B$5:$L216,5,false),vlookup(A:A,Pagos!$B$5:$L216,4,false)))</f>
        <v>Disponible</v>
      </c>
      <c r="E31" s="492"/>
      <c r="F31" s="350" t="str">
        <f t="shared" si="1"/>
        <v/>
      </c>
      <c r="G31" s="350" t="b">
        <f>If(COUNTIF(Pagos!B:B,A31)&gt;1,true,false)</f>
        <v>0</v>
      </c>
    </row>
    <row r="32">
      <c r="A32" s="495" t="s">
        <v>4829</v>
      </c>
      <c r="B32" s="489" t="str">
        <f>IF(iserror(vlookup(A:A,Pagos!$B$5:$L216,2,false)),"Disponible",vlookup(A:A,Pagos!$B$5:$L216,2,false))</f>
        <v>Disponible</v>
      </c>
      <c r="C32" s="510" t="str">
        <f>IF(iserror(vlookup(A:A,Pagos!$B$5:$L216,3,false)),"Disponible",vlookup(A:A,Pagos!$B$5:$L216,3,false))</f>
        <v>Disponible</v>
      </c>
      <c r="D32" s="491" t="str">
        <f>IF(iserror(vlookup(A:A,Pagos!$B$5:$L216,4,false)),"Disponible",If(vlookup(A:A,Pagos!$B$5:$L216,5,false),vlookup(A:A,Pagos!$B$5:$L216,5,false),vlookup(A:A,Pagos!$B$5:$L216,4,false)))</f>
        <v>Disponible</v>
      </c>
      <c r="E32" s="510"/>
      <c r="F32" s="350" t="str">
        <f t="shared" si="1"/>
        <v/>
      </c>
      <c r="G32" s="350" t="b">
        <f>If(COUNTIF(Pagos!B:B,A32)&gt;1,true,false)</f>
        <v>0</v>
      </c>
    </row>
    <row r="33">
      <c r="A33" s="495" t="s">
        <v>177</v>
      </c>
      <c r="B33" s="489">
        <f>IF(iserror(vlookup(A:A,Pagos!$B$5:$L216,2,false)),"Disponible",vlookup(A:A,Pagos!$B$5:$L216,2,false))</f>
        <v>1616</v>
      </c>
      <c r="C33" s="510" t="str">
        <f>IF(iserror(vlookup(A:A,Pagos!$B$5:$L216,3,false)),"Disponible",vlookup(A:A,Pagos!$B$5:$L216,3,false))</f>
        <v>OLIVA, GUILLERMO</v>
      </c>
      <c r="D33" s="491">
        <f>IF(iserror(vlookup(A:A,Pagos!$B$5:$L216,4,false)),"Disponible",If(vlookup(A:A,Pagos!$B$5:$L216,5,false),vlookup(A:A,Pagos!$B$5:$L216,5,false),vlookup(A:A,Pagos!$B$5:$L216,4,false)))</f>
        <v>45870</v>
      </c>
      <c r="E33" s="510"/>
      <c r="F33" s="350" t="str">
        <f t="shared" si="1"/>
        <v/>
      </c>
      <c r="G33" s="350" t="b">
        <f>If(COUNTIF(Pagos!B:B,A33)&gt;1,true,false)</f>
        <v>0</v>
      </c>
    </row>
    <row r="34">
      <c r="A34" s="488" t="s">
        <v>68</v>
      </c>
      <c r="B34" s="489">
        <f>IF(iserror(vlookup(A:A,Pagos!$B$5:$L216,2,false)),"Disponible",vlookup(A:A,Pagos!$B$5:$L216,2,false))</f>
        <v>610</v>
      </c>
      <c r="C34" s="510" t="str">
        <f>IF(iserror(vlookup(A:A,Pagos!$B$5:$L216,3,false)),"Disponible",vlookup(A:A,Pagos!$B$5:$L216,3,false))</f>
        <v>GOUDAK, JORGE</v>
      </c>
      <c r="D34" s="491">
        <f>IF(iserror(vlookup(A:A,Pagos!$B$5:$L216,4,false)),"Disponible",If(vlookup(A:A,Pagos!$B$5:$L216,5,false),vlookup(A:A,Pagos!$B$5:$L216,5,false),vlookup(A:A,Pagos!$B$5:$L216,4,false)))</f>
        <v>45901</v>
      </c>
      <c r="E34" s="511"/>
      <c r="F34" s="350" t="str">
        <f t="shared" si="1"/>
        <v/>
      </c>
      <c r="G34" s="350" t="b">
        <f>If(COUNTIF(Pagos!B:B,A34)&gt;1,true,false)</f>
        <v>0</v>
      </c>
    </row>
    <row r="35">
      <c r="A35" s="488" t="s">
        <v>64</v>
      </c>
      <c r="B35" s="489">
        <f>IF(iserror(vlookup(A:A,Pagos!$B$5:$L216,2,false)),"Disponible",vlookup(A:A,Pagos!$B$5:$L216,2,false))</f>
        <v>504</v>
      </c>
      <c r="C35" s="510" t="str">
        <f>IF(iserror(vlookup(A:A,Pagos!$B$5:$L216,3,false)),"Disponible",vlookup(A:A,Pagos!$B$5:$L216,3,false))</f>
        <v>BASOALTO, RAUL ALBERTO</v>
      </c>
      <c r="D35" s="491">
        <f>IF(iserror(vlookup(A:A,Pagos!$B$5:$L216,4,false)),"Disponible",If(vlookup(A:A,Pagos!$B$5:$L216,5,false),vlookup(A:A,Pagos!$B$5:$L216,5,false),vlookup(A:A,Pagos!$B$5:$L216,4,false)))</f>
        <v>45870</v>
      </c>
      <c r="E35" s="510"/>
      <c r="F35" s="350" t="str">
        <f t="shared" si="1"/>
        <v/>
      </c>
      <c r="G35" s="350" t="b">
        <f>If(COUNTIF(Pagos!B:B,A35)&gt;1,true,false)</f>
        <v>0</v>
      </c>
    </row>
    <row r="36">
      <c r="A36" s="495" t="s">
        <v>108</v>
      </c>
      <c r="B36" s="489">
        <f>IF(iserror(vlookup(A:A,Pagos!$B$5:$L216,2,false)),"Disponible",vlookup(A:A,Pagos!$B$5:$L216,2,false))</f>
        <v>1204</v>
      </c>
      <c r="C36" s="510" t="str">
        <f>IF(iserror(vlookup(A:A,Pagos!$B$5:$L216,3,false)),"Disponible",vlookup(A:A,Pagos!$B$5:$L216,3,false))</f>
        <v>PIETRA FIGUEREDO, GUILLERMO</v>
      </c>
      <c r="D36" s="491">
        <f>IF(iserror(vlookup(A:A,Pagos!$B$5:$L216,4,false)),"Disponible",If(vlookup(A:A,Pagos!$B$5:$L216,5,false),vlookup(A:A,Pagos!$B$5:$L216,5,false),vlookup(A:A,Pagos!$B$5:$L216,4,false)))</f>
        <v>45870</v>
      </c>
      <c r="E36" s="510"/>
      <c r="F36" s="350" t="str">
        <f t="shared" si="1"/>
        <v/>
      </c>
      <c r="G36" s="350" t="b">
        <f>If(COUNTIF(Pagos!B:B,A36)&gt;1,true,false)</f>
        <v>0</v>
      </c>
    </row>
    <row r="37">
      <c r="A37" s="495" t="s">
        <v>4830</v>
      </c>
      <c r="B37" s="489" t="str">
        <f>IF(iserror(vlookup(A:A,Pagos!$B$5:$L216,2,false)),"Disponible",vlookup(A:A,Pagos!$B$5:$L216,2,false))</f>
        <v>Disponible</v>
      </c>
      <c r="C37" s="510" t="str">
        <f>IF(iserror(vlookup(A:A,Pagos!$B$5:$L216,3,false)),"Disponible",vlookup(A:A,Pagos!$B$5:$L216,3,false))</f>
        <v>Disponible</v>
      </c>
      <c r="D37" s="491" t="str">
        <f>IF(iserror(vlookup(A:A,Pagos!$B$5:$L216,4,false)),"Disponible",If(vlookup(A:A,Pagos!$B$5:$L216,5,false),vlookup(A:A,Pagos!$B$5:$L216,5,false),vlookup(A:A,Pagos!$B$5:$L216,4,false)))</f>
        <v>Disponible</v>
      </c>
      <c r="E37" s="510"/>
      <c r="F37" s="350" t="str">
        <f t="shared" si="1"/>
        <v/>
      </c>
      <c r="G37" s="350" t="b">
        <f>If(COUNTIF(Pagos!B:B,A37)&gt;1,true,false)</f>
        <v>0</v>
      </c>
    </row>
    <row r="38">
      <c r="A38" s="495" t="s">
        <v>4831</v>
      </c>
      <c r="B38" s="489" t="str">
        <f>IF(iserror(vlookup(A:A,Pagos!$B$5:$L216,2,false)),"Disponible",vlookup(A:A,Pagos!$B$5:$L216,2,false))</f>
        <v>Disponible</v>
      </c>
      <c r="C38" s="510" t="str">
        <f>IF(iserror(vlookup(A:A,Pagos!$B$5:$L216,3,false)),"Disponible",vlookup(A:A,Pagos!$B$5:$L216,3,false))</f>
        <v>Disponible</v>
      </c>
      <c r="D38" s="491" t="str">
        <f>IF(iserror(vlookup(A:A,Pagos!$B$5:$L216,4,false)),"Disponible",If(vlookup(A:A,Pagos!$B$5:$L216,5,false),vlookup(A:A,Pagos!$B$5:$L216,5,false),vlookup(A:A,Pagos!$B$5:$L216,4,false)))</f>
        <v>Disponible</v>
      </c>
      <c r="E38" s="510"/>
      <c r="F38" s="350" t="str">
        <f t="shared" si="1"/>
        <v/>
      </c>
      <c r="G38" s="350" t="b">
        <f>If(COUNTIF(Pagos!B:B,A38)&gt;1,true,false)</f>
        <v>0</v>
      </c>
    </row>
    <row r="39">
      <c r="A39" s="495" t="s">
        <v>4832</v>
      </c>
      <c r="B39" s="489" t="str">
        <f>IF(iserror(vlookup(A:A,Pagos!$B$5:$L216,2,false)),"Disponible",vlookup(A:A,Pagos!$B$5:$L216,2,false))</f>
        <v>Disponible</v>
      </c>
      <c r="C39" s="510" t="str">
        <f>IF(iserror(vlookup(A:A,Pagos!$B$5:$L216,3,false)),"Disponible",vlookup(A:A,Pagos!$B$5:$L216,3,false))</f>
        <v>Disponible</v>
      </c>
      <c r="D39" s="491" t="str">
        <f>IF(iserror(vlookup(A:A,Pagos!$B$5:$L216,4,false)),"Disponible",If(vlookup(A:A,Pagos!$B$5:$L216,5,false),vlookup(A:A,Pagos!$B$5:$L216,5,false),vlookup(A:A,Pagos!$B$5:$L216,4,false)))</f>
        <v>Disponible</v>
      </c>
      <c r="E39" s="510"/>
      <c r="F39" s="350" t="str">
        <f t="shared" si="1"/>
        <v/>
      </c>
      <c r="G39" s="350" t="b">
        <f>If(COUNTIF(Pagos!B:B,A39)&gt;1,true,false)</f>
        <v>0</v>
      </c>
    </row>
    <row r="40">
      <c r="A40" s="488" t="s">
        <v>4833</v>
      </c>
      <c r="B40" s="489" t="str">
        <f>IF(iserror(vlookup(A:A,Pagos!$B$5:$L216,2,false)),"Disponible",vlookup(A:A,Pagos!$B$5:$L216,2,false))</f>
        <v>Disponible</v>
      </c>
      <c r="C40" s="510" t="str">
        <f>IF(iserror(vlookup(A:A,Pagos!$B$5:$L216,3,false)),"Disponible",vlookup(A:A,Pagos!$B$5:$L216,3,false))</f>
        <v>Disponible</v>
      </c>
      <c r="D40" s="491" t="str">
        <f>IF(iserror(vlookup(A:A,Pagos!$B$5:$L216,4,false)),"Disponible",If(vlookup(A:A,Pagos!$B$5:$L216,5,false),vlookup(A:A,Pagos!$B$5:$L216,5,false),vlookup(A:A,Pagos!$B$5:$L216,4,false)))</f>
        <v>Disponible</v>
      </c>
      <c r="E40" s="510"/>
      <c r="F40" s="350" t="str">
        <f t="shared" si="1"/>
        <v/>
      </c>
      <c r="G40" s="350" t="b">
        <f>If(COUNTIF(Pagos!B:B,A40)&gt;1,true,false)</f>
        <v>0</v>
      </c>
    </row>
    <row r="41">
      <c r="A41" s="495" t="s">
        <v>104</v>
      </c>
      <c r="B41" s="489">
        <f>IF(iserror(vlookup(A:A,Pagos!$B$5:$L216,2,false)),"Disponible",vlookup(A:A,Pagos!$B$5:$L216,2,false))</f>
        <v>1147</v>
      </c>
      <c r="C41" s="510" t="str">
        <f>IF(iserror(vlookup(A:A,Pagos!$B$5:$L216,3,false)),"Disponible",vlookup(A:A,Pagos!$B$5:$L216,3,false))</f>
        <v>ICARDI, NESTOR</v>
      </c>
      <c r="D41" s="491">
        <f>IF(iserror(vlookup(A:A,Pagos!$B$5:$L216,4,false)),"Disponible",If(vlookup(A:A,Pagos!$B$5:$L216,5,false),vlookup(A:A,Pagos!$B$5:$L216,5,false),vlookup(A:A,Pagos!$B$5:$L216,4,false)))</f>
        <v>45870</v>
      </c>
      <c r="E41" s="510"/>
      <c r="F41" s="350" t="str">
        <f t="shared" si="1"/>
        <v/>
      </c>
      <c r="G41" s="350" t="b">
        <f>If(COUNTIF(Pagos!B:B,A41)&gt;1,true,false)</f>
        <v>0</v>
      </c>
    </row>
    <row r="42">
      <c r="A42" s="488" t="s">
        <v>168</v>
      </c>
      <c r="B42" s="489">
        <f>IF(iserror(vlookup(A:A,Pagos!$B$5:$L216,2,false)),"Disponible",vlookup(A:A,Pagos!$B$5:$L216,2,false))</f>
        <v>1594</v>
      </c>
      <c r="C42" s="510" t="str">
        <f>IF(iserror(vlookup(A:A,Pagos!$B$5:$L216,3,false)),"Disponible",vlookup(A:A,Pagos!$B$5:$L216,3,false))</f>
        <v>MONTES DE OCA, ERNESTO</v>
      </c>
      <c r="D42" s="491">
        <f>IF(iserror(vlookup(A:A,Pagos!$B$5:$L216,4,false)),"Disponible",If(vlookup(A:A,Pagos!$B$5:$L216,5,false),vlookup(A:A,Pagos!$B$5:$L216,5,false),vlookup(A:A,Pagos!$B$5:$L216,4,false)))</f>
        <v>45870</v>
      </c>
      <c r="E42" s="492"/>
      <c r="F42" s="350" t="str">
        <f t="shared" si="1"/>
        <v/>
      </c>
      <c r="G42" s="350" t="b">
        <f>If(COUNTIF(Pagos!B:B,A42)&gt;1,true,false)</f>
        <v>0</v>
      </c>
    </row>
    <row r="43">
      <c r="A43" s="495" t="s">
        <v>4834</v>
      </c>
      <c r="B43" s="489" t="str">
        <f>IF(iserror(vlookup(A:A,Pagos!$B$5:$L216,2,false)),"Disponible",vlookup(A:A,Pagos!$B$5:$L216,2,false))</f>
        <v>Disponible</v>
      </c>
      <c r="C43" s="510" t="str">
        <f>IF(iserror(vlookup(A:A,Pagos!$B$5:$L216,3,false)),"Disponible",vlookup(A:A,Pagos!$B$5:$L216,3,false))</f>
        <v>Disponible</v>
      </c>
      <c r="D43" s="491" t="str">
        <f>IF(iserror(vlookup(A:A,Pagos!$B$5:$L216,4,false)),"Disponible",If(vlookup(A:A,Pagos!$B$5:$L216,5,false),vlookup(A:A,Pagos!$B$5:$L216,5,false),vlookup(A:A,Pagos!$B$5:$L216,4,false)))</f>
        <v>Disponible</v>
      </c>
      <c r="E43" s="510"/>
      <c r="F43" s="350" t="str">
        <f t="shared" si="1"/>
        <v/>
      </c>
      <c r="G43" s="350" t="b">
        <f>If(COUNTIF(Pagos!B:B,A43)&gt;1,true,false)</f>
        <v>0</v>
      </c>
    </row>
    <row r="44">
      <c r="A44" s="488" t="s">
        <v>4835</v>
      </c>
      <c r="B44" s="489" t="str">
        <f>IF(iserror(vlookup(A:A,Pagos!$B$5:$L216,2,false)),"Disponible",vlookup(A:A,Pagos!$B$5:$L216,2,false))</f>
        <v>Disponible</v>
      </c>
      <c r="C44" s="510" t="str">
        <f>IF(iserror(vlookup(A:A,Pagos!$B$5:$L216,3,false)),"Disponible",vlookup(A:A,Pagos!$B$5:$L216,3,false))</f>
        <v>Disponible</v>
      </c>
      <c r="D44" s="491" t="str">
        <f>IF(iserror(vlookup(A:A,Pagos!$B$5:$L216,4,false)),"Disponible",If(vlookup(A:A,Pagos!$B$5:$L216,5,false),vlookup(A:A,Pagos!$B$5:$L216,5,false),vlookup(A:A,Pagos!$B$5:$L216,4,false)))</f>
        <v>Disponible</v>
      </c>
      <c r="E44" s="492"/>
      <c r="F44" s="350" t="str">
        <f t="shared" si="1"/>
        <v/>
      </c>
      <c r="G44" s="350" t="b">
        <f>If(COUNTIF(Pagos!B:B,A44)&gt;1,true,false)</f>
        <v>0</v>
      </c>
    </row>
    <row r="45">
      <c r="A45" s="495" t="s">
        <v>4836</v>
      </c>
      <c r="B45" s="489">
        <f>IF(iserror(vlookup(A:A,Pagos!$B$5:$L216,2,false)),"Disponible",vlookup(A:A,Pagos!$B$5:$L216,2,false))</f>
        <v>2167</v>
      </c>
      <c r="C45" s="510" t="str">
        <f>IF(iserror(vlookup(A:A,Pagos!$B$5:$L216,3,false)),"Disponible",vlookup(A:A,Pagos!$B$5:$L216,3,false))</f>
        <v>WOLCAN, JEREMIAS</v>
      </c>
      <c r="D45" s="491">
        <f>IF(iserror(vlookup(A:A,Pagos!$B$5:$L216,4,false)),"Disponible",If(vlookup(A:A,Pagos!$B$5:$L216,5,false),vlookup(A:A,Pagos!$B$5:$L216,5,false),vlookup(A:A,Pagos!$B$5:$L216,4,false)))</f>
        <v>45870</v>
      </c>
      <c r="E45" s="510"/>
      <c r="F45" s="350" t="str">
        <f t="shared" si="1"/>
        <v/>
      </c>
      <c r="G45" s="350" t="b">
        <f>If(COUNTIF(Pagos!B:B,A45)&gt;1,true,false)</f>
        <v>0</v>
      </c>
    </row>
    <row r="46">
      <c r="A46" s="495" t="s">
        <v>109</v>
      </c>
      <c r="B46" s="489">
        <f>IF(iserror(vlookup(A:A,Pagos!$B$5:$L216,2,false)),"Disponible",vlookup(A:A,Pagos!$B$5:$L216,2,false))</f>
        <v>1204</v>
      </c>
      <c r="C46" s="510" t="str">
        <f>IF(iserror(vlookup(A:A,Pagos!$B$5:$L216,3,false)),"Disponible",vlookup(A:A,Pagos!$B$5:$L216,3,false))</f>
        <v>PIETRA FIGUEREDO, GUILLERMO</v>
      </c>
      <c r="D46" s="491">
        <f>IF(iserror(vlookup(A:A,Pagos!$B$5:$L216,4,false)),"Disponible",If(vlookup(A:A,Pagos!$B$5:$L216,5,false),vlookup(A:A,Pagos!$B$5:$L216,5,false),vlookup(A:A,Pagos!$B$5:$L216,4,false)))</f>
        <v>45870</v>
      </c>
      <c r="E46" s="510"/>
      <c r="F46" s="350" t="str">
        <f t="shared" si="1"/>
        <v/>
      </c>
      <c r="G46" s="350" t="b">
        <f>If(COUNTIF(Pagos!B:B,A46)&gt;1,true,false)</f>
        <v>0</v>
      </c>
    </row>
    <row r="47">
      <c r="A47" s="488" t="s">
        <v>59</v>
      </c>
      <c r="B47" s="489">
        <f>IF(iserror(vlookup(A:A,Pagos!$B$5:$L216,2,false)),"Disponible",vlookup(A:A,Pagos!$B$5:$L216,2,false))</f>
        <v>164</v>
      </c>
      <c r="C47" s="510" t="str">
        <f>IF(iserror(vlookup(A:A,Pagos!$B$5:$L216,3,false)),"Disponible",vlookup(A:A,Pagos!$B$5:$L216,3,false))</f>
        <v>MORENO,HECTOR</v>
      </c>
      <c r="D47" s="491">
        <f>IF(iserror(vlookup(A:A,Pagos!$B$5:$L216,4,false)),"Disponible",If(vlookup(A:A,Pagos!$B$5:$L216,5,false),vlookup(A:A,Pagos!$B$5:$L216,5,false),vlookup(A:A,Pagos!$B$5:$L216,4,false)))</f>
        <v>45870</v>
      </c>
      <c r="E47" s="510"/>
      <c r="F47" s="350" t="str">
        <f t="shared" si="1"/>
        <v/>
      </c>
      <c r="G47" s="350" t="b">
        <f>If(COUNTIF(Pagos!B:B,A47)&gt;1,true,false)</f>
        <v>0</v>
      </c>
    </row>
    <row r="48">
      <c r="A48" s="488" t="s">
        <v>133</v>
      </c>
      <c r="B48" s="489">
        <f>IF(iserror(vlookup(A:A,Pagos!$B$5:$L216,2,false)),"Disponible",vlookup(A:A,Pagos!$B$5:$L216,2,false))</f>
        <v>1441</v>
      </c>
      <c r="C48" s="510" t="str">
        <f>IF(iserror(vlookup(A:A,Pagos!$B$5:$L216,3,false)),"Disponible",vlookup(A:A,Pagos!$B$5:$L216,3,false))</f>
        <v>MACEDO, SERGIO</v>
      </c>
      <c r="D48" s="491">
        <f>IF(iserror(vlookup(A:A,Pagos!$B$5:$L216,4,false)),"Disponible",If(vlookup(A:A,Pagos!$B$5:$L216,5,false),vlookup(A:A,Pagos!$B$5:$L216,5,false),vlookup(A:A,Pagos!$B$5:$L216,4,false)))</f>
        <v>45870</v>
      </c>
      <c r="E48" s="510"/>
      <c r="F48" s="350" t="str">
        <f t="shared" si="1"/>
        <v/>
      </c>
      <c r="G48" s="350" t="b">
        <f>If(COUNTIF(Pagos!B:B,A48)&gt;1,true,false)</f>
        <v>0</v>
      </c>
    </row>
    <row r="49">
      <c r="A49" s="495" t="s">
        <v>292</v>
      </c>
      <c r="B49" s="489">
        <f>IF(iserror(vlookup(A:A,Pagos!$B$5:$L216,2,false)),"Disponible",vlookup(A:A,Pagos!$B$5:$L216,2,false))</f>
        <v>1920</v>
      </c>
      <c r="C49" s="510" t="str">
        <f>IF(iserror(vlookup(A:A,Pagos!$B$5:$L216,3,false)),"Disponible",vlookup(A:A,Pagos!$B$5:$L216,3,false))</f>
        <v>LUBRANO, JULIETA</v>
      </c>
      <c r="D49" s="491">
        <f>IF(iserror(vlookup(A:A,Pagos!$B$5:$L216,4,false)),"Disponible",If(vlookup(A:A,Pagos!$B$5:$L216,5,false),vlookup(A:A,Pagos!$B$5:$L216,5,false),vlookup(A:A,Pagos!$B$5:$L216,4,false)))</f>
        <v>45870</v>
      </c>
      <c r="E49" s="492"/>
      <c r="F49" s="350" t="str">
        <f t="shared" si="1"/>
        <v/>
      </c>
      <c r="G49" s="350" t="b">
        <f>If(COUNTIF(Pagos!B:B,A49)&gt;1,true,false)</f>
        <v>0</v>
      </c>
    </row>
    <row r="50">
      <c r="A50" s="488" t="s">
        <v>4837</v>
      </c>
      <c r="B50" s="489">
        <f>IF(iserror(vlookup(A:A,Pagos!$B$5:$L216,2,false)),"Disponible",vlookup(A:A,Pagos!$B$5:$L216,2,false))</f>
        <v>1944</v>
      </c>
      <c r="C50" s="510" t="str">
        <f>IF(iserror(vlookup(A:A,Pagos!$B$5:$L216,3,false)),"Disponible",vlookup(A:A,Pagos!$B$5:$L216,3,false))</f>
        <v>LUNELLI, LEANDRO</v>
      </c>
      <c r="D50" s="491">
        <f>IF(iserror(vlookup(A:A,Pagos!$B$5:$L216,4,false)),"Disponible",If(vlookup(A:A,Pagos!$B$5:$L216,5,false),vlookup(A:A,Pagos!$B$5:$L216,5,false),vlookup(A:A,Pagos!$B$5:$L216,4,false)))</f>
        <v>45870</v>
      </c>
      <c r="E50" s="510"/>
      <c r="F50" s="350" t="str">
        <f t="shared" si="1"/>
        <v/>
      </c>
      <c r="G50" s="350" t="b">
        <f>If(COUNTIF(Pagos!B:B,A50)&gt;1,true,false)</f>
        <v>0</v>
      </c>
    </row>
    <row r="51">
      <c r="A51" s="495" t="s">
        <v>4838</v>
      </c>
      <c r="B51" s="489">
        <f>IF(iserror(vlookup(A:A,Pagos!$B$5:$L216,2,false)),"Disponible",vlookup(A:A,Pagos!$B$5:$L216,2,false))</f>
        <v>2289</v>
      </c>
      <c r="C51" s="510" t="str">
        <f>IF(iserror(vlookup(A:A,Pagos!$B$5:$L216,3,false)),"Disponible",vlookup(A:A,Pagos!$B$5:$L216,3,false))</f>
        <v>FALBO, ANIBAL JOSE</v>
      </c>
      <c r="D51" s="491">
        <f>IF(iserror(vlookup(A:A,Pagos!$B$5:$L216,4,false)),"Disponible",If(vlookup(A:A,Pagos!$B$5:$L216,5,false),vlookup(A:A,Pagos!$B$5:$L216,5,false),vlookup(A:A,Pagos!$B$5:$L216,4,false)))</f>
        <v>45992</v>
      </c>
      <c r="E51" s="492"/>
      <c r="F51" s="350" t="str">
        <f t="shared" si="1"/>
        <v/>
      </c>
      <c r="G51" s="350" t="b">
        <f>If(COUNTIF(Pagos!B:B,A51)&gt;1,true,false)</f>
        <v>0</v>
      </c>
    </row>
    <row r="52">
      <c r="A52" s="488" t="s">
        <v>47</v>
      </c>
      <c r="B52" s="489">
        <f>IF(iserror(vlookup(A:A,Pagos!$B$5:$L216,2,false)),"Disponible",vlookup(A:A,Pagos!$B$5:$L216,2,false))</f>
        <v>45</v>
      </c>
      <c r="C52" s="510" t="str">
        <f>IF(iserror(vlookup(A:A,Pagos!$B$5:$L216,3,false)),"Disponible",vlookup(A:A,Pagos!$B$5:$L216,3,false))</f>
        <v>MANDRINI, LEOPOLDO</v>
      </c>
      <c r="D52" s="491">
        <f>IF(iserror(vlookup(A:A,Pagos!$B$5:$L216,4,false)),"Disponible",If(vlookup(A:A,Pagos!$B$5:$L216,5,false),vlookup(A:A,Pagos!$B$5:$L216,5,false),vlookup(A:A,Pagos!$B$5:$L216,4,false)))</f>
        <v>45870</v>
      </c>
      <c r="E52" s="510"/>
      <c r="F52" s="350" t="str">
        <f t="shared" si="1"/>
        <v/>
      </c>
      <c r="G52" s="350" t="b">
        <f>If(COUNTIF(Pagos!B:B,A52)&gt;1,true,false)</f>
        <v>0</v>
      </c>
    </row>
    <row r="53">
      <c r="A53" s="488" t="s">
        <v>332</v>
      </c>
      <c r="B53" s="489">
        <f>IF(iserror(vlookup(A:A,Pagos!$B$5:$L216,2,false)),"Disponible",vlookup(A:A,Pagos!$B$5:$L216,2,false))</f>
        <v>2032</v>
      </c>
      <c r="C53" s="510" t="str">
        <f>IF(iserror(vlookup(A:A,Pagos!$B$5:$L216,3,false)),"Disponible",vlookup(A:A,Pagos!$B$5:$L216,3,false))</f>
        <v>ESTEBAN, SILVIA FABIANA</v>
      </c>
      <c r="D53" s="491">
        <f>IF(iserror(vlookup(A:A,Pagos!$B$5:$L216,4,false)),"Disponible",If(vlookup(A:A,Pagos!$B$5:$L216,5,false),vlookup(A:A,Pagos!$B$5:$L216,5,false),vlookup(A:A,Pagos!$B$5:$L216,4,false)))</f>
        <v>45870</v>
      </c>
      <c r="E53" s="510"/>
      <c r="F53" s="350" t="str">
        <f t="shared" si="1"/>
        <v/>
      </c>
      <c r="G53" s="350" t="b">
        <f>If(COUNTIF(Pagos!B:B,A53)&gt;1,true,false)</f>
        <v>0</v>
      </c>
    </row>
    <row r="54">
      <c r="A54" s="488" t="s">
        <v>218</v>
      </c>
      <c r="B54" s="489">
        <f>IF(iserror(vlookup(A:A,Pagos!$B$5:$L216,2,false)),"Disponible",vlookup(A:A,Pagos!$B$5:$L216,2,false))</f>
        <v>1720</v>
      </c>
      <c r="C54" s="510" t="str">
        <f>IF(iserror(vlookup(A:A,Pagos!$B$5:$L216,3,false)),"Disponible",vlookup(A:A,Pagos!$B$5:$L216,3,false))</f>
        <v>PUPO, JOSE</v>
      </c>
      <c r="D54" s="491">
        <f>IF(iserror(vlookup(A:A,Pagos!$B$5:$L216,4,false)),"Disponible",If(vlookup(A:A,Pagos!$B$5:$L216,5,false),vlookup(A:A,Pagos!$B$5:$L216,5,false),vlookup(A:A,Pagos!$B$5:$L216,4,false)))</f>
        <v>45778</v>
      </c>
      <c r="E54" s="510"/>
      <c r="F54" s="350" t="str">
        <f t="shared" si="1"/>
        <v/>
      </c>
      <c r="G54" s="350" t="b">
        <f>If(COUNTIF(Pagos!B:B,A54)&gt;1,true,false)</f>
        <v>0</v>
      </c>
    </row>
    <row r="55">
      <c r="A55" s="488" t="s">
        <v>278</v>
      </c>
      <c r="B55" s="489">
        <f>IF(iserror(vlookup(A:A,Pagos!$B$5:$L216,2,false)),"Disponible",vlookup(A:A,Pagos!$B$5:$L216,2,false))</f>
        <v>1892</v>
      </c>
      <c r="C55" s="510" t="str">
        <f>IF(iserror(vlookup(A:A,Pagos!$B$5:$L216,3,false)),"Disponible",vlookup(A:A,Pagos!$B$5:$L216,3,false))</f>
        <v>GOMEZ MARIA EUGENIA</v>
      </c>
      <c r="D55" s="491">
        <f>IF(iserror(vlookup(A:A,Pagos!$B$5:$L216,4,false)),"Disponible",If(vlookup(A:A,Pagos!$B$5:$L216,5,false),vlookup(A:A,Pagos!$B$5:$L216,5,false),vlookup(A:A,Pagos!$B$5:$L216,4,false)))</f>
        <v>45870</v>
      </c>
      <c r="E55" s="510"/>
      <c r="F55" s="350" t="str">
        <f t="shared" si="1"/>
        <v/>
      </c>
      <c r="G55" s="350" t="b">
        <f>If(COUNTIF(Pagos!B:B,A55)&gt;1,true,false)</f>
        <v>0</v>
      </c>
    </row>
    <row r="56">
      <c r="A56" s="495" t="s">
        <v>230</v>
      </c>
      <c r="B56" s="489">
        <f>IF(iserror(vlookup(A:A,Pagos!$B$5:$L216,2,false)),"Disponible",vlookup(A:A,Pagos!$B$5:$L216,2,false))</f>
        <v>1730</v>
      </c>
      <c r="C56" s="510" t="str">
        <f>IF(iserror(vlookup(A:A,Pagos!$B$5:$L216,3,false)),"Disponible",vlookup(A:A,Pagos!$B$5:$L216,3,false))</f>
        <v>TIMKO, GISELLA</v>
      </c>
      <c r="D56" s="491">
        <f>IF(iserror(vlookup(A:A,Pagos!$B$5:$L216,4,false)),"Disponible",If(vlookup(A:A,Pagos!$B$5:$L216,5,false),vlookup(A:A,Pagos!$B$5:$L216,5,false),vlookup(A:A,Pagos!$B$5:$L216,4,false)))</f>
        <v>45870</v>
      </c>
      <c r="E56" s="492"/>
      <c r="F56" s="350" t="str">
        <f t="shared" si="1"/>
        <v/>
      </c>
      <c r="G56" s="350" t="b">
        <f>If(COUNTIF(Pagos!B:B,A56)&gt;1,true,false)</f>
        <v>0</v>
      </c>
    </row>
    <row r="57">
      <c r="A57" s="495" t="s">
        <v>4839</v>
      </c>
      <c r="B57" s="489" t="str">
        <f>IF(iserror(vlookup(A:A,Pagos!$B$5:$L216,2,false)),"Disponible",vlookup(A:A,Pagos!$B$5:$L216,2,false))</f>
        <v>Disponible</v>
      </c>
      <c r="C57" s="510" t="str">
        <f>IF(iserror(vlookup(A:A,Pagos!$B$5:$L216,3,false)),"Disponible",vlookup(A:A,Pagos!$B$5:$L216,3,false))</f>
        <v>Disponible</v>
      </c>
      <c r="D57" s="491" t="str">
        <f>IF(iserror(vlookup(A:A,Pagos!$B$5:$L216,4,false)),"Disponible",If(vlookup(A:A,Pagos!$B$5:$L216,5,false),vlookup(A:A,Pagos!$B$5:$L216,5,false),vlookup(A:A,Pagos!$B$5:$L216,4,false)))</f>
        <v>Disponible</v>
      </c>
      <c r="E57" s="492"/>
      <c r="F57" s="350" t="str">
        <f t="shared" si="1"/>
        <v/>
      </c>
      <c r="G57" s="350" t="b">
        <f>If(COUNTIF(Pagos!B:B,A57)&gt;1,true,false)</f>
        <v>0</v>
      </c>
    </row>
    <row r="58">
      <c r="A58" s="488" t="s">
        <v>158</v>
      </c>
      <c r="B58" s="489">
        <f>IF(iserror(vlookup(A:A,Pagos!$B$5:$L216,2,false)),"Disponible",vlookup(A:A,Pagos!$B$5:$L216,2,false))</f>
        <v>1552</v>
      </c>
      <c r="C58" s="510" t="str">
        <f>IF(iserror(vlookup(A:A,Pagos!$B$5:$L216,3,false)),"Disponible",vlookup(A:A,Pagos!$B$5:$L216,3,false))</f>
        <v>MARKARIAN, DANIEL</v>
      </c>
      <c r="D58" s="491">
        <f>IF(iserror(vlookup(A:A,Pagos!$B$5:$L216,4,false)),"Disponible",If(vlookup(A:A,Pagos!$B$5:$L216,5,false),vlookup(A:A,Pagos!$B$5:$L216,5,false),vlookup(A:A,Pagos!$B$5:$L216,4,false)))</f>
        <v>45870</v>
      </c>
      <c r="E58" s="510"/>
      <c r="F58" s="350" t="str">
        <f t="shared" si="1"/>
        <v/>
      </c>
      <c r="G58" s="350" t="b">
        <f>If(COUNTIF(Pagos!B:B,A58)&gt;1,true,false)</f>
        <v>0</v>
      </c>
    </row>
    <row r="59">
      <c r="A59" s="495" t="s">
        <v>240</v>
      </c>
      <c r="B59" s="489">
        <f>IF(iserror(vlookup(A:A,Pagos!$B$5:$L216,2,false)),"Disponible",vlookup(A:A,Pagos!$B$5:$L216,2,false))</f>
        <v>1762</v>
      </c>
      <c r="C59" s="510" t="str">
        <f>IF(iserror(vlookup(A:A,Pagos!$B$5:$L216,3,false)),"Disponible",vlookup(A:A,Pagos!$B$5:$L216,3,false))</f>
        <v>SPANTI, GUSTAVO</v>
      </c>
      <c r="D59" s="491">
        <f>IF(iserror(vlookup(A:A,Pagos!$B$5:$L216,4,false)),"Disponible",If(vlookup(A:A,Pagos!$B$5:$L216,5,false),vlookup(A:A,Pagos!$B$5:$L216,5,false),vlookup(A:A,Pagos!$B$5:$L216,4,false)))</f>
        <v>45870</v>
      </c>
      <c r="E59" s="510"/>
      <c r="F59" s="350" t="str">
        <f t="shared" si="1"/>
        <v/>
      </c>
      <c r="G59" s="350" t="b">
        <f>If(COUNTIF(Pagos!B:B,A59)&gt;1,true,false)</f>
        <v>0</v>
      </c>
    </row>
    <row r="60">
      <c r="A60" s="488" t="s">
        <v>426</v>
      </c>
      <c r="B60" s="489">
        <f>IF(iserror(vlookup(A:A,Pagos!$B$5:$L216,2,false)),"Disponible",vlookup(A:A,Pagos!$B$5:$L216,2,false))</f>
        <v>2219</v>
      </c>
      <c r="C60" s="510" t="str">
        <f>IF(iserror(vlookup(A:A,Pagos!$B$5:$L216,3,false)),"Disponible",vlookup(A:A,Pagos!$B$5:$L216,3,false))</f>
        <v>CARDOZO GADDI, LIHUE AILIN</v>
      </c>
      <c r="D60" s="491">
        <f>IF(iserror(vlookup(A:A,Pagos!$B$5:$L216,4,false)),"Disponible",If(vlookup(A:A,Pagos!$B$5:$L216,5,false),vlookup(A:A,Pagos!$B$5:$L216,5,false),vlookup(A:A,Pagos!$B$5:$L216,4,false)))</f>
        <v>45870</v>
      </c>
      <c r="E60" s="510"/>
      <c r="F60" s="350" t="str">
        <f t="shared" si="1"/>
        <v/>
      </c>
      <c r="G60" s="350" t="b">
        <f>If(COUNTIF(Pagos!B:B,A60)&gt;1,true,false)</f>
        <v>0</v>
      </c>
    </row>
    <row r="61">
      <c r="A61" s="495" t="s">
        <v>331</v>
      </c>
      <c r="B61" s="489">
        <f>IF(iserror(vlookup(A:A,Pagos!$B$5:$L216,2,false)),"Disponible",vlookup(A:A,Pagos!$B$5:$L216,2,false))</f>
        <v>2030</v>
      </c>
      <c r="C61" s="510" t="str">
        <f>IF(iserror(vlookup(A:A,Pagos!$B$5:$L216,3,false)),"Disponible",vlookup(A:A,Pagos!$B$5:$L216,3,false))</f>
        <v>LEYENDA, MARIA ALEJANDRA</v>
      </c>
      <c r="D61" s="491">
        <f>IF(iserror(vlookup(A:A,Pagos!$B$5:$L216,4,false)),"Disponible",If(vlookup(A:A,Pagos!$B$5:$L216,5,false),vlookup(A:A,Pagos!$B$5:$L216,5,false),vlookup(A:A,Pagos!$B$5:$L216,4,false)))</f>
        <v>45870</v>
      </c>
      <c r="E61" s="492"/>
      <c r="F61" s="350" t="str">
        <f t="shared" si="1"/>
        <v/>
      </c>
      <c r="G61" s="350" t="b">
        <f>If(COUNTIF(Pagos!B:B,A61)&gt;1,true,false)</f>
        <v>0</v>
      </c>
    </row>
    <row r="62">
      <c r="A62" s="495" t="s">
        <v>333</v>
      </c>
      <c r="B62" s="489">
        <f>IF(iserror(vlookup(A:A,Pagos!$B$5:$L216,2,false)),"Disponible",vlookup(A:A,Pagos!$B$5:$L216,2,false))</f>
        <v>2033</v>
      </c>
      <c r="C62" s="510" t="str">
        <f>IF(iserror(vlookup(A:A,Pagos!$B$5:$L216,3,false)),"Disponible",vlookup(A:A,Pagos!$B$5:$L216,3,false))</f>
        <v>BASALO, DAMIAN EZEQUIEL</v>
      </c>
      <c r="D62" s="491">
        <f>IF(iserror(vlookup(A:A,Pagos!$B$5:$L216,4,false)),"Disponible",If(vlookup(A:A,Pagos!$B$5:$L216,5,false),vlookup(A:A,Pagos!$B$5:$L216,5,false),vlookup(A:A,Pagos!$B$5:$L216,4,false)))</f>
        <v>45870</v>
      </c>
      <c r="E62" s="510"/>
      <c r="F62" s="350" t="str">
        <f t="shared" si="1"/>
        <v/>
      </c>
      <c r="G62" s="350" t="b">
        <f>If(COUNTIF(Pagos!B:B,A62)&gt;1,true,false)</f>
        <v>0</v>
      </c>
    </row>
    <row r="63">
      <c r="A63" s="495" t="s">
        <v>92</v>
      </c>
      <c r="B63" s="489">
        <f>IF(iserror(vlookup(A:A,Pagos!$B$5:$L216,2,false)),"Disponible",vlookup(A:A,Pagos!$B$5:$L216,2,false))</f>
        <v>982</v>
      </c>
      <c r="C63" s="510" t="str">
        <f>IF(iserror(vlookup(A:A,Pagos!$B$5:$L216,3,false)),"Disponible",vlookup(A:A,Pagos!$B$5:$L216,3,false))</f>
        <v>PESCI, JOSE PEDRO</v>
      </c>
      <c r="D63" s="491">
        <f>IF(iserror(vlookup(A:A,Pagos!$B$5:$L216,4,false)),"Disponible",If(vlookup(A:A,Pagos!$B$5:$L216,5,false),vlookup(A:A,Pagos!$B$5:$L216,5,false),vlookup(A:A,Pagos!$B$5:$L216,4,false)))</f>
        <v>45992</v>
      </c>
      <c r="E63" s="510"/>
      <c r="F63" s="350" t="str">
        <f t="shared" si="1"/>
        <v/>
      </c>
      <c r="G63" s="350" t="b">
        <f>If(COUNTIF(Pagos!B:B,A63)&gt;1,true,false)</f>
        <v>0</v>
      </c>
    </row>
    <row r="64">
      <c r="A64" s="495" t="s">
        <v>4840</v>
      </c>
      <c r="B64" s="489" t="str">
        <f>IF(iserror(vlookup(A:A,Pagos!$B$5:$L216,2,false)),"Disponible",vlookup(A:A,Pagos!$B$5:$L216,2,false))</f>
        <v>Disponible</v>
      </c>
      <c r="C64" s="510" t="str">
        <f>IF(iserror(vlookup(A:A,Pagos!$B$5:$L216,3,false)),"Disponible",vlookup(A:A,Pagos!$B$5:$L216,3,false))</f>
        <v>Disponible</v>
      </c>
      <c r="D64" s="491" t="str">
        <f>IF(iserror(vlookup(A:A,Pagos!$B$5:$L216,4,false)),"Disponible",If(vlookup(A:A,Pagos!$B$5:$L216,5,false),vlookup(A:A,Pagos!$B$5:$L216,5,false),vlookup(A:A,Pagos!$B$5:$L216,4,false)))</f>
        <v>Disponible</v>
      </c>
      <c r="E64" s="510"/>
      <c r="F64" s="350" t="str">
        <f t="shared" si="1"/>
        <v/>
      </c>
      <c r="G64" s="350" t="b">
        <f>If(COUNTIF(Pagos!B:B,A64)&gt;1,true,false)</f>
        <v>0</v>
      </c>
    </row>
    <row r="65">
      <c r="A65" s="488" t="s">
        <v>75</v>
      </c>
      <c r="B65" s="489">
        <f>IF(iserror(vlookup(A:A,Pagos!$B$5:$L216,2,false)),"Disponible",vlookup(A:A,Pagos!$B$5:$L216,2,false))</f>
        <v>700</v>
      </c>
      <c r="C65" s="510" t="str">
        <f>IF(iserror(vlookup(A:A,Pagos!$B$5:$L216,3,false)),"Disponible",vlookup(A:A,Pagos!$B$5:$L216,3,false))</f>
        <v>VILLALBA, OSCAR ENRIQUE</v>
      </c>
      <c r="D65" s="491">
        <f>IF(iserror(vlookup(A:A,Pagos!$B$5:$L216,4,false)),"Disponible",If(vlookup(A:A,Pagos!$B$5:$L216,5,false),vlookup(A:A,Pagos!$B$5:$L216,5,false),vlookup(A:A,Pagos!$B$5:$L216,4,false)))</f>
        <v>45901</v>
      </c>
      <c r="E65" s="492"/>
      <c r="F65" s="350" t="str">
        <f t="shared" si="1"/>
        <v/>
      </c>
      <c r="G65" s="350" t="b">
        <f>If(COUNTIF(Pagos!B:B,A65)&gt;1,true,false)</f>
        <v>0</v>
      </c>
    </row>
    <row r="66">
      <c r="A66" s="488" t="s">
        <v>116</v>
      </c>
      <c r="B66" s="489">
        <f>IF(iserror(vlookup(A:A,Pagos!$B$5:$L216,2,false)),"Disponible",vlookup(A:A,Pagos!$B$5:$L216,2,false))</f>
        <v>1293</v>
      </c>
      <c r="C66" s="510" t="str">
        <f>IF(iserror(vlookup(A:A,Pagos!$B$5:$L216,3,false)),"Disponible",vlookup(A:A,Pagos!$B$5:$L216,3,false))</f>
        <v>PARDO, AUGUSTO</v>
      </c>
      <c r="D66" s="491">
        <f>IF(iserror(vlookup(A:A,Pagos!$B$5:$L216,4,false)),"Disponible",If(vlookup(A:A,Pagos!$B$5:$L216,5,false),vlookup(A:A,Pagos!$B$5:$L216,5,false),vlookup(A:A,Pagos!$B$5:$L216,4,false)))</f>
        <v>45870</v>
      </c>
      <c r="E66" s="492"/>
      <c r="F66" s="350" t="str">
        <f t="shared" si="1"/>
        <v/>
      </c>
      <c r="G66" s="350" t="b">
        <f>If(COUNTIF(Pagos!B:B,A66)&gt;1,true,false)</f>
        <v>0</v>
      </c>
    </row>
    <row r="67">
      <c r="A67" s="495" t="s">
        <v>115</v>
      </c>
      <c r="B67" s="489">
        <f>IF(iserror(vlookup(A:A,Pagos!$B$5:$L216,2,false)),"Disponible",vlookup(A:A,Pagos!$B$5:$L216,2,false))</f>
        <v>1293</v>
      </c>
      <c r="C67" s="510" t="str">
        <f>IF(iserror(vlookup(A:A,Pagos!$B$5:$L216,3,false)),"Disponible",vlookup(A:A,Pagos!$B$5:$L216,3,false))</f>
        <v>PARDO, AUGUSTO</v>
      </c>
      <c r="D67" s="491">
        <f>IF(iserror(vlookup(A:A,Pagos!$B$5:$L216,4,false)),"Disponible",If(vlookup(A:A,Pagos!$B$5:$L216,5,false),vlookup(A:A,Pagos!$B$5:$L216,5,false),vlookup(A:A,Pagos!$B$5:$L216,4,false)))</f>
        <v>45870</v>
      </c>
      <c r="E67" s="492"/>
      <c r="F67" s="350" t="str">
        <f t="shared" si="1"/>
        <v/>
      </c>
      <c r="G67" s="350" t="b">
        <f>If(COUNTIF(Pagos!B:B,A67)&gt;1,true,false)</f>
        <v>0</v>
      </c>
    </row>
    <row r="68">
      <c r="A68" s="495" t="s">
        <v>438</v>
      </c>
      <c r="B68" s="489">
        <f>IF(iserror(vlookup(A:A,Pagos!$B$5:$L216,2,false)),"Disponible",vlookup(A:A,Pagos!$B$5:$L216,2,false))</f>
        <v>2244</v>
      </c>
      <c r="C68" s="510" t="str">
        <f>IF(iserror(vlookup(A:A,Pagos!$B$5:$L216,3,false)),"Disponible",vlookup(A:A,Pagos!$B$5:$L216,3,false))</f>
        <v>PASCUAL LOPEZ, VALENTIN</v>
      </c>
      <c r="D68" s="491">
        <f>IF(iserror(vlookup(A:A,Pagos!$B$5:$L216,4,false)),"Disponible",If(vlookup(A:A,Pagos!$B$5:$L216,5,false),vlookup(A:A,Pagos!$B$5:$L216,5,false),vlookup(A:A,Pagos!$B$5:$L216,4,false)))</f>
        <v>45870</v>
      </c>
      <c r="E68" s="492"/>
      <c r="F68" s="350" t="str">
        <f t="shared" si="1"/>
        <v/>
      </c>
      <c r="G68" s="350" t="b">
        <f>If(COUNTIF(Pagos!B:B,A68)&gt;1,true,false)</f>
        <v>0</v>
      </c>
    </row>
    <row r="69">
      <c r="A69" s="495" t="s">
        <v>97</v>
      </c>
      <c r="B69" s="489">
        <f>IF(iserror(vlookup(A:A,Pagos!$B$5:$L216,2,false)),"Disponible",vlookup(A:A,Pagos!$B$5:$L216,2,false))</f>
        <v>1048</v>
      </c>
      <c r="C69" s="510" t="str">
        <f>IF(iserror(vlookup(A:A,Pagos!$B$5:$L216,3,false)),"Disponible",vlookup(A:A,Pagos!$B$5:$L216,3,false))</f>
        <v>CASADO ,EDUARDO</v>
      </c>
      <c r="D69" s="491">
        <f>IF(iserror(vlookup(A:A,Pagos!$B$5:$L216,4,false)),"Disponible",If(vlookup(A:A,Pagos!$B$5:$L216,5,false),vlookup(A:A,Pagos!$B$5:$L216,5,false),vlookup(A:A,Pagos!$B$5:$L216,4,false)))</f>
        <v>45870</v>
      </c>
      <c r="E69" s="492"/>
      <c r="F69" s="350" t="str">
        <f t="shared" si="1"/>
        <v/>
      </c>
      <c r="G69" s="350" t="b">
        <f>If(COUNTIF(Pagos!B:B,A69)&gt;1,true,false)</f>
        <v>0</v>
      </c>
    </row>
    <row r="70">
      <c r="A70" s="495" t="s">
        <v>215</v>
      </c>
      <c r="B70" s="489">
        <f>IF(iserror(vlookup(A:A,Pagos!$B$5:$L216,2,false)),"Disponible",vlookup(A:A,Pagos!$B$5:$L216,2,false))</f>
        <v>1712</v>
      </c>
      <c r="C70" s="510" t="str">
        <f>IF(iserror(vlookup(A:A,Pagos!$B$5:$L216,3,false)),"Disponible",vlookup(A:A,Pagos!$B$5:$L216,3,false))</f>
        <v>DIAZ VAZQUEZ, LUCAS</v>
      </c>
      <c r="D70" s="491">
        <f>IF(iserror(vlookup(A:A,Pagos!$B$5:$L216,4,false)),"Disponible",If(vlookup(A:A,Pagos!$B$5:$L216,5,false),vlookup(A:A,Pagos!$B$5:$L216,5,false),vlookup(A:A,Pagos!$B$5:$L216,4,false)))</f>
        <v>45870</v>
      </c>
      <c r="E70" s="510"/>
      <c r="F70" s="350" t="str">
        <f t="shared" si="1"/>
        <v/>
      </c>
      <c r="G70" s="350" t="b">
        <f>If(COUNTIF(Pagos!B:B,A70)&gt;1,true,false)</f>
        <v>0</v>
      </c>
    </row>
    <row r="71">
      <c r="A71" s="495" t="s">
        <v>4841</v>
      </c>
      <c r="B71" s="489" t="str">
        <f>IF(iserror(vlookup(A:A,Pagos!$B$5:$L216,2,false)),"Disponible",vlookup(A:A,Pagos!$B$5:$L216,2,false))</f>
        <v>Disponible</v>
      </c>
      <c r="C71" s="510" t="str">
        <f>IF(iserror(vlookup(A:A,Pagos!$B$5:$L216,3,false)),"Disponible",vlookup(A:A,Pagos!$B$5:$L216,3,false))</f>
        <v>Disponible</v>
      </c>
      <c r="D71" s="491" t="str">
        <f>IF(iserror(vlookup(A:A,Pagos!$B$5:$L216,4,false)),"Disponible",If(vlookup(A:A,Pagos!$B$5:$L216,5,false),vlookup(A:A,Pagos!$B$5:$L216,5,false),vlookup(A:A,Pagos!$B$5:$L216,4,false)))</f>
        <v>Disponible</v>
      </c>
      <c r="E71" s="510"/>
      <c r="F71" s="350" t="str">
        <f t="shared" si="1"/>
        <v/>
      </c>
      <c r="G71" s="350" t="b">
        <f>If(COUNTIF(Pagos!B:B,A71)&gt;1,true,false)</f>
        <v>0</v>
      </c>
    </row>
    <row r="72">
      <c r="A72" s="495" t="s">
        <v>356</v>
      </c>
      <c r="B72" s="489">
        <f>IF(iserror(vlookup(A:A,Pagos!$B$5:$L216,2,false)),"Disponible",vlookup(A:A,Pagos!$B$5:$L216,2,false))</f>
        <v>2078</v>
      </c>
      <c r="C72" s="510" t="str">
        <f>IF(iserror(vlookup(A:A,Pagos!$B$5:$L216,3,false)),"Disponible",vlookup(A:A,Pagos!$B$5:$L216,3,false))</f>
        <v>CAPOBIANCO, CRISTIAN</v>
      </c>
      <c r="D72" s="491">
        <f>IF(iserror(vlookup(A:A,Pagos!$B$5:$L216,4,false)),"Disponible",If(vlookup(A:A,Pagos!$B$5:$L216,5,false),vlookup(A:A,Pagos!$B$5:$L216,5,false),vlookup(A:A,Pagos!$B$5:$L216,4,false)))</f>
        <v>45870</v>
      </c>
      <c r="E72" s="510"/>
      <c r="F72" s="350" t="str">
        <f t="shared" si="1"/>
        <v/>
      </c>
      <c r="G72" s="350" t="b">
        <f>If(COUNTIF(Pagos!B:B,A72)&gt;1,true,false)</f>
        <v>0</v>
      </c>
    </row>
    <row r="73">
      <c r="A73" s="495" t="s">
        <v>270</v>
      </c>
      <c r="B73" s="489">
        <f>IF(iserror(vlookup(A:A,Pagos!$B$5:$L216,2,false)),"Disponible",vlookup(A:A,Pagos!$B$5:$L216,2,false))</f>
        <v>1869</v>
      </c>
      <c r="C73" s="510" t="str">
        <f>IF(iserror(vlookup(A:A,Pagos!$B$5:$L216,3,false)),"Disponible",vlookup(A:A,Pagos!$B$5:$L216,3,false))</f>
        <v>DALCEGGIO, MARTIN</v>
      </c>
      <c r="D73" s="491">
        <f>IF(iserror(vlookup(A:A,Pagos!$B$5:$L216,4,false)),"Disponible",If(vlookup(A:A,Pagos!$B$5:$L216,5,false),vlookup(A:A,Pagos!$B$5:$L216,5,false),vlookup(A:A,Pagos!$B$5:$L216,4,false)))</f>
        <v>45870</v>
      </c>
      <c r="E73" s="510"/>
      <c r="F73" s="350" t="str">
        <f t="shared" si="1"/>
        <v/>
      </c>
      <c r="G73" s="350" t="b">
        <f>If(COUNTIF(Pagos!B:B,A73)&gt;1,true,false)</f>
        <v>0</v>
      </c>
    </row>
    <row r="74">
      <c r="A74" s="495" t="s">
        <v>63</v>
      </c>
      <c r="B74" s="489">
        <f>IF(iserror(vlookup(A:A,Pagos!$B$5:$L216,2,false)),"Disponible",vlookup(A:A,Pagos!$B$5:$L216,2,false))</f>
        <v>184</v>
      </c>
      <c r="C74" s="510" t="str">
        <f>IF(iserror(vlookup(A:A,Pagos!$B$5:$L216,3,false)),"Disponible",vlookup(A:A,Pagos!$B$5:$L216,3,false))</f>
        <v>DEFRANCO, DANIEL FABIAN</v>
      </c>
      <c r="D74" s="491">
        <f>IF(iserror(vlookup(A:A,Pagos!$B$5:$L216,4,false)),"Disponible",If(vlookup(A:A,Pagos!$B$5:$L216,5,false),vlookup(A:A,Pagos!$B$5:$L216,5,false),vlookup(A:A,Pagos!$B$5:$L216,4,false)))</f>
        <v>45870</v>
      </c>
      <c r="E74" s="510"/>
      <c r="F74" s="350" t="str">
        <f t="shared" si="1"/>
        <v/>
      </c>
      <c r="G74" s="350" t="b">
        <f>If(COUNTIF(Pagos!B:B,A74)&gt;1,true,false)</f>
        <v>0</v>
      </c>
    </row>
    <row r="75">
      <c r="A75" s="488" t="s">
        <v>76</v>
      </c>
      <c r="B75" s="489">
        <f>IF(iserror(vlookup(A:A,Pagos!$B$5:$L216,2,false)),"Disponible",vlookup(A:A,Pagos!$B$5:$L216,2,false))</f>
        <v>732</v>
      </c>
      <c r="C75" s="510" t="str">
        <f>IF(iserror(vlookup(A:A,Pagos!$B$5:$L216,3,false)),"Disponible",vlookup(A:A,Pagos!$B$5:$L216,3,false))</f>
        <v>MANCINO, SERGIO ARIEL</v>
      </c>
      <c r="D75" s="491">
        <f>IF(iserror(vlookup(A:A,Pagos!$B$5:$L216,4,false)),"Disponible",If(vlookup(A:A,Pagos!$B$5:$L216,5,false),vlookup(A:A,Pagos!$B$5:$L216,5,false),vlookup(A:A,Pagos!$B$5:$L216,4,false)))</f>
        <v>45870</v>
      </c>
      <c r="E75" s="510"/>
      <c r="F75" s="350" t="str">
        <f t="shared" si="1"/>
        <v/>
      </c>
      <c r="G75" s="350" t="b">
        <f>If(COUNTIF(Pagos!B:B,A75)&gt;1,true,false)</f>
        <v>0</v>
      </c>
    </row>
    <row r="76">
      <c r="A76" s="495" t="s">
        <v>211</v>
      </c>
      <c r="B76" s="489">
        <f>IF(iserror(vlookup(A:A,Pagos!$B$5:$L216,2,false)),"Disponible",vlookup(A:A,Pagos!$B$5:$L216,2,false))</f>
        <v>1688</v>
      </c>
      <c r="C76" s="510" t="str">
        <f>IF(iserror(vlookup(A:A,Pagos!$B$5:$L216,3,false)),"Disponible",vlookup(A:A,Pagos!$B$5:$L216,3,false))</f>
        <v>D´Alessandro, Ma. Elena</v>
      </c>
      <c r="D76" s="491">
        <f>IF(iserror(vlookup(A:A,Pagos!$B$5:$L216,4,false)),"Disponible",If(vlookup(A:A,Pagos!$B$5:$L216,5,false),vlookup(A:A,Pagos!$B$5:$L216,5,false),vlookup(A:A,Pagos!$B$5:$L216,4,false)))</f>
        <v>45870</v>
      </c>
      <c r="E76" s="510"/>
      <c r="F76" s="350" t="str">
        <f t="shared" si="1"/>
        <v/>
      </c>
      <c r="G76" s="350" t="b">
        <f>If(COUNTIF(Pagos!B:B,A76)&gt;1,true,false)</f>
        <v>0</v>
      </c>
    </row>
    <row r="77">
      <c r="A77" s="495" t="s">
        <v>298</v>
      </c>
      <c r="B77" s="489">
        <f>IF(iserror(vlookup(A:A,Pagos!$B$5:$L216,2,false)),"Disponible",vlookup(A:A,Pagos!$B$5:$L216,2,false))</f>
        <v>1935</v>
      </c>
      <c r="C77" s="510" t="str">
        <f>IF(iserror(vlookup(A:A,Pagos!$B$5:$L216,3,false)),"Disponible",vlookup(A:A,Pagos!$B$5:$L216,3,false))</f>
        <v>ROMERO, ROCIO</v>
      </c>
      <c r="D77" s="491">
        <f>IF(iserror(vlookup(A:A,Pagos!$B$5:$L216,4,false)),"Disponible",If(vlookup(A:A,Pagos!$B$5:$L216,5,false),vlookup(A:A,Pagos!$B$5:$L216,5,false),vlookup(A:A,Pagos!$B$5:$L216,4,false)))</f>
        <v>45870</v>
      </c>
      <c r="E77" s="510"/>
      <c r="F77" s="350" t="str">
        <f t="shared" si="1"/>
        <v/>
      </c>
      <c r="G77" s="350" t="b">
        <f>If(COUNTIF(Pagos!B:B,A77)&gt;1,true,false)</f>
        <v>0</v>
      </c>
    </row>
    <row r="78">
      <c r="A78" s="495" t="s">
        <v>4842</v>
      </c>
      <c r="B78" s="489">
        <f>IF(iserror(vlookup(A:A,Pagos!$B$5:$L216,2,false)),"Disponible",vlookup(A:A,Pagos!$B$5:$L216,2,false))</f>
        <v>1829</v>
      </c>
      <c r="C78" s="510" t="str">
        <f>IF(iserror(vlookup(A:A,Pagos!$B$5:$L216,3,false)),"Disponible",vlookup(A:A,Pagos!$B$5:$L216,3,false))</f>
        <v>TINTO, FLAVIO</v>
      </c>
      <c r="D78" s="491">
        <f>IF(iserror(vlookup(A:A,Pagos!$B$5:$L216,4,false)),"Disponible",If(vlookup(A:A,Pagos!$B$5:$L216,5,false),vlookup(A:A,Pagos!$B$5:$L216,5,false),vlookup(A:A,Pagos!$B$5:$L216,4,false)))</f>
        <v>45870</v>
      </c>
      <c r="E78" s="510"/>
      <c r="F78" s="350" t="str">
        <f t="shared" si="1"/>
        <v/>
      </c>
      <c r="G78" s="350" t="b">
        <f>If(COUNTIF(Pagos!B:B,A78)&gt;1,true,false)</f>
        <v>0</v>
      </c>
    </row>
    <row r="79">
      <c r="A79" s="495" t="s">
        <v>461</v>
      </c>
      <c r="B79" s="489">
        <f>IF(iserror(vlookup(A:A,Pagos!$B$5:$L216,2,false)),"Disponible",vlookup(A:A,Pagos!$B$5:$L216,2,false))</f>
        <v>2295</v>
      </c>
      <c r="C79" s="510" t="str">
        <f>IF(iserror(vlookup(A:A,Pagos!$B$5:$L216,3,false)),"Disponible",vlookup(A:A,Pagos!$B$5:$L216,3,false))</f>
        <v>SANTILLAN, SANTIAGO</v>
      </c>
      <c r="D79" s="491">
        <f>IF(iserror(vlookup(A:A,Pagos!$B$5:$L216,4,false)),"Disponible",If(vlookup(A:A,Pagos!$B$5:$L216,5,false),vlookup(A:A,Pagos!$B$5:$L216,5,false),vlookup(A:A,Pagos!$B$5:$L216,4,false)))</f>
        <v>45870</v>
      </c>
      <c r="E79" s="492"/>
      <c r="F79" s="350" t="str">
        <f t="shared" si="1"/>
        <v/>
      </c>
      <c r="G79" s="350" t="b">
        <f>If(COUNTIF(Pagos!B:B,A79)&gt;1,true,false)</f>
        <v>0</v>
      </c>
    </row>
    <row r="80">
      <c r="A80" s="495" t="s">
        <v>273</v>
      </c>
      <c r="B80" s="489">
        <f>IF(iserror(vlookup(A:A,Pagos!$B$5:$L216,2,false)),"Disponible",vlookup(A:A,Pagos!$B$5:$L216,2,false))</f>
        <v>1886</v>
      </c>
      <c r="C80" s="510" t="str">
        <f>IF(iserror(vlookup(A:A,Pagos!$B$5:$L216,3,false)),"Disponible",vlookup(A:A,Pagos!$B$5:$L216,3,false))</f>
        <v>VILLAMAYOR, ALEJANDRO</v>
      </c>
      <c r="D80" s="491">
        <f>IF(iserror(vlookup(A:A,Pagos!$B$5:$L216,4,false)),"Disponible",If(vlookup(A:A,Pagos!$B$5:$L216,5,false),vlookup(A:A,Pagos!$B$5:$L216,5,false),vlookup(A:A,Pagos!$B$5:$L216,4,false)))</f>
        <v>45870</v>
      </c>
      <c r="E80" s="492"/>
      <c r="F80" s="350" t="str">
        <f t="shared" si="1"/>
        <v/>
      </c>
      <c r="G80" s="350" t="b">
        <f>If(COUNTIF(Pagos!B:B,A80)&gt;1,true,false)</f>
        <v>0</v>
      </c>
    </row>
    <row r="81">
      <c r="A81" s="488" t="s">
        <v>165</v>
      </c>
      <c r="B81" s="489">
        <f>IF(iserror(vlookup(A:A,Pagos!$B$5:$L216,2,false)),"Disponible",vlookup(A:A,Pagos!$B$5:$L216,2,false))</f>
        <v>1590</v>
      </c>
      <c r="C81" s="510" t="str">
        <f>IF(iserror(vlookup(A:A,Pagos!$B$5:$L216,3,false)),"Disponible",vlookup(A:A,Pagos!$B$5:$L216,3,false))</f>
        <v>VUCASSOVICH, SERGIO</v>
      </c>
      <c r="D81" s="491">
        <f>IF(iserror(vlookup(A:A,Pagos!$B$5:$L216,4,false)),"Disponible",If(vlookup(A:A,Pagos!$B$5:$L216,5,false),vlookup(A:A,Pagos!$B$5:$L216,5,false),vlookup(A:A,Pagos!$B$5:$L216,4,false)))</f>
        <v>45870</v>
      </c>
      <c r="E81" s="492"/>
      <c r="F81" s="350" t="str">
        <f t="shared" si="1"/>
        <v/>
      </c>
      <c r="G81" s="350" t="b">
        <f>If(COUNTIF(Pagos!B:B,A81)&gt;1,true,false)</f>
        <v>0</v>
      </c>
    </row>
    <row r="82">
      <c r="A82" s="495" t="s">
        <v>343</v>
      </c>
      <c r="B82" s="489">
        <f>IF(iserror(vlookup(A:A,Pagos!$B$5:$L216,2,false)),"Disponible",vlookup(A:A,Pagos!$B$5:$L216,2,false))</f>
        <v>2047</v>
      </c>
      <c r="C82" s="510" t="str">
        <f>IF(iserror(vlookup(A:A,Pagos!$B$5:$L216,3,false)),"Disponible",vlookup(A:A,Pagos!$B$5:$L216,3,false))</f>
        <v>NADAL, NELVA HILDA</v>
      </c>
      <c r="D82" s="491">
        <f>IF(iserror(vlookup(A:A,Pagos!$B$5:$L216,4,false)),"Disponible",If(vlookup(A:A,Pagos!$B$5:$L216,5,false),vlookup(A:A,Pagos!$B$5:$L216,5,false),vlookup(A:A,Pagos!$B$5:$L216,4,false)))</f>
        <v>45870</v>
      </c>
      <c r="E82" s="511"/>
      <c r="F82" s="350" t="str">
        <f t="shared" si="1"/>
        <v/>
      </c>
      <c r="G82" s="350" t="b">
        <f>If(COUNTIF(Pagos!B:B,A82)&gt;1,true,false)</f>
        <v>0</v>
      </c>
    </row>
    <row r="83">
      <c r="A83" s="488" t="s">
        <v>392</v>
      </c>
      <c r="B83" s="489">
        <f>IF(iserror(vlookup(A:A,Pagos!$B$5:$L216,2,false)),"Disponible",vlookup(A:A,Pagos!$B$5:$L216,2,false))</f>
        <v>2153</v>
      </c>
      <c r="C83" s="510" t="str">
        <f>IF(iserror(vlookup(A:A,Pagos!$B$5:$L216,3,false)),"Disponible",vlookup(A:A,Pagos!$B$5:$L216,3,false))</f>
        <v>ACHINELLI, FABIO GERMAN</v>
      </c>
      <c r="D83" s="491">
        <f>IF(iserror(vlookup(A:A,Pagos!$B$5:$L216,4,false)),"Disponible",If(vlookup(A:A,Pagos!$B$5:$L216,5,false),vlookup(A:A,Pagos!$B$5:$L216,5,false),vlookup(A:A,Pagos!$B$5:$L216,4,false)))</f>
        <v>45870</v>
      </c>
      <c r="E83" s="510"/>
      <c r="F83" s="350" t="str">
        <f t="shared" si="1"/>
        <v/>
      </c>
      <c r="G83" s="350" t="b">
        <f>If(COUNTIF(Pagos!B:B,A83)&gt;1,true,false)</f>
        <v>0</v>
      </c>
    </row>
    <row r="84">
      <c r="A84" s="495" t="s">
        <v>421</v>
      </c>
      <c r="B84" s="489">
        <f>IF(iserror(vlookup(A:A,Pagos!$B$5:$L216,2,false)),"Disponible",vlookup(A:A,Pagos!$B$5:$L216,2,false))</f>
        <v>2210</v>
      </c>
      <c r="C84" s="510" t="str">
        <f>IF(iserror(vlookup(A:A,Pagos!$B$5:$L216,3,false)),"Disponible",vlookup(A:A,Pagos!$B$5:$L216,3,false))</f>
        <v>ARANDIA, MAURICIO</v>
      </c>
      <c r="D84" s="491">
        <f>IF(iserror(vlookup(A:A,Pagos!$B$5:$L216,4,false)),"Disponible",If(vlookup(A:A,Pagos!$B$5:$L216,5,false),vlookup(A:A,Pagos!$B$5:$L216,5,false),vlookup(A:A,Pagos!$B$5:$L216,4,false)))</f>
        <v>45839</v>
      </c>
      <c r="E84" s="510"/>
      <c r="F84" s="350" t="str">
        <f t="shared" si="1"/>
        <v/>
      </c>
      <c r="G84" s="350" t="b">
        <f>If(COUNTIF(Pagos!B:B,A84)&gt;1,true,false)</f>
        <v>0</v>
      </c>
    </row>
    <row r="85">
      <c r="A85" s="495" t="s">
        <v>246</v>
      </c>
      <c r="B85" s="489">
        <f>IF(iserror(vlookup(A:A,Pagos!$B$5:$L216,2,false)),"Disponible",vlookup(A:A,Pagos!$B$5:$L216,2,false))</f>
        <v>1774</v>
      </c>
      <c r="C85" s="510" t="str">
        <f>IF(iserror(vlookup(A:A,Pagos!$B$5:$L216,3,false)),"Disponible",vlookup(A:A,Pagos!$B$5:$L216,3,false))</f>
        <v>BIZET, NICOLAS</v>
      </c>
      <c r="D85" s="491">
        <f>IF(iserror(vlookup(A:A,Pagos!$B$5:$L216,4,false)),"Disponible",If(vlookup(A:A,Pagos!$B$5:$L216,5,false),vlookup(A:A,Pagos!$B$5:$L216,5,false),vlookup(A:A,Pagos!$B$5:$L216,4,false)))</f>
        <v>45870</v>
      </c>
      <c r="E85" s="510"/>
      <c r="F85" s="350" t="str">
        <f t="shared" si="1"/>
        <v/>
      </c>
      <c r="G85" s="350" t="b">
        <f>If(COUNTIF(Pagos!B:B,A85)&gt;1,true,false)</f>
        <v>0</v>
      </c>
    </row>
    <row r="86">
      <c r="A86" s="495" t="s">
        <v>121</v>
      </c>
      <c r="B86" s="489">
        <f>IF(iserror(vlookup(A:A,Pagos!$B$5:$L216,2,false)),"Disponible",vlookup(A:A,Pagos!$B$5:$L216,2,false))</f>
        <v>1321</v>
      </c>
      <c r="C86" s="510" t="str">
        <f>IF(iserror(vlookup(A:A,Pagos!$B$5:$L216,3,false)),"Disponible",vlookup(A:A,Pagos!$B$5:$L216,3,false))</f>
        <v>ROSAS, SEBASTIAN</v>
      </c>
      <c r="D86" s="491">
        <f>IF(iserror(vlookup(A:A,Pagos!$B$5:$L216,4,false)),"Disponible",If(vlookup(A:A,Pagos!$B$5:$L216,5,false),vlookup(A:A,Pagos!$B$5:$L216,5,false),vlookup(A:A,Pagos!$B$5:$L216,4,false)))</f>
        <v>45901</v>
      </c>
      <c r="E86" s="510"/>
      <c r="F86" s="350" t="str">
        <f t="shared" si="1"/>
        <v/>
      </c>
      <c r="G86" s="350" t="b">
        <f>If(COUNTIF(Pagos!B:B,A86)&gt;1,true,false)</f>
        <v>0</v>
      </c>
    </row>
    <row r="87">
      <c r="A87" s="488" t="s">
        <v>338</v>
      </c>
      <c r="B87" s="489">
        <f>IF(iserror(vlookup(A:A,Pagos!$B$5:$L216,2,false)),"Disponible",vlookup(A:A,Pagos!$B$5:$L216,2,false))</f>
        <v>2041</v>
      </c>
      <c r="C87" s="510" t="str">
        <f>IF(iserror(vlookup(A:A,Pagos!$B$5:$L216,3,false)),"Disponible",vlookup(A:A,Pagos!$B$5:$L216,3,false))</f>
        <v>CAÑÓN, FABIAN</v>
      </c>
      <c r="D87" s="491">
        <f>IF(iserror(vlookup(A:A,Pagos!$B$5:$L216,4,false)),"Disponible",If(vlookup(A:A,Pagos!$B$5:$L216,5,false),vlookup(A:A,Pagos!$B$5:$L216,5,false),vlookup(A:A,Pagos!$B$5:$L216,4,false)))</f>
        <v>45901</v>
      </c>
      <c r="E87" s="492"/>
      <c r="F87" s="350" t="str">
        <f t="shared" si="1"/>
        <v/>
      </c>
      <c r="G87" s="350" t="b">
        <f>If(COUNTIF(Pagos!B:B,A87)&gt;1,true,false)</f>
        <v>0</v>
      </c>
    </row>
    <row r="88">
      <c r="A88" s="495" t="s">
        <v>46</v>
      </c>
      <c r="B88" s="489">
        <f>IF(iserror(vlookup(A:A,Pagos!$B$5:$L216,2,false)),"Disponible",vlookup(A:A,Pagos!$B$5:$L216,2,false))</f>
        <v>45</v>
      </c>
      <c r="C88" s="510" t="str">
        <f>IF(iserror(vlookup(A:A,Pagos!$B$5:$L216,3,false)),"Disponible",vlookup(A:A,Pagos!$B$5:$L216,3,false))</f>
        <v>MANDRINI, LEOPOLDO</v>
      </c>
      <c r="D88" s="491">
        <f>IF(iserror(vlookup(A:A,Pagos!$B$5:$L216,4,false)),"Disponible",If(vlookup(A:A,Pagos!$B$5:$L216,5,false),vlookup(A:A,Pagos!$B$5:$L216,5,false),vlookup(A:A,Pagos!$B$5:$L216,4,false)))</f>
        <v>45870</v>
      </c>
      <c r="E88" s="492"/>
      <c r="F88" s="350" t="str">
        <f t="shared" si="1"/>
        <v/>
      </c>
      <c r="G88" s="350" t="b">
        <f>If(COUNTIF(Pagos!B:B,A88)&gt;1,true,false)</f>
        <v>0</v>
      </c>
    </row>
    <row r="89">
      <c r="A89" s="488" t="s">
        <v>264</v>
      </c>
      <c r="B89" s="489">
        <f>IF(iserror(vlookup(A:A,Pagos!$B$5:$L216,2,false)),"Disponible",vlookup(A:A,Pagos!$B$5:$L216,2,false))</f>
        <v>1859</v>
      </c>
      <c r="C89" s="510" t="str">
        <f>IF(iserror(vlookup(A:A,Pagos!$B$5:$L216,3,false)),"Disponible",vlookup(A:A,Pagos!$B$5:$L216,3,false))</f>
        <v>CALVELO, MARIA JULIETA</v>
      </c>
      <c r="D89" s="491">
        <f>IF(iserror(vlookup(A:A,Pagos!$B$5:$L216,4,false)),"Disponible",If(vlookup(A:A,Pagos!$B$5:$L216,5,false),vlookup(A:A,Pagos!$B$5:$L216,5,false),vlookup(A:A,Pagos!$B$5:$L216,4,false)))</f>
        <v>45870</v>
      </c>
      <c r="E89" s="510"/>
      <c r="F89" s="350" t="str">
        <f t="shared" si="1"/>
        <v/>
      </c>
      <c r="G89" s="350" t="b">
        <f>If(COUNTIF(Pagos!B:B,A89)&gt;1,true,false)</f>
        <v>0</v>
      </c>
    </row>
    <row r="90">
      <c r="A90" s="495" t="s">
        <v>190</v>
      </c>
      <c r="B90" s="489">
        <f>IF(iserror(vlookup(A:A,Pagos!$B$5:$L216,2,false)),"Disponible",vlookup(A:A,Pagos!$B$5:$L216,2,false))</f>
        <v>1637</v>
      </c>
      <c r="C90" s="510" t="str">
        <f>IF(iserror(vlookup(A:A,Pagos!$B$5:$L216,3,false)),"Disponible",vlookup(A:A,Pagos!$B$5:$L216,3,false))</f>
        <v>TARTAGLIA, CARLOS</v>
      </c>
      <c r="D90" s="491">
        <f>IF(iserror(vlookup(A:A,Pagos!$B$5:$L216,4,false)),"Disponible",If(vlookup(A:A,Pagos!$B$5:$L216,5,false),vlookup(A:A,Pagos!$B$5:$L216,5,false),vlookup(A:A,Pagos!$B$5:$L216,4,false)))</f>
        <v>45870</v>
      </c>
      <c r="E90" s="510"/>
      <c r="F90" s="350" t="str">
        <f t="shared" si="1"/>
        <v/>
      </c>
      <c r="G90" s="350" t="b">
        <f>If(COUNTIF(Pagos!B:B,A90)&gt;1,true,false)</f>
        <v>0</v>
      </c>
    </row>
    <row r="91">
      <c r="A91" s="495" t="s">
        <v>4843</v>
      </c>
      <c r="B91" s="489">
        <f>IF(iserror(vlookup(A:A,Pagos!$B$5:$L216,2,false)),"Disponible",vlookup(A:A,Pagos!$B$5:$L216,2,false))</f>
        <v>2075</v>
      </c>
      <c r="C91" s="510" t="str">
        <f>IF(iserror(vlookup(A:A,Pagos!$B$5:$L216,3,false)),"Disponible",vlookup(A:A,Pagos!$B$5:$L216,3,false))</f>
        <v>VALE, FEDERICO</v>
      </c>
      <c r="D91" s="491">
        <f>IF(iserror(vlookup(A:A,Pagos!$B$5:$L216,4,false)),"Disponible",If(vlookup(A:A,Pagos!$B$5:$L216,5,false),vlookup(A:A,Pagos!$B$5:$L216,5,false),vlookup(A:A,Pagos!$B$5:$L216,4,false)))</f>
        <v>45870</v>
      </c>
      <c r="E91" s="512"/>
      <c r="F91" s="350" t="str">
        <f t="shared" si="1"/>
        <v/>
      </c>
      <c r="G91" s="350" t="b">
        <f>If(COUNTIF(Pagos!B:B,A91)&gt;1,true,false)</f>
        <v>0</v>
      </c>
    </row>
    <row r="92">
      <c r="A92" s="488" t="s">
        <v>4844</v>
      </c>
      <c r="B92" s="489" t="str">
        <f>IF(iserror(vlookup(A:A,Pagos!$B$5:$L216,2,false)),"Disponible",vlookup(A:A,Pagos!$B$5:$L216,2,false))</f>
        <v>Disponible</v>
      </c>
      <c r="C92" s="510" t="str">
        <f>IF(iserror(vlookup(A:A,Pagos!$B$5:$L216,3,false)),"Disponible",vlookup(A:A,Pagos!$B$5:$L216,3,false))</f>
        <v>Disponible</v>
      </c>
      <c r="D92" s="491" t="str">
        <f>IF(iserror(vlookup(A:A,Pagos!$B$5:$L216,4,false)),"Disponible",If(vlookup(A:A,Pagos!$B$5:$L216,5,false),vlookup(A:A,Pagos!$B$5:$L216,5,false),vlookup(A:A,Pagos!$B$5:$L216,4,false)))</f>
        <v>Disponible</v>
      </c>
      <c r="E92" s="510"/>
      <c r="F92" s="350" t="str">
        <f t="shared" si="1"/>
        <v/>
      </c>
      <c r="G92" s="350" t="b">
        <f>If(COUNTIF(Pagos!B:B,A92)&gt;1,true,false)</f>
        <v>0</v>
      </c>
    </row>
    <row r="93">
      <c r="A93" s="488" t="s">
        <v>176</v>
      </c>
      <c r="B93" s="489">
        <f>IF(iserror(vlookup(A:A,Pagos!$B$5:$L216,2,false)),"Disponible",vlookup(A:A,Pagos!$B$5:$L216,2,false))</f>
        <v>1611</v>
      </c>
      <c r="C93" s="510" t="str">
        <f>IF(iserror(vlookup(A:A,Pagos!$B$5:$L216,3,false)),"Disponible",vlookup(A:A,Pagos!$B$5:$L216,3,false))</f>
        <v>MASSI, MARIA EUGENIA</v>
      </c>
      <c r="D93" s="491">
        <f>IF(iserror(vlookup(A:A,Pagos!$B$5:$L216,4,false)),"Disponible",If(vlookup(A:A,Pagos!$B$5:$L216,5,false),vlookup(A:A,Pagos!$B$5:$L216,5,false),vlookup(A:A,Pagos!$B$5:$L216,4,false)))</f>
        <v>45870</v>
      </c>
      <c r="E93" s="510"/>
      <c r="F93" s="350" t="str">
        <f t="shared" si="1"/>
        <v/>
      </c>
      <c r="G93" s="350" t="b">
        <f>If(COUNTIF(Pagos!B:B,A93)&gt;1,true,false)</f>
        <v>0</v>
      </c>
    </row>
    <row r="94">
      <c r="A94" s="488" t="s">
        <v>4845</v>
      </c>
      <c r="B94" s="489">
        <f>IF(iserror(vlookup(A:A,Pagos!$B$5:$L216,2,false)),"Disponible",vlookup(A:A,Pagos!$B$5:$L216,2,false))</f>
        <v>1727</v>
      </c>
      <c r="C94" s="510" t="str">
        <f>IF(iserror(vlookup(A:A,Pagos!$B$5:$L216,3,false)),"Disponible",vlookup(A:A,Pagos!$B$5:$L216,3,false))</f>
        <v>SALMOIRAGHI, GUILLERMO</v>
      </c>
      <c r="D94" s="491">
        <f>IF(iserror(vlookup(A:A,Pagos!$B$5:$L216,4,false)),"Disponible",If(vlookup(A:A,Pagos!$B$5:$L216,5,false),vlookup(A:A,Pagos!$B$5:$L216,5,false),vlookup(A:A,Pagos!$B$5:$L216,4,false)))</f>
        <v>45992</v>
      </c>
      <c r="E94" s="510"/>
      <c r="F94" s="350" t="str">
        <f t="shared" si="1"/>
        <v/>
      </c>
      <c r="G94" s="350" t="b">
        <f>If(COUNTIF(Pagos!B:B,A94)&gt;1,true,false)</f>
        <v>0</v>
      </c>
    </row>
    <row r="95">
      <c r="A95" s="488" t="s">
        <v>259</v>
      </c>
      <c r="B95" s="489">
        <f>IF(iserror(vlookup(A:A,Pagos!$B$5:$L216,2,false)),"Disponible",vlookup(A:A,Pagos!$B$5:$L216,2,false))</f>
        <v>1840</v>
      </c>
      <c r="C95" s="510" t="str">
        <f>IF(iserror(vlookup(A:A,Pagos!$B$5:$L216,3,false)),"Disponible",vlookup(A:A,Pagos!$B$5:$L216,3,false))</f>
        <v>GALVAN, MA. LUZ</v>
      </c>
      <c r="D95" s="491">
        <f>IF(iserror(vlookup(A:A,Pagos!$B$5:$L216,4,false)),"Disponible",If(vlookup(A:A,Pagos!$B$5:$L216,5,false),vlookup(A:A,Pagos!$B$5:$L216,5,false),vlookup(A:A,Pagos!$B$5:$L216,4,false)))</f>
        <v>45870</v>
      </c>
      <c r="E95" s="492"/>
      <c r="F95" s="350" t="str">
        <f t="shared" si="1"/>
        <v/>
      </c>
      <c r="G95" s="350" t="b">
        <f>If(COUNTIF(Pagos!B:B,A95)&gt;1,true,false)</f>
        <v>0</v>
      </c>
    </row>
    <row r="96">
      <c r="A96" s="488" t="s">
        <v>4846</v>
      </c>
      <c r="B96" s="489" t="str">
        <f>IF(iserror(vlookup(A:A,Pagos!$B$5:$L216,2,false)),"Disponible",vlookup(A:A,Pagos!$B$5:$L216,2,false))</f>
        <v>Disponible</v>
      </c>
      <c r="C96" s="510" t="str">
        <f>IF(iserror(vlookup(A:A,Pagos!$B$5:$L216,3,false)),"Disponible",vlookup(A:A,Pagos!$B$5:$L216,3,false))</f>
        <v>Disponible</v>
      </c>
      <c r="D96" s="491" t="str">
        <f>IF(iserror(vlookup(A:A,Pagos!$B$5:$L216,4,false)),"Disponible",If(vlookup(A:A,Pagos!$B$5:$L216,5,false),vlookup(A:A,Pagos!$B$5:$L216,5,false),vlookup(A:A,Pagos!$B$5:$L216,4,false)))</f>
        <v>Disponible</v>
      </c>
      <c r="E96" s="510"/>
      <c r="F96" s="350" t="str">
        <f t="shared" si="1"/>
        <v/>
      </c>
      <c r="G96" s="350" t="b">
        <f>If(COUNTIF(Pagos!B:B,A96)&gt;1,true,false)</f>
        <v>0</v>
      </c>
    </row>
    <row r="97">
      <c r="A97" s="495" t="s">
        <v>432</v>
      </c>
      <c r="B97" s="489">
        <f>IF(iserror(vlookup(A:A,Pagos!$B$5:$L216,2,false)),"Disponible",vlookup(A:A,Pagos!$B$5:$L216,2,false))</f>
        <v>2230</v>
      </c>
      <c r="C97" s="510" t="str">
        <f>IF(iserror(vlookup(A:A,Pagos!$B$5:$L216,3,false)),"Disponible",vlookup(A:A,Pagos!$B$5:$L216,3,false))</f>
        <v>ESCOBAR, ALEJANDRA</v>
      </c>
      <c r="D97" s="491">
        <f>IF(iserror(vlookup(A:A,Pagos!$B$5:$L216,4,false)),"Disponible",If(vlookup(A:A,Pagos!$B$5:$L216,5,false),vlookup(A:A,Pagos!$B$5:$L216,5,false),vlookup(A:A,Pagos!$B$5:$L216,4,false)))</f>
        <v>45870</v>
      </c>
      <c r="E97" s="510"/>
      <c r="F97" s="350" t="str">
        <f t="shared" si="1"/>
        <v/>
      </c>
      <c r="G97" s="350" t="b">
        <f>If(COUNTIF(Pagos!B:B,A97)&gt;1,true,false)</f>
        <v>0</v>
      </c>
    </row>
    <row r="98">
      <c r="A98" s="495" t="s">
        <v>4847</v>
      </c>
      <c r="B98" s="489" t="str">
        <f>IF(iserror(vlookup(A:A,Pagos!$B$5:$L216,2,false)),"Disponible",vlookup(A:A,Pagos!$B$5:$L216,2,false))</f>
        <v>Disponible</v>
      </c>
      <c r="C98" s="510" t="str">
        <f>IF(iserror(vlookup(A:A,Pagos!$B$5:$L216,3,false)),"Disponible",vlookup(A:A,Pagos!$B$5:$L216,3,false))</f>
        <v>Disponible</v>
      </c>
      <c r="D98" s="491" t="str">
        <f>IF(iserror(vlookup(A:A,Pagos!$B$5:$L216,4,false)),"Disponible",If(vlookup(A:A,Pagos!$B$5:$L216,5,false),vlookup(A:A,Pagos!$B$5:$L216,5,false),vlookup(A:A,Pagos!$B$5:$L216,4,false)))</f>
        <v>Disponible</v>
      </c>
      <c r="E98" s="510"/>
      <c r="F98" s="350" t="str">
        <f t="shared" si="1"/>
        <v/>
      </c>
      <c r="G98" s="350" t="b">
        <f>If(COUNTIF(Pagos!B:B,A98)&gt;1,true,false)</f>
        <v>0</v>
      </c>
    </row>
    <row r="99">
      <c r="A99" s="488" t="s">
        <v>4848</v>
      </c>
      <c r="B99" s="489">
        <f>IF(iserror(vlookup(A:A,Pagos!$B$5:$L216,2,false)),"Disponible",vlookup(A:A,Pagos!$B$5:$L216,2,false))</f>
        <v>2340</v>
      </c>
      <c r="C99" s="510" t="str">
        <f>IF(iserror(vlookup(A:A,Pagos!$B$5:$L216,3,false)),"Disponible",vlookup(A:A,Pagos!$B$5:$L216,3,false))</f>
        <v>DIBIACE, ALEJANDRO</v>
      </c>
      <c r="D99" s="491">
        <f>IF(iserror(vlookup(A:A,Pagos!$B$5:$L216,4,false)),"Disponible",If(vlookup(A:A,Pagos!$B$5:$L216,5,false),vlookup(A:A,Pagos!$B$5:$L216,5,false),vlookup(A:A,Pagos!$B$5:$L216,4,false)))</f>
        <v>45870</v>
      </c>
      <c r="E99" s="510"/>
      <c r="F99" s="350" t="str">
        <f t="shared" si="1"/>
        <v/>
      </c>
      <c r="G99" s="350" t="b">
        <f>If(COUNTIF(Pagos!B:B,A99)&gt;1,true,false)</f>
        <v>0</v>
      </c>
    </row>
    <row r="100">
      <c r="A100" s="488" t="s">
        <v>469</v>
      </c>
      <c r="B100" s="489">
        <f>IF(iserror(vlookup(A:A,Pagos!$B$5:$L216,2,false)),"Disponible",vlookup(A:A,Pagos!$B$5:$L216,2,false))</f>
        <v>2316</v>
      </c>
      <c r="C100" s="510" t="str">
        <f>IF(iserror(vlookup(A:A,Pagos!$B$5:$L216,3,false)),"Disponible",vlookup(A:A,Pagos!$B$5:$L216,3,false))</f>
        <v>DOLCE, PABLO</v>
      </c>
      <c r="D100" s="491">
        <f>IF(iserror(vlookup(A:A,Pagos!$B$5:$L216,4,false)),"Disponible",If(vlookup(A:A,Pagos!$B$5:$L216,5,false),vlookup(A:A,Pagos!$B$5:$L216,5,false),vlookup(A:A,Pagos!$B$5:$L216,4,false)))</f>
        <v>45870</v>
      </c>
      <c r="E100" s="511" t="s">
        <v>4849</v>
      </c>
      <c r="F100" s="350" t="str">
        <f t="shared" si="1"/>
        <v/>
      </c>
      <c r="G100" s="350" t="b">
        <f>If(COUNTIF(Pagos!B:B,A100)&gt;1,true,false)</f>
        <v>0</v>
      </c>
    </row>
    <row r="101">
      <c r="A101" s="488" t="s">
        <v>210</v>
      </c>
      <c r="B101" s="489">
        <f>IF(iserror(vlookup(A:A,Pagos!$B$5:$L216,2,false)),"Disponible",vlookup(A:A,Pagos!$B$5:$L216,2,false))</f>
        <v>1684</v>
      </c>
      <c r="C101" s="510" t="str">
        <f>IF(iserror(vlookup(A:A,Pagos!$B$5:$L216,3,false)),"Disponible",vlookup(A:A,Pagos!$B$5:$L216,3,false))</f>
        <v>BELTRAMI, CARMEN ALICIA</v>
      </c>
      <c r="D101" s="491">
        <f>IF(iserror(vlookup(A:A,Pagos!$B$5:$L216,4,false)),"Disponible",If(vlookup(A:A,Pagos!$B$5:$L216,5,false),vlookup(A:A,Pagos!$B$5:$L216,5,false),vlookup(A:A,Pagos!$B$5:$L216,4,false)))</f>
        <v>45870</v>
      </c>
      <c r="E101" s="492"/>
      <c r="F101" s="350" t="str">
        <f t="shared" si="1"/>
        <v/>
      </c>
      <c r="G101" s="350" t="b">
        <f>If(COUNTIF(Pagos!B:B,A101)&gt;1,true,false)</f>
        <v>0</v>
      </c>
    </row>
    <row r="102">
      <c r="A102" s="488" t="s">
        <v>81</v>
      </c>
      <c r="B102" s="489">
        <f>IF(iserror(vlookup(A:A,Pagos!$B$5:$L216,2,false)),"Disponible",vlookup(A:A,Pagos!$B$5:$L216,2,false))</f>
        <v>782</v>
      </c>
      <c r="C102" s="510" t="str">
        <f>IF(iserror(vlookup(A:A,Pagos!$B$5:$L216,3,false)),"Disponible",vlookup(A:A,Pagos!$B$5:$L216,3,false))</f>
        <v>BALBO, GERARDO</v>
      </c>
      <c r="D102" s="491">
        <f>IF(iserror(vlookup(A:A,Pagos!$B$5:$L216,4,false)),"Disponible",If(vlookup(A:A,Pagos!$B$5:$L216,5,false),vlookup(A:A,Pagos!$B$5:$L216,5,false),vlookup(A:A,Pagos!$B$5:$L216,4,false)))</f>
        <v>45870</v>
      </c>
      <c r="E102" s="510"/>
      <c r="F102" s="350" t="str">
        <f t="shared" si="1"/>
        <v/>
      </c>
      <c r="G102" s="350" t="b">
        <f>If(COUNTIF(Pagos!B:B,A102)&gt;1,true,false)</f>
        <v>0</v>
      </c>
    </row>
    <row r="103">
      <c r="A103" s="495" t="s">
        <v>233</v>
      </c>
      <c r="B103" s="489">
        <f>IF(iserror(vlookup(A:A,Pagos!$B$5:$L216,2,false)),"Disponible",vlookup(A:A,Pagos!$B$5:$L216,2,false))</f>
        <v>1743</v>
      </c>
      <c r="C103" s="510" t="str">
        <f>IF(iserror(vlookup(A:A,Pagos!$B$5:$L216,3,false)),"Disponible",vlookup(A:A,Pagos!$B$5:$L216,3,false))</f>
        <v>CHIAPPE, PABLO DARIO</v>
      </c>
      <c r="D103" s="491">
        <f>IF(iserror(vlookup(A:A,Pagos!$B$5:$L216,4,false)),"Disponible",If(vlookup(A:A,Pagos!$B$5:$L216,5,false),vlookup(A:A,Pagos!$B$5:$L216,5,false),vlookup(A:A,Pagos!$B$5:$L216,4,false)))</f>
        <v>45870</v>
      </c>
      <c r="E103" s="510"/>
      <c r="F103" s="350" t="str">
        <f t="shared" si="1"/>
        <v/>
      </c>
      <c r="G103" s="350" t="b">
        <f>If(COUNTIF(Pagos!B:B,A103)&gt;1,true,false)</f>
        <v>0</v>
      </c>
    </row>
    <row r="104">
      <c r="A104" s="495" t="s">
        <v>67</v>
      </c>
      <c r="B104" s="489">
        <f>IF(iserror(vlookup(A:A,Pagos!$B$5:$L216,2,false)),"Disponible",vlookup(A:A,Pagos!$B$5:$L216,2,false))</f>
        <v>593</v>
      </c>
      <c r="C104" s="510" t="str">
        <f>IF(iserror(vlookup(A:A,Pagos!$B$5:$L216,3,false)),"Disponible",vlookup(A:A,Pagos!$B$5:$L216,3,false))</f>
        <v>CREEVY, HUGO</v>
      </c>
      <c r="D104" s="491">
        <f>IF(iserror(vlookup(A:A,Pagos!$B$5:$L216,4,false)),"Disponible",If(vlookup(A:A,Pagos!$B$5:$L216,5,false),vlookup(A:A,Pagos!$B$5:$L216,5,false),vlookup(A:A,Pagos!$B$5:$L216,4,false)))</f>
        <v>45870</v>
      </c>
      <c r="E104" s="510"/>
      <c r="F104" s="350" t="str">
        <f t="shared" si="1"/>
        <v/>
      </c>
      <c r="G104" s="350" t="b">
        <f>If(COUNTIF(Pagos!B:B,A104)&gt;1,true,false)</f>
        <v>0</v>
      </c>
    </row>
    <row r="105">
      <c r="A105" s="488" t="s">
        <v>237</v>
      </c>
      <c r="B105" s="489">
        <f>IF(iserror(vlookup(A:A,Pagos!$B$5:$L216,2,false)),"Disponible",vlookup(A:A,Pagos!$B$5:$L216,2,false))</f>
        <v>1756</v>
      </c>
      <c r="C105" s="510" t="str">
        <f>IF(iserror(vlookup(A:A,Pagos!$B$5:$L216,3,false)),"Disponible",vlookup(A:A,Pagos!$B$5:$L216,3,false))</f>
        <v>PENNA, GONZALO</v>
      </c>
      <c r="D105" s="491">
        <f>IF(iserror(vlookup(A:A,Pagos!$B$5:$L216,4,false)),"Disponible",If(vlookup(A:A,Pagos!$B$5:$L216,5,false),vlookup(A:A,Pagos!$B$5:$L216,5,false),vlookup(A:A,Pagos!$B$5:$L216,4,false)))</f>
        <v>45992</v>
      </c>
      <c r="E105" s="492"/>
      <c r="F105" s="350" t="str">
        <f t="shared" si="1"/>
        <v/>
      </c>
      <c r="G105" s="350" t="b">
        <f>If(COUNTIF(Pagos!B:B,A105)&gt;1,true,false)</f>
        <v>0</v>
      </c>
    </row>
    <row r="106">
      <c r="A106" s="495" t="s">
        <v>4850</v>
      </c>
      <c r="B106" s="489" t="str">
        <f>IF(iserror(vlookup(A:A,Pagos!$B$5:$L216,2,false)),"Disponible",vlookup(A:A,Pagos!$B$5:$L216,2,false))</f>
        <v>Disponible</v>
      </c>
      <c r="C106" s="510" t="str">
        <f>IF(iserror(vlookup(A:A,Pagos!$B$5:$L216,3,false)),"Disponible",vlookup(A:A,Pagos!$B$5:$L216,3,false))</f>
        <v>Disponible</v>
      </c>
      <c r="D106" s="491" t="str">
        <f>IF(iserror(vlookup(A:A,Pagos!$B$5:$L216,4,false)),"Disponible",If(vlookup(A:A,Pagos!$B$5:$L216,5,false),vlookup(A:A,Pagos!$B$5:$L216,5,false),vlookup(A:A,Pagos!$B$5:$L216,4,false)))</f>
        <v>Disponible</v>
      </c>
      <c r="E106" s="492"/>
      <c r="F106" s="350" t="str">
        <f t="shared" si="1"/>
        <v/>
      </c>
      <c r="G106" s="350" t="b">
        <f>If(COUNTIF(Pagos!B:B,A106)&gt;1,true,false)</f>
        <v>0</v>
      </c>
    </row>
    <row r="107">
      <c r="A107" s="488" t="s">
        <v>86</v>
      </c>
      <c r="B107" s="489">
        <f>IF(iserror(vlookup(A:A,Pagos!$B$5:$L216,2,false)),"Disponible",vlookup(A:A,Pagos!$B$5:$L216,2,false))</f>
        <v>894</v>
      </c>
      <c r="C107" s="510" t="str">
        <f>IF(iserror(vlookup(A:A,Pagos!$B$5:$L216,3,false)),"Disponible",vlookup(A:A,Pagos!$B$5:$L216,3,false))</f>
        <v>SUWAK, FERNANDO</v>
      </c>
      <c r="D107" s="491">
        <f>IF(iserror(vlookup(A:A,Pagos!$B$5:$L216,4,false)),"Disponible",If(vlookup(A:A,Pagos!$B$5:$L216,5,false),vlookup(A:A,Pagos!$B$5:$L216,5,false),vlookup(A:A,Pagos!$B$5:$L216,4,false)))</f>
        <v>45870</v>
      </c>
      <c r="E107" s="492"/>
      <c r="F107" s="350" t="str">
        <f t="shared" si="1"/>
        <v/>
      </c>
      <c r="G107" s="350" t="b">
        <f>If(COUNTIF(Pagos!B:B,A107)&gt;1,true,false)</f>
        <v>0</v>
      </c>
    </row>
    <row r="108">
      <c r="A108" s="495" t="s">
        <v>340</v>
      </c>
      <c r="B108" s="489">
        <f>IF(iserror(vlookup(A:A,Pagos!$B$5:$L216,2,false)),"Disponible",vlookup(A:A,Pagos!$B$5:$L216,2,false))</f>
        <v>2042</v>
      </c>
      <c r="C108" s="510" t="str">
        <f>IF(iserror(vlookup(A:A,Pagos!$B$5:$L216,3,false)),"Disponible",vlookup(A:A,Pagos!$B$5:$L216,3,false))</f>
        <v>WALTER MURIEL</v>
      </c>
      <c r="D108" s="491">
        <f>IF(iserror(vlookup(A:A,Pagos!$B$5:$L216,4,false)),"Disponible",If(vlookup(A:A,Pagos!$B$5:$L216,5,false),vlookup(A:A,Pagos!$B$5:$L216,5,false),vlookup(A:A,Pagos!$B$5:$L216,4,false)))</f>
        <v>45901</v>
      </c>
      <c r="E108" s="510"/>
      <c r="F108" s="350" t="str">
        <f t="shared" si="1"/>
        <v/>
      </c>
      <c r="G108" s="350" t="b">
        <f>If(COUNTIF(Pagos!B:B,A108)&gt;1,true,false)</f>
        <v>0</v>
      </c>
    </row>
    <row r="109">
      <c r="A109" s="495" t="s">
        <v>72</v>
      </c>
      <c r="B109" s="489">
        <f>IF(iserror(vlookup(A:A,Pagos!$B$5:$L216,2,false)),"Disponible",vlookup(A:A,Pagos!$B$5:$L216,2,false))</f>
        <v>697</v>
      </c>
      <c r="C109" s="510" t="str">
        <f>IF(iserror(vlookup(A:A,Pagos!$B$5:$L216,3,false)),"Disponible",vlookup(A:A,Pagos!$B$5:$L216,3,false))</f>
        <v>ROMERO, IGNACIO</v>
      </c>
      <c r="D109" s="491">
        <f>IF(iserror(vlookup(A:A,Pagos!$B$5:$L216,4,false)),"Disponible",If(vlookup(A:A,Pagos!$B$5:$L216,5,false),vlookup(A:A,Pagos!$B$5:$L216,5,false),vlookup(A:A,Pagos!$B$5:$L216,4,false)))</f>
        <v>45870</v>
      </c>
      <c r="E109" s="492"/>
      <c r="F109" s="350" t="str">
        <f t="shared" si="1"/>
        <v/>
      </c>
      <c r="G109" s="350" t="b">
        <f>If(COUNTIF(Pagos!B:B,A109)&gt;1,true,false)</f>
        <v>0</v>
      </c>
    </row>
    <row r="110">
      <c r="A110" s="495" t="s">
        <v>223</v>
      </c>
      <c r="B110" s="489">
        <f>IF(iserror(vlookup(A:A,Pagos!$B$5:$L216,2,false)),"Disponible",vlookup(A:A,Pagos!$B$5:$L216,2,false))</f>
        <v>1724</v>
      </c>
      <c r="C110" s="510" t="str">
        <f>IF(iserror(vlookup(A:A,Pagos!$B$5:$L216,3,false)),"Disponible",vlookup(A:A,Pagos!$B$5:$L216,3,false))</f>
        <v>MAISANO, NATALIA</v>
      </c>
      <c r="D110" s="491">
        <f>IF(iserror(vlookup(A:A,Pagos!$B$5:$L216,4,false)),"Disponible",If(vlookup(A:A,Pagos!$B$5:$L216,5,false),vlookup(A:A,Pagos!$B$5:$L216,5,false),vlookup(A:A,Pagos!$B$5:$L216,4,false)))</f>
        <v>45870</v>
      </c>
      <c r="E110" s="492"/>
      <c r="F110" s="350" t="str">
        <f t="shared" si="1"/>
        <v/>
      </c>
      <c r="G110" s="350" t="b">
        <f>If(COUNTIF(Pagos!B:B,A110)&gt;1,true,false)</f>
        <v>0</v>
      </c>
    </row>
    <row r="111">
      <c r="A111" s="495" t="s">
        <v>236</v>
      </c>
      <c r="B111" s="489">
        <f>IF(iserror(vlookup(A:A,Pagos!$B$5:$L216,2,false)),"Disponible",vlookup(A:A,Pagos!$B$5:$L216,2,false))</f>
        <v>1756</v>
      </c>
      <c r="C111" s="510" t="str">
        <f>IF(iserror(vlookup(A:A,Pagos!$B$5:$L216,3,false)),"Disponible",vlookup(A:A,Pagos!$B$5:$L216,3,false))</f>
        <v>PENNA, GONZALO</v>
      </c>
      <c r="D111" s="491">
        <f>IF(iserror(vlookup(A:A,Pagos!$B$5:$L216,4,false)),"Disponible",If(vlookup(A:A,Pagos!$B$5:$L216,5,false),vlookup(A:A,Pagos!$B$5:$L216,5,false),vlookup(A:A,Pagos!$B$5:$L216,4,false)))</f>
        <v>45992</v>
      </c>
      <c r="E111" s="492"/>
      <c r="F111" s="350" t="str">
        <f t="shared" si="1"/>
        <v/>
      </c>
      <c r="G111" s="350" t="b">
        <f>If(COUNTIF(Pagos!B:B,A111)&gt;1,true,false)</f>
        <v>0</v>
      </c>
    </row>
    <row r="112">
      <c r="A112" s="488" t="s">
        <v>141</v>
      </c>
      <c r="B112" s="489">
        <f>IF(iserror(vlookup(A:A,Pagos!$B$5:$L216,2,false)),"Disponible",vlookup(A:A,Pagos!$B$5:$L216,2,false))</f>
        <v>1476</v>
      </c>
      <c r="C112" s="510" t="str">
        <f>IF(iserror(vlookup(A:A,Pagos!$B$5:$L216,3,false)),"Disponible",vlookup(A:A,Pagos!$B$5:$L216,3,false))</f>
        <v>CASTILLO, DARDO</v>
      </c>
      <c r="D112" s="491">
        <f>IF(iserror(vlookup(A:A,Pagos!$B$5:$L216,4,false)),"Disponible",If(vlookup(A:A,Pagos!$B$5:$L216,5,false),vlookup(A:A,Pagos!$B$5:$L216,5,false),vlookup(A:A,Pagos!$B$5:$L216,4,false)))</f>
        <v>45931</v>
      </c>
      <c r="E112" s="510"/>
      <c r="F112" s="350" t="str">
        <f t="shared" si="1"/>
        <v/>
      </c>
      <c r="G112" s="350" t="b">
        <f>If(COUNTIF(Pagos!B:B,A112)&gt;1,true,false)</f>
        <v>0</v>
      </c>
    </row>
    <row r="113">
      <c r="A113" s="488" t="s">
        <v>4851</v>
      </c>
      <c r="B113" s="489" t="str">
        <f>IF(iserror(vlookup(A:A,Pagos!$B$5:$L216,2,false)),"Disponible",vlookup(A:A,Pagos!$B$5:$L216,2,false))</f>
        <v>Disponible</v>
      </c>
      <c r="C113" s="510" t="str">
        <f>IF(iserror(vlookup(A:A,Pagos!$B$5:$L216,3,false)),"Disponible",vlookup(A:A,Pagos!$B$5:$L216,3,false))</f>
        <v>Disponible</v>
      </c>
      <c r="D113" s="491" t="str">
        <f>IF(iserror(vlookup(A:A,Pagos!$B$5:$L216,4,false)),"Disponible",If(vlookup(A:A,Pagos!$B$5:$L216,5,false),vlookup(A:A,Pagos!$B$5:$L216,5,false),vlookup(A:A,Pagos!$B$5:$L216,4,false)))</f>
        <v>Disponible</v>
      </c>
      <c r="E113" s="510"/>
      <c r="F113" s="350" t="str">
        <f t="shared" si="1"/>
        <v/>
      </c>
      <c r="G113" s="350" t="b">
        <f>If(COUNTIF(Pagos!B:B,A113)&gt;1,true,false)</f>
        <v>0</v>
      </c>
    </row>
    <row r="114">
      <c r="A114" s="488" t="s">
        <v>4852</v>
      </c>
      <c r="B114" s="489">
        <f>IF(iserror(vlookup(A:A,Pagos!$B$5:$L216,2,false)),"Disponible",vlookup(A:A,Pagos!$B$5:$L216,2,false))</f>
        <v>2208</v>
      </c>
      <c r="C114" s="510" t="str">
        <f>IF(iserror(vlookup(A:A,Pagos!$B$5:$L216,3,false)),"Disponible",vlookup(A:A,Pagos!$B$5:$L216,3,false))</f>
        <v>ROLLA, NICOLAS</v>
      </c>
      <c r="D114" s="491">
        <f>IF(iserror(vlookup(A:A,Pagos!$B$5:$L216,4,false)),"Disponible",If(vlookup(A:A,Pagos!$B$5:$L216,5,false),vlookup(A:A,Pagos!$B$5:$L216,5,false),vlookup(A:A,Pagos!$B$5:$L216,4,false)))</f>
        <v>45870</v>
      </c>
      <c r="E114" s="510"/>
      <c r="F114" s="350" t="str">
        <f t="shared" si="1"/>
        <v/>
      </c>
      <c r="G114" s="350" t="b">
        <f>If(COUNTIF(Pagos!B:B,A114)&gt;1,true,false)</f>
        <v>0</v>
      </c>
    </row>
    <row r="115">
      <c r="A115" s="495" t="s">
        <v>4853</v>
      </c>
      <c r="B115" s="489">
        <f>IF(iserror(vlookup(A:A,Pagos!$B$5:$L216,2,false)),"Disponible",vlookup(A:A,Pagos!$B$5:$L216,2,false))</f>
        <v>2275</v>
      </c>
      <c r="C115" s="510" t="str">
        <f>IF(iserror(vlookup(A:A,Pagos!$B$5:$L216,3,false)),"Disponible",vlookup(A:A,Pagos!$B$5:$L216,3,false))</f>
        <v>TORRES, JULIA</v>
      </c>
      <c r="D115" s="491">
        <f>IF(iserror(vlookup(A:A,Pagos!$B$5:$L216,4,false)),"Disponible",If(vlookup(A:A,Pagos!$B$5:$L216,5,false),vlookup(A:A,Pagos!$B$5:$L216,5,false),vlookup(A:A,Pagos!$B$5:$L216,4,false)))</f>
        <v>45870</v>
      </c>
      <c r="E115" s="510"/>
      <c r="F115" s="350" t="str">
        <f t="shared" si="1"/>
        <v/>
      </c>
      <c r="G115" s="350" t="b">
        <f>If(COUNTIF(Pagos!B:B,A115)&gt;1,true,false)</f>
        <v>0</v>
      </c>
    </row>
    <row r="116">
      <c r="A116" s="488" t="s">
        <v>232</v>
      </c>
      <c r="B116" s="489">
        <f>IF(iserror(vlookup(A:A,Pagos!$B$5:$L216,2,false)),"Disponible",vlookup(A:A,Pagos!$B$5:$L216,2,false))</f>
        <v>1739</v>
      </c>
      <c r="C116" s="510" t="str">
        <f>IF(iserror(vlookup(A:A,Pagos!$B$5:$L216,3,false)),"Disponible",vlookup(A:A,Pagos!$B$5:$L216,3,false))</f>
        <v>RAMPOLDI, JUAN IGNACIO</v>
      </c>
      <c r="D116" s="491">
        <f>IF(iserror(vlookup(A:A,Pagos!$B$5:$L216,4,false)),"Disponible",If(vlookup(A:A,Pagos!$B$5:$L216,5,false),vlookup(A:A,Pagos!$B$5:$L216,5,false),vlookup(A:A,Pagos!$B$5:$L216,4,false)))</f>
        <v>45870</v>
      </c>
      <c r="E116" s="510"/>
      <c r="F116" s="350" t="str">
        <f t="shared" si="1"/>
        <v/>
      </c>
      <c r="G116" s="350" t="b">
        <f>If(COUNTIF(Pagos!B:B,A116)&gt;1,true,false)</f>
        <v>0</v>
      </c>
    </row>
    <row r="117">
      <c r="A117" s="495" t="s">
        <v>135</v>
      </c>
      <c r="B117" s="489">
        <f>IF(iserror(vlookup(A:A,Pagos!$B$5:$L216,2,false)),"Disponible",vlookup(A:A,Pagos!$B$5:$L216,2,false))</f>
        <v>1452</v>
      </c>
      <c r="C117" s="510" t="str">
        <f>IF(iserror(vlookup(A:A,Pagos!$B$5:$L216,3,false)),"Disponible",vlookup(A:A,Pagos!$B$5:$L216,3,false))</f>
        <v>REZALA, MARCELO</v>
      </c>
      <c r="D117" s="491">
        <f>IF(iserror(vlookup(A:A,Pagos!$B$5:$L216,4,false)),"Disponible",If(vlookup(A:A,Pagos!$B$5:$L216,5,false),vlookup(A:A,Pagos!$B$5:$L216,5,false),vlookup(A:A,Pagos!$B$5:$L216,4,false)))</f>
        <v>45870</v>
      </c>
      <c r="E117" s="492"/>
      <c r="F117" s="350" t="str">
        <f t="shared" si="1"/>
        <v/>
      </c>
      <c r="G117" s="350" t="b">
        <f>If(COUNTIF(Pagos!B:B,A117)&gt;1,true,false)</f>
        <v>0</v>
      </c>
    </row>
    <row r="118">
      <c r="A118" s="488" t="s">
        <v>231</v>
      </c>
      <c r="B118" s="489">
        <f>IF(iserror(vlookup(A:A,Pagos!$B$5:$L216,2,false)),"Disponible",vlookup(A:A,Pagos!$B$5:$L216,2,false))</f>
        <v>1737</v>
      </c>
      <c r="C118" s="510" t="str">
        <f>IF(iserror(vlookup(A:A,Pagos!$B$5:$L216,3,false)),"Disponible",vlookup(A:A,Pagos!$B$5:$L216,3,false))</f>
        <v>CAMARA, ANA</v>
      </c>
      <c r="D118" s="491">
        <f>IF(iserror(vlookup(A:A,Pagos!$B$5:$L216,4,false)),"Disponible",If(vlookup(A:A,Pagos!$B$5:$L216,5,false),vlookup(A:A,Pagos!$B$5:$L216,5,false),vlookup(A:A,Pagos!$B$5:$L216,4,false)))</f>
        <v>45992</v>
      </c>
      <c r="E118" s="492"/>
      <c r="F118" s="350" t="str">
        <f t="shared" si="1"/>
        <v/>
      </c>
      <c r="G118" s="350" t="b">
        <f>If(COUNTIF(Pagos!B:B,A118)&gt;1,true,false)</f>
        <v>0</v>
      </c>
    </row>
    <row r="119">
      <c r="A119" s="495" t="s">
        <v>4854</v>
      </c>
      <c r="B119" s="489">
        <f>IF(iserror(vlookup(A:A,Pagos!$B$5:$L216,2,false)),"Disponible",vlookup(A:A,Pagos!$B$5:$L216,2,false))</f>
        <v>1727</v>
      </c>
      <c r="C119" s="510" t="str">
        <f>IF(iserror(vlookup(A:A,Pagos!$B$5:$L216,3,false)),"Disponible",vlookup(A:A,Pagos!$B$5:$L216,3,false))</f>
        <v>SALMOIRAGHI, GUILLERMO</v>
      </c>
      <c r="D119" s="491">
        <f>IF(iserror(vlookup(A:A,Pagos!$B$5:$L216,4,false)),"Disponible",If(vlookup(A:A,Pagos!$B$5:$L216,5,false),vlookup(A:A,Pagos!$B$5:$L216,5,false),vlookup(A:A,Pagos!$B$5:$L216,4,false)))</f>
        <v>45992</v>
      </c>
      <c r="E119" s="492"/>
      <c r="F119" s="350" t="str">
        <f t="shared" si="1"/>
        <v/>
      </c>
      <c r="G119" s="350" t="b">
        <f>If(COUNTIF(Pagos!B:B,A119)&gt;1,true,false)</f>
        <v>0</v>
      </c>
    </row>
    <row r="120">
      <c r="A120" s="496" t="s">
        <v>282</v>
      </c>
      <c r="B120" s="489">
        <f>IF(iserror(vlookup(A:A,Pagos!$B$5:$L216,2,false)),"Disponible",vlookup(A:A,Pagos!$B$5:$L216,2,false))</f>
        <v>1902</v>
      </c>
      <c r="C120" s="511" t="s">
        <v>2615</v>
      </c>
      <c r="D120" s="491">
        <f>IF(iserror(vlookup(A:A,Pagos!$B$5:$L216,4,false)),"Disponible",If(vlookup(A:A,Pagos!$B$5:$L216,5,false),vlookup(A:A,Pagos!$B$5:$L216,5,false),vlookup(A:A,Pagos!$B$5:$L216,4,false)))</f>
        <v>45870</v>
      </c>
      <c r="E120" s="492"/>
      <c r="F120" s="350"/>
      <c r="G120" s="350"/>
    </row>
    <row r="121">
      <c r="A121" s="496" t="s">
        <v>280</v>
      </c>
      <c r="B121" s="489">
        <f>IF(iserror(vlookup(A:A,Pagos!$B$5:$L216,2,false)),"Disponible",vlookup(A:A,Pagos!$B$5:$L216,2,false))</f>
        <v>1894</v>
      </c>
      <c r="C121" s="510" t="str">
        <f>IF(iserror(vlookup(A:A,Pagos!$B$5:$L216,3,false)),"Disponible",vlookup(A:A,Pagos!$B$5:$L216,3,false))</f>
        <v>MAS JAVIER IGNACIO</v>
      </c>
      <c r="D121" s="491">
        <f>IF(iserror(vlookup(A:A,Pagos!$B$5:$L216,4,false)),"Disponible",If(vlookup(A:A,Pagos!$B$5:$L216,5,false),vlookup(A:A,Pagos!$B$5:$L216,5,false),vlookup(A:A,Pagos!$B$5:$L216,4,false)))</f>
        <v>45870</v>
      </c>
      <c r="E121" s="492"/>
      <c r="F121" s="350"/>
      <c r="G121" s="350"/>
    </row>
    <row r="122">
      <c r="A122" s="496" t="s">
        <v>283</v>
      </c>
      <c r="B122" s="489">
        <f>IF(iserror(vlookup(A:A,Pagos!$B$5:$L216,2,false)),"Disponible",vlookup(A:A,Pagos!$B$5:$L216,2,false))</f>
        <v>1906</v>
      </c>
      <c r="C122" s="510" t="str">
        <f>IF(iserror(vlookup(A:A,Pagos!$B$5:$L216,3,false)),"Disponible",vlookup(A:A,Pagos!$B$5:$L216,3,false))</f>
        <v>VILLANUEVA, MARCELO</v>
      </c>
      <c r="D122" s="491">
        <f>IF(iserror(vlookup(A:A,Pagos!$B$5:$L216,4,false)),"Disponible",If(vlookup(A:A,Pagos!$B$5:$L216,5,false),vlookup(A:A,Pagos!$B$5:$L216,5,false),vlookup(A:A,Pagos!$B$5:$L216,4,false)))</f>
        <v>45839</v>
      </c>
      <c r="E122" s="492"/>
      <c r="F122" s="350"/>
      <c r="G122" s="350"/>
    </row>
    <row r="123">
      <c r="A123" s="496" t="s">
        <v>252</v>
      </c>
      <c r="B123" s="489">
        <f>IF(iserror(vlookup(A:A,Pagos!$B$5:$L216,2,false)),"Disponible",vlookup(A:A,Pagos!$B$5:$L216,2,false))</f>
        <v>1802</v>
      </c>
      <c r="C123" s="510" t="str">
        <f>IF(iserror(vlookup(A:A,Pagos!$B$5:$L216,3,false)),"Disponible",vlookup(A:A,Pagos!$B$5:$L216,3,false))</f>
        <v>MATENELLA, CATERINA</v>
      </c>
      <c r="D123" s="491">
        <f>IF(iserror(vlookup(A:A,Pagos!$B$5:$L216,4,false)),"Disponible",If(vlookup(A:A,Pagos!$B$5:$L216,5,false),vlookup(A:A,Pagos!$B$5:$L216,5,false),vlookup(A:A,Pagos!$B$5:$L216,4,false)))</f>
        <v>45870</v>
      </c>
      <c r="E123" s="492"/>
      <c r="F123" s="350"/>
      <c r="G123" s="350"/>
    </row>
    <row r="124">
      <c r="A124" s="496" t="s">
        <v>279</v>
      </c>
      <c r="B124" s="489">
        <f>IF(iserror(vlookup(A:A,Pagos!$B$5:$L216,2,false)),"Disponible",vlookup(A:A,Pagos!$B$5:$L216,2,false))</f>
        <v>1893</v>
      </c>
      <c r="C124" s="510" t="str">
        <f>IF(iserror(vlookup(A:A,Pagos!$B$5:$L216,3,false)),"Disponible",vlookup(A:A,Pagos!$B$5:$L216,3,false))</f>
        <v>AYALA, RUBEN</v>
      </c>
      <c r="D124" s="491">
        <f>IF(iserror(vlookup(A:A,Pagos!$B$5:$L216,4,false)),"Disponible",If(vlookup(A:A,Pagos!$B$5:$L216,5,false),vlookup(A:A,Pagos!$B$5:$L216,5,false),vlookup(A:A,Pagos!$B$5:$L216,4,false)))</f>
        <v>45870</v>
      </c>
      <c r="E124" s="492"/>
      <c r="F124" s="350"/>
      <c r="G124" s="350"/>
    </row>
    <row r="125">
      <c r="A125" s="496" t="s">
        <v>309</v>
      </c>
      <c r="B125" s="489">
        <f>IF(iserror(vlookup(A:A,Pagos!$B$5:$L216,2,false)),"Disponible",vlookup(A:A,Pagos!$B$5:$L216,2,false))</f>
        <v>1956</v>
      </c>
      <c r="C125" s="510" t="str">
        <f>IF(iserror(vlookup(A:A,Pagos!$B$5:$L216,3,false)),"Disponible",vlookup(A:A,Pagos!$B$5:$L216,3,false))</f>
        <v>DENOFRIO, GERMAN</v>
      </c>
      <c r="D125" s="491">
        <f>IF(iserror(vlookup(A:A,Pagos!$B$5:$L216,4,false)),"Disponible",If(vlookup(A:A,Pagos!$B$5:$L216,5,false),vlookup(A:A,Pagos!$B$5:$L216,5,false),vlookup(A:A,Pagos!$B$5:$L216,4,false)))</f>
        <v>45809</v>
      </c>
      <c r="E125" s="492"/>
      <c r="F125" s="350"/>
      <c r="G125" s="350"/>
    </row>
    <row r="126">
      <c r="A126" s="496" t="s">
        <v>440</v>
      </c>
      <c r="B126" s="489">
        <f>IF(iserror(vlookup(A:A,Pagos!$B$5:$L216,2,false)),"Disponible",vlookup(A:A,Pagos!$B$5:$L216,2,false))</f>
        <v>2248</v>
      </c>
      <c r="C126" s="510" t="str">
        <f>IF(iserror(vlookup(A:A,Pagos!$B$5:$L216,3,false)),"Disponible",vlookup(A:A,Pagos!$B$5:$L216,3,false))</f>
        <v>ROTHER, CRISTIAN</v>
      </c>
      <c r="D126" s="491">
        <f>IF(iserror(vlookup(A:A,Pagos!$B$5:$L216,4,false)),"Disponible",If(vlookup(A:A,Pagos!$B$5:$L216,5,false),vlookup(A:A,Pagos!$B$5:$L216,5,false),vlookup(A:A,Pagos!$B$5:$L216,4,false)))</f>
        <v>45870</v>
      </c>
      <c r="E126" s="492"/>
      <c r="F126" s="350"/>
      <c r="G126" s="350"/>
    </row>
    <row r="127">
      <c r="A127" s="496" t="s">
        <v>290</v>
      </c>
      <c r="B127" s="489">
        <f>IF(iserror(vlookup(A:A,Pagos!$B$5:$L216,2,false)),"Disponible",vlookup(A:A,Pagos!$B$5:$L216,2,false))</f>
        <v>1917</v>
      </c>
      <c r="C127" s="511" t="s">
        <v>941</v>
      </c>
      <c r="D127" s="491">
        <f>IF(iserror(vlookup(A:A,Pagos!$B$5:$L216,4,false)),"Disponible",If(vlookup(A:A,Pagos!$B$5:$L216,5,false),vlookup(A:A,Pagos!$B$5:$L216,5,false),vlookup(A:A,Pagos!$B$5:$L216,4,false)))</f>
        <v>45870</v>
      </c>
      <c r="E127" s="492"/>
      <c r="F127" s="350"/>
      <c r="G127" s="350"/>
    </row>
    <row r="128">
      <c r="A128" s="496" t="s">
        <v>289</v>
      </c>
      <c r="B128" s="489">
        <f>IF(iserror(vlookup(A:A,Pagos!$B$5:$L216,2,false)),"Disponible",vlookup(A:A,Pagos!$B$5:$L216,2,false))</f>
        <v>1915</v>
      </c>
      <c r="C128" s="510" t="str">
        <f>IF(iserror(vlookup(A:A,Pagos!$B$5:$L216,3,false)),"Disponible",vlookup(A:A,Pagos!$B$5:$L216,3,false))</f>
        <v>VELAZQUEZ,MARIANO</v>
      </c>
      <c r="D128" s="491">
        <f>IF(iserror(vlookup(A:A,Pagos!$B$5:$L216,4,false)),"Disponible",If(vlookup(A:A,Pagos!$B$5:$L216,5,false),vlookup(A:A,Pagos!$B$5:$L216,5,false),vlookup(A:A,Pagos!$B$5:$L216,4,false)))</f>
        <v>45870</v>
      </c>
      <c r="E128" s="492"/>
      <c r="F128" s="350"/>
      <c r="G128" s="350"/>
    </row>
    <row r="129">
      <c r="A129" s="496" t="s">
        <v>293</v>
      </c>
      <c r="B129" s="489">
        <f>IF(iserror(vlookup(A:A,Pagos!$B$5:$L216,2,false)),"Disponible",vlookup(A:A,Pagos!$B$5:$L216,2,false))</f>
        <v>1922</v>
      </c>
      <c r="C129" s="510" t="str">
        <f>IF(iserror(vlookup(A:A,Pagos!$B$5:$L216,3,false)),"Disponible",vlookup(A:A,Pagos!$B$5:$L216,3,false))</f>
        <v>RIO, DAVID ALFREDO</v>
      </c>
      <c r="D129" s="491">
        <f>IF(iserror(vlookup(A:A,Pagos!$B$5:$L216,4,false)),"Disponible",If(vlookup(A:A,Pagos!$B$5:$L216,5,false),vlookup(A:A,Pagos!$B$5:$L216,5,false),vlookup(A:A,Pagos!$B$5:$L216,4,false)))</f>
        <v>45870</v>
      </c>
      <c r="E129" s="492"/>
      <c r="F129" s="350"/>
      <c r="G129" s="350"/>
    </row>
    <row r="130">
      <c r="A130" s="498" t="s">
        <v>454</v>
      </c>
      <c r="B130" s="489">
        <f>IF(iserror(vlookup(A:A,Pagos!$B$5:$L216,2,false)),"Disponible",vlookup(A:A,Pagos!$B$5:$L216,2,false))</f>
        <v>2284</v>
      </c>
      <c r="C130" s="510" t="str">
        <f>IF(iserror(vlookup(A:A,Pagos!$B$5:$L216,3,false)),"Disponible",vlookup(A:A,Pagos!$B$5:$L216,3,false))</f>
        <v>DELUCCHI, GUSTAVO</v>
      </c>
      <c r="D130" s="491">
        <f>IF(iserror(vlookup(A:A,Pagos!$B$5:$L216,4,false)),"Disponible",If(vlookup(A:A,Pagos!$B$5:$L216,5,false),vlookup(A:A,Pagos!$B$5:$L216,5,false),vlookup(A:A,Pagos!$B$5:$L216,4,false)))</f>
        <v>45992</v>
      </c>
      <c r="E130" s="492"/>
      <c r="F130" s="350"/>
      <c r="G130" s="442"/>
    </row>
    <row r="131">
      <c r="A131" s="498" t="s">
        <v>261</v>
      </c>
      <c r="B131" s="489">
        <f>IF(iserror(vlookup(A:A,Pagos!$B$5:$L216,2,false)),"Disponible",vlookup(A:A,Pagos!$B$5:$L216,2,false))</f>
        <v>1844</v>
      </c>
      <c r="C131" s="510" t="str">
        <f>IF(iserror(vlookup(A:A,Pagos!$B$5:$L216,3,false)),"Disponible",vlookup(A:A,Pagos!$B$5:$L216,3,false))</f>
        <v>ONZARI, GUSTAVO</v>
      </c>
      <c r="D131" s="491">
        <f>IF(iserror(vlookup(A:A,Pagos!$B$5:$L216,4,false)),"Disponible",If(vlookup(A:A,Pagos!$B$5:$L216,5,false),vlookup(A:A,Pagos!$B$5:$L216,5,false),vlookup(A:A,Pagos!$B$5:$L216,4,false)))</f>
        <v>45870</v>
      </c>
      <c r="E131" s="492"/>
      <c r="F131" s="350"/>
      <c r="G131" s="442"/>
    </row>
    <row r="132">
      <c r="A132" s="498" t="s">
        <v>316</v>
      </c>
      <c r="B132" s="489">
        <f>IF(iserror(vlookup(A:A,Pagos!$B$5:$L216,2,false)),"Disponible",vlookup(A:A,Pagos!$B$5:$L216,2,false))</f>
        <v>1983</v>
      </c>
      <c r="C132" s="510" t="str">
        <f>IF(iserror(vlookup(A:A,Pagos!$B$5:$L216,3,false)),"Disponible",vlookup(A:A,Pagos!$B$5:$L216,3,false))</f>
        <v>MARCELINO, GABRIELA</v>
      </c>
      <c r="D132" s="491">
        <f>IF(iserror(vlookup(A:A,Pagos!$B$5:$L216,4,false)),"Disponible",If(vlookup(A:A,Pagos!$B$5:$L216,5,false),vlookup(A:A,Pagos!$B$5:$L216,5,false),vlookup(A:A,Pagos!$B$5:$L216,4,false)))</f>
        <v>45870</v>
      </c>
      <c r="E132" s="492"/>
      <c r="F132" s="350"/>
      <c r="G132" s="442"/>
    </row>
    <row r="133">
      <c r="A133" s="498" t="s">
        <v>319</v>
      </c>
      <c r="B133" s="489">
        <f>IF(iserror(vlookup(A:A,Pagos!$B$5:$L216,2,false)),"Disponible",vlookup(A:A,Pagos!$B$5:$L216,2,false))</f>
        <v>1988</v>
      </c>
      <c r="C133" s="510" t="str">
        <f>IF(iserror(vlookup(A:A,Pagos!$B$5:$L216,3,false)),"Disponible",vlookup(A:A,Pagos!$B$5:$L216,3,false))</f>
        <v>CACERES, FLORENCIA</v>
      </c>
      <c r="D133" s="491">
        <f>IF(iserror(vlookup(A:A,Pagos!$B$5:$L216,4,false)),"Disponible",If(vlookup(A:A,Pagos!$B$5:$L216,5,false),vlookup(A:A,Pagos!$B$5:$L216,5,false),vlookup(A:A,Pagos!$B$5:$L216,4,false)))</f>
        <v>45931</v>
      </c>
      <c r="E133" s="492"/>
      <c r="F133" s="350"/>
      <c r="G133" s="442"/>
    </row>
    <row r="134">
      <c r="A134" s="498" t="s">
        <v>300</v>
      </c>
      <c r="B134" s="489">
        <f>IF(iserror(vlookup(A:A,Pagos!$B$5:$L216,2,false)),"Disponible",vlookup(A:A,Pagos!$B$5:$L216,2,false))</f>
        <v>1936</v>
      </c>
      <c r="C134" s="510" t="str">
        <f>IF(iserror(vlookup(A:A,Pagos!$B$5:$L216,3,false)),"Disponible",vlookup(A:A,Pagos!$B$5:$L216,3,false))</f>
        <v>SOSA, MA. JOSEFINA</v>
      </c>
      <c r="D134" s="491">
        <f>IF(iserror(vlookup(A:A,Pagos!$B$5:$L216,4,false)),"Disponible",If(vlookup(A:A,Pagos!$B$5:$L216,5,false),vlookup(A:A,Pagos!$B$5:$L216,5,false),vlookup(A:A,Pagos!$B$5:$L216,4,false)))</f>
        <v>45870</v>
      </c>
      <c r="E134" s="492"/>
      <c r="F134" s="350"/>
      <c r="G134" s="442"/>
    </row>
    <row r="135">
      <c r="A135" s="498" t="s">
        <v>378</v>
      </c>
      <c r="B135" s="489">
        <f>IF(iserror(vlookup(A:A,Pagos!$B$5:$L216,2,false)),"Disponible",vlookup(A:A,Pagos!$B$5:$L216,2,false))</f>
        <v>2122</v>
      </c>
      <c r="C135" s="510" t="str">
        <f>IF(iserror(vlookup(A:A,Pagos!$B$5:$L216,3,false)),"Disponible",vlookup(A:A,Pagos!$B$5:$L216,3,false))</f>
        <v>CASTRO, FABIAN</v>
      </c>
      <c r="D135" s="491">
        <f>IF(iserror(vlookup(A:A,Pagos!$B$5:$L216,4,false)),"Disponible",If(vlookup(A:A,Pagos!$B$5:$L216,5,false),vlookup(A:A,Pagos!$B$5:$L216,5,false),vlookup(A:A,Pagos!$B$5:$L216,4,false)))</f>
        <v>46054</v>
      </c>
      <c r="E135" s="492"/>
      <c r="F135" s="350"/>
      <c r="G135" s="442"/>
    </row>
    <row r="136">
      <c r="A136" s="498" t="s">
        <v>302</v>
      </c>
      <c r="B136" s="489">
        <f>IF(iserror(vlookup(A:A,Pagos!$B$5:$L216,2,false)),"Disponible",vlookup(A:A,Pagos!$B$5:$L216,2,false))</f>
        <v>1938</v>
      </c>
      <c r="C136" s="510" t="str">
        <f>IF(iserror(vlookup(A:A,Pagos!$B$5:$L216,3,false)),"Disponible",vlookup(A:A,Pagos!$B$5:$L216,3,false))</f>
        <v>VILLALBA, JUAN CRUZ</v>
      </c>
      <c r="D136" s="491">
        <f>IF(iserror(vlookup(A:A,Pagos!$B$5:$L216,4,false)),"Disponible",If(vlookup(A:A,Pagos!$B$5:$L216,5,false),vlookup(A:A,Pagos!$B$5:$L216,5,false),vlookup(A:A,Pagos!$B$5:$L216,4,false)))</f>
        <v>45870</v>
      </c>
      <c r="E136" s="492"/>
      <c r="F136" s="350"/>
      <c r="G136" s="442"/>
    </row>
    <row r="137">
      <c r="A137" s="498" t="s">
        <v>382</v>
      </c>
      <c r="B137" s="489">
        <f>IF(iserror(vlookup(A:A,Pagos!$B$5:$L216,2,false)),"Disponible",vlookup(A:A,Pagos!$B$5:$L216,2,false))</f>
        <v>2136</v>
      </c>
      <c r="C137" s="510" t="str">
        <f>IF(iserror(vlookup(A:A,Pagos!$B$5:$L216,3,false)),"Disponible",vlookup(A:A,Pagos!$B$5:$L216,3,false))</f>
        <v>ETCHEVERS, PABLO</v>
      </c>
      <c r="D137" s="491">
        <f>IF(iserror(vlookup(A:A,Pagos!$B$5:$L216,4,false)),"Disponible",If(vlookup(A:A,Pagos!$B$5:$L216,5,false),vlookup(A:A,Pagos!$B$5:$L216,5,false),vlookup(A:A,Pagos!$B$5:$L216,4,false)))</f>
        <v>45870</v>
      </c>
      <c r="E137" s="492"/>
      <c r="F137" s="350"/>
      <c r="G137" s="442"/>
    </row>
    <row r="138">
      <c r="A138" s="498" t="s">
        <v>288</v>
      </c>
      <c r="B138" s="489">
        <f>IF(iserror(vlookup(A:A,Pagos!$B$5:$L216,2,false)),"Disponible",vlookup(A:A,Pagos!$B$5:$L216,2,false))</f>
        <v>1914</v>
      </c>
      <c r="C138" s="510" t="str">
        <f>IF(iserror(vlookup(A:A,Pagos!$B$5:$L216,3,false)),"Disponible",vlookup(A:A,Pagos!$B$5:$L216,3,false))</f>
        <v>FUMAGALLI, SOLEDAD</v>
      </c>
      <c r="D138" s="491">
        <f>IF(iserror(vlookup(A:A,Pagos!$B$5:$L216,4,false)),"Disponible",If(vlookup(A:A,Pagos!$B$5:$L216,5,false),vlookup(A:A,Pagos!$B$5:$L216,5,false),vlookup(A:A,Pagos!$B$5:$L216,4,false)))</f>
        <v>45870</v>
      </c>
      <c r="E138" s="492"/>
      <c r="F138" s="350"/>
      <c r="G138" s="442"/>
    </row>
    <row r="139">
      <c r="A139" s="498" t="s">
        <v>381</v>
      </c>
      <c r="B139" s="489">
        <f>IF(iserror(vlookup(A:A,Pagos!$B$5:$L216,2,false)),"Disponible",vlookup(A:A,Pagos!$B$5:$L216,2,false))</f>
        <v>2134</v>
      </c>
      <c r="C139" s="510" t="str">
        <f>IF(iserror(vlookup(A:A,Pagos!$B$5:$L216,3,false)),"Disponible",vlookup(A:A,Pagos!$B$5:$L216,3,false))</f>
        <v>MARMISSOLLE, MARCOS</v>
      </c>
      <c r="D139" s="491">
        <f>IF(iserror(vlookup(A:A,Pagos!$B$5:$L216,4,false)),"Disponible",If(vlookup(A:A,Pagos!$B$5:$L216,5,false),vlookup(A:A,Pagos!$B$5:$L216,5,false),vlookup(A:A,Pagos!$B$5:$L216,4,false)))</f>
        <v>45809</v>
      </c>
      <c r="E139" s="492"/>
      <c r="F139" s="350"/>
      <c r="G139" s="442"/>
    </row>
    <row r="140">
      <c r="A140" s="498" t="s">
        <v>446</v>
      </c>
      <c r="B140" s="489">
        <f>IF(iserror(vlookup(A:A,Pagos!$B$5:$L216,2,false)),"Disponible",vlookup(A:A,Pagos!$B$5:$L216,2,false))</f>
        <v>2255</v>
      </c>
      <c r="C140" s="510" t="str">
        <f>IF(iserror(vlookup(A:A,Pagos!$B$5:$L216,3,false)),"Disponible",vlookup(A:A,Pagos!$B$5:$L216,3,false))</f>
        <v>BALDONI, JUAN PABLO</v>
      </c>
      <c r="D140" s="491">
        <f>IF(iserror(vlookup(A:A,Pagos!$B$5:$L216,4,false)),"Disponible",If(vlookup(A:A,Pagos!$B$5:$L216,5,false),vlookup(A:A,Pagos!$B$5:$L216,5,false),vlookup(A:A,Pagos!$B$5:$L216,4,false)))</f>
        <v>45901</v>
      </c>
      <c r="E140" s="492"/>
      <c r="F140" s="350" t="str">
        <f t="shared" ref="F140:F175" si="2">IF(G140,"Sobreasignada","")</f>
        <v/>
      </c>
      <c r="G140" s="442" t="b">
        <f>If(COUNTIF(Pagos!B:B,A140)&gt;1,true,false)</f>
        <v>0</v>
      </c>
    </row>
    <row r="141">
      <c r="A141" s="498" t="s">
        <v>439</v>
      </c>
      <c r="B141" s="489">
        <f>IF(iserror(vlookup(A:A,Pagos!$B$5:$L216,2,false)),"Disponible",vlookup(A:A,Pagos!$B$5:$L216,2,false))</f>
        <v>2247</v>
      </c>
      <c r="C141" s="510" t="str">
        <f>IF(iserror(vlookup(A:A,Pagos!$B$5:$L216,3,false)),"Disponible",vlookup(A:A,Pagos!$B$5:$L216,3,false))</f>
        <v>SCHALLIBAUM, GRACIELA EMILCE</v>
      </c>
      <c r="D141" s="491">
        <f>IF(iserror(vlookup(A:A,Pagos!$B$5:$L216,4,false)),"Disponible",If(vlookup(A:A,Pagos!$B$5:$L216,5,false),vlookup(A:A,Pagos!$B$5:$L216,5,false),vlookup(A:A,Pagos!$B$5:$L216,4,false)))</f>
        <v>45870</v>
      </c>
      <c r="E141" s="492"/>
      <c r="F141" s="350" t="str">
        <f t="shared" si="2"/>
        <v/>
      </c>
      <c r="G141" s="442" t="b">
        <f>If(COUNTIF(Pagos!B:B,A141)&gt;1,true,false)</f>
        <v>0</v>
      </c>
    </row>
    <row r="142">
      <c r="A142" s="498" t="s">
        <v>463</v>
      </c>
      <c r="B142" s="489">
        <f>IF(iserror(vlookup(A:A,Pagos!$B$5:$L216,2,false)),"Disponible",vlookup(A:A,Pagos!$B$5:$L216,2,false))</f>
        <v>2303</v>
      </c>
      <c r="C142" s="510" t="str">
        <f>IF(iserror(vlookup(A:A,Pagos!$B$5:$L216,3,false)),"Disponible",vlookup(A:A,Pagos!$B$5:$L216,3,false))</f>
        <v>LOFEUDO, LISANDRO</v>
      </c>
      <c r="D142" s="491">
        <f>IF(iserror(vlookup(A:A,Pagos!$B$5:$L216,4,false)),"Disponible",If(vlookup(A:A,Pagos!$B$5:$L216,5,false),vlookup(A:A,Pagos!$B$5:$L216,5,false),vlookup(A:A,Pagos!$B$5:$L216,4,false)))</f>
        <v>45870</v>
      </c>
      <c r="E142" s="494"/>
      <c r="F142" s="350" t="str">
        <f t="shared" si="2"/>
        <v/>
      </c>
      <c r="G142" s="442" t="b">
        <f>If(COUNTIF(Pagos!B:B,A142)&gt;1,true,false)</f>
        <v>0</v>
      </c>
    </row>
    <row r="143">
      <c r="A143" s="498" t="s">
        <v>251</v>
      </c>
      <c r="B143" s="489">
        <f>IF(iserror(vlookup(A:A,Pagos!$B$5:$L216,2,false)),"Disponible",vlookup(A:A,Pagos!$B$5:$L216,2,false))</f>
        <v>1800</v>
      </c>
      <c r="C143" s="510" t="str">
        <f>IF(iserror(vlookup(A:A,Pagos!$B$5:$L216,3,false)),"Disponible",vlookup(A:A,Pagos!$B$5:$L216,3,false))</f>
        <v>PAVLETIC, TATIANA</v>
      </c>
      <c r="D143" s="491">
        <f>IF(iserror(vlookup(A:A,Pagos!$B$5:$L216,4,false)),"Disponible",If(vlookup(A:A,Pagos!$B$5:$L216,5,false),vlookup(A:A,Pagos!$B$5:$L216,5,false),vlookup(A:A,Pagos!$B$5:$L216,4,false)))</f>
        <v>45992</v>
      </c>
      <c r="E143" s="492"/>
      <c r="F143" s="350" t="str">
        <f t="shared" si="2"/>
        <v/>
      </c>
      <c r="G143" s="442" t="b">
        <f>If(COUNTIF(Pagos!B:B,A143)&gt;1,true,false)</f>
        <v>0</v>
      </c>
    </row>
    <row r="144">
      <c r="A144" s="498" t="s">
        <v>451</v>
      </c>
      <c r="B144" s="489">
        <f>IF(iserror(vlookup(A:A,Pagos!$B$5:$L216,2,false)),"Disponible",vlookup(A:A,Pagos!$B$5:$L216,2,false))</f>
        <v>2277</v>
      </c>
      <c r="C144" s="510" t="str">
        <f>IF(iserror(vlookup(A:A,Pagos!$B$5:$L216,3,false)),"Disponible",vlookup(A:A,Pagos!$B$5:$L216,3,false))</f>
        <v>CISNEROS, MARIA ESTER</v>
      </c>
      <c r="D144" s="491">
        <f>IF(iserror(vlookup(A:A,Pagos!$B$5:$L216,4,false)),"Disponible",If(vlookup(A:A,Pagos!$B$5:$L216,5,false),vlookup(A:A,Pagos!$B$5:$L216,5,false),vlookup(A:A,Pagos!$B$5:$L216,4,false)))</f>
        <v>45870</v>
      </c>
      <c r="E144" s="492"/>
      <c r="F144" s="350" t="str">
        <f t="shared" si="2"/>
        <v/>
      </c>
      <c r="G144" s="442" t="b">
        <f>If(COUNTIF(Pagos!B:B,A144)&gt;1,true,false)</f>
        <v>0</v>
      </c>
    </row>
    <row r="145">
      <c r="A145" s="498" t="s">
        <v>324</v>
      </c>
      <c r="B145" s="489">
        <f>IF(iserror(vlookup(A:A,Pagos!$B$5:$L216,2,false)),"Disponible",vlookup(A:A,Pagos!$B$5:$L216,2,false))</f>
        <v>2005</v>
      </c>
      <c r="C145" s="510" t="str">
        <f>IF(iserror(vlookup(A:A,Pagos!$B$5:$L216,3,false)),"Disponible",vlookup(A:A,Pagos!$B$5:$L216,3,false))</f>
        <v>SPACAPAN, M.VICTORIA</v>
      </c>
      <c r="D145" s="491">
        <f>IF(iserror(vlookup(A:A,Pagos!$B$5:$L216,4,false)),"Disponible",If(vlookup(A:A,Pagos!$B$5:$L216,5,false),vlookup(A:A,Pagos!$B$5:$L216,5,false),vlookup(A:A,Pagos!$B$5:$L216,4,false)))</f>
        <v>45870</v>
      </c>
      <c r="E145" s="492"/>
      <c r="F145" s="350" t="str">
        <f t="shared" si="2"/>
        <v/>
      </c>
      <c r="G145" s="442" t="b">
        <f>If(COUNTIF(Pagos!B:B,A145)&gt;1,true,false)</f>
        <v>0</v>
      </c>
    </row>
    <row r="146">
      <c r="A146" s="498" t="s">
        <v>358</v>
      </c>
      <c r="B146" s="489">
        <f>IF(iserror(vlookup(A:A,Pagos!$B$5:$L216,2,false)),"Disponible",vlookup(A:A,Pagos!$B$5:$L216,2,false))</f>
        <v>2080</v>
      </c>
      <c r="C146" s="510" t="str">
        <f>IF(iserror(vlookup(A:A,Pagos!$B$5:$L216,3,false)),"Disponible",vlookup(A:A,Pagos!$B$5:$L216,3,false))</f>
        <v>SORINO, CARLOS MARTIN</v>
      </c>
      <c r="D146" s="491">
        <f>IF(iserror(vlookup(A:A,Pagos!$B$5:$L216,4,false)),"Disponible",If(vlookup(A:A,Pagos!$B$5:$L216,5,false),vlookup(A:A,Pagos!$B$5:$L216,5,false),vlookup(A:A,Pagos!$B$5:$L216,4,false)))</f>
        <v>45870</v>
      </c>
      <c r="E146" s="492"/>
      <c r="F146" s="350" t="str">
        <f t="shared" si="2"/>
        <v/>
      </c>
      <c r="G146" s="442" t="b">
        <f>If(COUNTIF(Pagos!B:B,A146)&gt;1,true,false)</f>
        <v>0</v>
      </c>
    </row>
    <row r="147">
      <c r="A147" s="498" t="s">
        <v>327</v>
      </c>
      <c r="B147" s="489">
        <f>IF(iserror(vlookup(A:A,Pagos!$B$5:$L216,2,false)),"Disponible",vlookup(A:A,Pagos!$B$5:$L216,2,false))</f>
        <v>2016</v>
      </c>
      <c r="C147" s="510" t="str">
        <f>IF(iserror(vlookup(A:A,Pagos!$B$5:$L216,3,false)),"Disponible",vlookup(A:A,Pagos!$B$5:$L216,3,false))</f>
        <v>BERARDINELLI, LIA FERNANDA</v>
      </c>
      <c r="D147" s="491">
        <f>IF(iserror(vlookup(A:A,Pagos!$B$5:$L216,4,false)),"Disponible",If(vlookup(A:A,Pagos!$B$5:$L216,5,false),vlookup(A:A,Pagos!$B$5:$L216,5,false),vlookup(A:A,Pagos!$B$5:$L216,4,false)))</f>
        <v>45870</v>
      </c>
      <c r="E147" s="492"/>
      <c r="F147" s="350" t="str">
        <f t="shared" si="2"/>
        <v/>
      </c>
      <c r="G147" s="442" t="b">
        <f>If(COUNTIF(Pagos!B:B,A147)&gt;1,true,false)</f>
        <v>0</v>
      </c>
    </row>
    <row r="148">
      <c r="A148" s="498" t="s">
        <v>407</v>
      </c>
      <c r="B148" s="489">
        <f>IF(iserror(vlookup(A:A,Pagos!$B$5:$L216,2,false)),"Disponible",vlookup(A:A,Pagos!$B$5:$L216,2,false))</f>
        <v>2174</v>
      </c>
      <c r="C148" s="510" t="str">
        <f>IF(iserror(vlookup(A:A,Pagos!$B$5:$L216,3,false)),"Disponible",vlookup(A:A,Pagos!$B$5:$L216,3,false))</f>
        <v>LOPEZ, NORA</v>
      </c>
      <c r="D148" s="491">
        <f>IF(iserror(vlookup(A:A,Pagos!$B$5:$L216,4,false)),"Disponible",If(vlookup(A:A,Pagos!$B$5:$L216,5,false),vlookup(A:A,Pagos!$B$5:$L216,5,false),vlookup(A:A,Pagos!$B$5:$L216,4,false)))</f>
        <v>45870</v>
      </c>
      <c r="E148" s="492"/>
      <c r="F148" s="350" t="str">
        <f t="shared" si="2"/>
        <v/>
      </c>
      <c r="G148" s="442"/>
    </row>
    <row r="149">
      <c r="A149" s="498" t="s">
        <v>111</v>
      </c>
      <c r="B149" s="489">
        <f>IF(iserror(vlookup(A:A,Pagos!$B$5:$L216,2,false)),"Disponible",vlookup(A:A,Pagos!$B$5:$L216,2,false))</f>
        <v>1279</v>
      </c>
      <c r="C149" s="510" t="str">
        <f>IF(iserror(vlookup(A:A,Pagos!$B$5:$L216,3,false)),"Disponible",vlookup(A:A,Pagos!$B$5:$L216,3,false))</f>
        <v>PAIS, VERONICA</v>
      </c>
      <c r="D149" s="491">
        <f>IF(iserror(vlookup(A:A,Pagos!$B$5:$L216,4,false)),"Disponible",If(vlookup(A:A,Pagos!$B$5:$L216,5,false),vlookup(A:A,Pagos!$B$5:$L216,5,false),vlookup(A:A,Pagos!$B$5:$L216,4,false)))</f>
        <v>45992</v>
      </c>
      <c r="E149" s="492"/>
      <c r="F149" s="350" t="str">
        <f t="shared" si="2"/>
        <v/>
      </c>
      <c r="G149" s="442"/>
    </row>
    <row r="150">
      <c r="A150" s="498" t="s">
        <v>234</v>
      </c>
      <c r="B150" s="489">
        <f>IF(iserror(vlookup(A:A,Pagos!$B$5:$L216,2,false)),"Disponible",vlookup(A:A,Pagos!$B$5:$L216,2,false))</f>
        <v>1748</v>
      </c>
      <c r="C150" s="510" t="str">
        <f>IF(iserror(vlookup(A:A,Pagos!$B$5:$L216,3,false)),"Disponible",vlookup(A:A,Pagos!$B$5:$L216,3,false))</f>
        <v>TRAVERSO, MERCEDES</v>
      </c>
      <c r="D150" s="491">
        <f>IF(iserror(vlookup(A:A,Pagos!$B$5:$L216,4,false)),"Disponible",If(vlookup(A:A,Pagos!$B$5:$L216,5,false),vlookup(A:A,Pagos!$B$5:$L216,5,false),vlookup(A:A,Pagos!$B$5:$L216,4,false)))</f>
        <v>45870</v>
      </c>
      <c r="E150" s="492"/>
      <c r="F150" s="350" t="str">
        <f t="shared" si="2"/>
        <v/>
      </c>
      <c r="G150" s="442"/>
    </row>
    <row r="151">
      <c r="A151" s="498" t="s">
        <v>341</v>
      </c>
      <c r="B151" s="489">
        <f>IF(iserror(vlookup(A:A,Pagos!$B$5:$L216,2,false)),"Disponible",vlookup(A:A,Pagos!$B$5:$L216,2,false))</f>
        <v>2043</v>
      </c>
      <c r="C151" s="510" t="str">
        <f>IF(iserror(vlookup(A:A,Pagos!$B$5:$L216,3,false)),"Disponible",vlookup(A:A,Pagos!$B$5:$L216,3,false))</f>
        <v>CORREA, FLORENCIA</v>
      </c>
      <c r="D151" s="491">
        <f>IF(iserror(vlookup(A:A,Pagos!$B$5:$L216,4,false)),"Disponible",If(vlookup(A:A,Pagos!$B$5:$L216,5,false),vlookup(A:A,Pagos!$B$5:$L216,5,false),vlookup(A:A,Pagos!$B$5:$L216,4,false)))</f>
        <v>45870</v>
      </c>
      <c r="E151" s="492"/>
      <c r="F151" s="350" t="str">
        <f t="shared" si="2"/>
        <v/>
      </c>
      <c r="G151" s="442"/>
    </row>
    <row r="152">
      <c r="A152" s="498" t="s">
        <v>398</v>
      </c>
      <c r="B152" s="489">
        <f>IF(iserror(vlookup(A:A,Pagos!$B$5:$L216,2,false)),"Disponible",vlookup(A:A,Pagos!$B$5:$L216,2,false))</f>
        <v>2164</v>
      </c>
      <c r="C152" s="510" t="str">
        <f>IF(iserror(vlookup(A:A,Pagos!$B$5:$L216,3,false)),"Disponible",vlookup(A:A,Pagos!$B$5:$L216,3,false))</f>
        <v>SAN CRISTOBAL, JAVIER</v>
      </c>
      <c r="D152" s="491">
        <f>IF(iserror(vlookup(A:A,Pagos!$B$5:$L216,4,false)),"Disponible",If(vlookup(A:A,Pagos!$B$5:$L216,5,false),vlookup(A:A,Pagos!$B$5:$L216,5,false),vlookup(A:A,Pagos!$B$5:$L216,4,false)))</f>
        <v>45992</v>
      </c>
      <c r="E152" s="492"/>
      <c r="F152" s="350" t="str">
        <f t="shared" si="2"/>
        <v/>
      </c>
      <c r="G152" s="442"/>
    </row>
    <row r="153">
      <c r="A153" s="498" t="s">
        <v>411</v>
      </c>
      <c r="B153" s="489">
        <f>IF(iserror(vlookup(A:A,Pagos!$B$5:$L216,2,false)),"Disponible",vlookup(A:A,Pagos!$B$5:$L216,2,false))</f>
        <v>2177</v>
      </c>
      <c r="C153" s="510" t="str">
        <f>IF(iserror(vlookup(A:A,Pagos!$B$5:$L216,3,false)),"Disponible",vlookup(A:A,Pagos!$B$5:$L216,3,false))</f>
        <v>BIANCHI, SANTIAGO</v>
      </c>
      <c r="D153" s="491">
        <f>IF(iserror(vlookup(A:A,Pagos!$B$5:$L216,4,false)),"Disponible",If(vlookup(A:A,Pagos!$B$5:$L216,5,false),vlookup(A:A,Pagos!$B$5:$L216,5,false),vlookup(A:A,Pagos!$B$5:$L216,4,false)))</f>
        <v>45870</v>
      </c>
      <c r="E153" s="492"/>
      <c r="F153" s="350" t="str">
        <f t="shared" si="2"/>
        <v/>
      </c>
      <c r="G153" s="442"/>
    </row>
    <row r="154">
      <c r="A154" s="498" t="s">
        <v>286</v>
      </c>
      <c r="B154" s="489">
        <f>IF(iserror(vlookup(A:A,Pagos!$B$5:$L216,2,false)),"Disponible",vlookup(A:A,Pagos!$B$5:$L216,2,false))</f>
        <v>1907</v>
      </c>
      <c r="C154" s="510" t="str">
        <f>IF(iserror(vlookup(A:A,Pagos!$B$5:$L216,3,false)),"Disponible",vlookup(A:A,Pagos!$B$5:$L216,3,false))</f>
        <v>ARDISSINO, AUGUSTO SEBASTIAN</v>
      </c>
      <c r="D154" s="491">
        <f>IF(iserror(vlookup(A:A,Pagos!$B$5:$L216,4,false)),"Disponible",If(vlookup(A:A,Pagos!$B$5:$L216,5,false),vlookup(A:A,Pagos!$B$5:$L216,5,false),vlookup(A:A,Pagos!$B$5:$L216,4,false)))</f>
        <v>45870</v>
      </c>
      <c r="E154" s="492"/>
      <c r="F154" s="350" t="str">
        <f t="shared" si="2"/>
        <v/>
      </c>
      <c r="G154" s="442"/>
    </row>
    <row r="155">
      <c r="A155" s="498" t="s">
        <v>4855</v>
      </c>
      <c r="B155" s="489">
        <f>IF(iserror(vlookup(A:A,Pagos!$B$5:$L216,2,false)),"Disponible",vlookup(A:A,Pagos!$B$5:$L216,2,false))</f>
        <v>2378</v>
      </c>
      <c r="C155" s="510" t="str">
        <f>IF(iserror(vlookup(A:A,Pagos!$B$5:$L216,3,false)),"Disponible",vlookup(A:A,Pagos!$B$5:$L216,3,false))</f>
        <v>DE ALBUQUERQUE, ALEJANDRA</v>
      </c>
      <c r="D155" s="491">
        <f>IF(iserror(vlookup(A:A,Pagos!$B$5:$L216,4,false)),"Disponible",If(vlookup(A:A,Pagos!$B$5:$L216,5,false),vlookup(A:A,Pagos!$B$5:$L216,5,false),vlookup(A:A,Pagos!$B$5:$L216,4,false)))</f>
        <v>45870</v>
      </c>
      <c r="E155" s="492"/>
      <c r="F155" s="350" t="str">
        <f t="shared" si="2"/>
        <v/>
      </c>
      <c r="G155" s="442"/>
    </row>
    <row r="156">
      <c r="A156" s="498" t="s">
        <v>394</v>
      </c>
      <c r="B156" s="489">
        <f>IF(iserror(vlookup(A:A,Pagos!$B$5:$L216,2,false)),"Disponible",vlookup(A:A,Pagos!$B$5:$L216,2,false))</f>
        <v>2161</v>
      </c>
      <c r="C156" s="510" t="str">
        <f>IF(iserror(vlookup(A:A,Pagos!$B$5:$L216,3,false)),"Disponible",vlookup(A:A,Pagos!$B$5:$L216,3,false))</f>
        <v>OSTOLAZA, M. VICTORIA</v>
      </c>
      <c r="D156" s="491">
        <f>IF(iserror(vlookup(A:A,Pagos!$B$5:$L216,4,false)),"Disponible",If(vlookup(A:A,Pagos!$B$5:$L216,5,false),vlookup(A:A,Pagos!$B$5:$L216,5,false),vlookup(A:A,Pagos!$B$5:$L216,4,false)))</f>
        <v>45870</v>
      </c>
      <c r="E156" s="492"/>
      <c r="F156" s="350" t="str">
        <f t="shared" si="2"/>
        <v/>
      </c>
      <c r="G156" s="442"/>
    </row>
    <row r="157">
      <c r="A157" s="498" t="s">
        <v>444</v>
      </c>
      <c r="B157" s="489">
        <f>IF(iserror(vlookup(A:A,Pagos!$B$5:$L216,2,false)),"Disponible",vlookup(A:A,Pagos!$B$5:$L216,2,false))</f>
        <v>2252</v>
      </c>
      <c r="C157" s="510" t="str">
        <f>IF(iserror(vlookup(A:A,Pagos!$B$5:$L216,3,false)),"Disponible",vlookup(A:A,Pagos!$B$5:$L216,3,false))</f>
        <v>DELUCCHI, FLORENCIA</v>
      </c>
      <c r="D157" s="491">
        <f>IF(iserror(vlookup(A:A,Pagos!$B$5:$L216,4,false)),"Disponible",If(vlookup(A:A,Pagos!$B$5:$L216,5,false),vlookup(A:A,Pagos!$B$5:$L216,5,false),vlookup(A:A,Pagos!$B$5:$L216,4,false)))</f>
        <v>45992</v>
      </c>
      <c r="E157" s="492"/>
      <c r="F157" s="350" t="str">
        <f t="shared" si="2"/>
        <v/>
      </c>
      <c r="G157" s="442"/>
    </row>
    <row r="158">
      <c r="A158" s="498" t="s">
        <v>297</v>
      </c>
      <c r="B158" s="489">
        <f>IF(iserror(vlookup(A:A,Pagos!$B$5:$L216,2,false)),"Disponible",vlookup(A:A,Pagos!$B$5:$L216,2,false))</f>
        <v>1934</v>
      </c>
      <c r="C158" s="510" t="str">
        <f>IF(iserror(vlookup(A:A,Pagos!$B$5:$L216,3,false)),"Disponible",vlookup(A:A,Pagos!$B$5:$L216,3,false))</f>
        <v>JAUREGUI, MAITE</v>
      </c>
      <c r="D158" s="491">
        <f>IF(iserror(vlookup(A:A,Pagos!$B$5:$L216,4,false)),"Disponible",If(vlookup(A:A,Pagos!$B$5:$L216,5,false),vlookup(A:A,Pagos!$B$5:$L216,5,false),vlookup(A:A,Pagos!$B$5:$L216,4,false)))</f>
        <v>45689</v>
      </c>
      <c r="E158" s="492"/>
      <c r="F158" s="350" t="str">
        <f t="shared" si="2"/>
        <v/>
      </c>
      <c r="G158" s="442"/>
    </row>
    <row r="159">
      <c r="A159" s="498" t="s">
        <v>4856</v>
      </c>
      <c r="B159" s="489">
        <f>IF(iserror(vlookup(A:A,Pagos!$B$5:$L216,2,false)),"Disponible",vlookup(A:A,Pagos!$B$5:$L216,2,false))</f>
        <v>2136</v>
      </c>
      <c r="C159" s="510" t="str">
        <f>IF(iserror(vlookup(A:A,Pagos!$B$5:$L216,3,false)),"Disponible",vlookup(A:A,Pagos!$B$5:$L216,3,false))</f>
        <v>ETCHEVERS, PABLO</v>
      </c>
      <c r="D159" s="491">
        <f>IF(iserror(vlookup(A:A,Pagos!$B$5:$L216,4,false)),"Disponible",If(vlookup(A:A,Pagos!$B$5:$L216,5,false),vlookup(A:A,Pagos!$B$5:$L216,5,false),vlookup(A:A,Pagos!$B$5:$L216,4,false)))</f>
        <v>45870</v>
      </c>
      <c r="E159" s="492"/>
      <c r="F159" s="350" t="str">
        <f t="shared" si="2"/>
        <v/>
      </c>
      <c r="G159" s="442"/>
    </row>
    <row r="160">
      <c r="A160" s="498" t="s">
        <v>470</v>
      </c>
      <c r="B160" s="489">
        <f>IF(iserror(vlookup(A:A,Pagos!$B$5:$L216,2,false)),"Disponible",vlookup(A:A,Pagos!$B$5:$L216,2,false))</f>
        <v>2317</v>
      </c>
      <c r="C160" s="510" t="str">
        <f>IF(iserror(vlookup(A:A,Pagos!$B$5:$L216,3,false)),"Disponible",vlookup(A:A,Pagos!$B$5:$L216,3,false))</f>
        <v>SANCHEZ, ARIEL</v>
      </c>
      <c r="D160" s="491">
        <f>IF(iserror(vlookup(A:A,Pagos!$B$5:$L216,4,false)),"Disponible",If(vlookup(A:A,Pagos!$B$5:$L216,5,false),vlookup(A:A,Pagos!$B$5:$L216,5,false),vlookup(A:A,Pagos!$B$5:$L216,4,false)))</f>
        <v>45870</v>
      </c>
      <c r="E160" s="492"/>
      <c r="F160" s="350" t="str">
        <f t="shared" si="2"/>
        <v/>
      </c>
      <c r="G160" s="442"/>
    </row>
    <row r="161">
      <c r="A161" s="498" t="s">
        <v>336</v>
      </c>
      <c r="B161" s="489">
        <f>IF(iserror(vlookup(A:A,Pagos!$B$5:$L216,2,false)),"Disponible",vlookup(A:A,Pagos!$B$5:$L216,2,false))</f>
        <v>2038</v>
      </c>
      <c r="C161" s="510" t="str">
        <f>IF(iserror(vlookup(A:A,Pagos!$B$5:$L216,3,false)),"Disponible",vlookup(A:A,Pagos!$B$5:$L216,3,false))</f>
        <v>CALANDRIA, Sol</v>
      </c>
      <c r="D161" s="491">
        <f>IF(iserror(vlookup(A:A,Pagos!$B$5:$L216,4,false)),"Disponible",If(vlookup(A:A,Pagos!$B$5:$L216,5,false),vlookup(A:A,Pagos!$B$5:$L216,5,false),vlookup(A:A,Pagos!$B$5:$L216,4,false)))</f>
        <v>45839</v>
      </c>
      <c r="E161" s="492"/>
      <c r="F161" s="350" t="str">
        <f t="shared" si="2"/>
        <v/>
      </c>
      <c r="G161" s="442"/>
    </row>
    <row r="162">
      <c r="A162" s="498" t="s">
        <v>423</v>
      </c>
      <c r="B162" s="489">
        <f>IF(iserror(vlookup(A:A,Pagos!$B$5:$L216,2,false)),"Disponible",vlookup(A:A,Pagos!$B$5:$L216,2,false))</f>
        <v>2214</v>
      </c>
      <c r="C162" s="510" t="str">
        <f>IF(iserror(vlookup(A:A,Pagos!$B$5:$L216,3,false)),"Disponible",vlookup(A:A,Pagos!$B$5:$L216,3,false))</f>
        <v>MASETTO, RAMONA</v>
      </c>
      <c r="D162" s="491">
        <f>IF(iserror(vlookup(A:A,Pagos!$B$5:$L216,4,false)),"Disponible",If(vlookup(A:A,Pagos!$B$5:$L216,5,false),vlookup(A:A,Pagos!$B$5:$L216,5,false),vlookup(A:A,Pagos!$B$5:$L216,4,false)))</f>
        <v>45870</v>
      </c>
      <c r="E162" s="492"/>
      <c r="F162" s="350" t="str">
        <f t="shared" si="2"/>
        <v/>
      </c>
      <c r="G162" s="442"/>
    </row>
    <row r="163">
      <c r="A163" s="498" t="s">
        <v>458</v>
      </c>
      <c r="B163" s="489">
        <f>IF(iserror(vlookup(A:A,Pagos!$B$5:$L216,2,false)),"Disponible",vlookup(A:A,Pagos!$B$5:$L216,2,false))</f>
        <v>2292</v>
      </c>
      <c r="C163" s="510" t="str">
        <f>IF(iserror(vlookup(A:A,Pagos!$B$5:$L216,3,false)),"Disponible",vlookup(A:A,Pagos!$B$5:$L216,3,false))</f>
        <v>ASPREA, MARTIN</v>
      </c>
      <c r="D163" s="491">
        <f>IF(iserror(vlookup(A:A,Pagos!$B$5:$L216,4,false)),"Disponible",If(vlookup(A:A,Pagos!$B$5:$L216,5,false),vlookup(A:A,Pagos!$B$5:$L216,5,false),vlookup(A:A,Pagos!$B$5:$L216,4,false)))</f>
        <v>45901</v>
      </c>
      <c r="E163" s="492"/>
      <c r="F163" s="350" t="str">
        <f t="shared" si="2"/>
        <v/>
      </c>
      <c r="G163" s="442"/>
    </row>
    <row r="164">
      <c r="A164" s="498" t="s">
        <v>4857</v>
      </c>
      <c r="B164" s="489">
        <f>IF(iserror(vlookup(A:A,Pagos!$B$5:$L216,2,false)),"Disponible",vlookup(A:A,Pagos!$B$5:$L216,2,false))</f>
        <v>2381</v>
      </c>
      <c r="C164" s="510" t="str">
        <f>IF(iserror(vlookup(A:A,Pagos!$B$5:$L216,3,false)),"Disponible",vlookup(A:A,Pagos!$B$5:$L216,3,false))</f>
        <v>DESILIO, PATRICIA LILIANA</v>
      </c>
      <c r="D164" s="491">
        <f>IF(iserror(vlookup(A:A,Pagos!$B$5:$L216,4,false)),"Disponible",If(vlookup(A:A,Pagos!$B$5:$L216,5,false),vlookup(A:A,Pagos!$B$5:$L216,5,false),vlookup(A:A,Pagos!$B$5:$L216,4,false)))</f>
        <v>45870</v>
      </c>
      <c r="E164" s="492"/>
      <c r="F164" s="350" t="str">
        <f t="shared" si="2"/>
        <v/>
      </c>
      <c r="G164" s="442"/>
    </row>
    <row r="165">
      <c r="A165" s="498" t="s">
        <v>487</v>
      </c>
      <c r="B165" s="489">
        <f>IF(iserror(vlookup(A:A,Pagos!$B$5:$L216,2,false)),"Disponible",vlookup(A:A,Pagos!$B$5:$L216,2,false))</f>
        <v>2376</v>
      </c>
      <c r="C165" s="510" t="str">
        <f>IF(iserror(vlookup(A:A,Pagos!$B$5:$L216,3,false)),"Disponible",vlookup(A:A,Pagos!$B$5:$L216,3,false))</f>
        <v>DA LUZ, INES</v>
      </c>
      <c r="D165" s="491">
        <f>IF(iserror(vlookup(A:A,Pagos!$B$5:$L216,4,false)),"Disponible",If(vlookup(A:A,Pagos!$B$5:$L216,5,false),vlookup(A:A,Pagos!$B$5:$L216,5,false),vlookup(A:A,Pagos!$B$5:$L216,4,false)))</f>
        <v>45870</v>
      </c>
      <c r="E165" s="492"/>
      <c r="F165" s="350" t="str">
        <f t="shared" si="2"/>
        <v/>
      </c>
      <c r="G165" s="442"/>
    </row>
    <row r="166">
      <c r="A166" s="498" t="s">
        <v>313</v>
      </c>
      <c r="B166" s="489">
        <f>IF(iserror(vlookup(A:A,Pagos!$B$5:$L216,2,false)),"Disponible",vlookup(A:A,Pagos!$B$5:$L216,2,false))</f>
        <v>1961</v>
      </c>
      <c r="C166" s="510" t="str">
        <f>IF(iserror(vlookup(A:A,Pagos!$B$5:$L216,3,false)),"Disponible",vlookup(A:A,Pagos!$B$5:$L216,3,false))</f>
        <v>SALAS TRIANA, FACUNDO</v>
      </c>
      <c r="D166" s="491">
        <f>IF(iserror(vlookup(A:A,Pagos!$B$5:$L216,4,false)),"Disponible",If(vlookup(A:A,Pagos!$B$5:$L216,5,false),vlookup(A:A,Pagos!$B$5:$L216,5,false),vlookup(A:A,Pagos!$B$5:$L216,4,false)))</f>
        <v>45870</v>
      </c>
      <c r="E166" s="492"/>
      <c r="F166" s="350" t="str">
        <f t="shared" si="2"/>
        <v/>
      </c>
      <c r="G166" s="442"/>
    </row>
    <row r="167">
      <c r="A167" s="498" t="s">
        <v>322</v>
      </c>
      <c r="B167" s="489">
        <f>IF(iserror(vlookup(A:A,Pagos!$B$5:$L216,2,false)),"Disponible",vlookup(A:A,Pagos!$B$5:$L216,2,false))</f>
        <v>1996</v>
      </c>
      <c r="C167" s="510" t="str">
        <f>IF(iserror(vlookup(A:A,Pagos!$B$5:$L216,3,false)),"Disponible",vlookup(A:A,Pagos!$B$5:$L216,3,false))</f>
        <v>BETROSQUI, GERMÀN</v>
      </c>
      <c r="D167" s="491">
        <f>IF(iserror(vlookup(A:A,Pagos!$B$5:$L216,4,false)),"Disponible",If(vlookup(A:A,Pagos!$B$5:$L216,5,false),vlookup(A:A,Pagos!$B$5:$L216,5,false),vlookup(A:A,Pagos!$B$5:$L216,4,false)))</f>
        <v>45748</v>
      </c>
      <c r="E167" s="492"/>
      <c r="F167" s="350" t="str">
        <f t="shared" si="2"/>
        <v/>
      </c>
      <c r="G167" s="442"/>
    </row>
    <row r="168">
      <c r="A168" s="498" t="s">
        <v>131</v>
      </c>
      <c r="B168" s="489">
        <f>IF(iserror(vlookup(A:A,Pagos!$B$5:$L216,2,false)),"Disponible",vlookup(A:A,Pagos!$B$5:$L216,2,false))</f>
        <v>1403</v>
      </c>
      <c r="C168" s="510" t="str">
        <f>IF(iserror(vlookup(A:A,Pagos!$B$5:$L216,3,false)),"Disponible",vlookup(A:A,Pagos!$B$5:$L216,3,false))</f>
        <v>CARRASQUET, PABLO</v>
      </c>
      <c r="D168" s="491">
        <f>IF(iserror(vlookup(A:A,Pagos!$B$5:$L216,4,false)),"Disponible",If(vlookup(A:A,Pagos!$B$5:$L216,5,false),vlookup(A:A,Pagos!$B$5:$L216,5,false),vlookup(A:A,Pagos!$B$5:$L216,4,false)))</f>
        <v>45839</v>
      </c>
      <c r="E168" s="492"/>
      <c r="F168" s="350" t="str">
        <f t="shared" si="2"/>
        <v/>
      </c>
      <c r="G168" s="442"/>
    </row>
    <row r="169">
      <c r="A169" s="498" t="s">
        <v>345</v>
      </c>
      <c r="B169" s="489">
        <f>IF(iserror(vlookup(A:A,Pagos!$B$5:$L216,2,false)),"Disponible",vlookup(A:A,Pagos!$B$5:$L216,2,false))</f>
        <v>2051</v>
      </c>
      <c r="C169" s="510" t="str">
        <f>IF(iserror(vlookup(A:A,Pagos!$B$5:$L216,3,false)),"Disponible",vlookup(A:A,Pagos!$B$5:$L216,3,false))</f>
        <v>BARANDICA, MARIA ELEONORA</v>
      </c>
      <c r="D169" s="491">
        <f>IF(iserror(vlookup(A:A,Pagos!$B$5:$L216,4,false)),"Disponible",If(vlookup(A:A,Pagos!$B$5:$L216,5,false),vlookup(A:A,Pagos!$B$5:$L216,5,false),vlookup(A:A,Pagos!$B$5:$L216,4,false)))</f>
        <v>45870</v>
      </c>
      <c r="E169" s="492"/>
      <c r="F169" s="350" t="str">
        <f t="shared" si="2"/>
        <v/>
      </c>
      <c r="G169" s="442"/>
    </row>
    <row r="170">
      <c r="A170" s="498" t="s">
        <v>106</v>
      </c>
      <c r="B170" s="489">
        <f>IF(iserror(vlookup(A:A,Pagos!$B$5:$L216,2,false)),"Disponible",vlookup(A:A,Pagos!$B$5:$L216,2,false))</f>
        <v>1165</v>
      </c>
      <c r="C170" s="510" t="str">
        <f>IF(iserror(vlookup(A:A,Pagos!$B$5:$L216,3,false)),"Disponible",vlookup(A:A,Pagos!$B$5:$L216,3,false))</f>
        <v>MACHI MAURICIO</v>
      </c>
      <c r="D170" s="491">
        <f>IF(iserror(vlookup(A:A,Pagos!$B$5:$L216,4,false)),"Disponible",If(vlookup(A:A,Pagos!$B$5:$L216,5,false),vlookup(A:A,Pagos!$B$5:$L216,5,false),vlookup(A:A,Pagos!$B$5:$L216,4,false)))</f>
        <v>45870</v>
      </c>
      <c r="E170" s="492"/>
      <c r="F170" s="350" t="str">
        <f t="shared" si="2"/>
        <v/>
      </c>
      <c r="G170" s="442"/>
    </row>
    <row r="171">
      <c r="A171" s="498" t="s">
        <v>326</v>
      </c>
      <c r="B171" s="489">
        <f>IF(iserror(vlookup(A:A,Pagos!$B$5:$L216,2,false)),"Disponible",vlookup(A:A,Pagos!$B$5:$L216,2,false))</f>
        <v>2013</v>
      </c>
      <c r="C171" s="510" t="str">
        <f>IF(iserror(vlookup(A:A,Pagos!$B$5:$L216,3,false)),"Disponible",vlookup(A:A,Pagos!$B$5:$L216,3,false))</f>
        <v>CAMPOS, PABLO FERNANDO</v>
      </c>
      <c r="D171" s="491">
        <f>IF(iserror(vlookup(A:A,Pagos!$B$5:$L216,4,false)),"Disponible",If(vlookup(A:A,Pagos!$B$5:$L216,5,false),vlookup(A:A,Pagos!$B$5:$L216,5,false),vlookup(A:A,Pagos!$B$5:$L216,4,false)))</f>
        <v>45870</v>
      </c>
      <c r="E171" s="492"/>
      <c r="F171" s="350" t="str">
        <f t="shared" si="2"/>
        <v/>
      </c>
      <c r="G171" s="442"/>
    </row>
    <row r="172">
      <c r="A172" s="498" t="s">
        <v>408</v>
      </c>
      <c r="B172" s="489">
        <f>IF(iserror(vlookup(A:A,Pagos!$B$5:$L216,2,false)),"Disponible",vlookup(A:A,Pagos!$B$5:$L216,2,false))</f>
        <v>2175</v>
      </c>
      <c r="C172" s="510" t="str">
        <f>IF(iserror(vlookup(A:A,Pagos!$B$5:$L216,3,false)),"Disponible",vlookup(A:A,Pagos!$B$5:$L216,3,false))</f>
        <v>GIOMMI, FEDERICO</v>
      </c>
      <c r="D172" s="491">
        <f>IF(iserror(vlookup(A:A,Pagos!$B$5:$L216,4,false)),"Disponible",If(vlookup(A:A,Pagos!$B$5:$L216,5,false),vlookup(A:A,Pagos!$B$5:$L216,5,false),vlookup(A:A,Pagos!$B$5:$L216,4,false)))</f>
        <v>45870</v>
      </c>
      <c r="E172" s="492"/>
      <c r="F172" s="350" t="str">
        <f t="shared" si="2"/>
        <v/>
      </c>
      <c r="G172" s="442"/>
    </row>
    <row r="173">
      <c r="A173" s="498" t="s">
        <v>4858</v>
      </c>
      <c r="B173" s="489">
        <f>IF(iserror(vlookup(A:A,Pagos!$B$5:$L216,2,false)),"Disponible",vlookup(A:A,Pagos!$B$5:$L216,2,false))</f>
        <v>2206</v>
      </c>
      <c r="C173" s="510" t="str">
        <f>IF(iserror(vlookup(A:A,Pagos!$B$5:$L216,3,false)),"Disponible",vlookup(A:A,Pagos!$B$5:$L216,3,false))</f>
        <v>NOUZEILLES, ANDREA</v>
      </c>
      <c r="D173" s="491">
        <f>IF(iserror(vlookup(A:A,Pagos!$B$5:$L216,4,false)),"Disponible",If(vlookup(A:A,Pagos!$B$5:$L216,5,false),vlookup(A:A,Pagos!$B$5:$L216,5,false),vlookup(A:A,Pagos!$B$5:$L216,4,false)))</f>
        <v>45870</v>
      </c>
      <c r="E173" s="494"/>
      <c r="F173" s="350" t="str">
        <f t="shared" si="2"/>
        <v/>
      </c>
      <c r="G173" s="442"/>
    </row>
    <row r="174">
      <c r="A174" s="498" t="s">
        <v>325</v>
      </c>
      <c r="B174" s="489">
        <f>IF(iserror(vlookup(A:A,Pagos!$B$5:$L216,2,false)),"Disponible",vlookup(A:A,Pagos!$B$5:$L216,2,false))</f>
        <v>2008</v>
      </c>
      <c r="C174" s="510" t="str">
        <f>IF(iserror(vlookup(A:A,Pagos!$B$5:$L216,3,false)),"Disponible",vlookup(A:A,Pagos!$B$5:$L216,3,false))</f>
        <v>COTELO, MARA</v>
      </c>
      <c r="D174" s="491">
        <f>IF(iserror(vlookup(A:A,Pagos!$B$5:$L216,4,false)),"Disponible",If(vlookup(A:A,Pagos!$B$5:$L216,5,false),vlookup(A:A,Pagos!$B$5:$L216,5,false),vlookup(A:A,Pagos!$B$5:$L216,4,false)))</f>
        <v>45778</v>
      </c>
      <c r="E174" s="492"/>
      <c r="F174" s="350" t="str">
        <f t="shared" si="2"/>
        <v/>
      </c>
      <c r="G174" s="442"/>
    </row>
    <row r="175">
      <c r="A175" s="498" t="s">
        <v>465</v>
      </c>
      <c r="B175" s="489">
        <f>IF(iserror(vlookup(A:A,Pagos!$B$5:$L216,2,false)),"Disponible",vlookup(A:A,Pagos!$B$5:$L216,2,false))</f>
        <v>2307</v>
      </c>
      <c r="C175" s="510" t="str">
        <f>IF(iserror(vlookup(A:A,Pagos!$B$5:$L216,3,false)),"Disponible",vlookup(A:A,Pagos!$B$5:$L216,3,false))</f>
        <v>DEL MONTE, GASTON</v>
      </c>
      <c r="D175" s="491">
        <f>IF(iserror(vlookup(A:A,Pagos!$B$5:$L216,4,false)),"Disponible",If(vlookup(A:A,Pagos!$B$5:$L216,5,false),vlookup(A:A,Pagos!$B$5:$L216,5,false),vlookup(A:A,Pagos!$B$5:$L216,4,false)))</f>
        <v>45870</v>
      </c>
      <c r="E175" s="492"/>
      <c r="F175" s="350" t="str">
        <f t="shared" si="2"/>
        <v/>
      </c>
      <c r="G175" s="442"/>
    </row>
    <row r="176">
      <c r="A176" s="498" t="s">
        <v>272</v>
      </c>
      <c r="B176" s="489">
        <f>IF(iserror(vlookup(A:A,Pagos!$B$5:$L216,2,false)),"Disponible",vlookup(A:A,Pagos!$B$5:$L216,2,false))</f>
        <v>1871</v>
      </c>
      <c r="C176" s="510" t="str">
        <f>IF(iserror(vlookup(A:A,Pagos!$B$5:$L216,3,false)),"Disponible",vlookup(A:A,Pagos!$B$5:$L216,3,false))</f>
        <v>CONDE, CLAUDIO</v>
      </c>
      <c r="D176" s="491">
        <f>IF(iserror(vlookup(A:A,Pagos!$B$5:$L216,4,false)),"Disponible",If(vlookup(A:A,Pagos!$B$5:$L216,5,false),vlookup(A:A,Pagos!$B$5:$L216,5,false),vlookup(A:A,Pagos!$B$5:$L216,4,false)))</f>
        <v>45992</v>
      </c>
      <c r="E176" s="492"/>
      <c r="F176" s="350"/>
      <c r="G176" s="442"/>
    </row>
    <row r="177">
      <c r="A177" s="498" t="s">
        <v>271</v>
      </c>
      <c r="B177" s="489">
        <f>IF(iserror(vlookup(A:A,Pagos!$B$5:$L216,2,false)),"Disponible",vlookup(A:A,Pagos!$B$5:$L216,2,false))</f>
        <v>1871</v>
      </c>
      <c r="C177" s="510" t="str">
        <f>IF(iserror(vlookup(A:A,Pagos!$B$5:$L216,3,false)),"Disponible",vlookup(A:A,Pagos!$B$5:$L216,3,false))</f>
        <v>CONDE, CLAUDIO</v>
      </c>
      <c r="D177" s="491">
        <f>IF(iserror(vlookup(A:A,Pagos!$B$5:$L216,4,false)),"Disponible",If(vlookup(A:A,Pagos!$B$5:$L216,5,false),vlookup(A:A,Pagos!$B$5:$L216,5,false),vlookup(A:A,Pagos!$B$5:$L216,4,false)))</f>
        <v>45992</v>
      </c>
      <c r="E177" s="492"/>
      <c r="F177" s="350"/>
      <c r="G177" s="442"/>
    </row>
    <row r="178">
      <c r="A178" s="498" t="s">
        <v>318</v>
      </c>
      <c r="B178" s="489">
        <f>IF(iserror(vlookup(A:A,Pagos!$B$5:$L216,2,false)),"Disponible",vlookup(A:A,Pagos!$B$5:$L216,2,false))</f>
        <v>1986</v>
      </c>
      <c r="C178" s="510" t="str">
        <f>IF(iserror(vlookup(A:A,Pagos!$B$5:$L216,3,false)),"Disponible",vlookup(A:A,Pagos!$B$5:$L216,3,false))</f>
        <v>PELUSO, MARIA LETICIA</v>
      </c>
      <c r="D178" s="491">
        <f>IF(iserror(vlookup(A:A,Pagos!$B$5:$L216,4,false)),"Disponible",If(vlookup(A:A,Pagos!$B$5:$L216,5,false),vlookup(A:A,Pagos!$B$5:$L216,5,false),vlookup(A:A,Pagos!$B$5:$L216,4,false)))</f>
        <v>45870</v>
      </c>
      <c r="E178" s="492"/>
      <c r="F178" s="350"/>
      <c r="G178" s="442"/>
    </row>
    <row r="179">
      <c r="A179" s="498" t="s">
        <v>443</v>
      </c>
      <c r="B179" s="489">
        <f>IF(iserror(vlookup(A:A,Pagos!$B$5:$L216,2,false)),"Disponible",vlookup(A:A,Pagos!$B$5:$L216,2,false))</f>
        <v>2252</v>
      </c>
      <c r="C179" s="510" t="str">
        <f>IF(iserror(vlookup(A:A,Pagos!$B$5:$L216,3,false)),"Disponible",vlookup(A:A,Pagos!$B$5:$L216,3,false))</f>
        <v>DELUCCHI, FLORENCIA</v>
      </c>
      <c r="D179" s="491">
        <f>IF(iserror(vlookup(A:A,Pagos!$B$5:$L216,4,false)),"Disponible",If(vlookup(A:A,Pagos!$B$5:$L216,5,false),vlookup(A:A,Pagos!$B$5:$L216,5,false),vlookup(A:A,Pagos!$B$5:$L216,4,false)))</f>
        <v>45992</v>
      </c>
      <c r="E179" s="492"/>
      <c r="F179" s="350"/>
      <c r="G179" s="442"/>
    </row>
    <row r="180">
      <c r="A180" s="498" t="s">
        <v>329</v>
      </c>
      <c r="B180" s="489">
        <f>IF(iserror(vlookup(A:A,Pagos!$B$5:$L216,2,false)),"Disponible",vlookup(A:A,Pagos!$B$5:$L216,2,false))</f>
        <v>2026</v>
      </c>
      <c r="C180" s="510" t="str">
        <f>IF(iserror(vlookup(A:A,Pagos!$B$5:$L216,3,false)),"Disponible",vlookup(A:A,Pagos!$B$5:$L216,3,false))</f>
        <v>FERNANDEZ, MA. LORENA</v>
      </c>
      <c r="D180" s="491">
        <f>IF(iserror(vlookup(A:A,Pagos!$B$5:$L216,4,false)),"Disponible",If(vlookup(A:A,Pagos!$B$5:$L216,5,false),vlookup(A:A,Pagos!$B$5:$L216,5,false),vlookup(A:A,Pagos!$B$5:$L216,4,false)))</f>
        <v>45870</v>
      </c>
      <c r="E180" s="492"/>
      <c r="F180" s="350"/>
      <c r="G180" s="442"/>
    </row>
    <row r="181">
      <c r="A181" s="498" t="s">
        <v>4859</v>
      </c>
      <c r="B181" s="489">
        <f>IF(iserror(vlookup(A:A,Pagos!$B$5:$L216,2,false)),"Disponible",vlookup(A:A,Pagos!$B$5:$L216,2,false))</f>
        <v>2321</v>
      </c>
      <c r="C181" s="510" t="str">
        <f>IF(iserror(vlookup(A:A,Pagos!$B$5:$L216,3,false)),"Disponible",vlookup(A:A,Pagos!$B$5:$L216,3,false))</f>
        <v>NICOLOFF CHACANOFF, SEBASTIAN</v>
      </c>
      <c r="D181" s="491">
        <f>IF(iserror(vlookup(A:A,Pagos!$B$5:$L216,4,false)),"Disponible",If(vlookup(A:A,Pagos!$B$5:$L216,5,false),vlookup(A:A,Pagos!$B$5:$L216,5,false),vlookup(A:A,Pagos!$B$5:$L216,4,false)))</f>
        <v>45870</v>
      </c>
      <c r="E181" s="492"/>
      <c r="F181" s="350"/>
      <c r="G181" s="442"/>
    </row>
    <row r="182">
      <c r="A182" s="498" t="s">
        <v>294</v>
      </c>
      <c r="B182" s="489">
        <f>IF(iserror(vlookup(A:A,Pagos!$B$5:$L216,2,false)),"Disponible",vlookup(A:A,Pagos!$B$5:$L216,2,false))</f>
        <v>1926</v>
      </c>
      <c r="C182" s="510" t="str">
        <f>IF(iserror(vlookup(A:A,Pagos!$B$5:$L216,3,false)),"Disponible",vlookup(A:A,Pagos!$B$5:$L216,3,false))</f>
        <v>TIZZANO, LEONARDO</v>
      </c>
      <c r="D182" s="491">
        <f>IF(iserror(vlookup(A:A,Pagos!$B$5:$L216,4,false)),"Disponible",If(vlookup(A:A,Pagos!$B$5:$L216,5,false),vlookup(A:A,Pagos!$B$5:$L216,5,false),vlookup(A:A,Pagos!$B$5:$L216,4,false)))</f>
        <v>45870</v>
      </c>
      <c r="E182" s="492"/>
      <c r="F182" s="350"/>
      <c r="G182" s="442"/>
    </row>
    <row r="183">
      <c r="A183" s="498" t="s">
        <v>430</v>
      </c>
      <c r="B183" s="489">
        <f>IF(iserror(vlookup(A:A,Pagos!$B$5:$L216,2,false)),"Disponible",vlookup(A:A,Pagos!$B$5:$L216,2,false))</f>
        <v>2222</v>
      </c>
      <c r="C183" s="510" t="str">
        <f>IF(iserror(vlookup(A:A,Pagos!$B$5:$L216,3,false)),"Disponible",vlookup(A:A,Pagos!$B$5:$L216,3,false))</f>
        <v>SANTA MARIA, LEONEL</v>
      </c>
      <c r="D183" s="491">
        <f>IF(iserror(vlookup(A:A,Pagos!$B$5:$L216,4,false)),"Disponible",If(vlookup(A:A,Pagos!$B$5:$L216,5,false),vlookup(A:A,Pagos!$B$5:$L216,5,false),vlookup(A:A,Pagos!$B$5:$L216,4,false)))</f>
        <v>45870</v>
      </c>
      <c r="E183" s="492"/>
      <c r="F183" s="350"/>
      <c r="G183" s="442"/>
    </row>
    <row r="184">
      <c r="A184" s="498" t="s">
        <v>396</v>
      </c>
      <c r="B184" s="489">
        <f>IF(iserror(vlookup(A:A,Pagos!$B$5:$L216,2,false)),"Disponible",vlookup(A:A,Pagos!$B$5:$L216,2,false))</f>
        <v>2163</v>
      </c>
      <c r="C184" s="510" t="str">
        <f>IF(iserror(vlookup(A:A,Pagos!$B$5:$L216,3,false)),"Disponible",vlookup(A:A,Pagos!$B$5:$L216,3,false))</f>
        <v>KACZAN, ALEJO</v>
      </c>
      <c r="D184" s="491">
        <f>IF(iserror(vlookup(A:A,Pagos!$B$5:$L216,4,false)),"Disponible",If(vlookup(A:A,Pagos!$B$5:$L216,5,false),vlookup(A:A,Pagos!$B$5:$L216,5,false),vlookup(A:A,Pagos!$B$5:$L216,4,false)))</f>
        <v>45870</v>
      </c>
      <c r="E184" s="492"/>
      <c r="F184" s="350"/>
      <c r="G184" s="442"/>
    </row>
    <row r="185">
      <c r="A185" s="498" t="s">
        <v>434</v>
      </c>
      <c r="B185" s="489">
        <f>IF(iserror(vlookup(A:A,Pagos!$B$5:$L216,2,false)),"Disponible",vlookup(A:A,Pagos!$B$5:$L216,2,false))</f>
        <v>2239</v>
      </c>
      <c r="C185" s="510" t="str">
        <f>IF(iserror(vlookup(A:A,Pagos!$B$5:$L216,3,false)),"Disponible",vlookup(A:A,Pagos!$B$5:$L216,3,false))</f>
        <v>DI FRANCESCO, GABRIEL</v>
      </c>
      <c r="D185" s="491">
        <f>IF(iserror(vlookup(A:A,Pagos!$B$5:$L216,4,false)),"Disponible",If(vlookup(A:A,Pagos!$B$5:$L216,5,false),vlookup(A:A,Pagos!$B$5:$L216,5,false),vlookup(A:A,Pagos!$B$5:$L216,4,false)))</f>
        <v>45839</v>
      </c>
      <c r="E185" s="492"/>
      <c r="F185" s="350"/>
      <c r="G185" s="442"/>
    </row>
    <row r="186">
      <c r="A186" s="498" t="s">
        <v>370</v>
      </c>
      <c r="B186" s="489">
        <f>IF(iserror(vlookup(A:A,Pagos!$B$5:$L216,2,false)),"Disponible",vlookup(A:A,Pagos!$B$5:$L216,2,false))</f>
        <v>2108</v>
      </c>
      <c r="C186" s="510" t="str">
        <f>IF(iserror(vlookup(A:A,Pagos!$B$5:$L216,3,false)),"Disponible",vlookup(A:A,Pagos!$B$5:$L216,3,false))</f>
        <v>FERNANDEZ, VICTOR</v>
      </c>
      <c r="D186" s="491">
        <f>IF(iserror(vlookup(A:A,Pagos!$B$5:$L216,4,false)),"Disponible",If(vlookup(A:A,Pagos!$B$5:$L216,5,false),vlookup(A:A,Pagos!$B$5:$L216,5,false),vlookup(A:A,Pagos!$B$5:$L216,4,false)))</f>
        <v>45870</v>
      </c>
      <c r="E186" s="492"/>
      <c r="F186" s="350"/>
      <c r="G186" s="442"/>
    </row>
    <row r="187">
      <c r="A187" s="498" t="s">
        <v>4860</v>
      </c>
      <c r="B187" s="489">
        <f>IF(iserror(vlookup(A:A,Pagos!$B$5:$L216,2,false)),"Disponible",vlookup(A:A,Pagos!$B$5:$L216,2,false))</f>
        <v>2093</v>
      </c>
      <c r="C187" s="510" t="str">
        <f>IF(iserror(vlookup(A:A,Pagos!$B$5:$L216,3,false)),"Disponible",vlookup(A:A,Pagos!$B$5:$L216,3,false))</f>
        <v>FERNANDEZ RUIZ, JUAN MANUEL</v>
      </c>
      <c r="D187" s="491">
        <f>IF(iserror(vlookup(A:A,Pagos!$B$5:$L216,4,false)),"Disponible",If(vlookup(A:A,Pagos!$B$5:$L216,5,false),vlookup(A:A,Pagos!$B$5:$L216,5,false),vlookup(A:A,Pagos!$B$5:$L216,4,false)))</f>
        <v>45870</v>
      </c>
      <c r="E187" s="492"/>
      <c r="F187" s="350"/>
      <c r="G187" s="442"/>
    </row>
    <row r="188">
      <c r="A188" s="498" t="s">
        <v>4861</v>
      </c>
      <c r="B188" s="489">
        <f>IF(iserror(vlookup(A:A,Pagos!$B$5:$L216,2,false)),"Disponible",vlookup(A:A,Pagos!$B$5:$L216,2,false))</f>
        <v>2108</v>
      </c>
      <c r="C188" s="510" t="str">
        <f>IF(iserror(vlookup(A:A,Pagos!$B$5:$L216,3,false)),"Disponible",vlookup(A:A,Pagos!$B$5:$L216,3,false))</f>
        <v>FERNANDEZ, VICTOR</v>
      </c>
      <c r="D188" s="491">
        <f>IF(iserror(vlookup(A:A,Pagos!$B$5:$L216,4,false)),"Disponible",If(vlookup(A:A,Pagos!$B$5:$L216,5,false),vlookup(A:A,Pagos!$B$5:$L216,5,false),vlookup(A:A,Pagos!$B$5:$L216,4,false)))</f>
        <v>45870</v>
      </c>
      <c r="E188" s="494"/>
      <c r="F188" s="350"/>
      <c r="G188" s="442"/>
    </row>
    <row r="189">
      <c r="A189" s="498" t="s">
        <v>373</v>
      </c>
      <c r="B189" s="489">
        <f>IF(iserror(vlookup(A:A,Pagos!$B$5:$L216,2,false)),"Disponible",vlookup(A:A,Pagos!$B$5:$L216,2,false))</f>
        <v>2109</v>
      </c>
      <c r="C189" s="510" t="str">
        <f>IF(iserror(vlookup(A:A,Pagos!$B$5:$L216,3,false)),"Disponible",vlookup(A:A,Pagos!$B$5:$L216,3,false))</f>
        <v>BARLA, MARIA PÌA</v>
      </c>
      <c r="D189" s="491">
        <f>IF(iserror(vlookup(A:A,Pagos!$B$5:$L216,4,false)),"Disponible",If(vlookup(A:A,Pagos!$B$5:$L216,5,false),vlookup(A:A,Pagos!$B$5:$L216,5,false),vlookup(A:A,Pagos!$B$5:$L216,4,false)))</f>
        <v>45870</v>
      </c>
      <c r="E189" s="492"/>
      <c r="F189" s="350"/>
      <c r="G189" s="442"/>
    </row>
    <row r="190">
      <c r="A190" s="498" t="s">
        <v>4862</v>
      </c>
      <c r="B190" s="489" t="str">
        <f>IF(iserror(vlookup(A:A,Pagos!$B$5:$L216,2,false)),"Disponible",vlookup(A:A,Pagos!$B$5:$L216,2,false))</f>
        <v>Disponible</v>
      </c>
      <c r="C190" s="510" t="str">
        <f>IF(iserror(vlookup(A:A,Pagos!$B$5:$L216,3,false)),"Disponible",vlookup(A:A,Pagos!$B$5:$L216,3,false))</f>
        <v>Disponible</v>
      </c>
      <c r="D190" s="491" t="str">
        <f>IF(iserror(vlookup(A:A,Pagos!$B$5:$L216,4,false)),"Disponible",If(vlookup(A:A,Pagos!$B$5:$L216,5,false),vlookup(A:A,Pagos!$B$5:$L216,5,false),vlookup(A:A,Pagos!$B$5:$L216,4,false)))</f>
        <v>Disponible</v>
      </c>
      <c r="E190" s="492"/>
      <c r="F190" s="350"/>
      <c r="G190" s="442"/>
    </row>
    <row r="191">
      <c r="A191" s="498" t="s">
        <v>460</v>
      </c>
      <c r="B191" s="489">
        <f>IF(iserror(vlookup(A:A,Pagos!$B$5:$L216,2,false)),"Disponible",vlookup(A:A,Pagos!$B$5:$L216,2,false))</f>
        <v>2293</v>
      </c>
      <c r="C191" s="510" t="str">
        <f>IF(iserror(vlookup(A:A,Pagos!$B$5:$L216,3,false)),"Disponible",vlookup(A:A,Pagos!$B$5:$L216,3,false))</f>
        <v>FERREYRA, FEDERICO</v>
      </c>
      <c r="D191" s="491">
        <f>IF(iserror(vlookup(A:A,Pagos!$B$5:$L216,4,false)),"Disponible",If(vlookup(A:A,Pagos!$B$5:$L216,5,false),vlookup(A:A,Pagos!$B$5:$L216,5,false),vlookup(A:A,Pagos!$B$5:$L216,4,false)))</f>
        <v>45870</v>
      </c>
      <c r="E191" s="492"/>
      <c r="F191" s="350"/>
      <c r="G191" s="442"/>
    </row>
    <row r="192">
      <c r="A192" s="498" t="s">
        <v>354</v>
      </c>
      <c r="B192" s="489">
        <f>IF(iserror(vlookup(A:A,Pagos!$B$5:$L216,2,false)),"Disponible",vlookup(A:A,Pagos!$B$5:$L216,2,false))</f>
        <v>2073</v>
      </c>
      <c r="C192" s="510" t="str">
        <f>IF(iserror(vlookup(A:A,Pagos!$B$5:$L216,3,false)),"Disponible",vlookup(A:A,Pagos!$B$5:$L216,3,false))</f>
        <v>ZOVICH, ROMINA</v>
      </c>
      <c r="D192" s="491">
        <f>IF(iserror(vlookup(A:A,Pagos!$B$5:$L216,4,false)),"Disponible",If(vlookup(A:A,Pagos!$B$5:$L216,5,false),vlookup(A:A,Pagos!$B$5:$L216,5,false),vlookup(A:A,Pagos!$B$5:$L216,4,false)))</f>
        <v>45870</v>
      </c>
      <c r="E192" s="492"/>
      <c r="F192" s="350"/>
      <c r="G192" s="442"/>
    </row>
    <row r="193">
      <c r="A193" s="498" t="s">
        <v>380</v>
      </c>
      <c r="B193" s="489">
        <f>IF(iserror(vlookup(A:A,Pagos!$B$5:$L216,2,false)),"Disponible",vlookup(A:A,Pagos!$B$5:$L216,2,false))</f>
        <v>2126</v>
      </c>
      <c r="C193" s="510" t="str">
        <f>IF(iserror(vlookup(A:A,Pagos!$B$5:$L216,3,false)),"Disponible",vlookup(A:A,Pagos!$B$5:$L216,3,false))</f>
        <v>CASTAÑEDA, MARIA AMELIA</v>
      </c>
      <c r="D193" s="491">
        <f>IF(iserror(vlookup(A:A,Pagos!$B$5:$L216,4,false)),"Disponible",If(vlookup(A:A,Pagos!$B$5:$L216,5,false),vlookup(A:A,Pagos!$B$5:$L216,5,false),vlookup(A:A,Pagos!$B$5:$L216,4,false)))</f>
        <v>45870</v>
      </c>
      <c r="E193" s="492"/>
      <c r="F193" s="350"/>
      <c r="G193" s="442"/>
    </row>
    <row r="194">
      <c r="A194" s="498" t="s">
        <v>4863</v>
      </c>
      <c r="B194" s="489" t="str">
        <f>IF(iserror(vlookup(A:A,Pagos!$B$5:$L216,2,false)),"Disponible",vlookup(A:A,Pagos!$B$5:$L216,2,false))</f>
        <v>Disponible</v>
      </c>
      <c r="C194" s="510" t="str">
        <f>IF(iserror(vlookup(A:A,Pagos!$B$5:$L216,3,false)),"Disponible",vlookup(A:A,Pagos!$B$5:$L216,3,false))</f>
        <v>Disponible</v>
      </c>
      <c r="D194" s="491" t="str">
        <f>IF(iserror(vlookup(A:A,Pagos!$B$5:$L216,4,false)),"Disponible",If(vlookup(A:A,Pagos!$B$5:$L216,5,false),vlookup(A:A,Pagos!$B$5:$L216,5,false),vlookup(A:A,Pagos!$B$5:$L216,4,false)))</f>
        <v>Disponible</v>
      </c>
      <c r="E194" s="492"/>
      <c r="F194" s="350"/>
      <c r="G194" s="442"/>
    </row>
    <row r="195">
      <c r="A195" s="498" t="s">
        <v>484</v>
      </c>
      <c r="B195" s="489">
        <f>IF(iserror(vlookup(A:A,Pagos!$B$5:$L216,2,false)),"Disponible",vlookup(A:A,Pagos!$B$5:$L216,2,false))</f>
        <v>2345</v>
      </c>
      <c r="C195" s="510" t="str">
        <f>IF(iserror(vlookup(A:A,Pagos!$B$5:$L216,3,false)),"Disponible",vlookup(A:A,Pagos!$B$5:$L216,3,false))</f>
        <v>D´AGOSTINO, SILVANA</v>
      </c>
      <c r="D195" s="491">
        <f>IF(iserror(vlookup(A:A,Pagos!$B$5:$L216,4,false)),"Disponible",If(vlookup(A:A,Pagos!$B$5:$L216,5,false),vlookup(A:A,Pagos!$B$5:$L216,5,false),vlookup(A:A,Pagos!$B$5:$L216,4,false)))</f>
        <v>45870</v>
      </c>
      <c r="E195" s="492"/>
      <c r="F195" s="350"/>
      <c r="G195" s="442"/>
    </row>
    <row r="196">
      <c r="A196" s="498" t="s">
        <v>367</v>
      </c>
      <c r="B196" s="489">
        <f>IF(iserror(vlookup(A:A,Pagos!$B$5:$L216,2,false)),"Disponible",vlookup(A:A,Pagos!$B$5:$L216,2,false))</f>
        <v>2101</v>
      </c>
      <c r="C196" s="510" t="str">
        <f>IF(iserror(vlookup(A:A,Pagos!$B$5:$L216,3,false)),"Disponible",vlookup(A:A,Pagos!$B$5:$L216,3,false))</f>
        <v>RODRIGUEZ, JORGE</v>
      </c>
      <c r="D196" s="491">
        <f>IF(iserror(vlookup(A:A,Pagos!$B$5:$L216,4,false)),"Disponible",If(vlookup(A:A,Pagos!$B$5:$L216,5,false),vlookup(A:A,Pagos!$B$5:$L216,5,false),vlookup(A:A,Pagos!$B$5:$L216,4,false)))</f>
        <v>45870</v>
      </c>
      <c r="E196" s="492"/>
      <c r="F196" s="350"/>
      <c r="G196" s="442"/>
    </row>
    <row r="197">
      <c r="A197" s="498" t="s">
        <v>364</v>
      </c>
      <c r="B197" s="489">
        <f>IF(iserror(vlookup(A:A,Pagos!$B$5:$L216,2,false)),"Disponible",vlookup(A:A,Pagos!$B$5:$L216,2,false))</f>
        <v>2091</v>
      </c>
      <c r="C197" s="510" t="str">
        <f>IF(iserror(vlookup(A:A,Pagos!$B$5:$L216,3,false)),"Disponible",vlookup(A:A,Pagos!$B$5:$L216,3,false))</f>
        <v>FIUZA, MARIANA</v>
      </c>
      <c r="D197" s="491">
        <f>IF(iserror(vlookup(A:A,Pagos!$B$5:$L216,4,false)),"Disponible",If(vlookup(A:A,Pagos!$B$5:$L216,5,false),vlookup(A:A,Pagos!$B$5:$L216,5,false),vlookup(A:A,Pagos!$B$5:$L216,4,false)))</f>
        <v>45870</v>
      </c>
      <c r="E197" s="492"/>
      <c r="F197" s="350"/>
      <c r="G197" s="442"/>
    </row>
    <row r="198">
      <c r="A198" s="498" t="s">
        <v>363</v>
      </c>
      <c r="B198" s="489">
        <f>IF(iserror(vlookup(A:A,Pagos!$B$5:$L216,2,false)),"Disponible",vlookup(A:A,Pagos!$B$5:$L216,2,false))</f>
        <v>2090</v>
      </c>
      <c r="C198" s="510" t="str">
        <f>IF(iserror(vlookup(A:A,Pagos!$B$5:$L216,3,false)),"Disponible",vlookup(A:A,Pagos!$B$5:$L216,3,false))</f>
        <v>GARCIA CEPEDA, MARIA LAURA</v>
      </c>
      <c r="D198" s="491">
        <f>IF(iserror(vlookup(A:A,Pagos!$B$5:$L216,4,false)),"Disponible",If(vlookup(A:A,Pagos!$B$5:$L216,5,false),vlookup(A:A,Pagos!$B$5:$L216,5,false),vlookup(A:A,Pagos!$B$5:$L216,4,false)))</f>
        <v>45839</v>
      </c>
      <c r="E198" s="492"/>
      <c r="F198" s="350"/>
      <c r="G198" s="442"/>
    </row>
    <row r="199">
      <c r="A199" s="498" t="s">
        <v>183</v>
      </c>
      <c r="B199" s="489">
        <f>IF(iserror(vlookup(A:A,Pagos!$B$5:$L216,2,false)),"Disponible",vlookup(A:A,Pagos!$B$5:$L216,2,false))</f>
        <v>1631</v>
      </c>
      <c r="C199" s="510" t="str">
        <f>IF(iserror(vlookup(A:A,Pagos!$B$5:$L216,3,false)),"Disponible",vlookup(A:A,Pagos!$B$5:$L216,3,false))</f>
        <v>HALECKA, JUAN GABRIEL</v>
      </c>
      <c r="D199" s="491">
        <f>IF(iserror(vlookup(A:A,Pagos!$B$5:$L216,4,false)),"Disponible",If(vlookup(A:A,Pagos!$B$5:$L216,5,false),vlookup(A:A,Pagos!$B$5:$L216,5,false),vlookup(A:A,Pagos!$B$5:$L216,4,false)))</f>
        <v>45870</v>
      </c>
      <c r="E199" s="492"/>
      <c r="F199" s="350"/>
      <c r="G199" s="442"/>
    </row>
    <row r="200">
      <c r="A200" s="498" t="s">
        <v>483</v>
      </c>
      <c r="B200" s="489">
        <f>IF(iserror(vlookup(A:A,Pagos!$B$5:$L216,2,false)),"Disponible",vlookup(A:A,Pagos!$B$5:$L216,2,false))</f>
        <v>2343</v>
      </c>
      <c r="C200" s="510" t="str">
        <f>IF(iserror(vlookup(A:A,Pagos!$B$5:$L216,3,false)),"Disponible",vlookup(A:A,Pagos!$B$5:$L216,3,false))</f>
        <v>CIBIARA, JORGELINA</v>
      </c>
      <c r="D200" s="491">
        <f>IF(iserror(vlookup(A:A,Pagos!$B$5:$L216,4,false)),"Disponible",If(vlookup(A:A,Pagos!$B$5:$L216,5,false),vlookup(A:A,Pagos!$B$5:$L216,5,false),vlookup(A:A,Pagos!$B$5:$L216,4,false)))</f>
        <v>45839</v>
      </c>
      <c r="E200" s="492"/>
      <c r="F200" s="350"/>
      <c r="G200" s="442"/>
    </row>
    <row r="201">
      <c r="A201" s="498" t="s">
        <v>477</v>
      </c>
      <c r="B201" s="489">
        <f>IF(iserror(vlookup(A:A,Pagos!$B$5:$L216,2,false)),"Disponible",vlookup(A:A,Pagos!$B$5:$L216,2,false))</f>
        <v>2329</v>
      </c>
      <c r="C201" s="510" t="str">
        <f>IF(iserror(vlookup(A:A,Pagos!$B$5:$L216,3,false)),"Disponible",vlookup(A:A,Pagos!$B$5:$L216,3,false))</f>
        <v>MAIDANA, CLARA</v>
      </c>
      <c r="D201" s="491">
        <f>IF(iserror(vlookup(A:A,Pagos!$B$5:$L216,4,false)),"Disponible",If(vlookup(A:A,Pagos!$B$5:$L216,5,false),vlookup(A:A,Pagos!$B$5:$L216,5,false),vlookup(A:A,Pagos!$B$5:$L216,4,false)))</f>
        <v>45870</v>
      </c>
      <c r="E201" s="492"/>
      <c r="F201" s="350"/>
      <c r="G201" s="442"/>
    </row>
    <row r="202">
      <c r="A202" s="498" t="s">
        <v>369</v>
      </c>
      <c r="B202" s="489">
        <f>IF(iserror(vlookup(A:A,Pagos!$B$5:$L216,2,false)),"Disponible",vlookup(A:A,Pagos!$B$5:$L216,2,false))</f>
        <v>2105</v>
      </c>
      <c r="C202" s="510" t="str">
        <f>IF(iserror(vlookup(A:A,Pagos!$B$5:$L216,3,false)),"Disponible",vlookup(A:A,Pagos!$B$5:$L216,3,false))</f>
        <v>DUCROS, CHRISTIAN</v>
      </c>
      <c r="D202" s="491">
        <f>IF(iserror(vlookup(A:A,Pagos!$B$5:$L216,4,false)),"Disponible",If(vlookup(A:A,Pagos!$B$5:$L216,5,false),vlookup(A:A,Pagos!$B$5:$L216,5,false),vlookup(A:A,Pagos!$B$5:$L216,4,false)))</f>
        <v>45870</v>
      </c>
      <c r="E202" s="492"/>
      <c r="F202" s="350"/>
      <c r="G202" s="442"/>
    </row>
    <row r="203">
      <c r="A203" s="498" t="s">
        <v>453</v>
      </c>
      <c r="B203" s="489">
        <f>IF(iserror(vlookup(A:A,Pagos!$B$5:$L216,2,false)),"Disponible",vlookup(A:A,Pagos!$B$5:$L216,2,false))</f>
        <v>2282</v>
      </c>
      <c r="C203" s="510" t="str">
        <f>IF(iserror(vlookup(A:A,Pagos!$B$5:$L216,3,false)),"Disponible",vlookup(A:A,Pagos!$B$5:$L216,3,false))</f>
        <v>SZALAGOWSKI, ISIDORO</v>
      </c>
      <c r="D203" s="491">
        <f>IF(iserror(vlookup(A:A,Pagos!$B$5:$L216,4,false)),"Disponible",If(vlookup(A:A,Pagos!$B$5:$L216,5,false),vlookup(A:A,Pagos!$B$5:$L216,5,false),vlookup(A:A,Pagos!$B$5:$L216,4,false)))</f>
        <v>45870</v>
      </c>
      <c r="E203" s="492"/>
      <c r="F203" s="350"/>
      <c r="G203" s="442"/>
    </row>
    <row r="204">
      <c r="A204" s="498" t="s">
        <v>436</v>
      </c>
      <c r="B204" s="489">
        <f>IF(iserror(vlookup(A:A,Pagos!$B$5:$L216,2,false)),"Disponible",vlookup(A:A,Pagos!$B$5:$L216,2,false))</f>
        <v>2242</v>
      </c>
      <c r="C204" s="510" t="str">
        <f>IF(iserror(vlookup(A:A,Pagos!$B$5:$L216,3,false)),"Disponible",vlookup(A:A,Pagos!$B$5:$L216,3,false))</f>
        <v>MERCERAT, FERNANDO</v>
      </c>
      <c r="D204" s="491">
        <f>IF(iserror(vlookup(A:A,Pagos!$B$5:$L216,4,false)),"Disponible",If(vlookup(A:A,Pagos!$B$5:$L216,5,false),vlookup(A:A,Pagos!$B$5:$L216,5,false),vlookup(A:A,Pagos!$B$5:$L216,4,false)))</f>
        <v>45870</v>
      </c>
      <c r="E204" s="492"/>
      <c r="F204" s="350"/>
      <c r="G204" s="442"/>
    </row>
    <row r="205">
      <c r="A205" s="498" t="s">
        <v>425</v>
      </c>
      <c r="B205" s="489">
        <f>IF(iserror(vlookup(A:A,Pagos!$B$5:$L216,2,false)),"Disponible",vlookup(A:A,Pagos!$B$5:$L216,2,false))</f>
        <v>2218</v>
      </c>
      <c r="C205" s="510" t="str">
        <f>IF(iserror(vlookup(A:A,Pagos!$B$5:$L216,3,false)),"Disponible",vlookup(A:A,Pagos!$B$5:$L216,3,false))</f>
        <v>SZYCHOWSKI, MIGUEL</v>
      </c>
      <c r="D205" s="491">
        <f>IF(iserror(vlookup(A:A,Pagos!$B$5:$L216,4,false)),"Disponible",If(vlookup(A:A,Pagos!$B$5:$L216,5,false),vlookup(A:A,Pagos!$B$5:$L216,5,false),vlookup(A:A,Pagos!$B$5:$L216,4,false)))</f>
        <v>45809</v>
      </c>
      <c r="E205" s="492"/>
      <c r="F205" s="350"/>
      <c r="G205" s="442"/>
    </row>
    <row r="206">
      <c r="A206" s="498" t="s">
        <v>129</v>
      </c>
      <c r="B206" s="489">
        <f>IF(iserror(vlookup(A:A,Pagos!$B$5:$L216,2,false)),"Disponible",vlookup(A:A,Pagos!$B$5:$L216,2,false))</f>
        <v>1384</v>
      </c>
      <c r="C206" s="510" t="str">
        <f>IF(iserror(vlookup(A:A,Pagos!$B$5:$L216,3,false)),"Disponible",vlookup(A:A,Pagos!$B$5:$L216,3,false))</f>
        <v>DE PIERRIS, ESTEBAN</v>
      </c>
      <c r="D206" s="491">
        <f>IF(iserror(vlookup(A:A,Pagos!$B$5:$L216,4,false)),"Disponible",If(vlookup(A:A,Pagos!$B$5:$L216,5,false),vlookup(A:A,Pagos!$B$5:$L216,5,false),vlookup(A:A,Pagos!$B$5:$L216,4,false)))</f>
        <v>45901</v>
      </c>
      <c r="E206" s="492"/>
      <c r="F206" s="350" t="str">
        <f t="shared" ref="F206:F216" si="3">IF(G206,"Sobreasignada","")</f>
        <v/>
      </c>
      <c r="G206" s="442"/>
    </row>
    <row r="207">
      <c r="A207" s="498" t="s">
        <v>128</v>
      </c>
      <c r="B207" s="489">
        <f>IF(iserror(vlookup(A:A,Pagos!$B$5:$L216,2,false)),"Disponible",vlookup(A:A,Pagos!$B$5:$L216,2,false))</f>
        <v>1384</v>
      </c>
      <c r="C207" s="510" t="str">
        <f>IF(iserror(vlookup(A:A,Pagos!$B$5:$L216,3,false)),"Disponible",vlookup(A:A,Pagos!$B$5:$L216,3,false))</f>
        <v>DE PIERRIS, ESTEBAN</v>
      </c>
      <c r="D207" s="491">
        <f>IF(iserror(vlookup(A:A,Pagos!$B$5:$L216,4,false)),"Disponible",If(vlookup(A:A,Pagos!$B$5:$L216,5,false),vlookup(A:A,Pagos!$B$5:$L216,5,false),vlookup(A:A,Pagos!$B$5:$L216,4,false)))</f>
        <v>45901</v>
      </c>
      <c r="E207" s="492"/>
      <c r="F207" s="350" t="str">
        <f t="shared" si="3"/>
        <v/>
      </c>
      <c r="G207" s="442"/>
    </row>
    <row r="208">
      <c r="A208" s="498" t="s">
        <v>262</v>
      </c>
      <c r="B208" s="489">
        <f>IF(iserror(vlookup(A:A,Pagos!$B$5:$L216,2,false)),"Disponible",vlookup(A:A,Pagos!$B$5:$L216,2,false))</f>
        <v>1846</v>
      </c>
      <c r="C208" s="510" t="str">
        <f>IF(iserror(vlookup(A:A,Pagos!$B$5:$L216,3,false)),"Disponible",vlookup(A:A,Pagos!$B$5:$L216,3,false))</f>
        <v>SPHAR, JORGE</v>
      </c>
      <c r="D208" s="491">
        <f>IF(iserror(vlookup(A:A,Pagos!$B$5:$L216,4,false)),"Disponible",If(vlookup(A:A,Pagos!$B$5:$L216,5,false),vlookup(A:A,Pagos!$B$5:$L216,5,false),vlookup(A:A,Pagos!$B$5:$L216,4,false)))</f>
        <v>45870</v>
      </c>
      <c r="E208" s="492"/>
      <c r="F208" s="350" t="str">
        <f t="shared" si="3"/>
        <v/>
      </c>
      <c r="G208" s="442"/>
    </row>
    <row r="209">
      <c r="A209" s="498" t="s">
        <v>142</v>
      </c>
      <c r="B209" s="489">
        <f>IF(iserror(vlookup(A:A,Pagos!$B$5:$L216,2,false)),"Disponible",vlookup(A:A,Pagos!$B$5:$L216,2,false))</f>
        <v>1476</v>
      </c>
      <c r="C209" s="510" t="str">
        <f>IF(iserror(vlookup(A:A,Pagos!$B$5:$L216,3,false)),"Disponible",vlookup(A:A,Pagos!$B$5:$L216,3,false))</f>
        <v>CASTILLO, DARDO</v>
      </c>
      <c r="D209" s="491">
        <f>IF(iserror(vlookup(A:A,Pagos!$B$5:$L216,4,false)),"Disponible",If(vlookup(A:A,Pagos!$B$5:$L216,5,false),vlookup(A:A,Pagos!$B$5:$L216,5,false),vlookup(A:A,Pagos!$B$5:$L216,4,false)))</f>
        <v>45931</v>
      </c>
      <c r="E209" s="492"/>
      <c r="F209" s="350" t="str">
        <f t="shared" si="3"/>
        <v/>
      </c>
      <c r="G209" s="442"/>
    </row>
    <row r="210">
      <c r="A210" s="498" t="s">
        <v>258</v>
      </c>
      <c r="B210" s="489">
        <f>IF(iserror(vlookup(A:A,Pagos!$B$5:$L216,2,false)),"Disponible",vlookup(A:A,Pagos!$B$5:$L216,2,false))</f>
        <v>1840</v>
      </c>
      <c r="C210" s="510" t="str">
        <f>IF(iserror(vlookup(A:A,Pagos!$B$5:$L216,3,false)),"Disponible",vlookup(A:A,Pagos!$B$5:$L216,3,false))</f>
        <v>GALVAN, MA. LUZ</v>
      </c>
      <c r="D210" s="491">
        <f>IF(iserror(vlookup(A:A,Pagos!$B$5:$L216,4,false)),"Disponible",If(vlookup(A:A,Pagos!$B$5:$L216,5,false),vlookup(A:A,Pagos!$B$5:$L216,5,false),vlookup(A:A,Pagos!$B$5:$L216,4,false)))</f>
        <v>45870</v>
      </c>
      <c r="E210" s="492"/>
      <c r="F210" s="350" t="str">
        <f t="shared" si="3"/>
        <v/>
      </c>
      <c r="G210" s="442"/>
    </row>
    <row r="211">
      <c r="A211" s="498" t="s">
        <v>44</v>
      </c>
      <c r="B211" s="489">
        <f>IF(iserror(vlookup(A:A,Pagos!$B$5:$L216,2,false)),"Disponible",vlookup(A:A,Pagos!$B$5:$L216,2,false))</f>
        <v>45</v>
      </c>
      <c r="C211" s="510" t="str">
        <f>IF(iserror(vlookup(A:A,Pagos!$B$5:$L216,3,false)),"Disponible",vlookup(A:A,Pagos!$B$5:$L216,3,false))</f>
        <v>MANDRINI, LEOPOLDO</v>
      </c>
      <c r="D211" s="491">
        <f>IF(iserror(vlookup(A:A,Pagos!$B$5:$L216,4,false)),"Disponible",If(vlookup(A:A,Pagos!$B$5:$L216,5,false),vlookup(A:A,Pagos!$B$5:$L216,5,false),vlookup(A:A,Pagos!$B$5:$L216,4,false)))</f>
        <v>45870</v>
      </c>
      <c r="E211" s="492"/>
      <c r="F211" s="350" t="str">
        <f t="shared" si="3"/>
        <v/>
      </c>
      <c r="G211" s="442"/>
    </row>
    <row r="212">
      <c r="A212" s="498" t="s">
        <v>45</v>
      </c>
      <c r="B212" s="489">
        <f>IF(iserror(vlookup(A:A,Pagos!$B$5:$L216,2,false)),"Disponible",vlookup(A:A,Pagos!$B$5:$L216,2,false))</f>
        <v>45</v>
      </c>
      <c r="C212" s="510" t="str">
        <f>IF(iserror(vlookup(A:A,Pagos!$B$5:$L216,3,false)),"Disponible",vlookup(A:A,Pagos!$B$5:$L216,3,false))</f>
        <v>MANDRINI, LEOPOLDO</v>
      </c>
      <c r="D212" s="491">
        <f>IF(iserror(vlookup(A:A,Pagos!$B$5:$L216,4,false)),"Disponible",If(vlookup(A:A,Pagos!$B$5:$L216,5,false),vlookup(A:A,Pagos!$B$5:$L216,5,false),vlookup(A:A,Pagos!$B$5:$L216,4,false)))</f>
        <v>45870</v>
      </c>
      <c r="E212" s="492"/>
      <c r="F212" s="350" t="str">
        <f t="shared" si="3"/>
        <v/>
      </c>
      <c r="G212" s="442"/>
    </row>
    <row r="213">
      <c r="A213" s="498" t="s">
        <v>229</v>
      </c>
      <c r="B213" s="489">
        <f>IF(iserror(vlookup(A:A,Pagos!$B$5:$L216,2,false)),"Disponible",vlookup(A:A,Pagos!$B$5:$L216,2,false))</f>
        <v>1729</v>
      </c>
      <c r="C213" s="510" t="str">
        <f>IF(iserror(vlookup(A:A,Pagos!$B$5:$L216,3,false)),"Disponible",vlookup(A:A,Pagos!$B$5:$L216,3,false))</f>
        <v>FERREYRA, MARCELA</v>
      </c>
      <c r="D213" s="491">
        <f>IF(iserror(vlookup(A:A,Pagos!$B$5:$L216,4,false)),"Disponible",If(vlookup(A:A,Pagos!$B$5:$L216,5,false),vlookup(A:A,Pagos!$B$5:$L216,5,false),vlookup(A:A,Pagos!$B$5:$L216,4,false)))</f>
        <v>45870</v>
      </c>
      <c r="E213" s="492"/>
      <c r="F213" s="350" t="str">
        <f t="shared" si="3"/>
        <v/>
      </c>
      <c r="G213" s="442"/>
    </row>
    <row r="214">
      <c r="A214" s="498" t="s">
        <v>389</v>
      </c>
      <c r="B214" s="513">
        <v>2142.0</v>
      </c>
      <c r="C214" s="510" t="str">
        <f>IF(iserror(vlookup(A:A,Pagos!$B$5:$L216,3,false)),"Disponible",vlookup(A:A,Pagos!$B$5:$L216,3,false))</f>
        <v>CELLI, HERNAN HORACIO</v>
      </c>
      <c r="D214" s="491">
        <f>IF(iserror(vlookup(A:A,Pagos!$B$5:$L216,4,false)),"Disponible",If(vlookup(A:A,Pagos!$B$5:$L216,5,false),vlookup(A:A,Pagos!$B$5:$L216,5,false),vlookup(A:A,Pagos!$B$5:$L216,4,false)))</f>
        <v>45870</v>
      </c>
      <c r="E214" s="492"/>
      <c r="F214" s="350" t="str">
        <f t="shared" si="3"/>
        <v/>
      </c>
      <c r="G214" s="442"/>
    </row>
    <row r="215">
      <c r="A215" s="498" t="s">
        <v>417</v>
      </c>
      <c r="B215" s="513">
        <v>2206.0</v>
      </c>
      <c r="C215" s="510" t="str">
        <f>IF(iserror(vlookup(A:A,Pagos!$B$5:$L216,3,false)),"Disponible",vlookup(A:A,Pagos!$B$5:$L216,3,false))</f>
        <v>NOUZEILLES, ANDREA</v>
      </c>
      <c r="D215" s="491">
        <f>IF(iserror(vlookup(A:A,Pagos!$B$5:$L216,4,false)),"Disponible",If(vlookup(A:A,Pagos!$B$5:$L216,5,false),vlookup(A:A,Pagos!$B$5:$L216,5,false),vlookup(A:A,Pagos!$B$5:$L216,4,false)))</f>
        <v>45870</v>
      </c>
      <c r="E215" s="492"/>
      <c r="F215" s="350" t="str">
        <f t="shared" si="3"/>
        <v/>
      </c>
      <c r="G215" s="442"/>
    </row>
    <row r="216">
      <c r="A216" s="498" t="s">
        <v>222</v>
      </c>
      <c r="B216" s="513">
        <v>2206.0</v>
      </c>
      <c r="C216" s="510" t="str">
        <f>IF(iserror(vlookup(A:A,Pagos!$B$5:$L216,3,false)),"Disponible",vlookup(A:A,Pagos!$B$5:$L216,3,false))</f>
        <v>SUCIC, J. PABLO</v>
      </c>
      <c r="D216" s="491">
        <f>IF(iserror(vlookup(A:A,Pagos!$B$5:$L216,4,false)),"Disponible",If(vlookup(A:A,Pagos!$B$5:$L216,5,false),vlookup(A:A,Pagos!$B$5:$L216,5,false),vlookup(A:A,Pagos!$B$5:$L216,4,false)))</f>
        <v>45870</v>
      </c>
      <c r="E216" s="492"/>
      <c r="F216" s="350" t="str">
        <f t="shared" si="3"/>
        <v/>
      </c>
      <c r="G216" s="442"/>
    </row>
  </sheetData>
  <conditionalFormatting sqref="E1:G1">
    <cfRule type="containsText" dxfId="19" priority="1" operator="containsText" text="Disponible">
      <formula>NOT(ISERROR(SEARCH(("Disponible"),(E1))))</formula>
    </cfRule>
  </conditionalFormatting>
  <conditionalFormatting sqref="B1:D216">
    <cfRule type="containsText" dxfId="9" priority="2" operator="containsText" text="Disponible">
      <formula>NOT(ISERROR(SEARCH(("Disponible"),(B1))))</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13.5"/>
    <col customWidth="1" min="3" max="3" width="24.63"/>
    <col customWidth="1" min="4" max="4" width="12.25"/>
    <col customWidth="1" min="5" max="5" width="47.5"/>
    <col customWidth="1" min="6" max="6" width="21.75"/>
    <col customWidth="1" hidden="1" min="7" max="7" width="21.75"/>
  </cols>
  <sheetData>
    <row r="1">
      <c r="A1" s="509" t="s">
        <v>4864</v>
      </c>
      <c r="B1" s="509" t="s">
        <v>4731</v>
      </c>
      <c r="C1" s="514" t="s">
        <v>25</v>
      </c>
      <c r="D1" s="484" t="s">
        <v>512</v>
      </c>
      <c r="E1" s="509" t="s">
        <v>33</v>
      </c>
      <c r="F1" s="487" t="s">
        <v>4732</v>
      </c>
      <c r="G1" s="487" t="s">
        <v>4732</v>
      </c>
    </row>
    <row r="2">
      <c r="A2" s="495" t="s">
        <v>328</v>
      </c>
      <c r="B2" s="489">
        <f>IF(iserror(vlookup(A:A,Pagos!$B$5:$L141,2,false)),"Disponible",vlookup(A:A,Pagos!$B$5:$L141,2,false))</f>
        <v>2025</v>
      </c>
      <c r="C2" s="490" t="str">
        <f>IF(iserror(vlookup(A:A,Pagos!$B$5:$L141,3,false)),"Disponible",vlookup(A:A,Pagos!$B$5:$L141,3,false))</f>
        <v>TORRES, VICTOR</v>
      </c>
      <c r="D2" s="491">
        <f>IF(iserror(vlookup(A:A,Pagos!$B$5:$L141,4,false)),"Disponible",If(vlookup(A:A,Pagos!$B$5:$L141,5,false),vlookup(A:A,Pagos!$B$5:$L141,5,false),vlookup(A:A,Pagos!$B$5:$L141,4,false)))</f>
        <v>45870</v>
      </c>
      <c r="E2" s="510"/>
      <c r="F2" s="350" t="str">
        <f t="shared" ref="F2:F51" si="1">IF(G2,"Sobreasignada","")</f>
        <v/>
      </c>
      <c r="G2" s="442" t="b">
        <f>If(COUNTIF(Pagos!B:B,A2)&gt;1,true,false)</f>
        <v>0</v>
      </c>
    </row>
    <row r="3">
      <c r="A3" s="495" t="s">
        <v>4865</v>
      </c>
      <c r="B3" s="489">
        <f>IF(iserror(vlookup(A:A,Pagos!$B$5:$L141,2,false)),"Disponible",vlookup(A:A,Pagos!$B$5:$L141,2,false))</f>
        <v>1165</v>
      </c>
      <c r="C3" s="490" t="str">
        <f>IF(iserror(vlookup(A:A,Pagos!$B$5:$L141,3,false)),"Disponible",vlookup(A:A,Pagos!$B$5:$L141,3,false))</f>
        <v>MACHI MAURICIO</v>
      </c>
      <c r="D3" s="491">
        <f>IF(iserror(vlookup(A:A,Pagos!$B$5:$L141,4,false)),"Disponible",If(vlookup(A:A,Pagos!$B$5:$L141,5,false),vlookup(A:A,Pagos!$B$5:$L141,5,false),vlookup(A:A,Pagos!$B$5:$L141,4,false)))</f>
        <v>45870</v>
      </c>
      <c r="E3" s="492"/>
      <c r="F3" s="350" t="str">
        <f t="shared" si="1"/>
        <v/>
      </c>
      <c r="G3" s="442" t="b">
        <f>If(COUNTIF(Pagos!B:B,A3)&gt;1,true,false)</f>
        <v>0</v>
      </c>
    </row>
    <row r="4">
      <c r="A4" s="495" t="s">
        <v>410</v>
      </c>
      <c r="B4" s="489">
        <f>IF(iserror(vlookup(A:A,Pagos!$B$5:$L141,2,false)),"Disponible",vlookup(A:A,Pagos!$B$5:$L141,2,false))</f>
        <v>2177</v>
      </c>
      <c r="C4" s="490" t="str">
        <f>IF(iserror(vlookup(A:A,Pagos!$B$5:$L141,3,false)),"Disponible",vlookup(A:A,Pagos!$B$5:$L141,3,false))</f>
        <v>BIANCHI, SANTIAGO</v>
      </c>
      <c r="D4" s="491">
        <f>IF(iserror(vlookup(A:A,Pagos!$B$5:$L141,4,false)),"Disponible",If(vlookup(A:A,Pagos!$B$5:$L141,5,false),vlookup(A:A,Pagos!$B$5:$L141,5,false),vlookup(A:A,Pagos!$B$5:$L141,4,false)))</f>
        <v>45870</v>
      </c>
      <c r="E4" s="510"/>
      <c r="F4" s="350" t="str">
        <f t="shared" si="1"/>
        <v/>
      </c>
      <c r="G4" s="442" t="b">
        <f>If(COUNTIF(Pagos!B:B,A4)&gt;1,true,false)</f>
        <v>0</v>
      </c>
    </row>
    <row r="5">
      <c r="A5" s="495" t="s">
        <v>146</v>
      </c>
      <c r="B5" s="489">
        <f>IF(iserror(vlookup(A:A,Pagos!$B$5:$L141,2,false)),"Disponible",vlookup(A:A,Pagos!$B$5:$L141,2,false))</f>
        <v>1494</v>
      </c>
      <c r="C5" s="490" t="str">
        <f>IF(iserror(vlookup(A:A,Pagos!$B$5:$L141,3,false)),"Disponible",vlookup(A:A,Pagos!$B$5:$L141,3,false))</f>
        <v>GAMALERI, SERGIO</v>
      </c>
      <c r="D5" s="491">
        <f>IF(iserror(vlookup(A:A,Pagos!$B$5:$L141,4,false)),"Disponible",If(vlookup(A:A,Pagos!$B$5:$L141,5,false),vlookup(A:A,Pagos!$B$5:$L141,5,false),vlookup(A:A,Pagos!$B$5:$L141,4,false)))</f>
        <v>45870</v>
      </c>
      <c r="E5" s="510"/>
      <c r="F5" s="350" t="str">
        <f t="shared" si="1"/>
        <v/>
      </c>
      <c r="G5" s="442" t="b">
        <f>If(COUNTIF(Pagos!B:B,A5)&gt;1,true,false)</f>
        <v>0</v>
      </c>
    </row>
    <row r="6">
      <c r="A6" s="488" t="s">
        <v>169</v>
      </c>
      <c r="B6" s="489">
        <f>IF(iserror(vlookup(A:A,Pagos!$B$5:$L141,2,false)),"Disponible",vlookup(A:A,Pagos!$B$5:$L141,2,false))</f>
        <v>1595</v>
      </c>
      <c r="C6" s="490" t="str">
        <f>IF(iserror(vlookup(A:A,Pagos!$B$5:$L141,3,false)),"Disponible",vlookup(A:A,Pagos!$B$5:$L141,3,false))</f>
        <v>VILLAMAYOR, MARCELO</v>
      </c>
      <c r="D6" s="491">
        <f>IF(iserror(vlookup(A:A,Pagos!$B$5:$L141,4,false)),"Disponible",If(vlookup(A:A,Pagos!$B$5:$L141,5,false),vlookup(A:A,Pagos!$B$5:$L141,5,false),vlookup(A:A,Pagos!$B$5:$L141,4,false)))</f>
        <v>45870</v>
      </c>
      <c r="E6" s="492"/>
      <c r="F6" s="350" t="str">
        <f t="shared" si="1"/>
        <v/>
      </c>
      <c r="G6" s="442" t="b">
        <f>If(COUNTIF(Pagos!B:B,A6)&gt;1,true,false)</f>
        <v>0</v>
      </c>
    </row>
    <row r="7">
      <c r="A7" s="488" t="s">
        <v>4866</v>
      </c>
      <c r="B7" s="489" t="str">
        <f>IF(iserror(vlookup(A:A,Pagos!$B$5:$L141,2,false)),"Disponible",vlookup(A:A,Pagos!$B$5:$L141,2,false))</f>
        <v>Disponible</v>
      </c>
      <c r="C7" s="490" t="str">
        <f>IF(iserror(vlookup(A:A,Pagos!$B$5:$L141,3,false)),"Disponible",vlookup(A:A,Pagos!$B$5:$L141,3,false))</f>
        <v>Disponible</v>
      </c>
      <c r="D7" s="491" t="str">
        <f>IF(iserror(vlookup(A:A,Pagos!$B$5:$L141,4,false)),"Disponible",If(vlookup(A:A,Pagos!$B$5:$L141,5,false),vlookup(A:A,Pagos!$B$5:$L141,5,false),vlookup(A:A,Pagos!$B$5:$L141,4,false)))</f>
        <v>Disponible</v>
      </c>
      <c r="E7" s="510"/>
      <c r="F7" s="350" t="str">
        <f t="shared" si="1"/>
        <v/>
      </c>
      <c r="G7" s="442" t="b">
        <f>If(COUNTIF(Pagos!B:B,A7)&gt;1,true,false)</f>
        <v>0</v>
      </c>
    </row>
    <row r="8">
      <c r="A8" s="488" t="s">
        <v>4867</v>
      </c>
      <c r="B8" s="489" t="str">
        <f>IF(iserror(vlookup(A:A,Pagos!$B$5:$L141,2,false)),"Disponible",vlookup(A:A,Pagos!$B$5:$L141,2,false))</f>
        <v>Disponible</v>
      </c>
      <c r="C8" s="490" t="str">
        <f>IF(iserror(vlookup(A:A,Pagos!$B$5:$L141,3,false)),"Disponible",vlookup(A:A,Pagos!$B$5:$L141,3,false))</f>
        <v>Disponible</v>
      </c>
      <c r="D8" s="491" t="str">
        <f>IF(iserror(vlookup(A:A,Pagos!$B$5:$L141,4,false)),"Disponible",If(vlookup(A:A,Pagos!$B$5:$L141,5,false),vlookup(A:A,Pagos!$B$5:$L141,5,false),vlookup(A:A,Pagos!$B$5:$L141,4,false)))</f>
        <v>Disponible</v>
      </c>
      <c r="E8" s="510"/>
      <c r="F8" s="350" t="str">
        <f t="shared" si="1"/>
        <v/>
      </c>
      <c r="G8" s="442" t="b">
        <f>If(COUNTIF(Pagos!B:B,A8)&gt;1,true,false)</f>
        <v>0</v>
      </c>
    </row>
    <row r="9">
      <c r="A9" s="488" t="s">
        <v>89</v>
      </c>
      <c r="B9" s="489">
        <f>IF(iserror(vlookup(A:A,Pagos!$B$5:$L141,2,false)),"Disponible",vlookup(A:A,Pagos!$B$5:$L141,2,false))</f>
        <v>913</v>
      </c>
      <c r="C9" s="490" t="str">
        <f>IF(iserror(vlookup(A:A,Pagos!$B$5:$L141,3,false)),"Disponible",vlookup(A:A,Pagos!$B$5:$L141,3,false))</f>
        <v>AROZAMENA, GUSTAVO</v>
      </c>
      <c r="D9" s="491">
        <f>IF(iserror(vlookup(A:A,Pagos!$B$5:$L141,4,false)),"Disponible",If(vlookup(A:A,Pagos!$B$5:$L141,5,false),vlookup(A:A,Pagos!$B$5:$L141,5,false),vlookup(A:A,Pagos!$B$5:$L141,4,false)))</f>
        <v>45870</v>
      </c>
      <c r="E9" s="510"/>
      <c r="F9" s="350" t="str">
        <f t="shared" si="1"/>
        <v/>
      </c>
      <c r="G9" s="442" t="b">
        <f>If(COUNTIF(Pagos!B:B,A9)&gt;1,true,false)</f>
        <v>0</v>
      </c>
    </row>
    <row r="10">
      <c r="A10" s="495" t="s">
        <v>207</v>
      </c>
      <c r="B10" s="489">
        <f>IF(iserror(vlookup(A:A,Pagos!$B$5:$L141,2,false)),"Disponible",vlookup(A:A,Pagos!$B$5:$L141,2,false))</f>
        <v>1678</v>
      </c>
      <c r="C10" s="490" t="str">
        <f>IF(iserror(vlookup(A:A,Pagos!$B$5:$L141,3,false)),"Disponible",vlookup(A:A,Pagos!$B$5:$L141,3,false))</f>
        <v>SPAHR, ELISA</v>
      </c>
      <c r="D10" s="491">
        <f>IF(iserror(vlookup(A:A,Pagos!$B$5:$L141,4,false)),"Disponible",If(vlookup(A:A,Pagos!$B$5:$L141,5,false),vlookup(A:A,Pagos!$B$5:$L141,5,false),vlookup(A:A,Pagos!$B$5:$L141,4,false)))</f>
        <v>45870</v>
      </c>
      <c r="E10" s="510"/>
      <c r="F10" s="350" t="str">
        <f t="shared" si="1"/>
        <v/>
      </c>
      <c r="G10" s="442" t="b">
        <f>If(COUNTIF(Pagos!B:B,A10)&gt;1,true,false)</f>
        <v>0</v>
      </c>
    </row>
    <row r="11">
      <c r="A11" s="495" t="s">
        <v>164</v>
      </c>
      <c r="B11" s="489">
        <f>IF(iserror(vlookup(A:A,Pagos!$B$5:$L141,2,false)),"Disponible",vlookup(A:A,Pagos!$B$5:$L141,2,false))</f>
        <v>1565</v>
      </c>
      <c r="C11" s="490" t="str">
        <f>IF(iserror(vlookup(A:A,Pagos!$B$5:$L141,3,false)),"Disponible",vlookup(A:A,Pagos!$B$5:$L141,3,false))</f>
        <v>BIASOTTI, JULIO</v>
      </c>
      <c r="D11" s="491">
        <f>IF(iserror(vlookup(A:A,Pagos!$B$5:$L141,4,false)),"Disponible",If(vlookup(A:A,Pagos!$B$5:$L141,5,false),vlookup(A:A,Pagos!$B$5:$L141,5,false),vlookup(A:A,Pagos!$B$5:$L141,4,false)))</f>
        <v>45870</v>
      </c>
      <c r="E11" s="510"/>
      <c r="F11" s="350" t="str">
        <f t="shared" si="1"/>
        <v/>
      </c>
      <c r="G11" s="442" t="b">
        <f>If(COUNTIF(Pagos!B:B,A11)&gt;1,true,false)</f>
        <v>0</v>
      </c>
    </row>
    <row r="12">
      <c r="A12" s="488" t="s">
        <v>147</v>
      </c>
      <c r="B12" s="489">
        <f>IF(iserror(vlookup(A:A,Pagos!$B$5:$L141,2,false)),"Disponible",vlookup(A:A,Pagos!$B$5:$L141,2,false))</f>
        <v>1501</v>
      </c>
      <c r="C12" s="490" t="str">
        <f>IF(iserror(vlookup(A:A,Pagos!$B$5:$L141,3,false)),"Disponible",vlookup(A:A,Pagos!$B$5:$L141,3,false))</f>
        <v>CAMPOS, ANDRES LEONARDO</v>
      </c>
      <c r="D12" s="491">
        <f>IF(iserror(vlookup(A:A,Pagos!$B$5:$L141,4,false)),"Disponible",If(vlookup(A:A,Pagos!$B$5:$L141,5,false),vlookup(A:A,Pagos!$B$5:$L141,5,false),vlookup(A:A,Pagos!$B$5:$L141,4,false)))</f>
        <v>45870</v>
      </c>
      <c r="E12" s="492"/>
      <c r="F12" s="350" t="str">
        <f t="shared" si="1"/>
        <v/>
      </c>
      <c r="G12" s="442" t="b">
        <f>If(COUNTIF(Pagos!B:B,A12)&gt;1,true,false)</f>
        <v>0</v>
      </c>
    </row>
    <row r="13">
      <c r="A13" s="488" t="s">
        <v>125</v>
      </c>
      <c r="B13" s="489">
        <f>IF(iserror(vlookup(A:A,Pagos!$B$5:$L141,2,false)),"Disponible",vlookup(A:A,Pagos!$B$5:$L141,2,false))</f>
        <v>1362</v>
      </c>
      <c r="C13" s="490" t="str">
        <f>IF(iserror(vlookup(A:A,Pagos!$B$5:$L141,3,false)),"Disponible",vlookup(A:A,Pagos!$B$5:$L141,3,false))</f>
        <v>BALLERINI, MARCELO</v>
      </c>
      <c r="D13" s="491">
        <f>IF(iserror(vlookup(A:A,Pagos!$B$5:$L141,4,false)),"Disponible",If(vlookup(A:A,Pagos!$B$5:$L141,5,false),vlookup(A:A,Pagos!$B$5:$L141,5,false),vlookup(A:A,Pagos!$B$5:$L141,4,false)))</f>
        <v>45901</v>
      </c>
      <c r="E13" s="515"/>
      <c r="F13" s="350" t="str">
        <f t="shared" si="1"/>
        <v/>
      </c>
      <c r="G13" s="442" t="b">
        <f>If(COUNTIF(Pagos!B:B,A13)&gt;1,true,false)</f>
        <v>0</v>
      </c>
    </row>
    <row r="14">
      <c r="A14" s="488" t="s">
        <v>87</v>
      </c>
      <c r="B14" s="489">
        <f>IF(iserror(vlookup(A:A,Pagos!$B$5:$L141,2,false)),"Disponible",vlookup(A:A,Pagos!$B$5:$L141,2,false))</f>
        <v>913</v>
      </c>
      <c r="C14" s="490" t="str">
        <f>IF(iserror(vlookup(A:A,Pagos!$B$5:$L141,3,false)),"Disponible",vlookup(A:A,Pagos!$B$5:$L141,3,false))</f>
        <v>AROZAMENA, GUSTAVO</v>
      </c>
      <c r="D14" s="491">
        <f>IF(iserror(vlookup(A:A,Pagos!$B$5:$L141,4,false)),"Disponible",If(vlookup(A:A,Pagos!$B$5:$L141,5,false),vlookup(A:A,Pagos!$B$5:$L141,5,false),vlookup(A:A,Pagos!$B$5:$L141,4,false)))</f>
        <v>45870</v>
      </c>
      <c r="E14" s="515"/>
      <c r="F14" s="350" t="str">
        <f t="shared" si="1"/>
        <v/>
      </c>
      <c r="G14" s="442" t="b">
        <f>If(COUNTIF(Pagos!B:B,A14)&gt;1,true,false)</f>
        <v>0</v>
      </c>
    </row>
    <row r="15">
      <c r="A15" s="488" t="s">
        <v>149</v>
      </c>
      <c r="B15" s="489">
        <f>IF(iserror(vlookup(A:A,Pagos!$B$5:$L141,2,false)),"Disponible",vlookup(A:A,Pagos!$B$5:$L141,2,false))</f>
        <v>1503</v>
      </c>
      <c r="C15" s="490" t="str">
        <f>IF(iserror(vlookup(A:A,Pagos!$B$5:$L141,3,false)),"Disponible",vlookup(A:A,Pagos!$B$5:$L141,3,false))</f>
        <v>GOBBI SILVINA</v>
      </c>
      <c r="D15" s="491">
        <f>IF(iserror(vlookup(A:A,Pagos!$B$5:$L141,4,false)),"Disponible",If(vlookup(A:A,Pagos!$B$5:$L141,5,false),vlookup(A:A,Pagos!$B$5:$L141,5,false),vlookup(A:A,Pagos!$B$5:$L141,4,false)))</f>
        <v>45809</v>
      </c>
      <c r="E15" s="515"/>
      <c r="F15" s="350" t="str">
        <f t="shared" si="1"/>
        <v/>
      </c>
      <c r="G15" s="442" t="b">
        <f>If(COUNTIF(Pagos!B:B,A15)&gt;1,true,false)</f>
        <v>0</v>
      </c>
    </row>
    <row r="16">
      <c r="A16" s="495" t="s">
        <v>216</v>
      </c>
      <c r="B16" s="489">
        <f>IF(iserror(vlookup(A:A,Pagos!$B$5:$L141,2,false)),"Disponible",vlookup(A:A,Pagos!$B$5:$L141,2,false))</f>
        <v>1714</v>
      </c>
      <c r="C16" s="490" t="str">
        <f>IF(iserror(vlookup(A:A,Pagos!$B$5:$L141,3,false)),"Disponible",vlookup(A:A,Pagos!$B$5:$L141,3,false))</f>
        <v>SALGADO, GUSTAVO</v>
      </c>
      <c r="D16" s="491">
        <f>IF(iserror(vlookup(A:A,Pagos!$B$5:$L141,4,false)),"Disponible",If(vlookup(A:A,Pagos!$B$5:$L141,5,false),vlookup(A:A,Pagos!$B$5:$L141,5,false),vlookup(A:A,Pagos!$B$5:$L141,4,false)))</f>
        <v>45992</v>
      </c>
      <c r="E16" s="510"/>
      <c r="F16" s="350" t="str">
        <f t="shared" si="1"/>
        <v/>
      </c>
      <c r="G16" s="442" t="b">
        <f>If(COUNTIF(Pagos!B:B,A16)&gt;1,true,false)</f>
        <v>0</v>
      </c>
    </row>
    <row r="17">
      <c r="A17" s="488" t="s">
        <v>4868</v>
      </c>
      <c r="B17" s="489" t="str">
        <f>IF(iserror(vlookup(A:A,Pagos!$B$5:$L141,2,false)),"Disponible",vlookup(A:A,Pagos!$B$5:$L141,2,false))</f>
        <v>Disponible</v>
      </c>
      <c r="C17" s="490" t="str">
        <f>IF(iserror(vlookup(A:A,Pagos!$B$5:$L141,3,false)),"Disponible",vlookup(A:A,Pagos!$B$5:$L141,3,false))</f>
        <v>Disponible</v>
      </c>
      <c r="D17" s="491" t="str">
        <f>IF(iserror(vlookup(A:A,Pagos!$B$5:$L141,4,false)),"Disponible",If(vlookup(A:A,Pagos!$B$5:$L141,5,false),vlookup(A:A,Pagos!$B$5:$L141,5,false),vlookup(A:A,Pagos!$B$5:$L141,4,false)))</f>
        <v>Disponible</v>
      </c>
      <c r="E17" s="515"/>
      <c r="F17" s="350" t="str">
        <f t="shared" si="1"/>
        <v/>
      </c>
      <c r="G17" s="442" t="b">
        <f>If(COUNTIF(Pagos!B:B,A17)&gt;1,true,false)</f>
        <v>0</v>
      </c>
    </row>
    <row r="18">
      <c r="A18" s="488" t="s">
        <v>374</v>
      </c>
      <c r="B18" s="489">
        <f>IF(iserror(vlookup(A:A,Pagos!$B$5:$L141,2,false)),"Disponible",vlookup(A:A,Pagos!$B$5:$L141,2,false))</f>
        <v>2111</v>
      </c>
      <c r="C18" s="490" t="str">
        <f>IF(iserror(vlookup(A:A,Pagos!$B$5:$L141,3,false)),"Disponible",vlookup(A:A,Pagos!$B$5:$L141,3,false))</f>
        <v>RAMACCIOTTI, NORBERTO</v>
      </c>
      <c r="D18" s="491">
        <f>IF(iserror(vlookup(A:A,Pagos!$B$5:$L141,4,false)),"Disponible",If(vlookup(A:A,Pagos!$B$5:$L141,5,false),vlookup(A:A,Pagos!$B$5:$L141,5,false),vlookup(A:A,Pagos!$B$5:$L141,4,false)))</f>
        <v>45870</v>
      </c>
      <c r="E18" s="515"/>
      <c r="F18" s="350" t="str">
        <f t="shared" si="1"/>
        <v/>
      </c>
      <c r="G18" s="442" t="b">
        <f>If(COUNTIF(Pagos!B:B,A18)&gt;1,true,false)</f>
        <v>0</v>
      </c>
    </row>
    <row r="19">
      <c r="A19" s="488" t="s">
        <v>375</v>
      </c>
      <c r="B19" s="489">
        <f>IF(iserror(vlookup(A:A,Pagos!$B$5:$L141,2,false)),"Disponible",vlookup(A:A,Pagos!$B$5:$L141,2,false))</f>
        <v>2111</v>
      </c>
      <c r="C19" s="490" t="str">
        <f>IF(iserror(vlookup(A:A,Pagos!$B$5:$L141,3,false)),"Disponible",vlookup(A:A,Pagos!$B$5:$L141,3,false))</f>
        <v>RAMACCIOTTI, NORBERTO</v>
      </c>
      <c r="D19" s="491">
        <f>IF(iserror(vlookup(A:A,Pagos!$B$5:$L141,4,false)),"Disponible",If(vlookup(A:A,Pagos!$B$5:$L141,5,false),vlookup(A:A,Pagos!$B$5:$L141,5,false),vlookup(A:A,Pagos!$B$5:$L141,4,false)))</f>
        <v>45870</v>
      </c>
      <c r="E19" s="515"/>
      <c r="F19" s="350" t="str">
        <f t="shared" si="1"/>
        <v/>
      </c>
      <c r="G19" s="442" t="b">
        <f>If(COUNTIF(Pagos!B:B,A19)&gt;1,true,false)</f>
        <v>0</v>
      </c>
    </row>
    <row r="20">
      <c r="A20" s="495" t="s">
        <v>263</v>
      </c>
      <c r="B20" s="489">
        <f>IF(iserror(vlookup(A:A,Pagos!$B$5:$L141,2,false)),"Disponible",vlookup(A:A,Pagos!$B$5:$L141,2,false))</f>
        <v>1856</v>
      </c>
      <c r="C20" s="490" t="str">
        <f>IF(iserror(vlookup(A:A,Pagos!$B$5:$L141,3,false)),"Disponible",vlookup(A:A,Pagos!$B$5:$L141,3,false))</f>
        <v>HERNANDEZ, MAXIMILIANO</v>
      </c>
      <c r="D20" s="491">
        <f>IF(iserror(vlookup(A:A,Pagos!$B$5:$L141,4,false)),"Disponible",If(vlookup(A:A,Pagos!$B$5:$L141,5,false),vlookup(A:A,Pagos!$B$5:$L141,5,false),vlookup(A:A,Pagos!$B$5:$L141,4,false)))</f>
        <v>45870</v>
      </c>
      <c r="E20" s="490"/>
      <c r="F20" s="350" t="str">
        <f t="shared" si="1"/>
        <v/>
      </c>
      <c r="G20" s="442" t="b">
        <f>If(COUNTIF(Pagos!B:B,A20)&gt;1,true,false)</f>
        <v>0</v>
      </c>
    </row>
    <row r="21">
      <c r="A21" s="495" t="s">
        <v>452</v>
      </c>
      <c r="B21" s="489">
        <f>IF(iserror(vlookup(A:A,Pagos!$B$5:$L141,2,false)),"Disponible",vlookup(A:A,Pagos!$B$5:$L141,2,false))</f>
        <v>2280</v>
      </c>
      <c r="C21" s="490" t="str">
        <f>IF(iserror(vlookup(A:A,Pagos!$B$5:$L141,3,false)),"Disponible",vlookup(A:A,Pagos!$B$5:$L141,3,false))</f>
        <v>IRIGOYEN , FERNANDO</v>
      </c>
      <c r="D21" s="491">
        <f>IF(iserror(vlookup(A:A,Pagos!$B$5:$L141,4,false)),"Disponible",If(vlookup(A:A,Pagos!$B$5:$L141,5,false),vlookup(A:A,Pagos!$B$5:$L141,5,false),vlookup(A:A,Pagos!$B$5:$L141,4,false)))</f>
        <v>45870</v>
      </c>
      <c r="E21" s="515"/>
      <c r="F21" s="350" t="str">
        <f t="shared" si="1"/>
        <v/>
      </c>
      <c r="G21" s="442" t="b">
        <f>If(COUNTIF(Pagos!B:B,A21)&gt;1,true,false)</f>
        <v>0</v>
      </c>
    </row>
    <row r="22">
      <c r="A22" s="495" t="s">
        <v>395</v>
      </c>
      <c r="B22" s="489">
        <f>IF(iserror(vlookup(A:A,Pagos!$B$5:$L141,2,false)),"Disponible",vlookup(A:A,Pagos!$B$5:$L141,2,false))</f>
        <v>2162</v>
      </c>
      <c r="C22" s="490" t="str">
        <f>IF(iserror(vlookup(A:A,Pagos!$B$5:$L141,3,false)),"Disponible",vlookup(A:A,Pagos!$B$5:$L141,3,false))</f>
        <v>HOFER, IGNACIO</v>
      </c>
      <c r="D22" s="491">
        <f>IF(iserror(vlookup(A:A,Pagos!$B$5:$L141,4,false)),"Disponible",If(vlookup(A:A,Pagos!$B$5:$L141,5,false),vlookup(A:A,Pagos!$B$5:$L141,5,false),vlookup(A:A,Pagos!$B$5:$L141,4,false)))</f>
        <v>45870</v>
      </c>
      <c r="E22" s="492"/>
      <c r="F22" s="350" t="str">
        <f t="shared" si="1"/>
        <v/>
      </c>
      <c r="G22" s="442" t="b">
        <f>If(COUNTIF(Pagos!B:B,A22)&gt;1,true,false)</f>
        <v>0</v>
      </c>
    </row>
    <row r="23">
      <c r="A23" s="495" t="s">
        <v>377</v>
      </c>
      <c r="B23" s="489">
        <f>IF(iserror(vlookup(A:A,Pagos!$B$5:$L141,2,false)),"Disponible",vlookup(A:A,Pagos!$B$5:$L141,2,false))</f>
        <v>2118</v>
      </c>
      <c r="C23" s="490" t="str">
        <f>IF(iserror(vlookup(A:A,Pagos!$B$5:$L141,3,false)),"Disponible",vlookup(A:A,Pagos!$B$5:$L141,3,false))</f>
        <v>GALEAZI, SEBASTIAN</v>
      </c>
      <c r="D23" s="491">
        <f>IF(iserror(vlookup(A:A,Pagos!$B$5:$L141,4,false)),"Disponible",If(vlookup(A:A,Pagos!$B$5:$L141,5,false),vlookup(A:A,Pagos!$B$5:$L141,5,false),vlookup(A:A,Pagos!$B$5:$L141,4,false)))</f>
        <v>45870</v>
      </c>
      <c r="E23" s="494"/>
      <c r="F23" s="350" t="str">
        <f t="shared" si="1"/>
        <v/>
      </c>
      <c r="G23" s="442" t="b">
        <f>If(COUNTIF(Pagos!B:B,A23)&gt;1,true,false)</f>
        <v>0</v>
      </c>
    </row>
    <row r="24">
      <c r="A24" s="488" t="s">
        <v>403</v>
      </c>
      <c r="B24" s="489">
        <f>IF(iserror(vlookup(A:A,Pagos!$B$5:$L141,2,false)),"Disponible",vlookup(A:A,Pagos!$B$5:$L141,2,false))</f>
        <v>2170</v>
      </c>
      <c r="C24" s="490" t="str">
        <f>IF(iserror(vlookup(A:A,Pagos!$B$5:$L141,3,false)),"Disponible",vlookup(A:A,Pagos!$B$5:$L141,3,false))</f>
        <v>GALARZA, JUAN MANUEL</v>
      </c>
      <c r="D24" s="491">
        <f>IF(iserror(vlookup(A:A,Pagos!$B$5:$L141,4,false)),"Disponible",If(vlookup(A:A,Pagos!$B$5:$L141,5,false),vlookup(A:A,Pagos!$B$5:$L141,5,false),vlookup(A:A,Pagos!$B$5:$L141,4,false)))</f>
        <v>45870</v>
      </c>
      <c r="E24" s="494"/>
      <c r="F24" s="350" t="str">
        <f t="shared" si="1"/>
        <v/>
      </c>
      <c r="G24" s="442" t="b">
        <f>If(COUNTIF(Pagos!B:B,A24)&gt;1,true,false)</f>
        <v>0</v>
      </c>
    </row>
    <row r="25">
      <c r="A25" s="488" t="s">
        <v>171</v>
      </c>
      <c r="B25" s="489">
        <f>IF(iserror(vlookup(A:A,Pagos!$B$5:$L141,2,false)),"Disponible",vlookup(A:A,Pagos!$B$5:$L141,2,false))</f>
        <v>1600</v>
      </c>
      <c r="C25" s="490" t="str">
        <f>IF(iserror(vlookup(A:A,Pagos!$B$5:$L141,3,false)),"Disponible",vlookup(A:A,Pagos!$B$5:$L141,3,false))</f>
        <v>VILLAREAL, RAFAEL</v>
      </c>
      <c r="D25" s="491">
        <f>IF(iserror(vlookup(A:A,Pagos!$B$5:$L141,4,false)),"Disponible",If(vlookup(A:A,Pagos!$B$5:$L141,5,false),vlookup(A:A,Pagos!$B$5:$L141,5,false),vlookup(A:A,Pagos!$B$5:$L141,4,false)))</f>
        <v>45870</v>
      </c>
      <c r="E25" s="510"/>
      <c r="F25" s="350" t="str">
        <f t="shared" si="1"/>
        <v/>
      </c>
      <c r="G25" s="442" t="b">
        <f>If(COUNTIF(Pagos!B:B,A25)&gt;1,true,false)</f>
        <v>0</v>
      </c>
    </row>
    <row r="26">
      <c r="A26" s="488" t="s">
        <v>172</v>
      </c>
      <c r="B26" s="489">
        <f>IF(iserror(vlookup(A:A,Pagos!$B$5:$L141,2,false)),"Disponible",vlookup(A:A,Pagos!$B$5:$L141,2,false))</f>
        <v>1600</v>
      </c>
      <c r="C26" s="490" t="str">
        <f>IF(iserror(vlookup(A:A,Pagos!$B$5:$L141,3,false)),"Disponible",vlookup(A:A,Pagos!$B$5:$L141,3,false))</f>
        <v>VILLAREAL, RAFAEL</v>
      </c>
      <c r="D26" s="491">
        <f>IF(iserror(vlookup(A:A,Pagos!$B$5:$L141,4,false)),"Disponible",If(vlookup(A:A,Pagos!$B$5:$L141,5,false),vlookup(A:A,Pagos!$B$5:$L141,5,false),vlookup(A:A,Pagos!$B$5:$L141,4,false)))</f>
        <v>45870</v>
      </c>
      <c r="E26" s="510"/>
      <c r="F26" s="350" t="str">
        <f t="shared" si="1"/>
        <v/>
      </c>
      <c r="G26" s="442" t="b">
        <f>If(COUNTIF(Pagos!B:B,A26)&gt;1,true,false)</f>
        <v>0</v>
      </c>
    </row>
    <row r="27">
      <c r="A27" s="488" t="s">
        <v>187</v>
      </c>
      <c r="B27" s="489">
        <f>IF(iserror(vlookup(A:A,Pagos!$B$5:$L141,2,false)),"Disponible",vlookup(A:A,Pagos!$B$5:$L141,2,false))</f>
        <v>1633</v>
      </c>
      <c r="C27" s="490" t="str">
        <f>IF(iserror(vlookup(A:A,Pagos!$B$5:$L141,3,false)),"Disponible",vlookup(A:A,Pagos!$B$5:$L141,3,false))</f>
        <v>RODRIGUEZ, CESAR</v>
      </c>
      <c r="D27" s="491">
        <f>IF(iserror(vlookup(A:A,Pagos!$B$5:$L141,4,false)),"Disponible",If(vlookup(A:A,Pagos!$B$5:$L141,5,false),vlookup(A:A,Pagos!$B$5:$L141,5,false),vlookup(A:A,Pagos!$B$5:$L141,4,false)))</f>
        <v>45839</v>
      </c>
      <c r="E27" s="510"/>
      <c r="F27" s="350" t="str">
        <f t="shared" si="1"/>
        <v/>
      </c>
      <c r="G27" s="442" t="b">
        <f>If(COUNTIF(Pagos!B:B,A27)&gt;1,true,false)</f>
        <v>0</v>
      </c>
    </row>
    <row r="28">
      <c r="A28" s="488" t="s">
        <v>353</v>
      </c>
      <c r="B28" s="489">
        <f>IF(iserror(vlookup(A:A,Pagos!$B$5:$L141,2,false)),"Disponible",vlookup(A:A,Pagos!$B$5:$L141,2,false))</f>
        <v>2057</v>
      </c>
      <c r="C28" s="490" t="str">
        <f>IF(iserror(vlookup(A:A,Pagos!$B$5:$L141,3,false)),"Disponible",vlookup(A:A,Pagos!$B$5:$L141,3,false))</f>
        <v>CLUA, SEBASTIAN</v>
      </c>
      <c r="D28" s="491">
        <f>IF(iserror(vlookup(A:A,Pagos!$B$5:$L141,4,false)),"Disponible",If(vlookup(A:A,Pagos!$B$5:$L141,5,false),vlookup(A:A,Pagos!$B$5:$L141,5,false),vlookup(A:A,Pagos!$B$5:$L141,4,false)))</f>
        <v>45870</v>
      </c>
      <c r="E28" s="510"/>
      <c r="F28" s="350" t="str">
        <f t="shared" si="1"/>
        <v/>
      </c>
      <c r="G28" s="442" t="b">
        <f>If(COUNTIF(Pagos!B:B,A28)&gt;1,true,false)</f>
        <v>0</v>
      </c>
    </row>
    <row r="29">
      <c r="A29" s="488" t="s">
        <v>4869</v>
      </c>
      <c r="B29" s="489">
        <f>IF(iserror(vlookup(A:A,Pagos!$B$5:$L141,2,false)),"Disponible",vlookup(A:A,Pagos!$B$5:$L141,2,false))</f>
        <v>1727</v>
      </c>
      <c r="C29" s="490" t="str">
        <f>IF(iserror(vlookup(A:A,Pagos!$B$5:$L141,3,false)),"Disponible",vlookup(A:A,Pagos!$B$5:$L141,3,false))</f>
        <v>SALMOIRAGHI, GUILLERMO</v>
      </c>
      <c r="D29" s="491">
        <f>IF(iserror(vlookup(A:A,Pagos!$B$5:$L141,4,false)),"Disponible",If(vlookup(A:A,Pagos!$B$5:$L141,5,false),vlookup(A:A,Pagos!$B$5:$L141,5,false),vlookup(A:A,Pagos!$B$5:$L141,4,false)))</f>
        <v>45992</v>
      </c>
      <c r="E29" s="510"/>
      <c r="F29" s="350" t="str">
        <f t="shared" si="1"/>
        <v/>
      </c>
      <c r="G29" s="442" t="b">
        <f>If(COUNTIF(Pagos!B:B,A29)&gt;1,true,false)</f>
        <v>0</v>
      </c>
    </row>
    <row r="30">
      <c r="A30" s="488" t="s">
        <v>321</v>
      </c>
      <c r="B30" s="489">
        <f>IF(iserror(vlookup(A:A,Pagos!$B$5:$L141,2,false)),"Disponible",vlookup(A:A,Pagos!$B$5:$L141,2,false))</f>
        <v>1994</v>
      </c>
      <c r="C30" s="490" t="str">
        <f>IF(iserror(vlookup(A:A,Pagos!$B$5:$L141,3,false)),"Disponible",vlookup(A:A,Pagos!$B$5:$L141,3,false))</f>
        <v>DIAZ MENDOZA, GUSTAVO</v>
      </c>
      <c r="D30" s="491">
        <f>IF(iserror(vlookup(A:A,Pagos!$B$5:$L141,4,false)),"Disponible",If(vlookup(A:A,Pagos!$B$5:$L141,5,false),vlookup(A:A,Pagos!$B$5:$L141,5,false),vlookup(A:A,Pagos!$B$5:$L141,4,false)))</f>
        <v>45992</v>
      </c>
      <c r="E30" s="494"/>
      <c r="F30" s="350" t="str">
        <f t="shared" si="1"/>
        <v/>
      </c>
      <c r="G30" s="442" t="b">
        <f>If(COUNTIF(Pagos!B:B,A30)&gt;1,true,false)</f>
        <v>0</v>
      </c>
    </row>
    <row r="31">
      <c r="A31" s="495" t="s">
        <v>175</v>
      </c>
      <c r="B31" s="489">
        <f>IF(iserror(vlookup(A:A,Pagos!$B$5:$L141,2,false)),"Disponible",vlookup(A:A,Pagos!$B$5:$L141,2,false))</f>
        <v>1611</v>
      </c>
      <c r="C31" s="490" t="str">
        <f>IF(iserror(vlookup(A:A,Pagos!$B$5:$L141,3,false)),"Disponible",vlookup(A:A,Pagos!$B$5:$L141,3,false))</f>
        <v>MASSI, MARIA EUGENIA</v>
      </c>
      <c r="D31" s="491">
        <f>IF(iserror(vlookup(A:A,Pagos!$B$5:$L141,4,false)),"Disponible",If(vlookup(A:A,Pagos!$B$5:$L141,5,false),vlookup(A:A,Pagos!$B$5:$L141,5,false),vlookup(A:A,Pagos!$B$5:$L141,4,false)))</f>
        <v>45870</v>
      </c>
      <c r="E31" s="510"/>
      <c r="F31" s="350" t="str">
        <f t="shared" si="1"/>
        <v/>
      </c>
      <c r="G31" s="442" t="b">
        <f>If(COUNTIF(Pagos!B:B,A31)&gt;1,true,false)</f>
        <v>0</v>
      </c>
    </row>
    <row r="32">
      <c r="A32" s="495" t="s">
        <v>140</v>
      </c>
      <c r="B32" s="489">
        <f>IF(iserror(vlookup(A:A,Pagos!$B$5:$L141,2,false)),"Disponible",vlookup(A:A,Pagos!$B$5:$L141,2,false))</f>
        <v>1461</v>
      </c>
      <c r="C32" s="490" t="str">
        <f>IF(iserror(vlookup(A:A,Pagos!$B$5:$L141,3,false)),"Disponible",vlookup(A:A,Pagos!$B$5:$L141,3,false))</f>
        <v>CUELLO, JULIO CESAR</v>
      </c>
      <c r="D32" s="491">
        <f>IF(iserror(vlookup(A:A,Pagos!$B$5:$L141,4,false)),"Disponible",If(vlookup(A:A,Pagos!$B$5:$L141,5,false),vlookup(A:A,Pagos!$B$5:$L141,5,false),vlookup(A:A,Pagos!$B$5:$L141,4,false)))</f>
        <v>45901</v>
      </c>
      <c r="E32" s="510"/>
      <c r="F32" s="350" t="str">
        <f t="shared" si="1"/>
        <v/>
      </c>
      <c r="G32" s="442" t="b">
        <f>If(COUNTIF(Pagos!B:B,A32)&gt;1,true,false)</f>
        <v>0</v>
      </c>
    </row>
    <row r="33">
      <c r="A33" s="495" t="s">
        <v>99</v>
      </c>
      <c r="B33" s="489">
        <f>IF(iserror(vlookup(A:A,Pagos!$B$5:$L141,2,false)),"Disponible",vlookup(A:A,Pagos!$B$5:$L141,2,false))</f>
        <v>1066</v>
      </c>
      <c r="C33" s="490" t="str">
        <f>IF(iserror(vlookup(A:A,Pagos!$B$5:$L141,3,false)),"Disponible",vlookup(A:A,Pagos!$B$5:$L141,3,false))</f>
        <v>SANTANA, MIGUEL</v>
      </c>
      <c r="D33" s="491">
        <f>IF(iserror(vlookup(A:A,Pagos!$B$5:$L141,4,false)),"Disponible",If(vlookup(A:A,Pagos!$B$5:$L141,5,false),vlookup(A:A,Pagos!$B$5:$L141,5,false),vlookup(A:A,Pagos!$B$5:$L141,4,false)))</f>
        <v>45870</v>
      </c>
      <c r="E33" s="510"/>
      <c r="F33" s="350" t="str">
        <f t="shared" si="1"/>
        <v/>
      </c>
      <c r="G33" s="442" t="b">
        <f>If(COUNTIF(Pagos!B:B,A33)&gt;1,true,false)</f>
        <v>0</v>
      </c>
    </row>
    <row r="34">
      <c r="A34" s="488" t="s">
        <v>361</v>
      </c>
      <c r="B34" s="489">
        <f>IF(iserror(vlookup(A:A,Pagos!$B$5:$L141,2,false)),"Disponible",vlookup(A:A,Pagos!$B$5:$L141,2,false))</f>
        <v>2086</v>
      </c>
      <c r="C34" s="490" t="str">
        <f>IF(iserror(vlookup(A:A,Pagos!$B$5:$L141,3,false)),"Disponible",vlookup(A:A,Pagos!$B$5:$L141,3,false))</f>
        <v>BELTRAMI, NAZARENO</v>
      </c>
      <c r="D34" s="491">
        <f>IF(iserror(vlookup(A:A,Pagos!$B$5:$L141,4,false)),"Disponible",If(vlookup(A:A,Pagos!$B$5:$L141,5,false),vlookup(A:A,Pagos!$B$5:$L141,5,false),vlookup(A:A,Pagos!$B$5:$L141,4,false)))</f>
        <v>45870</v>
      </c>
      <c r="E34" s="510"/>
      <c r="F34" s="350" t="str">
        <f t="shared" si="1"/>
        <v/>
      </c>
      <c r="G34" s="442" t="b">
        <f>If(COUNTIF(Pagos!B:B,A34)&gt;1,true,false)</f>
        <v>0</v>
      </c>
    </row>
    <row r="35">
      <c r="A35" s="495" t="s">
        <v>182</v>
      </c>
      <c r="B35" s="489">
        <f>IF(iserror(vlookup(A:A,Pagos!$B$5:$L141,2,false)),"Disponible",vlookup(A:A,Pagos!$B$5:$L141,2,false))</f>
        <v>1627</v>
      </c>
      <c r="C35" s="490" t="str">
        <f>IF(iserror(vlookup(A:A,Pagos!$B$5:$L141,3,false)),"Disponible",vlookup(A:A,Pagos!$B$5:$L141,3,false))</f>
        <v>REINHARD, JUAN CRUZ</v>
      </c>
      <c r="D35" s="491">
        <f>IF(iserror(vlookup(A:A,Pagos!$B$5:$L141,4,false)),"Disponible",If(vlookup(A:A,Pagos!$B$5:$L141,5,false),vlookup(A:A,Pagos!$B$5:$L141,5,false),vlookup(A:A,Pagos!$B$5:$L141,4,false)))</f>
        <v>45870</v>
      </c>
      <c r="E35" s="492"/>
      <c r="F35" s="350" t="str">
        <f t="shared" si="1"/>
        <v/>
      </c>
      <c r="G35" s="442" t="b">
        <f>If(COUNTIF(Pagos!B:B,A35)&gt;1,true,false)</f>
        <v>0</v>
      </c>
    </row>
    <row r="36">
      <c r="A36" s="488" t="s">
        <v>379</v>
      </c>
      <c r="B36" s="489">
        <f>IF(iserror(vlookup(A:A,Pagos!$B$5:$L141,2,false)),"Disponible",vlookup(A:A,Pagos!$B$5:$L141,2,false))</f>
        <v>2124</v>
      </c>
      <c r="C36" s="490" t="str">
        <f>IF(iserror(vlookup(A:A,Pagos!$B$5:$L141,3,false)),"Disponible",vlookup(A:A,Pagos!$B$5:$L141,3,false))</f>
        <v>NOVELLI, ALBERTO</v>
      </c>
      <c r="D36" s="491">
        <f>IF(iserror(vlookup(A:A,Pagos!$B$5:$L141,4,false)),"Disponible",If(vlookup(A:A,Pagos!$B$5:$L141,5,false),vlookup(A:A,Pagos!$B$5:$L141,5,false),vlookup(A:A,Pagos!$B$5:$L141,4,false)))</f>
        <v>45870</v>
      </c>
      <c r="E36" s="510"/>
      <c r="F36" s="350" t="str">
        <f t="shared" si="1"/>
        <v/>
      </c>
      <c r="G36" s="442" t="b">
        <f>If(COUNTIF(Pagos!B:B,A36)&gt;1,true,false)</f>
        <v>0</v>
      </c>
    </row>
    <row r="37">
      <c r="A37" s="488" t="s">
        <v>4870</v>
      </c>
      <c r="B37" s="489">
        <f>IF(iserror(vlookup(A:A,Pagos!$B$5:$L141,2,false)),"Disponible",vlookup(A:A,Pagos!$B$5:$L141,2,false))</f>
        <v>2270</v>
      </c>
      <c r="C37" s="490" t="str">
        <f>IF(iserror(vlookup(A:A,Pagos!$B$5:$L141,3,false)),"Disponible",vlookup(A:A,Pagos!$B$5:$L141,3,false))</f>
        <v>OTHAZ, LORENA</v>
      </c>
      <c r="D37" s="491">
        <f>IF(iserror(vlookup(A:A,Pagos!$B$5:$L141,4,false)),"Disponible",If(vlookup(A:A,Pagos!$B$5:$L141,5,false),vlookup(A:A,Pagos!$B$5:$L141,5,false),vlookup(A:A,Pagos!$B$5:$L141,4,false)))</f>
        <v>45870</v>
      </c>
      <c r="E37" s="510"/>
      <c r="F37" s="350" t="str">
        <f t="shared" si="1"/>
        <v/>
      </c>
      <c r="G37" s="442" t="b">
        <f>If(COUNTIF(Pagos!B:B,A37)&gt;1,true,false)</f>
        <v>0</v>
      </c>
    </row>
    <row r="38">
      <c r="A38" s="488" t="s">
        <v>402</v>
      </c>
      <c r="B38" s="489">
        <f>IF(iserror(vlookup(A:A,Pagos!$B$5:$L141,2,false)),"Disponible",vlookup(A:A,Pagos!$B$5:$L141,2,false))</f>
        <v>2169</v>
      </c>
      <c r="C38" s="490" t="str">
        <f>IF(iserror(vlookup(A:A,Pagos!$B$5:$L141,3,false)),"Disponible",vlookup(A:A,Pagos!$B$5:$L141,3,false))</f>
        <v>GONGORA, DANIEL</v>
      </c>
      <c r="D38" s="491">
        <f>IF(iserror(vlookup(A:A,Pagos!$B$5:$L141,4,false)),"Disponible",If(vlookup(A:A,Pagos!$B$5:$L141,5,false),vlookup(A:A,Pagos!$B$5:$L141,5,false),vlookup(A:A,Pagos!$B$5:$L141,4,false)))</f>
        <v>45870</v>
      </c>
      <c r="E38" s="492"/>
      <c r="F38" s="350" t="str">
        <f t="shared" si="1"/>
        <v/>
      </c>
      <c r="G38" s="442" t="b">
        <f>If(COUNTIF(Pagos!B:B,A38)&gt;1,true,false)</f>
        <v>0</v>
      </c>
    </row>
    <row r="39">
      <c r="A39" s="488" t="s">
        <v>314</v>
      </c>
      <c r="B39" s="489">
        <f>IF(iserror(vlookup(A:A,Pagos!$B$5:$L141,2,false)),"Disponible",vlookup(A:A,Pagos!$B$5:$L141,2,false))</f>
        <v>1965</v>
      </c>
      <c r="C39" s="490" t="str">
        <f>IF(iserror(vlookup(A:A,Pagos!$B$5:$L141,3,false)),"Disponible",vlookup(A:A,Pagos!$B$5:$L141,3,false))</f>
        <v>PEDERSOLI, FRANCO</v>
      </c>
      <c r="D39" s="491">
        <f>IF(iserror(vlookup(A:A,Pagos!$B$5:$L141,4,false)),"Disponible",If(vlookup(A:A,Pagos!$B$5:$L141,5,false),vlookup(A:A,Pagos!$B$5:$L141,5,false),vlookup(A:A,Pagos!$B$5:$L141,4,false)))</f>
        <v>45870</v>
      </c>
      <c r="E39" s="510"/>
      <c r="F39" s="350" t="str">
        <f t="shared" si="1"/>
        <v/>
      </c>
      <c r="G39" s="442" t="b">
        <f>If(COUNTIF(Pagos!B:B,A39)&gt;1,true,false)</f>
        <v>0</v>
      </c>
    </row>
    <row r="40">
      <c r="A40" s="495" t="s">
        <v>391</v>
      </c>
      <c r="B40" s="489">
        <f>IF(iserror(vlookup(A:A,Pagos!$B$5:$L141,2,false)),"Disponible",vlookup(A:A,Pagos!$B$5:$L141,2,false))</f>
        <v>2143</v>
      </c>
      <c r="C40" s="490" t="str">
        <f>IF(iserror(vlookup(A:A,Pagos!$B$5:$L141,3,false)),"Disponible",vlookup(A:A,Pagos!$B$5:$L141,3,false))</f>
        <v>GIUDICE, RODOLFO</v>
      </c>
      <c r="D40" s="491">
        <f>IF(iserror(vlookup(A:A,Pagos!$B$5:$L141,4,false)),"Disponible",If(vlookup(A:A,Pagos!$B$5:$L141,5,false),vlookup(A:A,Pagos!$B$5:$L141,5,false),vlookup(A:A,Pagos!$B$5:$L141,4,false)))</f>
        <v>45870</v>
      </c>
      <c r="E40" s="510"/>
      <c r="F40" s="350" t="str">
        <f t="shared" si="1"/>
        <v/>
      </c>
      <c r="G40" s="442" t="b">
        <f>If(COUNTIF(Pagos!B:B,A40)&gt;1,true,false)</f>
        <v>0</v>
      </c>
    </row>
    <row r="41">
      <c r="A41" s="495" t="s">
        <v>464</v>
      </c>
      <c r="B41" s="489">
        <f>IF(iserror(vlookup(A:A,Pagos!$B$5:$L141,2,false)),"Disponible",vlookup(A:A,Pagos!$B$5:$L141,2,false))</f>
        <v>2304</v>
      </c>
      <c r="C41" s="490" t="str">
        <f>IF(iserror(vlookup(A:A,Pagos!$B$5:$L141,3,false)),"Disponible",vlookup(A:A,Pagos!$B$5:$L141,3,false))</f>
        <v>BACCHIEGA, JOSE PEDRO</v>
      </c>
      <c r="D41" s="491">
        <f>IF(iserror(vlookup(A:A,Pagos!$B$5:$L141,4,false)),"Disponible",If(vlookup(A:A,Pagos!$B$5:$L141,5,false),vlookup(A:A,Pagos!$B$5:$L141,5,false),vlookup(A:A,Pagos!$B$5:$L141,4,false)))</f>
        <v>45870</v>
      </c>
      <c r="E41" s="510"/>
      <c r="F41" s="350" t="str">
        <f t="shared" si="1"/>
        <v/>
      </c>
      <c r="G41" s="442" t="b">
        <f>If(COUNTIF(Pagos!B:B,A41)&gt;1,true,false)</f>
        <v>0</v>
      </c>
    </row>
    <row r="42">
      <c r="A42" s="496" t="s">
        <v>368</v>
      </c>
      <c r="B42" s="489">
        <f>IF(iserror(vlookup(A:A,Pagos!$B$5:$L141,2,false)),"Disponible",vlookup(A:A,Pagos!$B$5:$L141,2,false))</f>
        <v>2104</v>
      </c>
      <c r="C42" s="490" t="str">
        <f>IF(iserror(vlookup(A:A,Pagos!$B$5:$L141,3,false)),"Disponible",vlookup(A:A,Pagos!$B$5:$L141,3,false))</f>
        <v>ASOREY, PATRICIO</v>
      </c>
      <c r="D42" s="491">
        <f>IF(iserror(vlookup(A:A,Pagos!$B$5:$L141,4,false)),"Disponible",If(vlookup(A:A,Pagos!$B$5:$L141,5,false),vlookup(A:A,Pagos!$B$5:$L141,5,false),vlookup(A:A,Pagos!$B$5:$L141,4,false)))</f>
        <v>45870</v>
      </c>
      <c r="E42" s="510"/>
      <c r="F42" s="350" t="str">
        <f t="shared" si="1"/>
        <v/>
      </c>
      <c r="G42" s="442" t="b">
        <f>If(COUNTIF(Pagos!B:B,A42)&gt;1,true,false)</f>
        <v>0</v>
      </c>
    </row>
    <row r="43">
      <c r="A43" s="496" t="s">
        <v>351</v>
      </c>
      <c r="B43" s="489">
        <f>IF(iserror(vlookup(A:A,Pagos!$B$5:$L141,2,false)),"Disponible",vlookup(A:A,Pagos!$B$5:$L141,2,false))</f>
        <v>2056</v>
      </c>
      <c r="C43" s="490" t="str">
        <f>IF(iserror(vlookup(A:A,Pagos!$B$5:$L141,3,false)),"Disponible",vlookup(A:A,Pagos!$B$5:$L141,3,false))</f>
        <v>SOLANO, GABRIEL AGUSTIN</v>
      </c>
      <c r="D43" s="491">
        <f>IF(iserror(vlookup(A:A,Pagos!$B$5:$L141,4,false)),"Disponible",If(vlookup(A:A,Pagos!$B$5:$L141,5,false),vlookup(A:A,Pagos!$B$5:$L141,5,false),vlookup(A:A,Pagos!$B$5:$L141,4,false)))</f>
        <v>45870</v>
      </c>
      <c r="E43" s="510"/>
      <c r="F43" s="350" t="str">
        <f t="shared" si="1"/>
        <v/>
      </c>
      <c r="G43" s="442" t="b">
        <f>If(COUNTIF(Pagos!B:B,A43)&gt;1,true,false)</f>
        <v>0</v>
      </c>
    </row>
    <row r="44">
      <c r="A44" s="516" t="s">
        <v>4871</v>
      </c>
      <c r="B44" s="517">
        <f>IF(ISERROR(VLOOKUP(A:A,Pagos!$B$5:$L141,2,FALSE)),"Disponible",VLOOKUP(A:A,Pagos!$B$5:$L141,2,FALSE))</f>
        <v>2384</v>
      </c>
      <c r="C44" s="518" t="str">
        <f>IF(ISERROR(VLOOKUP(A:A,Pagos!$B$5:$L141,3,FALSE)),"Disponible",VLOOKUP(A:A,Pagos!$B$5:$L141,3,FALSE))</f>
        <v>RASILLA, TOMAS</v>
      </c>
      <c r="D44" s="519">
        <f>IF(ISERROR(VLOOKUP(A:A,Pagos!$B$5:$L141,4,FALSE)),"Disponible",IF(VLOOKUP(A:A,Pagos!$B$5:$L141,5,FALSE),VLOOKUP(A:A,Pagos!$B$5:$L141,5,FALSE),VLOOKUP(A:A,Pagos!$B$5:$L141,4,FALSE)))</f>
        <v>45931</v>
      </c>
      <c r="E44" s="518"/>
      <c r="F44" s="518" t="str">
        <f t="shared" si="1"/>
        <v/>
      </c>
      <c r="G44" s="520" t="b">
        <f>IF(COUNTIF(Pagos!B:B,A44)&gt;1,TRUE,FALSE)</f>
        <v>0</v>
      </c>
    </row>
    <row r="45">
      <c r="A45" s="496" t="s">
        <v>213</v>
      </c>
      <c r="B45" s="489">
        <f>IF(iserror(vlookup(A:A,Pagos!$B$5:$L141,2,false)),"Disponible",vlookup(A:A,Pagos!$B$5:$L141,2,false))</f>
        <v>1698</v>
      </c>
      <c r="C45" s="490" t="str">
        <f>IF(iserror(vlookup(A:A,Pagos!$B$5:$L141,3,false)),"Disponible",vlookup(A:A,Pagos!$B$5:$L141,3,false))</f>
        <v>GENTILE, MIGUEL ANGEL</v>
      </c>
      <c r="D45" s="491">
        <f>IF(iserror(vlookup(A:A,Pagos!$B$5:$L141,4,false)),"Disponible",If(vlookup(A:A,Pagos!$B$5:$L141,5,false),vlookup(A:A,Pagos!$B$5:$L141,5,false),vlookup(A:A,Pagos!$B$5:$L141,4,false)))</f>
        <v>45870</v>
      </c>
      <c r="E45" s="510"/>
      <c r="F45" s="350" t="str">
        <f t="shared" si="1"/>
        <v/>
      </c>
      <c r="G45" s="442" t="b">
        <f>If(COUNTIF(Pagos!B:B,A45)&gt;1,true,false)</f>
        <v>0</v>
      </c>
    </row>
    <row r="46">
      <c r="A46" s="488" t="s">
        <v>334</v>
      </c>
      <c r="B46" s="489">
        <f>IF(iserror(vlookup(A:A,Pagos!$B$5:$L141,2,false)),"Disponible",vlookup(A:A,Pagos!$B$5:$L141,2,false))</f>
        <v>2035</v>
      </c>
      <c r="C46" s="490" t="str">
        <f>IF(iserror(vlookup(A:A,Pagos!$B$5:$L141,3,false)),"Disponible",vlookup(A:A,Pagos!$B$5:$L141,3,false))</f>
        <v>ARRONDO, JOSE IGNACIO</v>
      </c>
      <c r="D46" s="491">
        <f>IF(iserror(vlookup(A:A,Pagos!$B$5:$L141,4,false)),"Disponible",If(vlookup(A:A,Pagos!$B$5:$L141,5,false),vlookup(A:A,Pagos!$B$5:$L141,5,false),vlookup(A:A,Pagos!$B$5:$L141,4,false)))</f>
        <v>45931</v>
      </c>
      <c r="E46" s="510"/>
      <c r="F46" s="350" t="str">
        <f t="shared" si="1"/>
        <v/>
      </c>
      <c r="G46" s="442" t="b">
        <f>If(COUNTIF(Pagos!B:B,A46)&gt;1,true,false)</f>
        <v>0</v>
      </c>
    </row>
    <row r="47">
      <c r="A47" s="488" t="s">
        <v>4872</v>
      </c>
      <c r="B47" s="489">
        <f>IF(iserror(vlookup(A:A,Pagos!$B$5:$L141,2,false)),"Disponible",vlookup(A:A,Pagos!$B$5:$L141,2,false))</f>
        <v>2142</v>
      </c>
      <c r="C47" s="490" t="str">
        <f>IF(iserror(vlookup(A:A,Pagos!$B$5:$L141,3,false)),"Disponible",vlookup(A:A,Pagos!$B$5:$L141,3,false))</f>
        <v>CELLI, HERNAN HORACIO</v>
      </c>
      <c r="D47" s="491">
        <f>IF(iserror(vlookup(A:A,Pagos!$B$5:$L141,4,false)),"Disponible",If(vlookup(A:A,Pagos!$B$5:$L141,5,false),vlookup(A:A,Pagos!$B$5:$L141,5,false),vlookup(A:A,Pagos!$B$5:$L141,4,false)))</f>
        <v>45870</v>
      </c>
      <c r="E47" s="510"/>
      <c r="F47" s="350" t="str">
        <f t="shared" si="1"/>
        <v/>
      </c>
      <c r="G47" s="442" t="b">
        <f>If(COUNTIF(Pagos!B:B,A47)&gt;1,true,false)</f>
        <v>0</v>
      </c>
    </row>
    <row r="48">
      <c r="A48" s="488" t="s">
        <v>4873</v>
      </c>
      <c r="B48" s="489">
        <f>IF(iserror(vlookup(A:A,Pagos!$B$5:$L141,2,false)),"Disponible",vlookup(A:A,Pagos!$B$5:$L141,2,false))</f>
        <v>1501</v>
      </c>
      <c r="C48" s="490" t="str">
        <f>IF(iserror(vlookup(A:A,Pagos!$B$5:$L141,3,false)),"Disponible",vlookup(A:A,Pagos!$B$5:$L141,3,false))</f>
        <v>CAMPOS, ANDRES LEONARDO</v>
      </c>
      <c r="D48" s="491">
        <f>IF(iserror(vlookup(A:A,Pagos!$B$5:$L141,4,false)),"Disponible",If(vlookup(A:A,Pagos!$B$5:$L141,5,false),vlookup(A:A,Pagos!$B$5:$L141,5,false),vlookup(A:A,Pagos!$B$5:$L141,4,false)))</f>
        <v>45931</v>
      </c>
      <c r="E48" s="492"/>
      <c r="F48" s="350" t="str">
        <f t="shared" si="1"/>
        <v/>
      </c>
      <c r="G48" s="442" t="b">
        <f>If(COUNTIF(Pagos!B:B,A48)&gt;1,true,false)</f>
        <v>0</v>
      </c>
    </row>
    <row r="49">
      <c r="A49" s="488" t="s">
        <v>191</v>
      </c>
      <c r="B49" s="489">
        <f>IF(iserror(vlookup(A:A,Pagos!$B$5:$L141,2,false)),"Disponible",vlookup(A:A,Pagos!$B$5:$L141,2,false))</f>
        <v>1639</v>
      </c>
      <c r="C49" s="490" t="str">
        <f>IF(iserror(vlookup(A:A,Pagos!$B$5:$L141,3,false)),"Disponible",vlookup(A:A,Pagos!$B$5:$L141,3,false))</f>
        <v>IDIAZABAL JUAN</v>
      </c>
      <c r="D49" s="491">
        <f>IF(iserror(vlookup(A:A,Pagos!$B$5:$L141,4,false)),"Disponible",If(vlookup(A:A,Pagos!$B$5:$L141,5,false),vlookup(A:A,Pagos!$B$5:$L141,5,false),vlookup(A:A,Pagos!$B$5:$L141,4,false)))</f>
        <v>45870</v>
      </c>
      <c r="E49" s="492"/>
      <c r="F49" s="350" t="str">
        <f t="shared" si="1"/>
        <v/>
      </c>
      <c r="G49" s="442" t="b">
        <f>If(COUNTIF(Pagos!B:B,A49)&gt;1,true,false)</f>
        <v>0</v>
      </c>
    </row>
    <row r="50">
      <c r="A50" s="488" t="s">
        <v>4874</v>
      </c>
      <c r="B50" s="489">
        <f>IF(iserror(vlookup(A:A,Pagos!$B$5:$L141,2,false)),"Disponible",vlookup(A:A,Pagos!$B$5:$L141,2,false))</f>
        <v>732</v>
      </c>
      <c r="C50" s="490" t="str">
        <f>IF(iserror(vlookup(A:A,Pagos!$B$5:$L141,3,false)),"Disponible",vlookup(A:A,Pagos!$B$5:$L141,3,false))</f>
        <v>MANCINO, SERGIO ARIEL</v>
      </c>
      <c r="D50" s="491">
        <f>IF(iserror(vlookup(A:A,Pagos!$B$5:$L141,4,false)),"Disponible",If(vlookup(A:A,Pagos!$B$5:$L141,5,false),vlookup(A:A,Pagos!$B$5:$L141,5,false),vlookup(A:A,Pagos!$B$5:$L141,4,false)))</f>
        <v>45870</v>
      </c>
      <c r="E50" s="492"/>
      <c r="F50" s="350" t="str">
        <f t="shared" si="1"/>
        <v/>
      </c>
      <c r="G50" s="442" t="b">
        <f>If(COUNTIF(Pagos!B:B,A50)&gt;1,true,false)</f>
        <v>0</v>
      </c>
    </row>
    <row r="51">
      <c r="A51" s="495" t="s">
        <v>4875</v>
      </c>
      <c r="B51" s="489">
        <f>IF(iserror(vlookup(A:A,Pagos!$B$5:$L141,2,false)),"Disponible",vlookup(A:A,Pagos!$B$5:$L141,2,false))</f>
        <v>45</v>
      </c>
      <c r="C51" s="490" t="str">
        <f>IF(iserror(vlookup(A:A,Pagos!$B$5:$L141,3,false)),"Disponible",vlookup(A:A,Pagos!$B$5:$L141,3,false))</f>
        <v>MANDRINI, LEOPOLDO</v>
      </c>
      <c r="D51" s="491">
        <f>IF(iserror(vlookup(A:A,Pagos!$B$5:$L141,4,false)),"Disponible",If(vlookup(A:A,Pagos!$B$5:$L141,5,false),vlookup(A:A,Pagos!$B$5:$L141,5,false),vlookup(A:A,Pagos!$B$5:$L141,4,false)))</f>
        <v>45870</v>
      </c>
      <c r="E51" s="492"/>
      <c r="F51" s="350" t="str">
        <f t="shared" si="1"/>
        <v/>
      </c>
      <c r="G51" s="442" t="b">
        <f>If(COUNTIF(Pagos!B:B,A51)&gt;1,true,false)</f>
        <v>0</v>
      </c>
    </row>
    <row r="52">
      <c r="A52" s="495" t="s">
        <v>4876</v>
      </c>
      <c r="B52" s="489" t="str">
        <f>IF(iserror(vlookup(A:A,Pagos!$B$5:$L141,2,false)),"Disponible",vlookup(A:A,Pagos!$B$5:$L141,2,false))</f>
        <v>Disponible</v>
      </c>
      <c r="C52" s="490" t="str">
        <f>IF(iserror(vlookup(A:A,Pagos!$B$5:$L141,3,false)),"Disponible",vlookup(A:A,Pagos!$B$5:$L141,3,false))</f>
        <v>Disponible</v>
      </c>
      <c r="D52" s="491" t="str">
        <f>IF(iserror(vlookup(A:A,Pagos!$B$5:$L141,4,false)),"Disponible",If(vlookup(A:A,Pagos!$B$5:$L141,5,false),vlookup(A:A,Pagos!$B$5:$L141,5,false),vlookup(A:A,Pagos!$B$5:$L141,4,false)))</f>
        <v>Disponible</v>
      </c>
      <c r="E52" s="492"/>
      <c r="F52" s="350"/>
      <c r="G52" s="442"/>
    </row>
    <row r="53">
      <c r="A53" s="495" t="s">
        <v>4877</v>
      </c>
      <c r="B53" s="489">
        <f>IF(iserror(vlookup(A:A,Pagos!$B$5:$L141,2,false)),"Disponible",vlookup(A:A,Pagos!$B$5:$L141,2,false))</f>
        <v>1403</v>
      </c>
      <c r="C53" s="490" t="str">
        <f>IF(iserror(vlookup(A:A,Pagos!$B$5:$L141,3,false)),"Disponible",vlookup(A:A,Pagos!$B$5:$L141,3,false))</f>
        <v>CARRASQUET, PABLO</v>
      </c>
      <c r="D53" s="491">
        <f>IF(iserror(vlookup(A:A,Pagos!$B$5:$L141,4,false)),"Disponible",If(vlookup(A:A,Pagos!$B$5:$L141,5,false),vlookup(A:A,Pagos!$B$5:$L141,5,false),vlookup(A:A,Pagos!$B$5:$L141,4,false)))</f>
        <v>45839</v>
      </c>
      <c r="E53" s="492"/>
      <c r="F53" s="350"/>
      <c r="G53" s="442"/>
    </row>
    <row r="54">
      <c r="A54" s="495" t="s">
        <v>4878</v>
      </c>
      <c r="B54" s="489">
        <f>IF(iserror(vlookup(A:A,Pagos!$B$5:$L141,2,false)),"Disponible",vlookup(A:A,Pagos!$B$5:$L141,2,false))</f>
        <v>745</v>
      </c>
      <c r="C54" s="490" t="str">
        <f>IF(iserror(vlookup(A:A,Pagos!$B$5:$L141,3,false)),"Disponible",vlookup(A:A,Pagos!$B$5:$L141,3,false))</f>
        <v>STEI, JORGE</v>
      </c>
      <c r="D54" s="491">
        <f>IF(iserror(vlookup(A:A,Pagos!$B$5:$L141,4,false)),"Disponible",If(vlookup(A:A,Pagos!$B$5:$L141,5,false),vlookup(A:A,Pagos!$B$5:$L141,5,false),vlookup(A:A,Pagos!$B$5:$L141,4,false)))</f>
        <v>45809</v>
      </c>
      <c r="E54" s="492"/>
      <c r="F54" s="350"/>
      <c r="G54" s="442"/>
    </row>
    <row r="55">
      <c r="A55" s="495" t="s">
        <v>4879</v>
      </c>
      <c r="B55" s="489">
        <f>IF(iserror(vlookup(A:A,Pagos!$B$5:$L141,2,false)),"Disponible",vlookup(A:A,Pagos!$B$5:$L141,2,false))</f>
        <v>53</v>
      </c>
      <c r="C55" s="490" t="str">
        <f>IF(iserror(vlookup(A:A,Pagos!$B$5:$L141,3,false)),"Disponible",vlookup(A:A,Pagos!$B$5:$L141,3,false))</f>
        <v>VARRONE LEONARDO</v>
      </c>
      <c r="D55" s="491">
        <f>IF(iserror(vlookup(A:A,Pagos!$B$5:$L141,4,false)),"Disponible",If(vlookup(A:A,Pagos!$B$5:$L141,5,false),vlookup(A:A,Pagos!$B$5:$L141,5,false),vlookup(A:A,Pagos!$B$5:$L141,4,false)))</f>
        <v>45870</v>
      </c>
      <c r="E55" s="492"/>
      <c r="F55" s="350"/>
      <c r="G55" s="442"/>
    </row>
    <row r="56">
      <c r="A56" s="495" t="s">
        <v>4880</v>
      </c>
      <c r="B56" s="489">
        <f>IF(iserror(vlookup(A:A,Pagos!$B$5:$L141,2,false)),"Disponible",vlookup(A:A,Pagos!$B$5:$L141,2,false))</f>
        <v>1305</v>
      </c>
      <c r="C56" s="490" t="str">
        <f>IF(iserror(vlookup(A:A,Pagos!$B$5:$L141,3,false)),"Disponible",vlookup(A:A,Pagos!$B$5:$L141,3,false))</f>
        <v>GORDILLO,SANTIAGO</v>
      </c>
      <c r="D56" s="491">
        <f>IF(iserror(vlookup(A:A,Pagos!$B$5:$L141,4,false)),"Disponible",If(vlookup(A:A,Pagos!$B$5:$L141,5,false),vlookup(A:A,Pagos!$B$5:$L141,5,false),vlookup(A:A,Pagos!$B$5:$L141,4,false)))</f>
        <v>45778</v>
      </c>
      <c r="E56" s="492"/>
      <c r="F56" s="350" t="str">
        <f>IF(G56,"Sobreasignada","")</f>
        <v/>
      </c>
      <c r="G56" s="442"/>
    </row>
    <row r="57">
      <c r="A57" s="495" t="s">
        <v>4881</v>
      </c>
      <c r="B57" s="489" t="str">
        <f>IF(iserror(vlookup(A:A,Pagos!$B$5:$L141,2,false)),"Disponible",vlookup(A:A,Pagos!$B$5:$L141,2,false))</f>
        <v>Disponible</v>
      </c>
      <c r="C57" s="490" t="str">
        <f>IF(iserror(vlookup(A:A,Pagos!$B$5:$L141,3,false)),"Disponible",vlookup(A:A,Pagos!$B$5:$L141,3,false))</f>
        <v>Disponible</v>
      </c>
      <c r="D57" s="491" t="str">
        <f>IF(iserror(vlookup(A:A,Pagos!$B$5:$L141,4,false)),"Disponible",If(vlookup(A:A,Pagos!$B$5:$L141,5,false),vlookup(A:A,Pagos!$B$5:$L141,5,false),vlookup(A:A,Pagos!$B$5:$L141,4,false)))</f>
        <v>Disponible</v>
      </c>
      <c r="E57" s="492"/>
      <c r="F57" s="350"/>
      <c r="G57" s="442"/>
    </row>
    <row r="58">
      <c r="A58" s="495" t="s">
        <v>4882</v>
      </c>
      <c r="B58" s="489" t="str">
        <f>IF(iserror(vlookup(A:A,Pagos!$B$5:$L141,2,false)),"Disponible",vlookup(A:A,Pagos!$B$5:$L141,2,false))</f>
        <v>Disponible</v>
      </c>
      <c r="C58" s="490" t="str">
        <f>IF(iserror(vlookup(A:A,Pagos!$B$5:$L141,3,false)),"Disponible",vlookup(A:A,Pagos!$B$5:$L141,3,false))</f>
        <v>Disponible</v>
      </c>
      <c r="D58" s="491" t="str">
        <f>IF(iserror(vlookup(A:A,Pagos!$B$5:$L141,4,false)),"Disponible",If(vlookup(A:A,Pagos!$B$5:$L141,5,false),vlookup(A:A,Pagos!$B$5:$L141,5,false),vlookup(A:A,Pagos!$B$5:$L141,4,false)))</f>
        <v>Disponible</v>
      </c>
      <c r="E58" s="492"/>
      <c r="F58" s="350"/>
      <c r="G58" s="442"/>
    </row>
    <row r="59">
      <c r="A59" s="495" t="s">
        <v>4883</v>
      </c>
      <c r="B59" s="489" t="str">
        <f>IF(iserror(vlookup(A:A,Pagos!$B$5:$L141,2,false)),"Disponible",vlookup(A:A,Pagos!$B$5:$L141,2,false))</f>
        <v>Disponible</v>
      </c>
      <c r="C59" s="490" t="str">
        <f>IF(iserror(vlookup(A:A,Pagos!$B$5:$L141,3,false)),"Disponible",vlookup(A:A,Pagos!$B$5:$L141,3,false))</f>
        <v>Disponible</v>
      </c>
      <c r="D59" s="491" t="str">
        <f>IF(iserror(vlookup(A:A,Pagos!$B$5:$L141,4,false)),"Disponible",If(vlookup(A:A,Pagos!$B$5:$L141,5,false),vlookup(A:A,Pagos!$B$5:$L141,5,false),vlookup(A:A,Pagos!$B$5:$L141,4,false)))</f>
        <v>Disponible</v>
      </c>
      <c r="E59" s="492"/>
      <c r="F59" s="350"/>
      <c r="G59" s="442"/>
    </row>
    <row r="60">
      <c r="A60" s="495" t="s">
        <v>4884</v>
      </c>
      <c r="B60" s="489" t="str">
        <f>IF(iserror(vlookup(A:A,Pagos!$B$5:$L141,2,false)),"Disponible",vlookup(A:A,Pagos!$B$5:$L141,2,false))</f>
        <v>Disponible</v>
      </c>
      <c r="C60" s="490" t="str">
        <f>IF(iserror(vlookup(A:A,Pagos!$B$5:$L141,3,false)),"Disponible",vlookup(A:A,Pagos!$B$5:$L141,3,false))</f>
        <v>Disponible</v>
      </c>
      <c r="D60" s="491" t="str">
        <f>IF(iserror(vlookup(A:A,Pagos!$B$5:$L141,4,false)),"Disponible",If(vlookup(A:A,Pagos!$B$5:$L141,5,false),vlookup(A:A,Pagos!$B$5:$L141,5,false),vlookup(A:A,Pagos!$B$5:$L141,4,false)))</f>
        <v>Disponible</v>
      </c>
      <c r="E60" s="492"/>
      <c r="F60" s="350"/>
      <c r="G60" s="442"/>
    </row>
    <row r="61">
      <c r="A61" s="495" t="s">
        <v>4885</v>
      </c>
      <c r="B61" s="489" t="str">
        <f>IF(iserror(vlookup(A:A,Pagos!$B$5:$L141,2,false)),"Disponible",vlookup(A:A,Pagos!$B$5:$L141,2,false))</f>
        <v>Disponible</v>
      </c>
      <c r="C61" s="490" t="str">
        <f>IF(iserror(vlookup(A:A,Pagos!$B$5:$L141,3,false)),"Disponible",vlookup(A:A,Pagos!$B$5:$L141,3,false))</f>
        <v>Disponible</v>
      </c>
      <c r="D61" s="491" t="str">
        <f>IF(iserror(vlookup(A:A,Pagos!$B$5:$L141,4,false)),"Disponible",If(vlookup(A:A,Pagos!$B$5:$L141,5,false),vlookup(A:A,Pagos!$B$5:$L141,5,false),vlookup(A:A,Pagos!$B$5:$L141,4,false)))</f>
        <v>Disponible</v>
      </c>
      <c r="E61" s="492"/>
      <c r="F61" s="350" t="str">
        <f>IF(G61,"Sobreasignada","")</f>
        <v/>
      </c>
      <c r="G61" s="442"/>
    </row>
    <row r="62">
      <c r="A62" s="495" t="s">
        <v>4886</v>
      </c>
      <c r="B62" s="489" t="str">
        <f>IF(iserror(vlookup(A:A,Pagos!$B$5:$L141,2,false)),"Disponible",vlookup(A:A,Pagos!$B$5:$L141,2,false))</f>
        <v>Disponible</v>
      </c>
      <c r="C62" s="490" t="str">
        <f>IF(iserror(vlookup(A:A,Pagos!$B$5:$L141,3,false)),"Disponible",vlookup(A:A,Pagos!$B$5:$L141,3,false))</f>
        <v>Disponible</v>
      </c>
      <c r="D62" s="491" t="str">
        <f>IF(iserror(vlookup(A:A,Pagos!$B$5:$L141,4,false)),"Disponible",If(vlookup(A:A,Pagos!$B$5:$L141,5,false),vlookup(A:A,Pagos!$B$5:$L141,5,false),vlookup(A:A,Pagos!$B$5:$L141,4,false)))</f>
        <v>Disponible</v>
      </c>
      <c r="E62" s="492"/>
      <c r="F62" s="350"/>
      <c r="G62" s="442"/>
    </row>
    <row r="63">
      <c r="A63" s="495" t="s">
        <v>4887</v>
      </c>
      <c r="B63" s="489" t="str">
        <f>IF(iserror(vlookup(A:A,Pagos!$B$5:$L141,2,false)),"Disponible",vlookup(A:A,Pagos!$B$5:$L141,2,false))</f>
        <v>Disponible</v>
      </c>
      <c r="C63" s="490" t="str">
        <f>IF(iserror(vlookup(A:A,Pagos!$B$5:$L141,3,false)),"Disponible",vlookup(A:A,Pagos!$B$5:$L141,3,false))</f>
        <v>Disponible</v>
      </c>
      <c r="D63" s="491" t="str">
        <f>IF(iserror(vlookup(A:A,Pagos!$B$5:$L141,4,false)),"Disponible",If(vlookup(A:A,Pagos!$B$5:$L141,5,false),vlookup(A:A,Pagos!$B$5:$L141,5,false),vlookup(A:A,Pagos!$B$5:$L141,4,false)))</f>
        <v>Disponible</v>
      </c>
      <c r="E63" s="492"/>
      <c r="F63" s="350"/>
      <c r="G63" s="442"/>
    </row>
    <row r="64">
      <c r="A64" s="495" t="s">
        <v>4888</v>
      </c>
      <c r="B64" s="489" t="str">
        <f>IF(iserror(vlookup(A:A,Pagos!$B$5:$L141,2,false)),"Disponible",vlookup(A:A,Pagos!$B$5:$L141,2,false))</f>
        <v>Disponible</v>
      </c>
      <c r="C64" s="490" t="str">
        <f>IF(iserror(vlookup(A:A,Pagos!$B$5:$L141,3,false)),"Disponible",vlookup(A:A,Pagos!$B$5:$L141,3,false))</f>
        <v>Disponible</v>
      </c>
      <c r="D64" s="491" t="str">
        <f>IF(iserror(vlookup(A:A,Pagos!$B$5:$L141,4,false)),"Disponible",If(vlookup(A:A,Pagos!$B$5:$L141,5,false),vlookup(A:A,Pagos!$B$5:$L141,5,false),vlookup(A:A,Pagos!$B$5:$L141,4,false)))</f>
        <v>Disponible</v>
      </c>
      <c r="E64" s="492"/>
      <c r="F64" s="350"/>
      <c r="G64" s="442"/>
    </row>
    <row r="65">
      <c r="A65" s="495" t="s">
        <v>4889</v>
      </c>
      <c r="B65" s="489" t="str">
        <f>IF(iserror(vlookup(A:A,Pagos!$B$5:$L141,2,false)),"Disponible",vlookup(A:A,Pagos!$B$5:$L141,2,false))</f>
        <v>Disponible</v>
      </c>
      <c r="C65" s="490" t="str">
        <f>IF(iserror(vlookup(A:A,Pagos!$B$5:$L141,3,false)),"Disponible",vlookup(A:A,Pagos!$B$5:$L141,3,false))</f>
        <v>Disponible</v>
      </c>
      <c r="D65" s="491" t="str">
        <f>IF(iserror(vlookup(A:A,Pagos!$B$5:$L141,4,false)),"Disponible",If(vlookup(A:A,Pagos!$B$5:$L141,5,false),vlookup(A:A,Pagos!$B$5:$L141,5,false),vlookup(A:A,Pagos!$B$5:$L141,4,false)))</f>
        <v>Disponible</v>
      </c>
      <c r="E65" s="492"/>
      <c r="F65" s="350"/>
      <c r="G65" s="442"/>
    </row>
    <row r="66">
      <c r="A66" s="495" t="s">
        <v>4890</v>
      </c>
      <c r="B66" s="489" t="str">
        <f>IF(iserror(vlookup(A:A,Pagos!$B$5:$L141,2,false)),"Disponible",vlookup(A:A,Pagos!$B$5:$L141,2,false))</f>
        <v>Disponible</v>
      </c>
      <c r="C66" s="490" t="str">
        <f>IF(iserror(vlookup(A:A,Pagos!$B$5:$L141,3,false)),"Disponible",vlookup(A:A,Pagos!$B$5:$L141,3,false))</f>
        <v>Disponible</v>
      </c>
      <c r="D66" s="491" t="str">
        <f>IF(iserror(vlookup(A:A,Pagos!$B$5:$L141,4,false)),"Disponible",If(vlookup(A:A,Pagos!$B$5:$L141,5,false),vlookup(A:A,Pagos!$B$5:$L141,5,false),vlookup(A:A,Pagos!$B$5:$L141,4,false)))</f>
        <v>Disponible</v>
      </c>
      <c r="E66" s="492"/>
      <c r="F66" s="350" t="str">
        <f>IF(G66,"Sobreasignada","")</f>
        <v/>
      </c>
      <c r="G66" s="442"/>
    </row>
    <row r="67">
      <c r="A67" s="495" t="s">
        <v>4891</v>
      </c>
      <c r="B67" s="489" t="str">
        <f>IF(iserror(vlookup(A:A,Pagos!$B$5:$L141,2,false)),"Disponible",vlookup(A:A,Pagos!$B$5:$L141,2,false))</f>
        <v>Disponible</v>
      </c>
      <c r="C67" s="490" t="str">
        <f>IF(iserror(vlookup(A:A,Pagos!$B$5:$L141,3,false)),"Disponible",vlookup(A:A,Pagos!$B$5:$L141,3,false))</f>
        <v>Disponible</v>
      </c>
      <c r="D67" s="491" t="str">
        <f>IF(iserror(vlookup(A:A,Pagos!$B$5:$L141,4,false)),"Disponible",If(vlookup(A:A,Pagos!$B$5:$L141,5,false),vlookup(A:A,Pagos!$B$5:$L141,5,false),vlookup(A:A,Pagos!$B$5:$L141,4,false)))</f>
        <v>Disponible</v>
      </c>
      <c r="E67" s="492"/>
      <c r="F67" s="350"/>
      <c r="G67" s="442"/>
    </row>
    <row r="68">
      <c r="A68" s="495" t="s">
        <v>4892</v>
      </c>
      <c r="B68" s="489">
        <f>IF(iserror(vlookup(A:A,Pagos!$B$5:$L141,2,false)),"Disponible",vlookup(A:A,Pagos!$B$5:$L141,2,false))</f>
        <v>1041</v>
      </c>
      <c r="C68" s="490" t="str">
        <f>IF(iserror(vlookup(A:A,Pagos!$B$5:$L141,3,false)),"Disponible",vlookup(A:A,Pagos!$B$5:$L141,3,false))</f>
        <v>FERNANDEZ, VIRGILIO</v>
      </c>
      <c r="D68" s="491">
        <f>IF(iserror(vlookup(A:A,Pagos!$B$5:$L141,4,false)),"Disponible",If(vlookup(A:A,Pagos!$B$5:$L141,5,false),vlookup(A:A,Pagos!$B$5:$L141,5,false),vlookup(A:A,Pagos!$B$5:$L141,4,false)))</f>
        <v>45870</v>
      </c>
      <c r="E68" s="492"/>
      <c r="F68" s="350"/>
      <c r="G68" s="442"/>
    </row>
    <row r="69">
      <c r="A69" s="495" t="s">
        <v>4893</v>
      </c>
      <c r="B69" s="489" t="str">
        <f>IF(iserror(vlookup(A:A,Pagos!$B$5:$L141,2,false)),"Disponible",vlookup(A:A,Pagos!$B$5:$L141,2,false))</f>
        <v>Disponible</v>
      </c>
      <c r="C69" s="490" t="str">
        <f>IF(iserror(vlookup(A:A,Pagos!$B$5:$L141,3,false)),"Disponible",vlookup(A:A,Pagos!$B$5:$L141,3,false))</f>
        <v>Disponible</v>
      </c>
      <c r="D69" s="491" t="str">
        <f>IF(iserror(vlookup(A:A,Pagos!$B$5:$L141,4,false)),"Disponible",If(vlookup(A:A,Pagos!$B$5:$L141,5,false),vlookup(A:A,Pagos!$B$5:$L141,5,false),vlookup(A:A,Pagos!$B$5:$L141,4,false)))</f>
        <v>Disponible</v>
      </c>
      <c r="E69" s="492"/>
      <c r="F69" s="350" t="str">
        <f>IF(G69,"Sobreasignada","")</f>
        <v/>
      </c>
      <c r="G69" s="442"/>
    </row>
    <row r="70">
      <c r="A70" s="495" t="s">
        <v>4894</v>
      </c>
      <c r="B70" s="489" t="str">
        <f>IF(iserror(vlookup(A:A,Pagos!$B$5:$L141,2,false)),"Disponible",vlookup(A:A,Pagos!$B$5:$L141,2,false))</f>
        <v>Disponible</v>
      </c>
      <c r="C70" s="490" t="str">
        <f>IF(iserror(vlookup(A:A,Pagos!$B$5:$L141,3,false)),"Disponible",vlookup(A:A,Pagos!$B$5:$L141,3,false))</f>
        <v>Disponible</v>
      </c>
      <c r="D70" s="491" t="str">
        <f>IF(iserror(vlookup(A:A,Pagos!$B$5:$L141,4,false)),"Disponible",If(vlookup(A:A,Pagos!$B$5:$L141,5,false),vlookup(A:A,Pagos!$B$5:$L141,5,false),vlookup(A:A,Pagos!$B$5:$L141,4,false)))</f>
        <v>Disponible</v>
      </c>
      <c r="E70" s="492"/>
      <c r="F70" s="350"/>
      <c r="G70" s="442"/>
    </row>
    <row r="71">
      <c r="A71" s="495" t="s">
        <v>4895</v>
      </c>
      <c r="B71" s="489" t="str">
        <f>IF(iserror(vlookup(A:A,Pagos!$B$5:$L141,2,false)),"Disponible",vlookup(A:A,Pagos!$B$5:$L141,2,false))</f>
        <v>Disponible</v>
      </c>
      <c r="C71" s="490" t="str">
        <f>IF(iserror(vlookup(A:A,Pagos!$B$5:$L141,3,false)),"Disponible",vlookup(A:A,Pagos!$B$5:$L141,3,false))</f>
        <v>Disponible</v>
      </c>
      <c r="D71" s="491" t="str">
        <f>IF(iserror(vlookup(A:A,Pagos!$B$5:$L141,4,false)),"Disponible",If(vlookup(A:A,Pagos!$B$5:$L141,5,false),vlookup(A:A,Pagos!$B$5:$L141,5,false),vlookup(A:A,Pagos!$B$5:$L141,4,false)))</f>
        <v>Disponible</v>
      </c>
      <c r="E71" s="492"/>
      <c r="F71" s="350"/>
      <c r="G71" s="442"/>
    </row>
    <row r="72">
      <c r="A72" s="495" t="s">
        <v>4896</v>
      </c>
      <c r="B72" s="489" t="str">
        <f>IF(iserror(vlookup(A:A,Pagos!$B$5:$L141,2,false)),"Disponible",vlookup(A:A,Pagos!$B$5:$L141,2,false))</f>
        <v>Disponible</v>
      </c>
      <c r="C72" s="490" t="str">
        <f>IF(iserror(vlookup(A:A,Pagos!$B$5:$L141,3,false)),"Disponible",vlookup(A:A,Pagos!$B$5:$L141,3,false))</f>
        <v>Disponible</v>
      </c>
      <c r="D72" s="491" t="str">
        <f>IF(iserror(vlookup(A:A,Pagos!$B$5:$L141,4,false)),"Disponible",If(vlookup(A:A,Pagos!$B$5:$L141,5,false),vlookup(A:A,Pagos!$B$5:$L141,5,false),vlookup(A:A,Pagos!$B$5:$L141,4,false)))</f>
        <v>Disponible</v>
      </c>
      <c r="E72" s="492"/>
      <c r="F72" s="350"/>
      <c r="G72" s="442"/>
    </row>
    <row r="73">
      <c r="A73" s="495" t="s">
        <v>4897</v>
      </c>
      <c r="B73" s="489" t="str">
        <f>IF(iserror(vlookup(A:A,Pagos!$B$5:$L141,2,false)),"Disponible",vlookup(A:A,Pagos!$B$5:$L141,2,false))</f>
        <v>Disponible</v>
      </c>
      <c r="C73" s="490" t="str">
        <f>IF(iserror(vlookup(A:A,Pagos!$B$5:$L141,3,false)),"Disponible",vlookup(A:A,Pagos!$B$5:$L141,3,false))</f>
        <v>Disponible</v>
      </c>
      <c r="D73" s="491" t="str">
        <f>IF(iserror(vlookup(A:A,Pagos!$B$5:$L141,4,false)),"Disponible",If(vlookup(A:A,Pagos!$B$5:$L141,5,false),vlookup(A:A,Pagos!$B$5:$L141,5,false),vlookup(A:A,Pagos!$B$5:$L141,4,false)))</f>
        <v>Disponible</v>
      </c>
      <c r="E73" s="492"/>
      <c r="F73" s="350"/>
      <c r="G73" s="442"/>
    </row>
    <row r="74">
      <c r="A74" s="495" t="s">
        <v>4898</v>
      </c>
      <c r="B74" s="489" t="str">
        <f>IF(iserror(vlookup(A:A,Pagos!$B$5:$L141,2,false)),"Disponible",vlookup(A:A,Pagos!$B$5:$L141,2,false))</f>
        <v>Disponible</v>
      </c>
      <c r="C74" s="490" t="str">
        <f>IF(iserror(vlookup(A:A,Pagos!$B$5:$L141,3,false)),"Disponible",vlookup(A:A,Pagos!$B$5:$L141,3,false))</f>
        <v>Disponible</v>
      </c>
      <c r="D74" s="491" t="str">
        <f>IF(iserror(vlookup(A:A,Pagos!$B$5:$L141,4,false)),"Disponible",If(vlookup(A:A,Pagos!$B$5:$L141,5,false),vlookup(A:A,Pagos!$B$5:$L141,5,false),vlookup(A:A,Pagos!$B$5:$L141,4,false)))</f>
        <v>Disponible</v>
      </c>
      <c r="E74" s="492"/>
      <c r="F74" s="350" t="str">
        <f>IF(G74,"Sobreasignada","")</f>
        <v/>
      </c>
      <c r="G74" s="442"/>
    </row>
    <row r="75">
      <c r="A75" s="495" t="s">
        <v>4899</v>
      </c>
      <c r="B75" s="489" t="str">
        <f>IF(iserror(vlookup(A:A,Pagos!$B$5:$L141,2,false)),"Disponible",vlookup(A:A,Pagos!$B$5:$L141,2,false))</f>
        <v>Disponible</v>
      </c>
      <c r="C75" s="490" t="str">
        <f>IF(iserror(vlookup(A:A,Pagos!$B$5:$L141,3,false)),"Disponible",vlookup(A:A,Pagos!$B$5:$L141,3,false))</f>
        <v>Disponible</v>
      </c>
      <c r="D75" s="491" t="str">
        <f>IF(iserror(vlookup(A:A,Pagos!$B$5:$L141,4,false)),"Disponible",If(vlookup(A:A,Pagos!$B$5:$L141,5,false),vlookup(A:A,Pagos!$B$5:$L141,5,false),vlookup(A:A,Pagos!$B$5:$L141,4,false)))</f>
        <v>Disponible</v>
      </c>
      <c r="E75" s="492"/>
      <c r="F75" s="350"/>
      <c r="G75" s="442"/>
    </row>
    <row r="76">
      <c r="A76" s="495" t="s">
        <v>4900</v>
      </c>
      <c r="B76" s="489" t="str">
        <f>IF(iserror(vlookup(A:A,Pagos!$B$5:$L141,2,false)),"Disponible",vlookup(A:A,Pagos!$B$5:$L141,2,false))</f>
        <v>Disponible</v>
      </c>
      <c r="C76" s="490" t="str">
        <f>IF(iserror(vlookup(A:A,Pagos!$B$5:$L141,3,false)),"Disponible",vlookup(A:A,Pagos!$B$5:$L141,3,false))</f>
        <v>Disponible</v>
      </c>
      <c r="D76" s="491" t="str">
        <f>IF(iserror(vlookup(A:A,Pagos!$B$5:$L141,4,false)),"Disponible",If(vlookup(A:A,Pagos!$B$5:$L141,5,false),vlookup(A:A,Pagos!$B$5:$L141,5,false),vlookup(A:A,Pagos!$B$5:$L141,4,false)))</f>
        <v>Disponible</v>
      </c>
      <c r="E76" s="492"/>
      <c r="F76" s="350"/>
      <c r="G76" s="442"/>
    </row>
    <row r="77">
      <c r="A77" s="495" t="s">
        <v>4901</v>
      </c>
      <c r="B77" s="489" t="str">
        <f>IF(iserror(vlookup(A:A,Pagos!$B$5:$L141,2,false)),"Disponible",vlookup(A:A,Pagos!$B$5:$L141,2,false))</f>
        <v>Disponible</v>
      </c>
      <c r="C77" s="490" t="str">
        <f>IF(iserror(vlookup(A:A,Pagos!$B$5:$L141,3,false)),"Disponible",vlookup(A:A,Pagos!$B$5:$L141,3,false))</f>
        <v>Disponible</v>
      </c>
      <c r="D77" s="491" t="str">
        <f>IF(iserror(vlookup(A:A,Pagos!$B$5:$L141,4,false)),"Disponible",If(vlookup(A:A,Pagos!$B$5:$L141,5,false),vlookup(A:A,Pagos!$B$5:$L141,5,false),vlookup(A:A,Pagos!$B$5:$L141,4,false)))</f>
        <v>Disponible</v>
      </c>
      <c r="E77" s="492"/>
      <c r="F77" s="350"/>
      <c r="G77" s="442"/>
    </row>
    <row r="78">
      <c r="A78" s="495" t="s">
        <v>4902</v>
      </c>
      <c r="B78" s="489" t="str">
        <f>IF(iserror(vlookup(A:A,Pagos!$B$5:$L141,2,false)),"Disponible",vlookup(A:A,Pagos!$B$5:$L141,2,false))</f>
        <v>Disponible</v>
      </c>
      <c r="C78" s="490" t="str">
        <f>IF(iserror(vlookup(A:A,Pagos!$B$5:$L141,3,false)),"Disponible",vlookup(A:A,Pagos!$B$5:$L141,3,false))</f>
        <v>Disponible</v>
      </c>
      <c r="D78" s="491" t="str">
        <f>IF(iserror(vlookup(A:A,Pagos!$B$5:$L141,4,false)),"Disponible",If(vlookup(A:A,Pagos!$B$5:$L141,5,false),vlookup(A:A,Pagos!$B$5:$L141,5,false),vlookup(A:A,Pagos!$B$5:$L141,4,false)))</f>
        <v>Disponible</v>
      </c>
      <c r="E78" s="492"/>
      <c r="F78" s="350"/>
      <c r="G78" s="442"/>
    </row>
    <row r="79">
      <c r="A79" s="495" t="s">
        <v>4903</v>
      </c>
      <c r="B79" s="489" t="str">
        <f>IF(iserror(vlookup(A:A,Pagos!$B$5:$L141,2,false)),"Disponible",vlookup(A:A,Pagos!$B$5:$L141,2,false))</f>
        <v>Disponible</v>
      </c>
      <c r="C79" s="490" t="str">
        <f>IF(iserror(vlookup(A:A,Pagos!$B$5:$L141,3,false)),"Disponible",vlookup(A:A,Pagos!$B$5:$L141,3,false))</f>
        <v>Disponible</v>
      </c>
      <c r="D79" s="491" t="str">
        <f>IF(iserror(vlookup(A:A,Pagos!$B$5:$L141,4,false)),"Disponible",If(vlookup(A:A,Pagos!$B$5:$L141,5,false),vlookup(A:A,Pagos!$B$5:$L141,5,false),vlookup(A:A,Pagos!$B$5:$L141,4,false)))</f>
        <v>Disponible</v>
      </c>
      <c r="E79" s="492"/>
      <c r="F79" s="350" t="str">
        <f>IF(G79,"Sobreasignada","")</f>
        <v/>
      </c>
      <c r="G79" s="442"/>
    </row>
    <row r="80">
      <c r="A80" s="488"/>
      <c r="B80" s="489"/>
      <c r="C80" s="490"/>
      <c r="D80" s="491"/>
      <c r="E80" s="492"/>
      <c r="F80" s="350"/>
      <c r="G80" s="442"/>
    </row>
    <row r="81">
      <c r="A81" s="488"/>
      <c r="B81" s="489"/>
      <c r="C81" s="490"/>
      <c r="D81" s="491"/>
      <c r="E81" s="492"/>
      <c r="F81" s="350"/>
      <c r="G81" s="442"/>
    </row>
    <row r="82">
      <c r="A82" s="488" t="s">
        <v>4904</v>
      </c>
      <c r="B82" s="489" t="str">
        <f>IF(iserror(vlookup(A:A,Pagos!$B$5:$L141,2,false)),"Disponible",vlookup(A:A,Pagos!$B$5:$L141,2,false))</f>
        <v>Disponible</v>
      </c>
      <c r="C82" s="490" t="str">
        <f>IF(iserror(vlookup(A:A,Pagos!$B$5:$L141,3,false)),"Disponible",vlookup(A:A,Pagos!$B$5:$L141,3,false))</f>
        <v>Disponible</v>
      </c>
      <c r="D82" s="491" t="str">
        <f>IF(iserror(vlookup(A:A,Pagos!$B$5:$L141,4,false)),"Disponible",If(vlookup(A:A,Pagos!$B$5:$L141,5,false),vlookup(A:A,Pagos!$B$5:$L141,5,false),vlookup(A:A,Pagos!$B$5:$L141,4,false)))</f>
        <v>Disponible</v>
      </c>
      <c r="E82" s="492"/>
      <c r="F82" s="350" t="str">
        <f t="shared" ref="F82:F83" si="2">IF(G82,"Sobreasignada","")</f>
        <v/>
      </c>
      <c r="G82" s="442" t="b">
        <f>If(COUNTIF(Pagos!B:B,A82)&gt;1,true,false)</f>
        <v>0</v>
      </c>
    </row>
    <row r="83">
      <c r="A83" s="488" t="s">
        <v>4905</v>
      </c>
      <c r="B83" s="489" t="str">
        <f>IF(iserror(vlookup(A:A,Pagos!$B$5:$L141,2,false)),"Disponible",vlookup(A:A,Pagos!$B$5:$L141,2,false))</f>
        <v>Disponible</v>
      </c>
      <c r="C83" s="490" t="str">
        <f>IF(iserror(vlookup(A:A,Pagos!$B$5:$L141,3,false)),"Disponible",vlookup(A:A,Pagos!$B$5:$L141,3,false))</f>
        <v>Disponible</v>
      </c>
      <c r="D83" s="491" t="str">
        <f>IF(iserror(vlookup(A:A,Pagos!$B$5:$L141,4,false)),"Disponible",If(vlookup(A:A,Pagos!$B$5:$L141,5,false),vlookup(A:A,Pagos!$B$5:$L141,5,false),vlookup(A:A,Pagos!$B$5:$L141,4,false)))</f>
        <v>Disponible</v>
      </c>
      <c r="E83" s="492"/>
      <c r="F83" s="350" t="str">
        <f t="shared" si="2"/>
        <v/>
      </c>
      <c r="G83" s="442" t="b">
        <f>If(COUNTIF(Pagos!B:B,A83)&gt;1,true,false)</f>
        <v>0</v>
      </c>
    </row>
    <row r="84">
      <c r="A84" s="488" t="s">
        <v>4906</v>
      </c>
      <c r="B84" s="489" t="str">
        <f>IF(iserror(vlookup(A:A,Pagos!$B$5:$L141,2,false)),"Disponible",vlookup(A:A,Pagos!$B$5:$L141,2,false))</f>
        <v>Disponible</v>
      </c>
      <c r="C84" s="490" t="str">
        <f>IF(iserror(vlookup(A:A,Pagos!$B$5:$L141,3,false)),"Disponible",vlookup(A:A,Pagos!$B$5:$L141,3,false))</f>
        <v>Disponible</v>
      </c>
      <c r="D84" s="491" t="str">
        <f>IF(iserror(vlookup(A:A,Pagos!$B$5:$L141,4,false)),"Disponible",If(vlookup(A:A,Pagos!$B$5:$L141,5,false),vlookup(A:A,Pagos!$B$5:$L141,5,false),vlookup(A:A,Pagos!$B$5:$L141,4,false)))</f>
        <v>Disponible</v>
      </c>
      <c r="E84" s="492"/>
      <c r="F84" s="350"/>
      <c r="G84" s="442" t="b">
        <f>If(COUNTIF(Pagos!B:B,A84)&gt;1,true,false)</f>
        <v>0</v>
      </c>
    </row>
    <row r="85">
      <c r="A85" s="488" t="s">
        <v>4907</v>
      </c>
      <c r="B85" s="489" t="str">
        <f>IF(iserror(vlookup(A:A,Pagos!$B$5:$L141,2,false)),"Disponible",vlookup(A:A,Pagos!$B$5:$L141,2,false))</f>
        <v>Disponible</v>
      </c>
      <c r="C85" s="490" t="str">
        <f>IF(iserror(vlookup(A:A,Pagos!$B$5:$L141,3,false)),"Disponible",vlookup(A:A,Pagos!$B$5:$L141,3,false))</f>
        <v>Disponible</v>
      </c>
      <c r="D85" s="491" t="str">
        <f>IF(iserror(vlookup(A:A,Pagos!$B$5:$L141,4,false)),"Disponible",If(vlookup(A:A,Pagos!$B$5:$L141,5,false),vlookup(A:A,Pagos!$B$5:$L141,5,false),vlookup(A:A,Pagos!$B$5:$L141,4,false)))</f>
        <v>Disponible</v>
      </c>
      <c r="E85" s="492"/>
      <c r="F85" s="350" t="str">
        <f t="shared" ref="F85:F141" si="3">IF(G85,"Sobreasignada","")</f>
        <v/>
      </c>
      <c r="G85" s="442" t="b">
        <f>If(COUNTIF(Pagos!B:B,A85)&gt;1,true,false)</f>
        <v>0</v>
      </c>
    </row>
    <row r="86">
      <c r="A86" s="488" t="s">
        <v>4908</v>
      </c>
      <c r="B86" s="489" t="str">
        <f>IF(iserror(vlookup(A:A,Pagos!$B$5:$L141,2,false)),"Disponible",vlookup(A:A,Pagos!$B$5:$L141,2,false))</f>
        <v>Disponible</v>
      </c>
      <c r="C86" s="490" t="str">
        <f>IF(iserror(vlookup(A:A,Pagos!$B$5:$L141,3,false)),"Disponible",vlookup(A:A,Pagos!$B$5:$L141,3,false))</f>
        <v>Disponible</v>
      </c>
      <c r="D86" s="491" t="str">
        <f>IF(iserror(vlookup(A:A,Pagos!$B$5:$L141,4,false)),"Disponible",If(vlookup(A:A,Pagos!$B$5:$L141,5,false),vlookup(A:A,Pagos!$B$5:$L141,5,false),vlookup(A:A,Pagos!$B$5:$L141,4,false)))</f>
        <v>Disponible</v>
      </c>
      <c r="E86" s="492"/>
      <c r="F86" s="350" t="str">
        <f t="shared" si="3"/>
        <v/>
      </c>
      <c r="G86" s="442"/>
    </row>
    <row r="87">
      <c r="A87" s="521" t="s">
        <v>4909</v>
      </c>
      <c r="B87" s="489" t="str">
        <f>IF(iserror(vlookup(A:A,Pagos!$B$5:$L141,2,false)),"Disponible",vlookup(A:A,Pagos!$B$5:$L141,2,false))</f>
        <v>Disponible</v>
      </c>
      <c r="C87" s="490" t="str">
        <f>IF(iserror(vlookup(A:A,Pagos!$B$5:$L141,3,false)),"Disponible",vlookup(A:A,Pagos!$B$5:$L141,3,false))</f>
        <v>Disponible</v>
      </c>
      <c r="D87" s="491" t="str">
        <f>IF(iserror(vlookup(A:A,Pagos!$B$5:$L141,4,false)),"Disponible",If(vlookup(A:A,Pagos!$B$5:$L141,5,false),vlookup(A:A,Pagos!$B$5:$L141,5,false),vlookup(A:A,Pagos!$B$5:$L141,4,false)))</f>
        <v>Disponible</v>
      </c>
      <c r="E87" s="492"/>
      <c r="F87" s="350" t="str">
        <f t="shared" si="3"/>
        <v/>
      </c>
      <c r="G87" s="442"/>
    </row>
    <row r="88">
      <c r="A88" s="521" t="s">
        <v>4910</v>
      </c>
      <c r="B88" s="489" t="str">
        <f>IF(iserror(vlookup(A:A,Pagos!$B$5:$L141,2,false)),"Disponible",vlookup(A:A,Pagos!$B$5:$L141,2,false))</f>
        <v>Disponible</v>
      </c>
      <c r="C88" s="490" t="str">
        <f>IF(iserror(vlookup(A:A,Pagos!$B$5:$L141,3,false)),"Disponible",vlookup(A:A,Pagos!$B$5:$L141,3,false))</f>
        <v>Disponible</v>
      </c>
      <c r="D88" s="491" t="str">
        <f>IF(iserror(vlookup(A:A,Pagos!$B$5:$L141,4,false)),"Disponible",If(vlookup(A:A,Pagos!$B$5:$L141,5,false),vlookup(A:A,Pagos!$B$5:$L141,5,false),vlookup(A:A,Pagos!$B$5:$L141,4,false)))</f>
        <v>Disponible</v>
      </c>
      <c r="E88" s="492"/>
      <c r="F88" s="350" t="str">
        <f t="shared" si="3"/>
        <v/>
      </c>
      <c r="G88" s="442"/>
    </row>
    <row r="89">
      <c r="A89" s="521" t="s">
        <v>4911</v>
      </c>
      <c r="B89" s="489" t="str">
        <f>IF(iserror(vlookup(A:A,Pagos!$B$5:$L141,2,false)),"Disponible",vlookup(A:A,Pagos!$B$5:$L141,2,false))</f>
        <v>Disponible</v>
      </c>
      <c r="C89" s="490" t="str">
        <f>IF(iserror(vlookup(A:A,Pagos!$B$5:$L141,3,false)),"Disponible",vlookup(A:A,Pagos!$B$5:$L141,3,false))</f>
        <v>Disponible</v>
      </c>
      <c r="D89" s="491" t="str">
        <f>IF(iserror(vlookup(A:A,Pagos!$B$5:$L141,4,false)),"Disponible",If(vlookup(A:A,Pagos!$B$5:$L141,5,false),vlookup(A:A,Pagos!$B$5:$L141,5,false),vlookup(A:A,Pagos!$B$5:$L141,4,false)))</f>
        <v>Disponible</v>
      </c>
      <c r="E89" s="492"/>
      <c r="F89" s="350" t="str">
        <f t="shared" si="3"/>
        <v/>
      </c>
      <c r="G89" s="442"/>
    </row>
    <row r="90">
      <c r="A90" s="521" t="s">
        <v>4912</v>
      </c>
      <c r="B90" s="489" t="str">
        <f>IF(iserror(vlookup(A:A,Pagos!$B$5:$L141,2,false)),"Disponible",vlookup(A:A,Pagos!$B$5:$L141,2,false))</f>
        <v>Disponible</v>
      </c>
      <c r="C90" s="490" t="str">
        <f>IF(iserror(vlookup(A:A,Pagos!$B$5:$L141,3,false)),"Disponible",vlookup(A:A,Pagos!$B$5:$L141,3,false))</f>
        <v>Disponible</v>
      </c>
      <c r="D90" s="491" t="str">
        <f>IF(iserror(vlookup(A:A,Pagos!$B$5:$L141,4,false)),"Disponible",If(vlookup(A:A,Pagos!$B$5:$L141,5,false),vlookup(A:A,Pagos!$B$5:$L141,5,false),vlookup(A:A,Pagos!$B$5:$L141,4,false)))</f>
        <v>Disponible</v>
      </c>
      <c r="E90" s="492"/>
      <c r="F90" s="350" t="str">
        <f t="shared" si="3"/>
        <v/>
      </c>
      <c r="G90" s="442"/>
    </row>
    <row r="91">
      <c r="A91" s="521" t="s">
        <v>4913</v>
      </c>
      <c r="B91" s="489" t="str">
        <f>IF(iserror(vlookup(A:A,Pagos!$B$5:$L141,2,false)),"Disponible",vlookup(A:A,Pagos!$B$5:$L141,2,false))</f>
        <v>Disponible</v>
      </c>
      <c r="C91" s="490" t="str">
        <f>IF(iserror(vlookup(A:A,Pagos!$B$5:$L141,3,false)),"Disponible",vlookup(A:A,Pagos!$B$5:$L141,3,false))</f>
        <v>Disponible</v>
      </c>
      <c r="D91" s="491" t="str">
        <f>IF(iserror(vlookup(A:A,Pagos!$B$5:$L141,4,false)),"Disponible",If(vlookup(A:A,Pagos!$B$5:$L141,5,false),vlookup(A:A,Pagos!$B$5:$L141,5,false),vlookup(A:A,Pagos!$B$5:$L141,4,false)))</f>
        <v>Disponible</v>
      </c>
      <c r="E91" s="492"/>
      <c r="F91" s="350" t="str">
        <f t="shared" si="3"/>
        <v/>
      </c>
      <c r="G91" s="442"/>
    </row>
    <row r="92">
      <c r="A92" s="521" t="s">
        <v>4914</v>
      </c>
      <c r="B92" s="489" t="str">
        <f>IF(iserror(vlookup(A:A,Pagos!$B$5:$L141,2,false)),"Disponible",vlookup(A:A,Pagos!$B$5:$L141,2,false))</f>
        <v>Disponible</v>
      </c>
      <c r="C92" s="490" t="str">
        <f>IF(iserror(vlookup(A:A,Pagos!$B$5:$L141,3,false)),"Disponible",vlookup(A:A,Pagos!$B$5:$L141,3,false))</f>
        <v>Disponible</v>
      </c>
      <c r="D92" s="491" t="str">
        <f>IF(iserror(vlookup(A:A,Pagos!$B$5:$L141,4,false)),"Disponible",If(vlookup(A:A,Pagos!$B$5:$L141,5,false),vlookup(A:A,Pagos!$B$5:$L141,5,false),vlookup(A:A,Pagos!$B$5:$L141,4,false)))</f>
        <v>Disponible</v>
      </c>
      <c r="E92" s="492"/>
      <c r="F92" s="350" t="str">
        <f t="shared" si="3"/>
        <v/>
      </c>
      <c r="G92" s="442"/>
    </row>
    <row r="93">
      <c r="A93" s="521" t="s">
        <v>4915</v>
      </c>
      <c r="B93" s="489" t="str">
        <f>IF(iserror(vlookup(A:A,Pagos!$B$5:$L141,2,false)),"Disponible",vlookup(A:A,Pagos!$B$5:$L141,2,false))</f>
        <v>Disponible</v>
      </c>
      <c r="C93" s="490" t="str">
        <f>IF(iserror(vlookup(A:A,Pagos!$B$5:$L141,3,false)),"Disponible",vlookup(A:A,Pagos!$B$5:$L141,3,false))</f>
        <v>Disponible</v>
      </c>
      <c r="D93" s="491" t="str">
        <f>IF(iserror(vlookup(A:A,Pagos!$B$5:$L141,4,false)),"Disponible",If(vlookup(A:A,Pagos!$B$5:$L141,5,false),vlookup(A:A,Pagos!$B$5:$L141,5,false),vlookup(A:A,Pagos!$B$5:$L141,4,false)))</f>
        <v>Disponible</v>
      </c>
      <c r="E93" s="492"/>
      <c r="F93" s="350" t="str">
        <f t="shared" si="3"/>
        <v/>
      </c>
      <c r="G93" s="442"/>
    </row>
    <row r="94">
      <c r="A94" s="521" t="s">
        <v>4916</v>
      </c>
      <c r="B94" s="489" t="str">
        <f>IF(iserror(vlookup(A:A,Pagos!$B$5:$L141,2,false)),"Disponible",vlookup(A:A,Pagos!$B$5:$L141,2,false))</f>
        <v>Disponible</v>
      </c>
      <c r="C94" s="490" t="str">
        <f>IF(iserror(vlookup(A:A,Pagos!$B$5:$L141,3,false)),"Disponible",vlookup(A:A,Pagos!$B$5:$L141,3,false))</f>
        <v>Disponible</v>
      </c>
      <c r="D94" s="491" t="str">
        <f>IF(iserror(vlookup(A:A,Pagos!$B$5:$L141,4,false)),"Disponible",If(vlookup(A:A,Pagos!$B$5:$L141,5,false),vlookup(A:A,Pagos!$B$5:$L141,5,false),vlookup(A:A,Pagos!$B$5:$L141,4,false)))</f>
        <v>Disponible</v>
      </c>
      <c r="E94" s="492"/>
      <c r="F94" s="350" t="str">
        <f t="shared" si="3"/>
        <v/>
      </c>
      <c r="G94" s="442"/>
    </row>
    <row r="95">
      <c r="A95" s="521" t="s">
        <v>4917</v>
      </c>
      <c r="B95" s="489" t="str">
        <f>IF(iserror(vlookup(A:A,Pagos!$B$5:$L141,2,false)),"Disponible",vlookup(A:A,Pagos!$B$5:$L141,2,false))</f>
        <v>Disponible</v>
      </c>
      <c r="C95" s="490" t="str">
        <f>IF(iserror(vlookup(A:A,Pagos!$B$5:$L141,3,false)),"Disponible",vlookup(A:A,Pagos!$B$5:$L141,3,false))</f>
        <v>Disponible</v>
      </c>
      <c r="D95" s="491" t="str">
        <f>IF(iserror(vlookup(A:A,Pagos!$B$5:$L141,4,false)),"Disponible",If(vlookup(A:A,Pagos!$B$5:$L141,5,false),vlookup(A:A,Pagos!$B$5:$L141,5,false),vlookup(A:A,Pagos!$B$5:$L141,4,false)))</f>
        <v>Disponible</v>
      </c>
      <c r="E95" s="492"/>
      <c r="F95" s="350" t="str">
        <f t="shared" si="3"/>
        <v/>
      </c>
      <c r="G95" s="442"/>
    </row>
    <row r="96">
      <c r="A96" s="521" t="s">
        <v>4918</v>
      </c>
      <c r="B96" s="489" t="str">
        <f>IF(iserror(vlookup(A:A,Pagos!$B$5:$L141,2,false)),"Disponible",vlookup(A:A,Pagos!$B$5:$L141,2,false))</f>
        <v>Disponible</v>
      </c>
      <c r="C96" s="490" t="str">
        <f>IF(iserror(vlookup(A:A,Pagos!$B$5:$L141,3,false)),"Disponible",vlookup(A:A,Pagos!$B$5:$L141,3,false))</f>
        <v>Disponible</v>
      </c>
      <c r="D96" s="491" t="str">
        <f>IF(iserror(vlookup(A:A,Pagos!$B$5:$L141,4,false)),"Disponible",If(vlookup(A:A,Pagos!$B$5:$L141,5,false),vlookup(A:A,Pagos!$B$5:$L141,5,false),vlookup(A:A,Pagos!$B$5:$L141,4,false)))</f>
        <v>Disponible</v>
      </c>
      <c r="E96" s="492"/>
      <c r="F96" s="350" t="str">
        <f t="shared" si="3"/>
        <v/>
      </c>
      <c r="G96" s="442"/>
    </row>
    <row r="97">
      <c r="A97" s="521" t="s">
        <v>4919</v>
      </c>
      <c r="B97" s="489" t="str">
        <f>IF(iserror(vlookup(A:A,Pagos!$B$5:$L141,2,false)),"Disponible",vlookup(A:A,Pagos!$B$5:$L141,2,false))</f>
        <v>Disponible</v>
      </c>
      <c r="C97" s="490" t="str">
        <f>IF(iserror(vlookup(A:A,Pagos!$B$5:$L141,3,false)),"Disponible",vlookup(A:A,Pagos!$B$5:$L141,3,false))</f>
        <v>Disponible</v>
      </c>
      <c r="D97" s="491" t="str">
        <f>IF(iserror(vlookup(A:A,Pagos!$B$5:$L141,4,false)),"Disponible",If(vlookup(A:A,Pagos!$B$5:$L141,5,false),vlookup(A:A,Pagos!$B$5:$L141,5,false),vlookup(A:A,Pagos!$B$5:$L141,4,false)))</f>
        <v>Disponible</v>
      </c>
      <c r="E97" s="492"/>
      <c r="F97" s="350" t="str">
        <f t="shared" si="3"/>
        <v/>
      </c>
      <c r="G97" s="442"/>
    </row>
    <row r="98">
      <c r="A98" s="521" t="s">
        <v>4920</v>
      </c>
      <c r="B98" s="489" t="str">
        <f>IF(iserror(vlookup(A:A,Pagos!$B$5:$L141,2,false)),"Disponible",vlookup(A:A,Pagos!$B$5:$L141,2,false))</f>
        <v>Disponible</v>
      </c>
      <c r="C98" s="490" t="str">
        <f>IF(iserror(vlookup(A:A,Pagos!$B$5:$L141,3,false)),"Disponible",vlookup(A:A,Pagos!$B$5:$L141,3,false))</f>
        <v>Disponible</v>
      </c>
      <c r="D98" s="491" t="str">
        <f>IF(iserror(vlookup(A:A,Pagos!$B$5:$L141,4,false)),"Disponible",If(vlookup(A:A,Pagos!$B$5:$L141,5,false),vlookup(A:A,Pagos!$B$5:$L141,5,false),vlookup(A:A,Pagos!$B$5:$L141,4,false)))</f>
        <v>Disponible</v>
      </c>
      <c r="E98" s="492"/>
      <c r="F98" s="350" t="str">
        <f t="shared" si="3"/>
        <v/>
      </c>
      <c r="G98" s="442"/>
    </row>
    <row r="99">
      <c r="A99" s="521" t="s">
        <v>4921</v>
      </c>
      <c r="B99" s="489" t="str">
        <f>IF(iserror(vlookup(A:A,Pagos!$B$5:$L141,2,false)),"Disponible",vlookup(A:A,Pagos!$B$5:$L141,2,false))</f>
        <v>Disponible</v>
      </c>
      <c r="C99" s="490" t="str">
        <f>IF(iserror(vlookup(A:A,Pagos!$B$5:$L141,3,false)),"Disponible",vlookup(A:A,Pagos!$B$5:$L141,3,false))</f>
        <v>Disponible</v>
      </c>
      <c r="D99" s="491" t="str">
        <f>IF(iserror(vlookup(A:A,Pagos!$B$5:$L141,4,false)),"Disponible",If(vlookup(A:A,Pagos!$B$5:$L141,5,false),vlookup(A:A,Pagos!$B$5:$L141,5,false),vlookup(A:A,Pagos!$B$5:$L141,4,false)))</f>
        <v>Disponible</v>
      </c>
      <c r="E99" s="492"/>
      <c r="F99" s="350" t="str">
        <f t="shared" si="3"/>
        <v/>
      </c>
      <c r="G99" s="442"/>
    </row>
    <row r="100">
      <c r="A100" s="521" t="s">
        <v>4922</v>
      </c>
      <c r="B100" s="489" t="str">
        <f>IF(iserror(vlookup(A:A,Pagos!$B$5:$L141,2,false)),"Disponible",vlookup(A:A,Pagos!$B$5:$L141,2,false))</f>
        <v>Disponible</v>
      </c>
      <c r="C100" s="490" t="str">
        <f>IF(iserror(vlookup(A:A,Pagos!$B$5:$L141,3,false)),"Disponible",vlookup(A:A,Pagos!$B$5:$L141,3,false))</f>
        <v>Disponible</v>
      </c>
      <c r="D100" s="491" t="str">
        <f>IF(iserror(vlookup(A:A,Pagos!$B$5:$L141,4,false)),"Disponible",If(vlookup(A:A,Pagos!$B$5:$L141,5,false),vlookup(A:A,Pagos!$B$5:$L141,5,false),vlookup(A:A,Pagos!$B$5:$L141,4,false)))</f>
        <v>Disponible</v>
      </c>
      <c r="E100" s="492"/>
      <c r="F100" s="350" t="str">
        <f t="shared" si="3"/>
        <v/>
      </c>
      <c r="G100" s="442"/>
    </row>
    <row r="101">
      <c r="A101" s="521" t="s">
        <v>4923</v>
      </c>
      <c r="B101" s="489" t="str">
        <f>IF(iserror(vlookup(A:A,Pagos!$B$5:$L141,2,false)),"Disponible",vlookup(A:A,Pagos!$B$5:$L141,2,false))</f>
        <v>Disponible</v>
      </c>
      <c r="C101" s="490" t="str">
        <f>IF(iserror(vlookup(A:A,Pagos!$B$5:$L141,3,false)),"Disponible",vlookup(A:A,Pagos!$B$5:$L141,3,false))</f>
        <v>Disponible</v>
      </c>
      <c r="D101" s="491" t="str">
        <f>IF(iserror(vlookup(A:A,Pagos!$B$5:$L141,4,false)),"Disponible",If(vlookup(A:A,Pagos!$B$5:$L141,5,false),vlookup(A:A,Pagos!$B$5:$L141,5,false),vlookup(A:A,Pagos!$B$5:$L141,4,false)))</f>
        <v>Disponible</v>
      </c>
      <c r="E101" s="492"/>
      <c r="F101" s="350" t="str">
        <f t="shared" si="3"/>
        <v/>
      </c>
      <c r="G101" s="442"/>
    </row>
    <row r="102">
      <c r="A102" s="521" t="s">
        <v>4924</v>
      </c>
      <c r="B102" s="489" t="str">
        <f>IF(iserror(vlookup(A:A,Pagos!$B$5:$L141,2,false)),"Disponible",vlookup(A:A,Pagos!$B$5:$L141,2,false))</f>
        <v>Disponible</v>
      </c>
      <c r="C102" s="490" t="str">
        <f>IF(iserror(vlookup(A:A,Pagos!$B$5:$L141,3,false)),"Disponible",vlookup(A:A,Pagos!$B$5:$L141,3,false))</f>
        <v>Disponible</v>
      </c>
      <c r="D102" s="491" t="str">
        <f>IF(iserror(vlookup(A:A,Pagos!$B$5:$L141,4,false)),"Disponible",If(vlookup(A:A,Pagos!$B$5:$L141,5,false),vlookup(A:A,Pagos!$B$5:$L141,5,false),vlookup(A:A,Pagos!$B$5:$L141,4,false)))</f>
        <v>Disponible</v>
      </c>
      <c r="E102" s="492"/>
      <c r="F102" s="350" t="str">
        <f t="shared" si="3"/>
        <v/>
      </c>
      <c r="G102" s="442"/>
    </row>
    <row r="103">
      <c r="A103" s="521" t="s">
        <v>4925</v>
      </c>
      <c r="B103" s="489" t="str">
        <f>IF(iserror(vlookup(A:A,Pagos!$B$5:$L141,2,false)),"Disponible",vlookup(A:A,Pagos!$B$5:$L141,2,false))</f>
        <v>Disponible</v>
      </c>
      <c r="C103" s="490" t="str">
        <f>IF(iserror(vlookup(A:A,Pagos!$B$5:$L141,3,false)),"Disponible",vlookup(A:A,Pagos!$B$5:$L141,3,false))</f>
        <v>Disponible</v>
      </c>
      <c r="D103" s="491" t="str">
        <f>IF(iserror(vlookup(A:A,Pagos!$B$5:$L141,4,false)),"Disponible",If(vlookup(A:A,Pagos!$B$5:$L141,5,false),vlookup(A:A,Pagos!$B$5:$L141,5,false),vlookup(A:A,Pagos!$B$5:$L141,4,false)))</f>
        <v>Disponible</v>
      </c>
      <c r="E103" s="492"/>
      <c r="F103" s="350" t="str">
        <f t="shared" si="3"/>
        <v/>
      </c>
      <c r="G103" s="442"/>
    </row>
    <row r="104">
      <c r="A104" s="521" t="s">
        <v>4926</v>
      </c>
      <c r="B104" s="489" t="str">
        <f>IF(iserror(vlookup(A:A,Pagos!$B$5:$L141,2,false)),"Disponible",vlookup(A:A,Pagos!$B$5:$L141,2,false))</f>
        <v>Disponible</v>
      </c>
      <c r="C104" s="490" t="str">
        <f>IF(iserror(vlookup(A:A,Pagos!$B$5:$L141,3,false)),"Disponible",vlookup(A:A,Pagos!$B$5:$L141,3,false))</f>
        <v>Disponible</v>
      </c>
      <c r="D104" s="491" t="str">
        <f>IF(iserror(vlookup(A:A,Pagos!$B$5:$L141,4,false)),"Disponible",If(vlookup(A:A,Pagos!$B$5:$L141,5,false),vlookup(A:A,Pagos!$B$5:$L141,5,false),vlookup(A:A,Pagos!$B$5:$L141,4,false)))</f>
        <v>Disponible</v>
      </c>
      <c r="E104" s="492"/>
      <c r="F104" s="350" t="str">
        <f t="shared" si="3"/>
        <v/>
      </c>
      <c r="G104" s="442"/>
    </row>
    <row r="105">
      <c r="A105" s="521" t="s">
        <v>4927</v>
      </c>
      <c r="B105" s="489" t="str">
        <f>IF(iserror(vlookup(A:A,Pagos!$B$5:$L141,2,false)),"Disponible",vlookup(A:A,Pagos!$B$5:$L141,2,false))</f>
        <v>Disponible</v>
      </c>
      <c r="C105" s="490" t="str">
        <f>IF(iserror(vlookup(A:A,Pagos!$B$5:$L141,3,false)),"Disponible",vlookup(A:A,Pagos!$B$5:$L141,3,false))</f>
        <v>Disponible</v>
      </c>
      <c r="D105" s="491" t="str">
        <f>IF(iserror(vlookup(A:A,Pagos!$B$5:$L141,4,false)),"Disponible",If(vlookup(A:A,Pagos!$B$5:$L141,5,false),vlookup(A:A,Pagos!$B$5:$L141,5,false),vlookup(A:A,Pagos!$B$5:$L141,4,false)))</f>
        <v>Disponible</v>
      </c>
      <c r="E105" s="492"/>
      <c r="F105" s="350" t="str">
        <f t="shared" si="3"/>
        <v/>
      </c>
      <c r="G105" s="442"/>
    </row>
    <row r="106">
      <c r="A106" s="521" t="s">
        <v>4928</v>
      </c>
      <c r="B106" s="489" t="str">
        <f>IF(iserror(vlookup(A:A,Pagos!$B$5:$L141,2,false)),"Disponible",vlookup(A:A,Pagos!$B$5:$L141,2,false))</f>
        <v>Disponible</v>
      </c>
      <c r="C106" s="490" t="str">
        <f>IF(iserror(vlookup(A:A,Pagos!$B$5:$L141,3,false)),"Disponible",vlookup(A:A,Pagos!$B$5:$L141,3,false))</f>
        <v>Disponible</v>
      </c>
      <c r="D106" s="491" t="str">
        <f>IF(iserror(vlookup(A:A,Pagos!$B$5:$L141,4,false)),"Disponible",If(vlookup(A:A,Pagos!$B$5:$L141,5,false),vlookup(A:A,Pagos!$B$5:$L141,5,false),vlookup(A:A,Pagos!$B$5:$L141,4,false)))</f>
        <v>Disponible</v>
      </c>
      <c r="E106" s="492"/>
      <c r="F106" s="350" t="str">
        <f t="shared" si="3"/>
        <v/>
      </c>
      <c r="G106" s="442"/>
    </row>
    <row r="107">
      <c r="A107" s="521" t="s">
        <v>4929</v>
      </c>
      <c r="B107" s="489" t="str">
        <f>IF(iserror(vlookup(A:A,Pagos!$B$5:$L141,2,false)),"Disponible",vlookup(A:A,Pagos!$B$5:$L141,2,false))</f>
        <v>Disponible</v>
      </c>
      <c r="C107" s="490" t="str">
        <f>IF(iserror(vlookup(A:A,Pagos!$B$5:$L141,3,false)),"Disponible",vlookup(A:A,Pagos!$B$5:$L141,3,false))</f>
        <v>Disponible</v>
      </c>
      <c r="D107" s="491" t="str">
        <f>IF(iserror(vlookup(A:A,Pagos!$B$5:$L141,4,false)),"Disponible",If(vlookup(A:A,Pagos!$B$5:$L141,5,false),vlookup(A:A,Pagos!$B$5:$L141,5,false),vlookup(A:A,Pagos!$B$5:$L141,4,false)))</f>
        <v>Disponible</v>
      </c>
      <c r="E107" s="492"/>
      <c r="F107" s="350" t="str">
        <f t="shared" si="3"/>
        <v/>
      </c>
      <c r="G107" s="442"/>
    </row>
    <row r="108">
      <c r="A108" s="521" t="s">
        <v>4930</v>
      </c>
      <c r="B108" s="489" t="str">
        <f>IF(iserror(vlookup(A:A,Pagos!$B$5:$L141,2,false)),"Disponible",vlookup(A:A,Pagos!$B$5:$L141,2,false))</f>
        <v>Disponible</v>
      </c>
      <c r="C108" s="490" t="str">
        <f>IF(iserror(vlookup(A:A,Pagos!$B$5:$L141,3,false)),"Disponible",vlookup(A:A,Pagos!$B$5:$L141,3,false))</f>
        <v>Disponible</v>
      </c>
      <c r="D108" s="491" t="str">
        <f>IF(iserror(vlookup(A:A,Pagos!$B$5:$L141,4,false)),"Disponible",If(vlookup(A:A,Pagos!$B$5:$L141,5,false),vlookup(A:A,Pagos!$B$5:$L141,5,false),vlookup(A:A,Pagos!$B$5:$L141,4,false)))</f>
        <v>Disponible</v>
      </c>
      <c r="E108" s="492"/>
      <c r="F108" s="350" t="str">
        <f t="shared" si="3"/>
        <v/>
      </c>
      <c r="G108" s="442"/>
    </row>
    <row r="109">
      <c r="A109" s="521" t="s">
        <v>4931</v>
      </c>
      <c r="B109" s="489" t="str">
        <f>IF(iserror(vlookup(A:A,Pagos!$B$5:$L141,2,false)),"Disponible",vlookup(A:A,Pagos!$B$5:$L141,2,false))</f>
        <v>Disponible</v>
      </c>
      <c r="C109" s="490" t="str">
        <f>IF(iserror(vlookup(A:A,Pagos!$B$5:$L141,3,false)),"Disponible",vlookup(A:A,Pagos!$B$5:$L141,3,false))</f>
        <v>Disponible</v>
      </c>
      <c r="D109" s="491" t="str">
        <f>IF(iserror(vlookup(A:A,Pagos!$B$5:$L141,4,false)),"Disponible",If(vlookup(A:A,Pagos!$B$5:$L141,5,false),vlookup(A:A,Pagos!$B$5:$L141,5,false),vlookup(A:A,Pagos!$B$5:$L141,4,false)))</f>
        <v>Disponible</v>
      </c>
      <c r="E109" s="492"/>
      <c r="F109" s="350" t="str">
        <f t="shared" si="3"/>
        <v/>
      </c>
      <c r="G109" s="442"/>
    </row>
    <row r="110">
      <c r="A110" s="521" t="s">
        <v>4932</v>
      </c>
      <c r="B110" s="489" t="str">
        <f>IF(iserror(vlookup(A:A,Pagos!$B$5:$L141,2,false)),"Disponible",vlookup(A:A,Pagos!$B$5:$L141,2,false))</f>
        <v>Disponible</v>
      </c>
      <c r="C110" s="490" t="str">
        <f>IF(iserror(vlookup(A:A,Pagos!$B$5:$L141,3,false)),"Disponible",vlookup(A:A,Pagos!$B$5:$L141,3,false))</f>
        <v>Disponible</v>
      </c>
      <c r="D110" s="491" t="str">
        <f>IF(iserror(vlookup(A:A,Pagos!$B$5:$L141,4,false)),"Disponible",If(vlookup(A:A,Pagos!$B$5:$L141,5,false),vlookup(A:A,Pagos!$B$5:$L141,5,false),vlookup(A:A,Pagos!$B$5:$L141,4,false)))</f>
        <v>Disponible</v>
      </c>
      <c r="E110" s="492"/>
      <c r="F110" s="350" t="str">
        <f t="shared" si="3"/>
        <v/>
      </c>
      <c r="G110" s="442"/>
    </row>
    <row r="111">
      <c r="A111" s="521" t="s">
        <v>4933</v>
      </c>
      <c r="B111" s="489" t="str">
        <f>IF(iserror(vlookup(A:A,Pagos!$B$5:$L141,2,false)),"Disponible",vlookup(A:A,Pagos!$B$5:$L141,2,false))</f>
        <v>Disponible</v>
      </c>
      <c r="C111" s="490" t="str">
        <f>IF(iserror(vlookup(A:A,Pagos!$B$5:$L141,3,false)),"Disponible",vlookup(A:A,Pagos!$B$5:$L141,3,false))</f>
        <v>Disponible</v>
      </c>
      <c r="D111" s="491" t="str">
        <f>IF(iserror(vlookup(A:A,Pagos!$B$5:$L141,4,false)),"Disponible",If(vlookup(A:A,Pagos!$B$5:$L141,5,false),vlookup(A:A,Pagos!$B$5:$L141,5,false),vlookup(A:A,Pagos!$B$5:$L141,4,false)))</f>
        <v>Disponible</v>
      </c>
      <c r="E111" s="492"/>
      <c r="F111" s="350" t="str">
        <f t="shared" si="3"/>
        <v/>
      </c>
      <c r="G111" s="442"/>
    </row>
    <row r="112">
      <c r="A112" s="521" t="s">
        <v>4934</v>
      </c>
      <c r="B112" s="489" t="str">
        <f>IF(iserror(vlookup(A:A,Pagos!$B$5:$L141,2,false)),"Disponible",vlookup(A:A,Pagos!$B$5:$L141,2,false))</f>
        <v>Disponible</v>
      </c>
      <c r="C112" s="490" t="str">
        <f>IF(iserror(vlookup(A:A,Pagos!$B$5:$L141,3,false)),"Disponible",vlookup(A:A,Pagos!$B$5:$L141,3,false))</f>
        <v>Disponible</v>
      </c>
      <c r="D112" s="491" t="str">
        <f>IF(iserror(vlookup(A:A,Pagos!$B$5:$L141,4,false)),"Disponible",If(vlookup(A:A,Pagos!$B$5:$L141,5,false),vlookup(A:A,Pagos!$B$5:$L141,5,false),vlookup(A:A,Pagos!$B$5:$L141,4,false)))</f>
        <v>Disponible</v>
      </c>
      <c r="E112" s="492"/>
      <c r="F112" s="350" t="str">
        <f t="shared" si="3"/>
        <v/>
      </c>
      <c r="G112" s="442"/>
    </row>
    <row r="113">
      <c r="A113" s="521" t="s">
        <v>4935</v>
      </c>
      <c r="B113" s="489" t="str">
        <f>IF(iserror(vlookup(A:A,Pagos!$B$5:$L141,2,false)),"Disponible",vlookup(A:A,Pagos!$B$5:$L141,2,false))</f>
        <v>Disponible</v>
      </c>
      <c r="C113" s="490" t="str">
        <f>IF(iserror(vlookup(A:A,Pagos!$B$5:$L141,3,false)),"Disponible",vlookup(A:A,Pagos!$B$5:$L141,3,false))</f>
        <v>Disponible</v>
      </c>
      <c r="D113" s="491" t="str">
        <f>IF(iserror(vlookup(A:A,Pagos!$B$5:$L141,4,false)),"Disponible",If(vlookup(A:A,Pagos!$B$5:$L141,5,false),vlookup(A:A,Pagos!$B$5:$L141,5,false),vlookup(A:A,Pagos!$B$5:$L141,4,false)))</f>
        <v>Disponible</v>
      </c>
      <c r="E113" s="492"/>
      <c r="F113" s="350" t="str">
        <f t="shared" si="3"/>
        <v/>
      </c>
      <c r="G113" s="442"/>
    </row>
    <row r="114">
      <c r="A114" s="521" t="s">
        <v>4936</v>
      </c>
      <c r="B114" s="489" t="str">
        <f>IF(iserror(vlookup(A:A,Pagos!$B$5:$L141,2,false)),"Disponible",vlookup(A:A,Pagos!$B$5:$L141,2,false))</f>
        <v>Disponible</v>
      </c>
      <c r="C114" s="490" t="str">
        <f>IF(iserror(vlookup(A:A,Pagos!$B$5:$L141,3,false)),"Disponible",vlookup(A:A,Pagos!$B$5:$L141,3,false))</f>
        <v>Disponible</v>
      </c>
      <c r="D114" s="491" t="str">
        <f>IF(iserror(vlookup(A:A,Pagos!$B$5:$L141,4,false)),"Disponible",If(vlookup(A:A,Pagos!$B$5:$L141,5,false),vlookup(A:A,Pagos!$B$5:$L141,5,false),vlookup(A:A,Pagos!$B$5:$L141,4,false)))</f>
        <v>Disponible</v>
      </c>
      <c r="E114" s="492"/>
      <c r="F114" s="350" t="str">
        <f t="shared" si="3"/>
        <v/>
      </c>
      <c r="G114" s="442"/>
    </row>
    <row r="115">
      <c r="A115" s="521" t="s">
        <v>4937</v>
      </c>
      <c r="B115" s="489" t="str">
        <f>IF(iserror(vlookup(A:A,Pagos!$B$5:$L141,2,false)),"Disponible",vlookup(A:A,Pagos!$B$5:$L141,2,false))</f>
        <v>Disponible</v>
      </c>
      <c r="C115" s="490" t="str">
        <f>IF(iserror(vlookup(A:A,Pagos!$B$5:$L141,3,false)),"Disponible",vlookup(A:A,Pagos!$B$5:$L141,3,false))</f>
        <v>Disponible</v>
      </c>
      <c r="D115" s="491" t="str">
        <f>IF(iserror(vlookup(A:A,Pagos!$B$5:$L141,4,false)),"Disponible",If(vlookup(A:A,Pagos!$B$5:$L141,5,false),vlookup(A:A,Pagos!$B$5:$L141,5,false),vlookup(A:A,Pagos!$B$5:$L141,4,false)))</f>
        <v>Disponible</v>
      </c>
      <c r="E115" s="492"/>
      <c r="F115" s="350" t="str">
        <f t="shared" si="3"/>
        <v/>
      </c>
      <c r="G115" s="442"/>
    </row>
    <row r="116">
      <c r="A116" s="521" t="s">
        <v>4938</v>
      </c>
      <c r="B116" s="489" t="str">
        <f>IF(iserror(vlookup(A:A,Pagos!$B$5:$L141,2,false)),"Disponible",vlookup(A:A,Pagos!$B$5:$L141,2,false))</f>
        <v>Disponible</v>
      </c>
      <c r="C116" s="490" t="str">
        <f>IF(iserror(vlookup(A:A,Pagos!$B$5:$L141,3,false)),"Disponible",vlookup(A:A,Pagos!$B$5:$L141,3,false))</f>
        <v>Disponible</v>
      </c>
      <c r="D116" s="491" t="str">
        <f>IF(iserror(vlookup(A:A,Pagos!$B$5:$L141,4,false)),"Disponible",If(vlookup(A:A,Pagos!$B$5:$L141,5,false),vlookup(A:A,Pagos!$B$5:$L141,5,false),vlookup(A:A,Pagos!$B$5:$L141,4,false)))</f>
        <v>Disponible</v>
      </c>
      <c r="E116" s="492"/>
      <c r="F116" s="350" t="str">
        <f t="shared" si="3"/>
        <v/>
      </c>
      <c r="G116" s="442"/>
    </row>
    <row r="117">
      <c r="A117" s="521" t="s">
        <v>4939</v>
      </c>
      <c r="B117" s="489" t="str">
        <f>IF(iserror(vlookup(A:A,Pagos!$B$5:$L141,2,false)),"Disponible",vlookup(A:A,Pagos!$B$5:$L141,2,false))</f>
        <v>Disponible</v>
      </c>
      <c r="C117" s="490" t="str">
        <f>IF(iserror(vlookup(A:A,Pagos!$B$5:$L141,3,false)),"Disponible",vlookup(A:A,Pagos!$B$5:$L141,3,false))</f>
        <v>Disponible</v>
      </c>
      <c r="D117" s="491" t="str">
        <f>IF(iserror(vlookup(A:A,Pagos!$B$5:$L141,4,false)),"Disponible",If(vlookup(A:A,Pagos!$B$5:$L141,5,false),vlookup(A:A,Pagos!$B$5:$L141,5,false),vlookup(A:A,Pagos!$B$5:$L141,4,false)))</f>
        <v>Disponible</v>
      </c>
      <c r="E117" s="492"/>
      <c r="F117" s="350" t="str">
        <f t="shared" si="3"/>
        <v/>
      </c>
      <c r="G117" s="442"/>
    </row>
    <row r="118">
      <c r="A118" s="521" t="s">
        <v>4940</v>
      </c>
      <c r="B118" s="489" t="str">
        <f>IF(iserror(vlookup(A:A,Pagos!$B$5:$L141,2,false)),"Disponible",vlookup(A:A,Pagos!$B$5:$L141,2,false))</f>
        <v>Disponible</v>
      </c>
      <c r="C118" s="490" t="str">
        <f>IF(iserror(vlookup(A:A,Pagos!$B$5:$L141,3,false)),"Disponible",vlookup(A:A,Pagos!$B$5:$L141,3,false))</f>
        <v>Disponible</v>
      </c>
      <c r="D118" s="491" t="str">
        <f>IF(iserror(vlookup(A:A,Pagos!$B$5:$L141,4,false)),"Disponible",If(vlookup(A:A,Pagos!$B$5:$L141,5,false),vlookup(A:A,Pagos!$B$5:$L141,5,false),vlookup(A:A,Pagos!$B$5:$L141,4,false)))</f>
        <v>Disponible</v>
      </c>
      <c r="E118" s="492"/>
      <c r="F118" s="350" t="str">
        <f t="shared" si="3"/>
        <v/>
      </c>
      <c r="G118" s="442"/>
    </row>
    <row r="119">
      <c r="A119" s="521" t="s">
        <v>4941</v>
      </c>
      <c r="B119" s="489" t="str">
        <f>IF(iserror(vlookup(A:A,Pagos!$B$5:$L141,2,false)),"Disponible",vlookup(A:A,Pagos!$B$5:$L141,2,false))</f>
        <v>Disponible</v>
      </c>
      <c r="C119" s="490" t="str">
        <f>IF(iserror(vlookup(A:A,Pagos!$B$5:$L141,3,false)),"Disponible",vlookup(A:A,Pagos!$B$5:$L141,3,false))</f>
        <v>Disponible</v>
      </c>
      <c r="D119" s="491" t="str">
        <f>IF(iserror(vlookup(A:A,Pagos!$B$5:$L141,4,false)),"Disponible",If(vlookup(A:A,Pagos!$B$5:$L141,5,false),vlookup(A:A,Pagos!$B$5:$L141,5,false),vlookup(A:A,Pagos!$B$5:$L141,4,false)))</f>
        <v>Disponible</v>
      </c>
      <c r="E119" s="492"/>
      <c r="F119" s="350" t="str">
        <f t="shared" si="3"/>
        <v/>
      </c>
      <c r="G119" s="442"/>
    </row>
    <row r="120">
      <c r="A120" s="521" t="s">
        <v>4942</v>
      </c>
      <c r="B120" s="489" t="str">
        <f>IF(iserror(vlookup(A:A,Pagos!$B$5:$L141,2,false)),"Disponible",vlookup(A:A,Pagos!$B$5:$L141,2,false))</f>
        <v>Disponible</v>
      </c>
      <c r="C120" s="490" t="str">
        <f>IF(iserror(vlookup(A:A,Pagos!$B$5:$L141,3,false)),"Disponible",vlookup(A:A,Pagos!$B$5:$L141,3,false))</f>
        <v>Disponible</v>
      </c>
      <c r="D120" s="491" t="str">
        <f>IF(iserror(vlookup(A:A,Pagos!$B$5:$L141,4,false)),"Disponible",If(vlookup(A:A,Pagos!$B$5:$L141,5,false),vlookup(A:A,Pagos!$B$5:$L141,5,false),vlookup(A:A,Pagos!$B$5:$L141,4,false)))</f>
        <v>Disponible</v>
      </c>
      <c r="E120" s="492"/>
      <c r="F120" s="350" t="str">
        <f t="shared" si="3"/>
        <v/>
      </c>
      <c r="G120" s="442"/>
    </row>
    <row r="121">
      <c r="A121" s="521" t="s">
        <v>4943</v>
      </c>
      <c r="B121" s="489" t="str">
        <f>IF(iserror(vlookup(A:A,Pagos!$B$5:$L141,2,false)),"Disponible",vlookup(A:A,Pagos!$B$5:$L141,2,false))</f>
        <v>Disponible</v>
      </c>
      <c r="C121" s="490" t="str">
        <f>IF(iserror(vlookup(A:A,Pagos!$B$5:$L141,3,false)),"Disponible",vlookup(A:A,Pagos!$B$5:$L141,3,false))</f>
        <v>Disponible</v>
      </c>
      <c r="D121" s="491" t="str">
        <f>IF(iserror(vlookup(A:A,Pagos!$B$5:$L141,4,false)),"Disponible",If(vlookup(A:A,Pagos!$B$5:$L141,5,false),vlookup(A:A,Pagos!$B$5:$L141,5,false),vlookup(A:A,Pagos!$B$5:$L141,4,false)))</f>
        <v>Disponible</v>
      </c>
      <c r="E121" s="492"/>
      <c r="F121" s="350" t="str">
        <f t="shared" si="3"/>
        <v/>
      </c>
      <c r="G121" s="442"/>
    </row>
    <row r="122">
      <c r="A122" s="521" t="s">
        <v>4944</v>
      </c>
      <c r="B122" s="489" t="str">
        <f>IF(iserror(vlookup(A:A,Pagos!$B$5:$L141,2,false)),"Disponible",vlookup(A:A,Pagos!$B$5:$L141,2,false))</f>
        <v>Disponible</v>
      </c>
      <c r="C122" s="490" t="str">
        <f>IF(iserror(vlookup(A:A,Pagos!$B$5:$L141,3,false)),"Disponible",vlookup(A:A,Pagos!$B$5:$L141,3,false))</f>
        <v>Disponible</v>
      </c>
      <c r="D122" s="491" t="str">
        <f>IF(iserror(vlookup(A:A,Pagos!$B$5:$L141,4,false)),"Disponible",If(vlookup(A:A,Pagos!$B$5:$L141,5,false),vlookup(A:A,Pagos!$B$5:$L141,5,false),vlookup(A:A,Pagos!$B$5:$L141,4,false)))</f>
        <v>Disponible</v>
      </c>
      <c r="E122" s="492"/>
      <c r="F122" s="350" t="str">
        <f t="shared" si="3"/>
        <v/>
      </c>
      <c r="G122" s="442"/>
    </row>
    <row r="123">
      <c r="A123" s="521" t="s">
        <v>4945</v>
      </c>
      <c r="B123" s="489" t="str">
        <f>IF(iserror(vlookup(A:A,Pagos!$B$5:$L141,2,false)),"Disponible",vlookup(A:A,Pagos!$B$5:$L141,2,false))</f>
        <v>Disponible</v>
      </c>
      <c r="C123" s="490" t="str">
        <f>IF(iserror(vlookup(A:A,Pagos!$B$5:$L141,3,false)),"Disponible",vlookup(A:A,Pagos!$B$5:$L141,3,false))</f>
        <v>Disponible</v>
      </c>
      <c r="D123" s="491" t="str">
        <f>IF(iserror(vlookup(A:A,Pagos!$B$5:$L141,4,false)),"Disponible",If(vlookup(A:A,Pagos!$B$5:$L141,5,false),vlookup(A:A,Pagos!$B$5:$L141,5,false),vlookup(A:A,Pagos!$B$5:$L141,4,false)))</f>
        <v>Disponible</v>
      </c>
      <c r="E123" s="492"/>
      <c r="F123" s="350" t="str">
        <f t="shared" si="3"/>
        <v/>
      </c>
      <c r="G123" s="442"/>
    </row>
    <row r="124">
      <c r="A124" s="521" t="s">
        <v>4946</v>
      </c>
      <c r="B124" s="489" t="str">
        <f>IF(iserror(vlookup(A:A,Pagos!$B$5:$L141,2,false)),"Disponible",vlookup(A:A,Pagos!$B$5:$L141,2,false))</f>
        <v>Disponible</v>
      </c>
      <c r="C124" s="490" t="str">
        <f>IF(iserror(vlookup(A:A,Pagos!$B$5:$L141,3,false)),"Disponible",vlookup(A:A,Pagos!$B$5:$L141,3,false))</f>
        <v>Disponible</v>
      </c>
      <c r="D124" s="491" t="str">
        <f>IF(iserror(vlookup(A:A,Pagos!$B$5:$L141,4,false)),"Disponible",If(vlookup(A:A,Pagos!$B$5:$L141,5,false),vlookup(A:A,Pagos!$B$5:$L141,5,false),vlookup(A:A,Pagos!$B$5:$L141,4,false)))</f>
        <v>Disponible</v>
      </c>
      <c r="E124" s="492"/>
      <c r="F124" s="350" t="str">
        <f t="shared" si="3"/>
        <v/>
      </c>
      <c r="G124" s="442"/>
    </row>
    <row r="125">
      <c r="A125" s="521" t="s">
        <v>4947</v>
      </c>
      <c r="B125" s="489" t="str">
        <f>IF(iserror(vlookup(A:A,Pagos!$B$5:$L141,2,false)),"Disponible",vlookup(A:A,Pagos!$B$5:$L141,2,false))</f>
        <v>Disponible</v>
      </c>
      <c r="C125" s="490" t="str">
        <f>IF(iserror(vlookup(A:A,Pagos!$B$5:$L141,3,false)),"Disponible",vlookup(A:A,Pagos!$B$5:$L141,3,false))</f>
        <v>Disponible</v>
      </c>
      <c r="D125" s="491" t="str">
        <f>IF(iserror(vlookup(A:A,Pagos!$B$5:$L141,4,false)),"Disponible",If(vlookup(A:A,Pagos!$B$5:$L141,5,false),vlookup(A:A,Pagos!$B$5:$L141,5,false),vlookup(A:A,Pagos!$B$5:$L141,4,false)))</f>
        <v>Disponible</v>
      </c>
      <c r="E125" s="492"/>
      <c r="F125" s="350" t="str">
        <f t="shared" si="3"/>
        <v/>
      </c>
      <c r="G125" s="442"/>
    </row>
    <row r="126">
      <c r="A126" s="521" t="s">
        <v>4948</v>
      </c>
      <c r="B126" s="489" t="str">
        <f>IF(iserror(vlookup(A:A,Pagos!$B$5:$L141,2,false)),"Disponible",vlookup(A:A,Pagos!$B$5:$L141,2,false))</f>
        <v>Disponible</v>
      </c>
      <c r="C126" s="490" t="str">
        <f>IF(iserror(vlookup(A:A,Pagos!$B$5:$L141,3,false)),"Disponible",vlookup(A:A,Pagos!$B$5:$L141,3,false))</f>
        <v>Disponible</v>
      </c>
      <c r="D126" s="491" t="str">
        <f>IF(iserror(vlookup(A:A,Pagos!$B$5:$L141,4,false)),"Disponible",If(vlookup(A:A,Pagos!$B$5:$L141,5,false),vlookup(A:A,Pagos!$B$5:$L141,5,false),vlookup(A:A,Pagos!$B$5:$L141,4,false)))</f>
        <v>Disponible</v>
      </c>
      <c r="E126" s="492"/>
      <c r="F126" s="350" t="str">
        <f t="shared" si="3"/>
        <v/>
      </c>
      <c r="G126" s="442"/>
    </row>
    <row r="127">
      <c r="A127" s="521" t="s">
        <v>4949</v>
      </c>
      <c r="B127" s="489" t="str">
        <f>IF(iserror(vlookup(A:A,Pagos!$B$5:$L141,2,false)),"Disponible",vlookup(A:A,Pagos!$B$5:$L141,2,false))</f>
        <v>Disponible</v>
      </c>
      <c r="C127" s="490" t="str">
        <f>IF(iserror(vlookup(A:A,Pagos!$B$5:$L141,3,false)),"Disponible",vlookup(A:A,Pagos!$B$5:$L141,3,false))</f>
        <v>Disponible</v>
      </c>
      <c r="D127" s="491" t="str">
        <f>IF(iserror(vlookup(A:A,Pagos!$B$5:$L141,4,false)),"Disponible",If(vlookup(A:A,Pagos!$B$5:$L141,5,false),vlookup(A:A,Pagos!$B$5:$L141,5,false),vlookup(A:A,Pagos!$B$5:$L141,4,false)))</f>
        <v>Disponible</v>
      </c>
      <c r="E127" s="492"/>
      <c r="F127" s="350" t="str">
        <f t="shared" si="3"/>
        <v/>
      </c>
      <c r="G127" s="442"/>
    </row>
    <row r="128">
      <c r="A128" s="521" t="s">
        <v>4950</v>
      </c>
      <c r="B128" s="489" t="str">
        <f>IF(iserror(vlookup(A:A,Pagos!$B$5:$L141,2,false)),"Disponible",vlookup(A:A,Pagos!$B$5:$L141,2,false))</f>
        <v>Disponible</v>
      </c>
      <c r="C128" s="490" t="str">
        <f>IF(iserror(vlookup(A:A,Pagos!$B$5:$L141,3,false)),"Disponible",vlookup(A:A,Pagos!$B$5:$L141,3,false))</f>
        <v>Disponible</v>
      </c>
      <c r="D128" s="491" t="str">
        <f>IF(iserror(vlookup(A:A,Pagos!$B$5:$L141,4,false)),"Disponible",If(vlookup(A:A,Pagos!$B$5:$L141,5,false),vlookup(A:A,Pagos!$B$5:$L141,5,false),vlookup(A:A,Pagos!$B$5:$L141,4,false)))</f>
        <v>Disponible</v>
      </c>
      <c r="E128" s="492"/>
      <c r="F128" s="350" t="str">
        <f t="shared" si="3"/>
        <v/>
      </c>
      <c r="G128" s="442"/>
    </row>
    <row r="129">
      <c r="A129" s="521" t="s">
        <v>4951</v>
      </c>
      <c r="B129" s="489" t="str">
        <f>IF(iserror(vlookup(A:A,Pagos!$B$5:$L141,2,false)),"Disponible",vlookup(A:A,Pagos!$B$5:$L141,2,false))</f>
        <v>Disponible</v>
      </c>
      <c r="C129" s="490" t="str">
        <f>IF(iserror(vlookup(A:A,Pagos!$B$5:$L141,3,false)),"Disponible",vlookup(A:A,Pagos!$B$5:$L141,3,false))</f>
        <v>Disponible</v>
      </c>
      <c r="D129" s="491" t="str">
        <f>IF(iserror(vlookup(A:A,Pagos!$B$5:$L141,4,false)),"Disponible",If(vlookup(A:A,Pagos!$B$5:$L141,5,false),vlookup(A:A,Pagos!$B$5:$L141,5,false),vlookup(A:A,Pagos!$B$5:$L141,4,false)))</f>
        <v>Disponible</v>
      </c>
      <c r="E129" s="492"/>
      <c r="F129" s="350" t="str">
        <f t="shared" si="3"/>
        <v/>
      </c>
      <c r="G129" s="442"/>
    </row>
    <row r="130">
      <c r="A130" s="521" t="s">
        <v>4952</v>
      </c>
      <c r="B130" s="489" t="str">
        <f>IF(iserror(vlookup(A:A,Pagos!$B$5:$L141,2,false)),"Disponible",vlookup(A:A,Pagos!$B$5:$L141,2,false))</f>
        <v>Disponible</v>
      </c>
      <c r="C130" s="490" t="str">
        <f>IF(iserror(vlookup(A:A,Pagos!$B$5:$L141,3,false)),"Disponible",vlookup(A:A,Pagos!$B$5:$L141,3,false))</f>
        <v>Disponible</v>
      </c>
      <c r="D130" s="491" t="str">
        <f>IF(iserror(vlookup(A:A,Pagos!$B$5:$L141,4,false)),"Disponible",If(vlookup(A:A,Pagos!$B$5:$L141,5,false),vlookup(A:A,Pagos!$B$5:$L141,5,false),vlookup(A:A,Pagos!$B$5:$L141,4,false)))</f>
        <v>Disponible</v>
      </c>
      <c r="E130" s="492"/>
      <c r="F130" s="350" t="str">
        <f t="shared" si="3"/>
        <v/>
      </c>
      <c r="G130" s="442"/>
    </row>
    <row r="131">
      <c r="A131" s="521" t="s">
        <v>4953</v>
      </c>
      <c r="B131" s="489" t="str">
        <f>IF(iserror(vlookup(A:A,Pagos!$B$5:$L141,2,false)),"Disponible",vlookup(A:A,Pagos!$B$5:$L141,2,false))</f>
        <v>Disponible</v>
      </c>
      <c r="C131" s="490" t="str">
        <f>IF(iserror(vlookup(A:A,Pagos!$B$5:$L141,3,false)),"Disponible",vlookup(A:A,Pagos!$B$5:$L141,3,false))</f>
        <v>Disponible</v>
      </c>
      <c r="D131" s="491" t="str">
        <f>IF(iserror(vlookup(A:A,Pagos!$B$5:$L141,4,false)),"Disponible",If(vlookup(A:A,Pagos!$B$5:$L141,5,false),vlookup(A:A,Pagos!$B$5:$L141,5,false),vlookup(A:A,Pagos!$B$5:$L141,4,false)))</f>
        <v>Disponible</v>
      </c>
      <c r="E131" s="492"/>
      <c r="F131" s="350" t="str">
        <f t="shared" si="3"/>
        <v/>
      </c>
      <c r="G131" s="442"/>
    </row>
    <row r="132">
      <c r="A132" s="521" t="s">
        <v>4954</v>
      </c>
      <c r="B132" s="489" t="str">
        <f>IF(iserror(vlookup(A:A,Pagos!$B$5:$L141,2,false)),"Disponible",vlookup(A:A,Pagos!$B$5:$L141,2,false))</f>
        <v>Disponible</v>
      </c>
      <c r="C132" s="490" t="str">
        <f>IF(iserror(vlookup(A:A,Pagos!$B$5:$L141,3,false)),"Disponible",vlookup(A:A,Pagos!$B$5:$L141,3,false))</f>
        <v>Disponible</v>
      </c>
      <c r="D132" s="491" t="str">
        <f>IF(iserror(vlookup(A:A,Pagos!$B$5:$L141,4,false)),"Disponible",If(vlookup(A:A,Pagos!$B$5:$L141,5,false),vlookup(A:A,Pagos!$B$5:$L141,5,false),vlookup(A:A,Pagos!$B$5:$L141,4,false)))</f>
        <v>Disponible</v>
      </c>
      <c r="E132" s="492"/>
      <c r="F132" s="350" t="str">
        <f t="shared" si="3"/>
        <v/>
      </c>
      <c r="G132" s="442"/>
    </row>
    <row r="133">
      <c r="A133" s="521" t="s">
        <v>4955</v>
      </c>
      <c r="B133" s="489" t="str">
        <f>IF(iserror(vlookup(A:A,Pagos!$B$5:$L141,2,false)),"Disponible",vlookup(A:A,Pagos!$B$5:$L141,2,false))</f>
        <v>Disponible</v>
      </c>
      <c r="C133" s="490" t="str">
        <f>IF(iserror(vlookup(A:A,Pagos!$B$5:$L141,3,false)),"Disponible",vlookup(A:A,Pagos!$B$5:$L141,3,false))</f>
        <v>Disponible</v>
      </c>
      <c r="D133" s="491" t="str">
        <f>IF(iserror(vlookup(A:A,Pagos!$B$5:$L141,4,false)),"Disponible",If(vlookup(A:A,Pagos!$B$5:$L141,5,false),vlookup(A:A,Pagos!$B$5:$L141,5,false),vlookup(A:A,Pagos!$B$5:$L141,4,false)))</f>
        <v>Disponible</v>
      </c>
      <c r="E133" s="492"/>
      <c r="F133" s="350" t="str">
        <f t="shared" si="3"/>
        <v/>
      </c>
      <c r="G133" s="442"/>
    </row>
    <row r="134">
      <c r="A134" s="521" t="s">
        <v>4956</v>
      </c>
      <c r="B134" s="489" t="str">
        <f>IF(iserror(vlookup(A:A,Pagos!$B$5:$L141,2,false)),"Disponible",vlookup(A:A,Pagos!$B$5:$L141,2,false))</f>
        <v>Disponible</v>
      </c>
      <c r="C134" s="490" t="str">
        <f>IF(iserror(vlookup(A:A,Pagos!$B$5:$L141,3,false)),"Disponible",vlookup(A:A,Pagos!$B$5:$L141,3,false))</f>
        <v>Disponible</v>
      </c>
      <c r="D134" s="491" t="str">
        <f>IF(iserror(vlookup(A:A,Pagos!$B$5:$L141,4,false)),"Disponible",If(vlookup(A:A,Pagos!$B$5:$L141,5,false),vlookup(A:A,Pagos!$B$5:$L141,5,false),vlookup(A:A,Pagos!$B$5:$L141,4,false)))</f>
        <v>Disponible</v>
      </c>
      <c r="E134" s="492"/>
      <c r="F134" s="350" t="str">
        <f t="shared" si="3"/>
        <v/>
      </c>
      <c r="G134" s="442"/>
    </row>
    <row r="135">
      <c r="A135" s="521" t="s">
        <v>4957</v>
      </c>
      <c r="B135" s="489" t="str">
        <f>IF(iserror(vlookup(A:A,Pagos!$B$5:$L141,2,false)),"Disponible",vlookup(A:A,Pagos!$B$5:$L141,2,false))</f>
        <v>Disponible</v>
      </c>
      <c r="C135" s="490" t="str">
        <f>IF(iserror(vlookup(A:A,Pagos!$B$5:$L141,3,false)),"Disponible",vlookup(A:A,Pagos!$B$5:$L141,3,false))</f>
        <v>Disponible</v>
      </c>
      <c r="D135" s="491" t="str">
        <f>IF(iserror(vlookup(A:A,Pagos!$B$5:$L141,4,false)),"Disponible",If(vlookup(A:A,Pagos!$B$5:$L141,5,false),vlookup(A:A,Pagos!$B$5:$L141,5,false),vlookup(A:A,Pagos!$B$5:$L141,4,false)))</f>
        <v>Disponible</v>
      </c>
      <c r="E135" s="492"/>
      <c r="F135" s="350" t="str">
        <f t="shared" si="3"/>
        <v/>
      </c>
      <c r="G135" s="442"/>
    </row>
    <row r="136">
      <c r="A136" s="521" t="s">
        <v>4958</v>
      </c>
      <c r="B136" s="489" t="str">
        <f>IF(iserror(vlookup(A:A,Pagos!$B$5:$L141,2,false)),"Disponible",vlookup(A:A,Pagos!$B$5:$L141,2,false))</f>
        <v>Disponible</v>
      </c>
      <c r="C136" s="490" t="str">
        <f>IF(iserror(vlookup(A:A,Pagos!$B$5:$L141,3,false)),"Disponible",vlookup(A:A,Pagos!$B$5:$L141,3,false))</f>
        <v>Disponible</v>
      </c>
      <c r="D136" s="491" t="str">
        <f>IF(iserror(vlookup(A:A,Pagos!$B$5:$L141,4,false)),"Disponible",If(vlookup(A:A,Pagos!$B$5:$L141,5,false),vlookup(A:A,Pagos!$B$5:$L141,5,false),vlookup(A:A,Pagos!$B$5:$L141,4,false)))</f>
        <v>Disponible</v>
      </c>
      <c r="E136" s="492"/>
      <c r="F136" s="350" t="str">
        <f t="shared" si="3"/>
        <v/>
      </c>
      <c r="G136" s="442"/>
    </row>
    <row r="137">
      <c r="A137" s="521" t="s">
        <v>4959</v>
      </c>
      <c r="B137" s="489" t="str">
        <f>IF(iserror(vlookup(A:A,Pagos!$B$5:$L141,2,false)),"Disponible",vlookup(A:A,Pagos!$B$5:$L141,2,false))</f>
        <v>Disponible</v>
      </c>
      <c r="C137" s="490" t="str">
        <f>IF(iserror(vlookup(A:A,Pagos!$B$5:$L141,3,false)),"Disponible",vlookup(A:A,Pagos!$B$5:$L141,3,false))</f>
        <v>Disponible</v>
      </c>
      <c r="D137" s="491" t="str">
        <f>IF(iserror(vlookup(A:A,Pagos!$B$5:$L141,4,false)),"Disponible",If(vlookup(A:A,Pagos!$B$5:$L141,5,false),vlookup(A:A,Pagos!$B$5:$L141,5,false),vlookup(A:A,Pagos!$B$5:$L141,4,false)))</f>
        <v>Disponible</v>
      </c>
      <c r="E137" s="492"/>
      <c r="F137" s="350" t="str">
        <f t="shared" si="3"/>
        <v/>
      </c>
      <c r="G137" s="442"/>
    </row>
    <row r="138">
      <c r="A138" s="521" t="s">
        <v>4960</v>
      </c>
      <c r="B138" s="489" t="str">
        <f>IF(iserror(vlookup(A:A,Pagos!$B$5:$L141,2,false)),"Disponible",vlookup(A:A,Pagos!$B$5:$L141,2,false))</f>
        <v>Disponible</v>
      </c>
      <c r="C138" s="490" t="str">
        <f>IF(iserror(vlookup(A:A,Pagos!$B$5:$L141,3,false)),"Disponible",vlookup(A:A,Pagos!$B$5:$L141,3,false))</f>
        <v>Disponible</v>
      </c>
      <c r="D138" s="491" t="str">
        <f>IF(iserror(vlookup(A:A,Pagos!$B$5:$L141,4,false)),"Disponible",If(vlookup(A:A,Pagos!$B$5:$L141,5,false),vlookup(A:A,Pagos!$B$5:$L141,5,false),vlookup(A:A,Pagos!$B$5:$L141,4,false)))</f>
        <v>Disponible</v>
      </c>
      <c r="E138" s="492"/>
      <c r="F138" s="350" t="str">
        <f t="shared" si="3"/>
        <v/>
      </c>
      <c r="G138" s="442"/>
    </row>
    <row r="139">
      <c r="A139" s="521" t="s">
        <v>4961</v>
      </c>
      <c r="B139" s="489" t="str">
        <f>IF(iserror(vlookup(A:A,Pagos!$B$5:$L141,2,false)),"Disponible",vlookup(A:A,Pagos!$B$5:$L141,2,false))</f>
        <v>Disponible</v>
      </c>
      <c r="C139" s="490" t="str">
        <f>IF(iserror(vlookup(A:A,Pagos!$B$5:$L141,3,false)),"Disponible",vlookup(A:A,Pagos!$B$5:$L141,3,false))</f>
        <v>Disponible</v>
      </c>
      <c r="D139" s="491" t="str">
        <f>IF(iserror(vlookup(A:A,Pagos!$B$5:$L141,4,false)),"Disponible",If(vlookup(A:A,Pagos!$B$5:$L141,5,false),vlookup(A:A,Pagos!$B$5:$L141,5,false),vlookup(A:A,Pagos!$B$5:$L141,4,false)))</f>
        <v>Disponible</v>
      </c>
      <c r="E139" s="492"/>
      <c r="F139" s="350" t="str">
        <f t="shared" si="3"/>
        <v/>
      </c>
      <c r="G139" s="442"/>
    </row>
    <row r="140">
      <c r="A140" s="521" t="s">
        <v>4962</v>
      </c>
      <c r="B140" s="489" t="str">
        <f>IF(iserror(vlookup(A:A,Pagos!$B$5:$L141,2,false)),"Disponible",vlookup(A:A,Pagos!$B$5:$L141,2,false))</f>
        <v>Disponible</v>
      </c>
      <c r="C140" s="490" t="str">
        <f>IF(iserror(vlookup(A:A,Pagos!$B$5:$L141,3,false)),"Disponible",vlookup(A:A,Pagos!$B$5:$L141,3,false))</f>
        <v>Disponible</v>
      </c>
      <c r="D140" s="491" t="str">
        <f>IF(iserror(vlookup(A:A,Pagos!$B$5:$L141,4,false)),"Disponible",If(vlookup(A:A,Pagos!$B$5:$L141,5,false),vlookup(A:A,Pagos!$B$5:$L141,5,false),vlookup(A:A,Pagos!$B$5:$L141,4,false)))</f>
        <v>Disponible</v>
      </c>
      <c r="E140" s="492"/>
      <c r="F140" s="350" t="str">
        <f t="shared" si="3"/>
        <v/>
      </c>
      <c r="G140" s="442"/>
    </row>
    <row r="141">
      <c r="A141" s="521" t="s">
        <v>4963</v>
      </c>
      <c r="B141" s="489" t="str">
        <f>IF(iserror(vlookup(A:A,Pagos!$B$5:$L141,2,false)),"Disponible",vlookup(A:A,Pagos!$B$5:$L141,2,false))</f>
        <v>Disponible</v>
      </c>
      <c r="C141" s="490" t="str">
        <f>IF(iserror(vlookup(A:A,Pagos!$B$5:$L141,3,false)),"Disponible",vlookup(A:A,Pagos!$B$5:$L141,3,false))</f>
        <v>Disponible</v>
      </c>
      <c r="D141" s="491" t="str">
        <f>IF(iserror(vlookup(A:A,Pagos!$B$5:$L141,4,false)),"Disponible",If(vlookup(A:A,Pagos!$B$5:$L141,5,false),vlookup(A:A,Pagos!$B$5:$L141,5,false),vlookup(A:A,Pagos!$B$5:$L141,4,false)))</f>
        <v>Disponible</v>
      </c>
      <c r="E141" s="492"/>
      <c r="F141" s="350" t="str">
        <f t="shared" si="3"/>
        <v/>
      </c>
      <c r="G141" s="442"/>
    </row>
  </sheetData>
  <conditionalFormatting sqref="E1:G1">
    <cfRule type="containsText" dxfId="19" priority="1" operator="containsText" text="Disponible">
      <formula>NOT(ISERROR(SEARCH(("Disponible"),(E1))))</formula>
    </cfRule>
  </conditionalFormatting>
  <conditionalFormatting sqref="B1:D141">
    <cfRule type="containsText" dxfId="9" priority="2" operator="containsText" text="Disponible">
      <formula>NOT(ISERROR(SEARCH(("Disponible"),(B1))))</formula>
    </cfRule>
  </conditionalFormatting>
  <conditionalFormatting sqref="E13:E15">
    <cfRule type="containsText" dxfId="9" priority="3" operator="containsText" text="Disponible">
      <formula>NOT(ISERROR(SEARCH(("Disponible"),(E13))))</formula>
    </cfRule>
  </conditionalFormatting>
  <conditionalFormatting sqref="E17:E21">
    <cfRule type="containsText" dxfId="9" priority="4" operator="containsText" text="Disponible">
      <formula>NOT(ISERROR(SEARCH(("Disponible"),(E17))))</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2" max="2" width="15.25"/>
    <col customWidth="1" min="3" max="3" width="29.38"/>
    <col customWidth="1" min="4" max="4" width="14.5"/>
    <col customWidth="1" min="5" max="5" width="27.75"/>
    <col customWidth="1" min="6" max="6" width="21.88"/>
    <col customWidth="1" hidden="1" min="7" max="7" width="21.88"/>
  </cols>
  <sheetData>
    <row r="1">
      <c r="A1" s="522" t="s">
        <v>4964</v>
      </c>
      <c r="B1" s="522" t="s">
        <v>4731</v>
      </c>
      <c r="C1" s="523" t="s">
        <v>25</v>
      </c>
      <c r="D1" s="484" t="s">
        <v>512</v>
      </c>
      <c r="E1" s="522" t="s">
        <v>33</v>
      </c>
      <c r="F1" s="487" t="s">
        <v>4732</v>
      </c>
      <c r="G1" s="487" t="s">
        <v>4732</v>
      </c>
    </row>
    <row r="2">
      <c r="A2" s="524" t="s">
        <v>4965</v>
      </c>
      <c r="B2" s="525" t="str">
        <f>IF(iserror(vlookup(A:A,Pagos!$B$5:$L119,2,false)),"Disponible",vlookup(A:A,Pagos!$B$5:$L119,2,false))</f>
        <v>Disponible</v>
      </c>
      <c r="C2" s="526" t="str">
        <f>IF(iserror(vlookup(A:A,Pagos!$B$5:$L119,3,false)),"Disponible",vlookup(A:A,Pagos!$B$5:$L119,3,false))</f>
        <v>Disponible</v>
      </c>
      <c r="D2" s="527" t="str">
        <f>IF(iserror(vlookup(A:A,Pagos!$B$5:$L119,4,false)),"Disponible",If(vlookup(A:A,Pagos!$B$5:$L119,5,false),vlookup(A:A,Pagos!$B$5:$L119,5,false),vlookup(A:A,Pagos!$B$5:$L119,4,false)))</f>
        <v>Disponible</v>
      </c>
      <c r="E2" s="510"/>
      <c r="F2" s="350" t="str">
        <f t="shared" ref="F2:F119" si="1">IF(G2,"Sobreasignado","")</f>
        <v/>
      </c>
      <c r="G2" s="350" t="b">
        <f>If(COUNTIF(Pagos!B:B,A2)&gt;1,true,false)</f>
        <v>0</v>
      </c>
    </row>
    <row r="3">
      <c r="A3" s="528" t="s">
        <v>4966</v>
      </c>
      <c r="B3" s="525" t="str">
        <f>IF(iserror(vlookup(A:A,Pagos!$B$5:$L119,2,false)),"Disponible",vlookup(A:A,Pagos!$B$5:$L119,2,false))</f>
        <v>Disponible</v>
      </c>
      <c r="C3" s="526" t="str">
        <f>IF(iserror(vlookup(A:A,Pagos!$B$5:$L119,3,false)),"Disponible",vlookup(A:A,Pagos!$B$5:$L119,3,false))</f>
        <v>Disponible</v>
      </c>
      <c r="D3" s="527" t="str">
        <f>IF(iserror(vlookup(A:A,Pagos!$B$5:$L119,4,false)),"Disponible",If(vlookup(A:A,Pagos!$B$5:$L119,5,false),vlookup(A:A,Pagos!$B$5:$L119,5,false),vlookup(A:A,Pagos!$B$5:$L119,4,false)))</f>
        <v>Disponible</v>
      </c>
      <c r="E3" s="510"/>
      <c r="F3" s="350" t="str">
        <f t="shared" si="1"/>
        <v/>
      </c>
      <c r="G3" s="350" t="b">
        <f>If(COUNTIF(Pagos!B:B,A3)&gt;1,true,false)</f>
        <v>0</v>
      </c>
    </row>
    <row r="4">
      <c r="A4" s="528" t="s">
        <v>4967</v>
      </c>
      <c r="B4" s="525" t="str">
        <f>IF(iserror(vlookup(A:A,Pagos!$B$5:$L119,2,false)),"Disponible",vlookup(A:A,Pagos!$B$5:$L119,2,false))</f>
        <v>Disponible</v>
      </c>
      <c r="C4" s="526" t="str">
        <f>IF(iserror(vlookup(A:A,Pagos!$B$5:$L119,3,false)),"Disponible",vlookup(A:A,Pagos!$B$5:$L119,3,false))</f>
        <v>Disponible</v>
      </c>
      <c r="D4" s="527" t="str">
        <f>IF(iserror(vlookup(A:A,Pagos!$B$5:$L119,4,false)),"Disponible",If(vlookup(A:A,Pagos!$B$5:$L119,5,false),vlookup(A:A,Pagos!$B$5:$L119,5,false),vlookup(A:A,Pagos!$B$5:$L119,4,false)))</f>
        <v>Disponible</v>
      </c>
      <c r="E4" s="510"/>
      <c r="F4" s="350" t="str">
        <f t="shared" si="1"/>
        <v/>
      </c>
      <c r="G4" s="350" t="b">
        <f>If(COUNTIF(Pagos!B:B,A4)&gt;1,true,false)</f>
        <v>0</v>
      </c>
    </row>
    <row r="5">
      <c r="A5" s="528" t="s">
        <v>4968</v>
      </c>
      <c r="B5" s="525" t="str">
        <f>IF(iserror(vlookup(A:A,Pagos!$B$5:$L119,2,false)),"Disponible",vlookup(A:A,Pagos!$B$5:$L119,2,false))</f>
        <v>Disponible</v>
      </c>
      <c r="C5" s="526" t="str">
        <f>IF(iserror(vlookup(A:A,Pagos!$B$5:$L119,3,false)),"Disponible",vlookup(A:A,Pagos!$B$5:$L119,3,false))</f>
        <v>Disponible</v>
      </c>
      <c r="D5" s="527" t="str">
        <f>IF(iserror(vlookup(A:A,Pagos!$B$5:$L119,4,false)),"Disponible",If(vlookup(A:A,Pagos!$B$5:$L119,5,false),vlookup(A:A,Pagos!$B$5:$L119,5,false),vlookup(A:A,Pagos!$B$5:$L119,4,false)))</f>
        <v>Disponible</v>
      </c>
      <c r="E5" s="510"/>
      <c r="F5" s="350" t="str">
        <f t="shared" si="1"/>
        <v/>
      </c>
      <c r="G5" s="350" t="b">
        <f>If(COUNTIF(Pagos!B:B,A5)&gt;1,true,false)</f>
        <v>0</v>
      </c>
    </row>
    <row r="6">
      <c r="A6" s="528" t="s">
        <v>4969</v>
      </c>
      <c r="B6" s="525" t="str">
        <f>IF(iserror(vlookup(A:A,Pagos!$B$5:$L119,2,false)),"Disponible",vlookup(A:A,Pagos!$B$5:$L119,2,false))</f>
        <v>Disponible</v>
      </c>
      <c r="C6" s="526" t="str">
        <f>IF(iserror(vlookup(A:A,Pagos!$B$5:$L119,3,false)),"Disponible",vlookup(A:A,Pagos!$B$5:$L119,3,false))</f>
        <v>Disponible</v>
      </c>
      <c r="D6" s="527" t="str">
        <f>IF(iserror(vlookup(A:A,Pagos!$B$5:$L119,4,false)),"Disponible",If(vlookup(A:A,Pagos!$B$5:$L119,5,false),vlookup(A:A,Pagos!$B$5:$L119,5,false),vlookup(A:A,Pagos!$B$5:$L119,4,false)))</f>
        <v>Disponible</v>
      </c>
      <c r="E6" s="510"/>
      <c r="F6" s="350" t="str">
        <f t="shared" si="1"/>
        <v/>
      </c>
      <c r="G6" s="350" t="b">
        <f>If(COUNTIF(Pagos!B:B,A6)&gt;1,true,false)</f>
        <v>0</v>
      </c>
    </row>
    <row r="7">
      <c r="A7" s="528" t="s">
        <v>4970</v>
      </c>
      <c r="B7" s="525" t="str">
        <f>IF(iserror(vlookup(A:A,Pagos!$B$5:$L119,2,false)),"Disponible",vlookup(A:A,Pagos!$B$5:$L119,2,false))</f>
        <v>Disponible</v>
      </c>
      <c r="C7" s="526" t="str">
        <f>IF(iserror(vlookup(A:A,Pagos!$B$5:$L119,3,false)),"Disponible",vlookup(A:A,Pagos!$B$5:$L119,3,false))</f>
        <v>Disponible</v>
      </c>
      <c r="D7" s="527" t="str">
        <f>IF(iserror(vlookup(A:A,Pagos!$B$5:$L119,4,false)),"Disponible",If(vlookup(A:A,Pagos!$B$5:$L119,5,false),vlookup(A:A,Pagos!$B$5:$L119,5,false),vlookup(A:A,Pagos!$B$5:$L119,4,false)))</f>
        <v>Disponible</v>
      </c>
      <c r="E7" s="510"/>
      <c r="F7" s="350" t="str">
        <f t="shared" si="1"/>
        <v/>
      </c>
      <c r="G7" s="350" t="b">
        <f>If(COUNTIF(Pagos!B:B,A7)&gt;1,true,false)</f>
        <v>0</v>
      </c>
    </row>
    <row r="8">
      <c r="A8" s="528" t="s">
        <v>4971</v>
      </c>
      <c r="B8" s="525" t="str">
        <f>IF(iserror(vlookup(A:A,Pagos!$B$5:$L119,2,false)),"Disponible",vlookup(A:A,Pagos!$B$5:$L119,2,false))</f>
        <v>Disponible</v>
      </c>
      <c r="C8" s="526" t="str">
        <f>IF(iserror(vlookup(A:A,Pagos!$B$5:$L119,3,false)),"Disponible",vlookup(A:A,Pagos!$B$5:$L119,3,false))</f>
        <v>Disponible</v>
      </c>
      <c r="D8" s="527" t="str">
        <f>IF(iserror(vlookup(A:A,Pagos!$B$5:$L119,4,false)),"Disponible",If(vlookup(A:A,Pagos!$B$5:$L119,5,false),vlookup(A:A,Pagos!$B$5:$L119,5,false),vlookup(A:A,Pagos!$B$5:$L119,4,false)))</f>
        <v>Disponible</v>
      </c>
      <c r="E8" s="510"/>
      <c r="F8" s="350" t="str">
        <f t="shared" si="1"/>
        <v/>
      </c>
      <c r="G8" s="350" t="b">
        <f>If(COUNTIF(Pagos!B:B,A8)&gt;1,true,false)</f>
        <v>0</v>
      </c>
    </row>
    <row r="9">
      <c r="A9" s="528" t="s">
        <v>4972</v>
      </c>
      <c r="B9" s="525" t="str">
        <f>IF(iserror(vlookup(A:A,Pagos!$B$5:$L119,2,false)),"Disponible",vlookup(A:A,Pagos!$B$5:$L119,2,false))</f>
        <v>Disponible</v>
      </c>
      <c r="C9" s="526" t="str">
        <f>IF(iserror(vlookup(A:A,Pagos!$B$5:$L119,3,false)),"Disponible",vlookup(A:A,Pagos!$B$5:$L119,3,false))</f>
        <v>Disponible</v>
      </c>
      <c r="D9" s="527" t="str">
        <f>IF(iserror(vlookup(A:A,Pagos!$B$5:$L119,4,false)),"Disponible",If(vlookup(A:A,Pagos!$B$5:$L119,5,false),vlookup(A:A,Pagos!$B$5:$L119,5,false),vlookup(A:A,Pagos!$B$5:$L119,4,false)))</f>
        <v>Disponible</v>
      </c>
      <c r="E9" s="510"/>
      <c r="F9" s="350" t="str">
        <f t="shared" si="1"/>
        <v/>
      </c>
      <c r="G9" s="350" t="b">
        <f>If(COUNTIF(Pagos!B:B,A9)&gt;1,true,false)</f>
        <v>0</v>
      </c>
    </row>
    <row r="10">
      <c r="A10" s="528" t="s">
        <v>4973</v>
      </c>
      <c r="B10" s="525" t="str">
        <f>IF(iserror(vlookup(A:A,Pagos!$B$5:$L119,2,false)),"Disponible",vlookup(A:A,Pagos!$B$5:$L119,2,false))</f>
        <v>Disponible</v>
      </c>
      <c r="C10" s="526" t="str">
        <f>IF(iserror(vlookup(A:A,Pagos!$B$5:$L119,3,false)),"Disponible",vlookup(A:A,Pagos!$B$5:$L119,3,false))</f>
        <v>Disponible</v>
      </c>
      <c r="D10" s="527" t="str">
        <f>IF(iserror(vlookup(A:A,Pagos!$B$5:$L119,4,false)),"Disponible",If(vlookup(A:A,Pagos!$B$5:$L119,5,false),vlookup(A:A,Pagos!$B$5:$L119,5,false),vlookup(A:A,Pagos!$B$5:$L119,4,false)))</f>
        <v>Disponible</v>
      </c>
      <c r="E10" s="510"/>
      <c r="F10" s="350" t="str">
        <f t="shared" si="1"/>
        <v/>
      </c>
      <c r="G10" s="350" t="b">
        <f>If(COUNTIF(Pagos!B:B,A10)&gt;1,true,false)</f>
        <v>0</v>
      </c>
    </row>
    <row r="11">
      <c r="A11" s="528" t="s">
        <v>4974</v>
      </c>
      <c r="B11" s="525" t="str">
        <f>IF(iserror(vlookup(A:A,Pagos!$B$5:$L119,2,false)),"Disponible",vlookup(A:A,Pagos!$B$5:$L119,2,false))</f>
        <v>Disponible</v>
      </c>
      <c r="C11" s="526" t="str">
        <f>IF(iserror(vlookup(A:A,Pagos!$B$5:$L119,3,false)),"Disponible",vlookup(A:A,Pagos!$B$5:$L119,3,false))</f>
        <v>Disponible</v>
      </c>
      <c r="D11" s="527" t="str">
        <f>IF(iserror(vlookup(A:A,Pagos!$B$5:$L119,4,false)),"Disponible",If(vlookup(A:A,Pagos!$B$5:$L119,5,false),vlookup(A:A,Pagos!$B$5:$L119,5,false),vlookup(A:A,Pagos!$B$5:$L119,4,false)))</f>
        <v>Disponible</v>
      </c>
      <c r="E11" s="510"/>
      <c r="F11" s="350" t="str">
        <f t="shared" si="1"/>
        <v/>
      </c>
      <c r="G11" s="350" t="b">
        <f>If(COUNTIF(Pagos!B:B,A11)&gt;1,true,false)</f>
        <v>0</v>
      </c>
    </row>
    <row r="12">
      <c r="A12" s="528" t="s">
        <v>4975</v>
      </c>
      <c r="B12" s="525" t="str">
        <f>IF(iserror(vlookup(A:A,Pagos!$B$5:$L119,2,false)),"Disponible",vlookup(A:A,Pagos!$B$5:$L119,2,false))</f>
        <v>Disponible</v>
      </c>
      <c r="C12" s="526" t="str">
        <f>IF(iserror(vlookup(A:A,Pagos!$B$5:$L119,3,false)),"Disponible",vlookup(A:A,Pagos!$B$5:$L119,3,false))</f>
        <v>Disponible</v>
      </c>
      <c r="D12" s="527" t="str">
        <f>IF(iserror(vlookup(A:A,Pagos!$B$5:$L119,4,false)),"Disponible",If(vlookup(A:A,Pagos!$B$5:$L119,5,false),vlookup(A:A,Pagos!$B$5:$L119,5,false),vlookup(A:A,Pagos!$B$5:$L119,4,false)))</f>
        <v>Disponible</v>
      </c>
      <c r="E12" s="510"/>
      <c r="F12" s="350" t="str">
        <f t="shared" si="1"/>
        <v/>
      </c>
      <c r="G12" s="350" t="b">
        <f>If(COUNTIF(Pagos!B:B,A12)&gt;1,true,false)</f>
        <v>0</v>
      </c>
    </row>
    <row r="13">
      <c r="A13" s="528" t="s">
        <v>4976</v>
      </c>
      <c r="B13" s="525" t="str">
        <f>IF(iserror(vlookup(A:A,Pagos!$B$5:$L119,2,false)),"Disponible",vlookup(A:A,Pagos!$B$5:$L119,2,false))</f>
        <v>Disponible</v>
      </c>
      <c r="C13" s="526" t="str">
        <f>IF(iserror(vlookup(A:A,Pagos!$B$5:$L119,3,false)),"Disponible",vlookup(A:A,Pagos!$B$5:$L119,3,false))</f>
        <v>Disponible</v>
      </c>
      <c r="D13" s="527" t="str">
        <f>IF(iserror(vlookup(A:A,Pagos!$B$5:$L119,4,false)),"Disponible",If(vlookup(A:A,Pagos!$B$5:$L119,5,false),vlookup(A:A,Pagos!$B$5:$L119,5,false),vlookup(A:A,Pagos!$B$5:$L119,4,false)))</f>
        <v>Disponible</v>
      </c>
      <c r="E13" s="510"/>
      <c r="F13" s="350" t="str">
        <f t="shared" si="1"/>
        <v/>
      </c>
      <c r="G13" s="350" t="b">
        <f>If(COUNTIF(Pagos!B:B,A13)&gt;1,true,false)</f>
        <v>0</v>
      </c>
    </row>
    <row r="14">
      <c r="A14" s="528" t="s">
        <v>4977</v>
      </c>
      <c r="B14" s="525" t="str">
        <f>IF(iserror(vlookup(A:A,Pagos!$B$5:$L119,2,false)),"Disponible",vlookup(A:A,Pagos!$B$5:$L119,2,false))</f>
        <v>Disponible</v>
      </c>
      <c r="C14" s="526" t="str">
        <f>IF(iserror(vlookup(A:A,Pagos!$B$5:$L119,3,false)),"Disponible",vlookup(A:A,Pagos!$B$5:$L119,3,false))</f>
        <v>Disponible</v>
      </c>
      <c r="D14" s="527" t="str">
        <f>IF(iserror(vlookup(A:A,Pagos!$B$5:$L119,4,false)),"Disponible",If(vlookup(A:A,Pagos!$B$5:$L119,5,false),vlookup(A:A,Pagos!$B$5:$L119,5,false),vlookup(A:A,Pagos!$B$5:$L119,4,false)))</f>
        <v>Disponible</v>
      </c>
      <c r="E14" s="510"/>
      <c r="F14" s="350" t="str">
        <f t="shared" si="1"/>
        <v/>
      </c>
      <c r="G14" s="350" t="b">
        <f>If(COUNTIF(Pagos!B:B,A14)&gt;1,true,false)</f>
        <v>0</v>
      </c>
    </row>
    <row r="15">
      <c r="A15" s="528" t="s">
        <v>4978</v>
      </c>
      <c r="B15" s="525" t="str">
        <f>IF(iserror(vlookup(A:A,Pagos!$B$5:$L119,2,false)),"Disponible",vlookup(A:A,Pagos!$B$5:$L119,2,false))</f>
        <v>Disponible</v>
      </c>
      <c r="C15" s="526" t="str">
        <f>IF(iserror(vlookup(A:A,Pagos!$B$5:$L119,3,false)),"Disponible",vlookup(A:A,Pagos!$B$5:$L119,3,false))</f>
        <v>Disponible</v>
      </c>
      <c r="D15" s="527" t="str">
        <f>IF(iserror(vlookup(A:A,Pagos!$B$5:$L119,4,false)),"Disponible",If(vlookup(A:A,Pagos!$B$5:$L119,5,false),vlookup(A:A,Pagos!$B$5:$L119,5,false),vlookup(A:A,Pagos!$B$5:$L119,4,false)))</f>
        <v>Disponible</v>
      </c>
      <c r="E15" s="510"/>
      <c r="F15" s="350" t="str">
        <f t="shared" si="1"/>
        <v/>
      </c>
      <c r="G15" s="350" t="b">
        <f>If(COUNTIF(Pagos!B:B,A15)&gt;1,true,false)</f>
        <v>0</v>
      </c>
    </row>
    <row r="16">
      <c r="A16" s="528" t="s">
        <v>4979</v>
      </c>
      <c r="B16" s="525" t="str">
        <f>IF(iserror(vlookup(A:A,Pagos!$B$5:$L119,2,false)),"Disponible",vlookup(A:A,Pagos!$B$5:$L119,2,false))</f>
        <v>Disponible</v>
      </c>
      <c r="C16" s="526" t="str">
        <f>IF(iserror(vlookup(A:A,Pagos!$B$5:$L119,3,false)),"Disponible",vlookup(A:A,Pagos!$B$5:$L119,3,false))</f>
        <v>Disponible</v>
      </c>
      <c r="D16" s="527" t="str">
        <f>IF(iserror(vlookup(A:A,Pagos!$B$5:$L119,4,false)),"Disponible",If(vlookup(A:A,Pagos!$B$5:$L119,5,false),vlookup(A:A,Pagos!$B$5:$L119,5,false),vlookup(A:A,Pagos!$B$5:$L119,4,false)))</f>
        <v>Disponible</v>
      </c>
      <c r="E16" s="510"/>
      <c r="F16" s="350" t="str">
        <f t="shared" si="1"/>
        <v/>
      </c>
      <c r="G16" s="350" t="b">
        <f>If(COUNTIF(Pagos!B:B,A16)&gt;1,true,false)</f>
        <v>0</v>
      </c>
    </row>
    <row r="17">
      <c r="A17" s="528" t="s">
        <v>4980</v>
      </c>
      <c r="B17" s="525" t="str">
        <f>IF(iserror(vlookup(A:A,Pagos!$B$5:$L119,2,false)),"Disponible",vlookup(A:A,Pagos!$B$5:$L119,2,false))</f>
        <v>Disponible</v>
      </c>
      <c r="C17" s="526" t="str">
        <f>IF(iserror(vlookup(A:A,Pagos!$B$5:$L119,3,false)),"Disponible",vlookup(A:A,Pagos!$B$5:$L119,3,false))</f>
        <v>Disponible</v>
      </c>
      <c r="D17" s="527" t="str">
        <f>IF(iserror(vlookup(A:A,Pagos!$B$5:$L119,4,false)),"Disponible",If(vlookup(A:A,Pagos!$B$5:$L119,5,false),vlookup(A:A,Pagos!$B$5:$L119,5,false),vlookup(A:A,Pagos!$B$5:$L119,4,false)))</f>
        <v>Disponible</v>
      </c>
      <c r="E17" s="510"/>
      <c r="F17" s="350" t="str">
        <f t="shared" si="1"/>
        <v/>
      </c>
      <c r="G17" s="350" t="b">
        <f>If(COUNTIF(Pagos!B:B,A17)&gt;1,true,false)</f>
        <v>0</v>
      </c>
    </row>
    <row r="18">
      <c r="A18" s="528" t="s">
        <v>4981</v>
      </c>
      <c r="B18" s="525" t="str">
        <f>IF(iserror(vlookup(A:A,Pagos!$B$5:$L119,2,false)),"Disponible",vlookup(A:A,Pagos!$B$5:$L119,2,false))</f>
        <v>Disponible</v>
      </c>
      <c r="C18" s="526" t="str">
        <f>IF(iserror(vlookup(A:A,Pagos!$B$5:$L119,3,false)),"Disponible",vlookup(A:A,Pagos!$B$5:$L119,3,false))</f>
        <v>Disponible</v>
      </c>
      <c r="D18" s="527" t="str">
        <f>IF(iserror(vlookup(A:A,Pagos!$B$5:$L119,4,false)),"Disponible",If(vlookup(A:A,Pagos!$B$5:$L119,5,false),vlookup(A:A,Pagos!$B$5:$L119,5,false),vlookup(A:A,Pagos!$B$5:$L119,4,false)))</f>
        <v>Disponible</v>
      </c>
      <c r="E18" s="510"/>
      <c r="F18" s="350" t="str">
        <f t="shared" si="1"/>
        <v/>
      </c>
      <c r="G18" s="350" t="b">
        <f>If(COUNTIF(Pagos!B:B,A18)&gt;1,true,false)</f>
        <v>0</v>
      </c>
    </row>
    <row r="19">
      <c r="A19" s="528" t="s">
        <v>4982</v>
      </c>
      <c r="B19" s="525" t="str">
        <f>IF(iserror(vlookup(A:A,Pagos!$B$5:$L119,2,false)),"Disponible",vlookup(A:A,Pagos!$B$5:$L119,2,false))</f>
        <v>Disponible</v>
      </c>
      <c r="C19" s="526" t="str">
        <f>IF(iserror(vlookup(A:A,Pagos!$B$5:$L119,3,false)),"Disponible",vlookup(A:A,Pagos!$B$5:$L119,3,false))</f>
        <v>Disponible</v>
      </c>
      <c r="D19" s="527" t="str">
        <f>IF(iserror(vlookup(A:A,Pagos!$B$5:$L119,4,false)),"Disponible",If(vlookup(A:A,Pagos!$B$5:$L119,5,false),vlookup(A:A,Pagos!$B$5:$L119,5,false),vlookup(A:A,Pagos!$B$5:$L119,4,false)))</f>
        <v>Disponible</v>
      </c>
      <c r="E19" s="529"/>
      <c r="F19" s="350" t="str">
        <f t="shared" si="1"/>
        <v/>
      </c>
      <c r="G19" s="350" t="b">
        <f>If(COUNTIF(Pagos!B:B,A19)&gt;1,true,false)</f>
        <v>0</v>
      </c>
    </row>
    <row r="20">
      <c r="A20" s="528" t="s">
        <v>4983</v>
      </c>
      <c r="B20" s="525" t="str">
        <f>IF(iserror(vlookup(A:A,Pagos!$B$5:$L119,2,false)),"Disponible",vlookup(A:A,Pagos!$B$5:$L119,2,false))</f>
        <v>Disponible</v>
      </c>
      <c r="C20" s="526" t="str">
        <f>IF(iserror(vlookup(A:A,Pagos!$B$5:$L119,3,false)),"Disponible",vlookup(A:A,Pagos!$B$5:$L119,3,false))</f>
        <v>Disponible</v>
      </c>
      <c r="D20" s="527" t="str">
        <f>IF(iserror(vlookup(A:A,Pagos!$B$5:$L119,4,false)),"Disponible",If(vlookup(A:A,Pagos!$B$5:$L119,5,false),vlookup(A:A,Pagos!$B$5:$L119,5,false),vlookup(A:A,Pagos!$B$5:$L119,4,false)))</f>
        <v>Disponible</v>
      </c>
      <c r="E20" s="529"/>
      <c r="F20" s="350" t="str">
        <f t="shared" si="1"/>
        <v/>
      </c>
      <c r="G20" s="350" t="b">
        <f>If(COUNTIF(Pagos!B:B,A20)&gt;1,true,false)</f>
        <v>0</v>
      </c>
    </row>
    <row r="21">
      <c r="A21" s="528" t="s">
        <v>4984</v>
      </c>
      <c r="B21" s="525" t="str">
        <f>IF(iserror(vlookup(A:A,Pagos!$B$5:$L119,2,false)),"Disponible",vlookup(A:A,Pagos!$B$5:$L119,2,false))</f>
        <v>Disponible</v>
      </c>
      <c r="C21" s="526" t="str">
        <f>IF(iserror(vlookup(A:A,Pagos!$B$5:$L119,3,false)),"Disponible",vlookup(A:A,Pagos!$B$5:$L119,3,false))</f>
        <v>Disponible</v>
      </c>
      <c r="D21" s="527" t="str">
        <f>IF(iserror(vlookup(A:A,Pagos!$B$5:$L119,4,false)),"Disponible",If(vlookup(A:A,Pagos!$B$5:$L119,5,false),vlookup(A:A,Pagos!$B$5:$L119,5,false),vlookup(A:A,Pagos!$B$5:$L119,4,false)))</f>
        <v>Disponible</v>
      </c>
      <c r="E21" s="529"/>
      <c r="F21" s="350" t="str">
        <f t="shared" si="1"/>
        <v/>
      </c>
      <c r="G21" s="350" t="b">
        <f>If(COUNTIF(Pagos!B:B,A21)&gt;1,true,false)</f>
        <v>0</v>
      </c>
    </row>
    <row r="22">
      <c r="A22" s="528" t="s">
        <v>4985</v>
      </c>
      <c r="B22" s="525" t="str">
        <f>IF(iserror(vlookup(A:A,Pagos!$B$5:$L119,2,false)),"Disponible",vlookup(A:A,Pagos!$B$5:$L119,2,false))</f>
        <v>Disponible</v>
      </c>
      <c r="C22" s="526" t="str">
        <f>IF(iserror(vlookup(A:A,Pagos!$B$5:$L119,3,false)),"Disponible",vlookup(A:A,Pagos!$B$5:$L119,3,false))</f>
        <v>Disponible</v>
      </c>
      <c r="D22" s="527" t="str">
        <f>IF(iserror(vlookup(A:A,Pagos!$B$5:$L119,4,false)),"Disponible",If(vlookup(A:A,Pagos!$B$5:$L119,5,false),vlookup(A:A,Pagos!$B$5:$L119,5,false),vlookup(A:A,Pagos!$B$5:$L119,4,false)))</f>
        <v>Disponible</v>
      </c>
      <c r="E22" s="530" t="s">
        <v>4986</v>
      </c>
      <c r="F22" s="350" t="str">
        <f t="shared" si="1"/>
        <v/>
      </c>
      <c r="G22" s="350" t="b">
        <f>If(COUNTIF(Pagos!B:B,A22)&gt;1,true,false)</f>
        <v>0</v>
      </c>
    </row>
    <row r="23">
      <c r="A23" s="528" t="s">
        <v>4987</v>
      </c>
      <c r="B23" s="525" t="str">
        <f>IF(iserror(vlookup(A:A,Pagos!$B$5:$L119,2,false)),"Disponible",vlookup(A:A,Pagos!$B$5:$L119,2,false))</f>
        <v>Disponible</v>
      </c>
      <c r="C23" s="526" t="str">
        <f>IF(iserror(vlookup(A:A,Pagos!$B$5:$L119,3,false)),"Disponible",vlookup(A:A,Pagos!$B$5:$L119,3,false))</f>
        <v>Disponible</v>
      </c>
      <c r="D23" s="527" t="str">
        <f>IF(iserror(vlookup(A:A,Pagos!$B$5:$L119,4,false)),"Disponible",If(vlookup(A:A,Pagos!$B$5:$L119,5,false),vlookup(A:A,Pagos!$B$5:$L119,5,false),vlookup(A:A,Pagos!$B$5:$L119,4,false)))</f>
        <v>Disponible</v>
      </c>
      <c r="E23" s="510"/>
      <c r="F23" s="350" t="str">
        <f t="shared" si="1"/>
        <v/>
      </c>
      <c r="G23" s="350" t="b">
        <f>If(COUNTIF(Pagos!B:B,A23)&gt;1,true,false)</f>
        <v>0</v>
      </c>
    </row>
    <row r="24">
      <c r="A24" s="528" t="s">
        <v>4988</v>
      </c>
      <c r="B24" s="525" t="str">
        <f>IF(iserror(vlookup(A:A,Pagos!$B$5:$L119,2,false)),"Disponible",vlookup(A:A,Pagos!$B$5:$L119,2,false))</f>
        <v>Disponible</v>
      </c>
      <c r="C24" s="526" t="str">
        <f>IF(iserror(vlookup(A:A,Pagos!$B$5:$L119,3,false)),"Disponible",vlookup(A:A,Pagos!$B$5:$L119,3,false))</f>
        <v>Disponible</v>
      </c>
      <c r="D24" s="527" t="str">
        <f>IF(iserror(vlookup(A:A,Pagos!$B$5:$L119,4,false)),"Disponible",If(vlookup(A:A,Pagos!$B$5:$L119,5,false),vlookup(A:A,Pagos!$B$5:$L119,5,false),vlookup(A:A,Pagos!$B$5:$L119,4,false)))</f>
        <v>Disponible</v>
      </c>
      <c r="E24" s="510"/>
      <c r="F24" s="350" t="str">
        <f t="shared" si="1"/>
        <v/>
      </c>
      <c r="G24" s="350" t="b">
        <f>If(COUNTIF(Pagos!B:B,A24)&gt;1,true,false)</f>
        <v>0</v>
      </c>
    </row>
    <row r="25">
      <c r="A25" s="528" t="s">
        <v>4989</v>
      </c>
      <c r="B25" s="525" t="str">
        <f>IF(iserror(vlookup(A:A,Pagos!$B$5:$L119,2,false)),"Disponible",vlookup(A:A,Pagos!$B$5:$L119,2,false))</f>
        <v>Disponible</v>
      </c>
      <c r="C25" s="526" t="str">
        <f>IF(iserror(vlookup(A:A,Pagos!$B$5:$L119,3,false)),"Disponible",vlookup(A:A,Pagos!$B$5:$L119,3,false))</f>
        <v>Disponible</v>
      </c>
      <c r="D25" s="527" t="str">
        <f>IF(iserror(vlookup(A:A,Pagos!$B$5:$L119,4,false)),"Disponible",If(vlookup(A:A,Pagos!$B$5:$L119,5,false),vlookup(A:A,Pagos!$B$5:$L119,5,false),vlookup(A:A,Pagos!$B$5:$L119,4,false)))</f>
        <v>Disponible</v>
      </c>
      <c r="E25" s="529"/>
      <c r="F25" s="350" t="str">
        <f t="shared" si="1"/>
        <v/>
      </c>
      <c r="G25" s="350" t="b">
        <f>If(COUNTIF(Pagos!B:B,A25)&gt;1,true,false)</f>
        <v>0</v>
      </c>
    </row>
    <row r="26">
      <c r="A26" s="528" t="s">
        <v>4990</v>
      </c>
      <c r="B26" s="525" t="str">
        <f>IF(iserror(vlookup(A:A,Pagos!$B$5:$L119,2,false)),"Disponible",vlookup(A:A,Pagos!$B$5:$L119,2,false))</f>
        <v>Disponible</v>
      </c>
      <c r="C26" s="526" t="str">
        <f>IF(iserror(vlookup(A:A,Pagos!$B$5:$L119,3,false)),"Disponible",vlookup(A:A,Pagos!$B$5:$L119,3,false))</f>
        <v>Disponible</v>
      </c>
      <c r="D26" s="527" t="str">
        <f>IF(iserror(vlookup(A:A,Pagos!$B$5:$L119,4,false)),"Disponible",If(vlookup(A:A,Pagos!$B$5:$L119,5,false),vlookup(A:A,Pagos!$B$5:$L119,5,false),vlookup(A:A,Pagos!$B$5:$L119,4,false)))</f>
        <v>Disponible</v>
      </c>
      <c r="E26" s="529"/>
      <c r="F26" s="350" t="str">
        <f t="shared" si="1"/>
        <v/>
      </c>
      <c r="G26" s="350" t="b">
        <f>If(COUNTIF(Pagos!B:B,A26)&gt;1,true,false)</f>
        <v>0</v>
      </c>
    </row>
    <row r="27">
      <c r="A27" s="528" t="s">
        <v>4991</v>
      </c>
      <c r="B27" s="525" t="str">
        <f>IF(iserror(vlookup(A:A,Pagos!$B$5:$L119,2,false)),"Disponible",vlookup(A:A,Pagos!$B$5:$L119,2,false))</f>
        <v>Disponible</v>
      </c>
      <c r="C27" s="526" t="str">
        <f>IF(iserror(vlookup(A:A,Pagos!$B$5:$L119,3,false)),"Disponible",vlookup(A:A,Pagos!$B$5:$L119,3,false))</f>
        <v>Disponible</v>
      </c>
      <c r="D27" s="527" t="str">
        <f>IF(iserror(vlookup(A:A,Pagos!$B$5:$L119,4,false)),"Disponible",If(vlookup(A:A,Pagos!$B$5:$L119,5,false),vlookup(A:A,Pagos!$B$5:$L119,5,false),vlookup(A:A,Pagos!$B$5:$L119,4,false)))</f>
        <v>Disponible</v>
      </c>
      <c r="E27" s="510"/>
      <c r="F27" s="350" t="str">
        <f t="shared" si="1"/>
        <v/>
      </c>
      <c r="G27" s="350" t="b">
        <f>If(COUNTIF(Pagos!B:B,A27)&gt;1,true,false)</f>
        <v>0</v>
      </c>
    </row>
    <row r="28">
      <c r="A28" s="528" t="s">
        <v>4992</v>
      </c>
      <c r="B28" s="525" t="str">
        <f>IF(iserror(vlookup(A:A,Pagos!$B$5:$L119,2,false)),"Disponible",vlookup(A:A,Pagos!$B$5:$L119,2,false))</f>
        <v>Disponible</v>
      </c>
      <c r="C28" s="526" t="str">
        <f>IF(iserror(vlookup(A:A,Pagos!$B$5:$L119,3,false)),"Disponible",vlookup(A:A,Pagos!$B$5:$L119,3,false))</f>
        <v>Disponible</v>
      </c>
      <c r="D28" s="527" t="str">
        <f>IF(iserror(vlookup(A:A,Pagos!$B$5:$L119,4,false)),"Disponible",If(vlookup(A:A,Pagos!$B$5:$L119,5,false),vlookup(A:A,Pagos!$B$5:$L119,5,false),vlookup(A:A,Pagos!$B$5:$L119,4,false)))</f>
        <v>Disponible</v>
      </c>
      <c r="E28" s="529"/>
      <c r="F28" s="350" t="str">
        <f t="shared" si="1"/>
        <v/>
      </c>
      <c r="G28" s="350" t="b">
        <f>If(COUNTIF(Pagos!B:B,A28)&gt;1,true,false)</f>
        <v>0</v>
      </c>
    </row>
    <row r="29">
      <c r="A29" s="528" t="s">
        <v>4993</v>
      </c>
      <c r="B29" s="525" t="str">
        <f>IF(iserror(vlookup(A:A,Pagos!$B$5:$L119,2,false)),"Disponible",vlookup(A:A,Pagos!$B$5:$L119,2,false))</f>
        <v>Disponible</v>
      </c>
      <c r="C29" s="526" t="str">
        <f>IF(iserror(vlookup(A:A,Pagos!$B$5:$L119,3,false)),"Disponible",vlookup(A:A,Pagos!$B$5:$L119,3,false))</f>
        <v>Disponible</v>
      </c>
      <c r="D29" s="527" t="str">
        <f>IF(iserror(vlookup(A:A,Pagos!$B$5:$L119,4,false)),"Disponible",If(vlookup(A:A,Pagos!$B$5:$L119,5,false),vlookup(A:A,Pagos!$B$5:$L119,5,false),vlookup(A:A,Pagos!$B$5:$L119,4,false)))</f>
        <v>Disponible</v>
      </c>
      <c r="E29" s="529"/>
      <c r="F29" s="350" t="str">
        <f t="shared" si="1"/>
        <v/>
      </c>
      <c r="G29" s="350" t="b">
        <f>If(COUNTIF(Pagos!B:B,A29)&gt;1,true,false)</f>
        <v>0</v>
      </c>
    </row>
    <row r="30">
      <c r="A30" s="528" t="s">
        <v>4994</v>
      </c>
      <c r="B30" s="525" t="str">
        <f>IF(iserror(vlookup(A:A,Pagos!$B$5:$L119,2,false)),"Disponible",vlookup(A:A,Pagos!$B$5:$L119,2,false))</f>
        <v>Disponible</v>
      </c>
      <c r="C30" s="526" t="str">
        <f>IF(iserror(vlookup(A:A,Pagos!$B$5:$L119,3,false)),"Disponible",vlookup(A:A,Pagos!$B$5:$L119,3,false))</f>
        <v>Disponible</v>
      </c>
      <c r="D30" s="527" t="str">
        <f>IF(iserror(vlookup(A:A,Pagos!$B$5:$L119,4,false)),"Disponible",If(vlookup(A:A,Pagos!$B$5:$L119,5,false),vlookup(A:A,Pagos!$B$5:$L119,5,false),vlookup(A:A,Pagos!$B$5:$L119,4,false)))</f>
        <v>Disponible</v>
      </c>
      <c r="E30" s="529"/>
      <c r="F30" s="350" t="str">
        <f t="shared" si="1"/>
        <v/>
      </c>
      <c r="G30" s="350" t="b">
        <f>If(COUNTIF(Pagos!B:B,A30)&gt;1,true,false)</f>
        <v>0</v>
      </c>
    </row>
    <row r="31">
      <c r="A31" s="528" t="s">
        <v>221</v>
      </c>
      <c r="B31" s="525">
        <f>IF(iserror(vlookup(A:A,Pagos!$B$5:$L119,2,false)),"Disponible",vlookup(A:A,Pagos!$B$5:$L119,2,false))</f>
        <v>1720</v>
      </c>
      <c r="C31" s="526" t="str">
        <f>IF(iserror(vlookup(A:A,Pagos!$B$5:$L119,3,false)),"Disponible",vlookup(A:A,Pagos!$B$5:$L119,3,false))</f>
        <v>PUPO, JOSE</v>
      </c>
      <c r="D31" s="527">
        <f>IF(iserror(vlookup(A:A,Pagos!$B$5:$L119,4,false)),"Disponible",If(vlookup(A:A,Pagos!$B$5:$L119,5,false),vlookup(A:A,Pagos!$B$5:$L119,5,false),vlookup(A:A,Pagos!$B$5:$L119,4,false)))</f>
        <v>45992</v>
      </c>
      <c r="E31" s="510"/>
      <c r="F31" s="350" t="str">
        <f t="shared" si="1"/>
        <v/>
      </c>
      <c r="G31" s="350" t="b">
        <f>If(COUNTIF(Pagos!B:B,A31)&gt;1,true,false)</f>
        <v>0</v>
      </c>
    </row>
    <row r="32">
      <c r="A32" s="528" t="s">
        <v>209</v>
      </c>
      <c r="B32" s="525">
        <f>IF(iserror(vlookup(A:A,Pagos!$B$5:$L119,2,false)),"Disponible",vlookup(A:A,Pagos!$B$5:$L119,2,false))</f>
        <v>1678</v>
      </c>
      <c r="C32" s="526" t="str">
        <f>IF(iserror(vlookup(A:A,Pagos!$B$5:$L119,3,false)),"Disponible",vlookup(A:A,Pagos!$B$5:$L119,3,false))</f>
        <v>SPAHR, ELISA</v>
      </c>
      <c r="D32" s="527">
        <f>IF(iserror(vlookup(A:A,Pagos!$B$5:$L119,4,false)),"Disponible",If(vlookup(A:A,Pagos!$B$5:$L119,5,false),vlookup(A:A,Pagos!$B$5:$L119,5,false),vlookup(A:A,Pagos!$B$5:$L119,4,false)))</f>
        <v>45992</v>
      </c>
      <c r="E32" s="510"/>
      <c r="F32" s="350" t="str">
        <f t="shared" si="1"/>
        <v/>
      </c>
      <c r="G32" s="350" t="b">
        <f>If(COUNTIF(Pagos!B:B,A32)&gt;1,true,false)</f>
        <v>0</v>
      </c>
    </row>
    <row r="33">
      <c r="A33" s="528" t="s">
        <v>320</v>
      </c>
      <c r="B33" s="525">
        <f>IF(iserror(vlookup(A:A,Pagos!$B$5:$L119,2,false)),"Disponible",vlookup(A:A,Pagos!$B$5:$L119,2,false))</f>
        <v>1991</v>
      </c>
      <c r="C33" s="526" t="str">
        <f>IF(iserror(vlookup(A:A,Pagos!$B$5:$L119,3,false)),"Disponible",vlookup(A:A,Pagos!$B$5:$L119,3,false))</f>
        <v>JAIME CARLOS OSCAR</v>
      </c>
      <c r="D33" s="527">
        <f>IF(iserror(vlookup(A:A,Pagos!$B$5:$L119,4,false)),"Disponible",If(vlookup(A:A,Pagos!$B$5:$L119,5,false),vlookup(A:A,Pagos!$B$5:$L119,5,false),vlookup(A:A,Pagos!$B$5:$L119,4,false)))</f>
        <v>45992</v>
      </c>
      <c r="E33" s="529"/>
      <c r="F33" s="350" t="str">
        <f t="shared" si="1"/>
        <v/>
      </c>
      <c r="G33" s="350" t="b">
        <f>If(COUNTIF(Pagos!B:B,A33)&gt;1,true,false)</f>
        <v>0</v>
      </c>
    </row>
    <row r="34">
      <c r="A34" s="528" t="s">
        <v>127</v>
      </c>
      <c r="B34" s="525">
        <f>IF(iserror(vlookup(A:A,Pagos!$B$5:$L119,2,false)),"Disponible",vlookup(A:A,Pagos!$B$5:$L119,2,false))</f>
        <v>1366</v>
      </c>
      <c r="C34" s="526" t="str">
        <f>IF(iserror(vlookup(A:A,Pagos!$B$5:$L119,3,false)),"Disponible",vlookup(A:A,Pagos!$B$5:$L119,3,false))</f>
        <v>PELLETIERI, GUSTAVO</v>
      </c>
      <c r="D34" s="527">
        <f>IF(iserror(vlookup(A:A,Pagos!$B$5:$L119,4,false)),"Disponible",If(vlookup(A:A,Pagos!$B$5:$L119,5,false),vlookup(A:A,Pagos!$B$5:$L119,5,false),vlookup(A:A,Pagos!$B$5:$L119,4,false)))</f>
        <v>45992</v>
      </c>
      <c r="E34" s="529"/>
      <c r="F34" s="350" t="str">
        <f t="shared" si="1"/>
        <v/>
      </c>
      <c r="G34" s="350" t="b">
        <f>If(COUNTIF(Pagos!B:B,A34)&gt;1,true,false)</f>
        <v>0</v>
      </c>
    </row>
    <row r="35">
      <c r="A35" s="528" t="s">
        <v>43</v>
      </c>
      <c r="B35" s="525">
        <f>IF(iserror(vlookup(A:A,Pagos!$B$5:$L119,2,false)),"Disponible",vlookup(A:A,Pagos!$B$5:$L119,2,false))</f>
        <v>14</v>
      </c>
      <c r="C35" s="526" t="str">
        <f>IF(iserror(vlookup(A:A,Pagos!$B$5:$L119,3,false)),"Disponible",vlookup(A:A,Pagos!$B$5:$L119,3,false))</f>
        <v>CABRERA, RICARDO JORGE</v>
      </c>
      <c r="D35" s="527">
        <f>IF(iserror(vlookup(A:A,Pagos!$B$5:$L119,4,false)),"Disponible",If(vlookup(A:A,Pagos!$B$5:$L119,5,false),vlookup(A:A,Pagos!$B$5:$L119,5,false),vlookup(A:A,Pagos!$B$5:$L119,4,false)))</f>
        <v>45992</v>
      </c>
      <c r="E35" s="529"/>
      <c r="F35" s="350" t="str">
        <f t="shared" si="1"/>
        <v/>
      </c>
      <c r="G35" s="350" t="b">
        <f>If(COUNTIF(Pagos!B:B,A35)&gt;1,true,false)</f>
        <v>0</v>
      </c>
    </row>
    <row r="36">
      <c r="A36" s="528" t="s">
        <v>4995</v>
      </c>
      <c r="B36" s="525" t="str">
        <f>IF(iserror(vlookup(A:A,Pagos!$B$5:$L119,2,false)),"Disponible",vlookup(A:A,Pagos!$B$5:$L119,2,false))</f>
        <v>Disponible</v>
      </c>
      <c r="C36" s="526" t="str">
        <f>IF(iserror(vlookup(A:A,Pagos!$B$5:$L119,3,false)),"Disponible",vlookup(A:A,Pagos!$B$5:$L119,3,false))</f>
        <v>Disponible</v>
      </c>
      <c r="D36" s="527" t="str">
        <f>IF(iserror(vlookup(A:A,Pagos!$B$5:$L119,4,false)),"Disponible",If(vlookup(A:A,Pagos!$B$5:$L119,5,false),vlookup(A:A,Pagos!$B$5:$L119,5,false),vlookup(A:A,Pagos!$B$5:$L119,4,false)))</f>
        <v>Disponible</v>
      </c>
      <c r="E36" s="529"/>
      <c r="F36" s="350" t="str">
        <f t="shared" si="1"/>
        <v/>
      </c>
      <c r="G36" s="350" t="b">
        <f>If(COUNTIF(Pagos!B:B,A36)&gt;1,true,false)</f>
        <v>0</v>
      </c>
    </row>
    <row r="37">
      <c r="A37" s="528" t="s">
        <v>459</v>
      </c>
      <c r="B37" s="525">
        <f>IF(iserror(vlookup(A:A,Pagos!$B$5:$L119,2,false)),"Disponible",vlookup(A:A,Pagos!$B$5:$L119,2,false))</f>
        <v>2292</v>
      </c>
      <c r="C37" s="526" t="str">
        <f>IF(iserror(vlookup(A:A,Pagos!$B$5:$L119,3,false)),"Disponible",vlookup(A:A,Pagos!$B$5:$L119,3,false))</f>
        <v>ASPREA, MARTIN</v>
      </c>
      <c r="D37" s="527">
        <f>IF(iserror(vlookup(A:A,Pagos!$B$5:$L119,4,false)),"Disponible",If(vlookup(A:A,Pagos!$B$5:$L119,5,false),vlookup(A:A,Pagos!$B$5:$L119,5,false),vlookup(A:A,Pagos!$B$5:$L119,4,false)))</f>
        <v>45992</v>
      </c>
      <c r="E37" s="510"/>
      <c r="F37" s="350" t="str">
        <f t="shared" si="1"/>
        <v/>
      </c>
      <c r="G37" s="350" t="b">
        <f>If(COUNTIF(Pagos!B:B,A37)&gt;1,true,false)</f>
        <v>0</v>
      </c>
    </row>
    <row r="38">
      <c r="A38" s="528" t="s">
        <v>122</v>
      </c>
      <c r="B38" s="525">
        <f>IF(iserror(vlookup(A:A,Pagos!$B$5:$L119,2,false)),"Disponible",vlookup(A:A,Pagos!$B$5:$L119,2,false))</f>
        <v>1321</v>
      </c>
      <c r="C38" s="526" t="str">
        <f>IF(iserror(vlookup(A:A,Pagos!$B$5:$L119,3,false)),"Disponible",vlookup(A:A,Pagos!$B$5:$L119,3,false))</f>
        <v>ROSAS, SEBASTIAN</v>
      </c>
      <c r="D38" s="527">
        <f>IF(iserror(vlookup(A:A,Pagos!$B$5:$L119,4,false)),"Disponible",If(vlookup(A:A,Pagos!$B$5:$L119,5,false),vlookup(A:A,Pagos!$B$5:$L119,5,false),vlookup(A:A,Pagos!$B$5:$L119,4,false)))</f>
        <v>45992</v>
      </c>
      <c r="E38" s="529"/>
      <c r="F38" s="350" t="str">
        <f t="shared" si="1"/>
        <v/>
      </c>
      <c r="G38" s="350" t="b">
        <f>If(COUNTIF(Pagos!B:B,A38)&gt;1,true,false)</f>
        <v>0</v>
      </c>
    </row>
    <row r="39">
      <c r="A39" s="528" t="s">
        <v>123</v>
      </c>
      <c r="B39" s="525">
        <f>IF(iserror(vlookup(A:A,Pagos!$B$5:$L119,2,false)),"Disponible",vlookup(A:A,Pagos!$B$5:$L119,2,false))</f>
        <v>1321</v>
      </c>
      <c r="C39" s="526" t="str">
        <f>IF(iserror(vlookup(A:A,Pagos!$B$5:$L119,3,false)),"Disponible",vlookup(A:A,Pagos!$B$5:$L119,3,false))</f>
        <v>ROSAS, SEBASTIAN</v>
      </c>
      <c r="D39" s="527">
        <f>IF(iserror(vlookup(A:A,Pagos!$B$5:$L119,4,false)),"Disponible",If(vlookup(A:A,Pagos!$B$5:$L119,5,false),vlookup(A:A,Pagos!$B$5:$L119,5,false),vlookup(A:A,Pagos!$B$5:$L119,4,false)))</f>
        <v>45992</v>
      </c>
      <c r="E39" s="510"/>
      <c r="F39" s="350" t="str">
        <f t="shared" si="1"/>
        <v/>
      </c>
      <c r="G39" s="350" t="b">
        <f>If(COUNTIF(Pagos!B:B,A39)&gt;1,true,false)</f>
        <v>0</v>
      </c>
    </row>
    <row r="40">
      <c r="A40" s="528" t="s">
        <v>260</v>
      </c>
      <c r="B40" s="525">
        <f>IF(iserror(vlookup(A:A,Pagos!$B$5:$L119,2,false)),"Disponible",vlookup(A:A,Pagos!$B$5:$L119,2,false))</f>
        <v>1840</v>
      </c>
      <c r="C40" s="526" t="str">
        <f>IF(iserror(vlookup(A:A,Pagos!$B$5:$L119,3,false)),"Disponible",vlookup(A:A,Pagos!$B$5:$L119,3,false))</f>
        <v>GALVAN, MA. LUZ</v>
      </c>
      <c r="D40" s="527">
        <f>IF(iserror(vlookup(A:A,Pagos!$B$5:$L119,4,false)),"Disponible",If(vlookup(A:A,Pagos!$B$5:$L119,5,false),vlookup(A:A,Pagos!$B$5:$L119,5,false),vlookup(A:A,Pagos!$B$5:$L119,4,false)))</f>
        <v>45992</v>
      </c>
      <c r="E40" s="510"/>
      <c r="F40" s="350" t="str">
        <f t="shared" si="1"/>
        <v>Sobreasignado</v>
      </c>
      <c r="G40" s="350" t="b">
        <f>If(COUNTIF(Pagos!B:B,A40)&gt;1,true,false)</f>
        <v>1</v>
      </c>
    </row>
    <row r="41">
      <c r="A41" s="528" t="s">
        <v>4996</v>
      </c>
      <c r="B41" s="525" t="str">
        <f>IF(iserror(vlookup(A:A,Pagos!$B$5:$L119,2,false)),"Disponible",vlookup(A:A,Pagos!$B$5:$L119,2,false))</f>
        <v>Disponible</v>
      </c>
      <c r="C41" s="526" t="str">
        <f>IF(iserror(vlookup(A:A,Pagos!$B$5:$L119,3,false)),"Disponible",vlookup(A:A,Pagos!$B$5:$L119,3,false))</f>
        <v>Disponible</v>
      </c>
      <c r="D41" s="527" t="str">
        <f>IF(iserror(vlookup(A:A,Pagos!$B$5:$L119,4,false)),"Disponible",If(vlookup(A:A,Pagos!$B$5:$L119,5,false),vlookup(A:A,Pagos!$B$5:$L119,5,false),vlookup(A:A,Pagos!$B$5:$L119,4,false)))</f>
        <v>Disponible</v>
      </c>
      <c r="E41" s="510"/>
      <c r="F41" s="350" t="str">
        <f t="shared" si="1"/>
        <v/>
      </c>
      <c r="G41" s="350" t="b">
        <f>If(COUNTIF(Pagos!B:B,A41)&gt;1,true,false)</f>
        <v>0</v>
      </c>
    </row>
    <row r="42">
      <c r="A42" s="528" t="s">
        <v>429</v>
      </c>
      <c r="B42" s="525">
        <f>IF(iserror(vlookup(A:A,Pagos!$B$5:$L119,2,false)),"Disponible",vlookup(A:A,Pagos!$B$5:$L119,2,false))</f>
        <v>2220</v>
      </c>
      <c r="C42" s="526" t="str">
        <f>IF(iserror(vlookup(A:A,Pagos!$B$5:$L119,3,false)),"Disponible",vlookup(A:A,Pagos!$B$5:$L119,3,false))</f>
        <v>LOFEUNDO GALINDO ELIAS</v>
      </c>
      <c r="D42" s="527">
        <f>IF(iserror(vlookup(A:A,Pagos!$B$5:$L119,4,false)),"Disponible",If(vlookup(A:A,Pagos!$B$5:$L119,5,false),vlookup(A:A,Pagos!$B$5:$L119,5,false),vlookup(A:A,Pagos!$B$5:$L119,4,false)))</f>
        <v>45992</v>
      </c>
      <c r="E42" s="529"/>
      <c r="F42" s="350" t="str">
        <f t="shared" si="1"/>
        <v/>
      </c>
      <c r="G42" s="350" t="b">
        <f>If(COUNTIF(Pagos!B:B,A42)&gt;1,true,false)</f>
        <v>0</v>
      </c>
    </row>
    <row r="43">
      <c r="A43" s="528" t="s">
        <v>303</v>
      </c>
      <c r="B43" s="525">
        <f>IF(iserror(vlookup(A:A,Pagos!$B$5:$L119,2,false)),"Disponible",vlookup(A:A,Pagos!$B$5:$L119,2,false))</f>
        <v>1938</v>
      </c>
      <c r="C43" s="526" t="str">
        <f>IF(iserror(vlookup(A:A,Pagos!$B$5:$L119,3,false)),"Disponible",vlookup(A:A,Pagos!$B$5:$L119,3,false))</f>
        <v>VILLALBA, JUAN CRUZ</v>
      </c>
      <c r="D43" s="527">
        <f>IF(iserror(vlookup(A:A,Pagos!$B$5:$L119,4,false)),"Disponible",If(vlookup(A:A,Pagos!$B$5:$L119,5,false),vlookup(A:A,Pagos!$B$5:$L119,5,false),vlookup(A:A,Pagos!$B$5:$L119,4,false)))</f>
        <v>45992</v>
      </c>
      <c r="E43" s="510"/>
      <c r="F43" s="350" t="str">
        <f t="shared" si="1"/>
        <v/>
      </c>
      <c r="G43" s="350" t="b">
        <f>If(COUNTIF(Pagos!B:B,A43)&gt;1,true,false)</f>
        <v>0</v>
      </c>
    </row>
    <row r="44">
      <c r="A44" s="528" t="s">
        <v>256</v>
      </c>
      <c r="B44" s="525">
        <f>IF(iserror(vlookup(A:A,Pagos!$B$5:$L119,2,false)),"Disponible",vlookup(A:A,Pagos!$B$5:$L119,2,false))</f>
        <v>1837</v>
      </c>
      <c r="C44" s="526" t="str">
        <f>IF(iserror(vlookup(A:A,Pagos!$B$5:$L119,3,false)),"Disponible",vlookup(A:A,Pagos!$B$5:$L119,3,false))</f>
        <v>ALMADA, GUILLERMO MARTIN</v>
      </c>
      <c r="D44" s="527">
        <f>IF(iserror(vlookup(A:A,Pagos!$B$5:$L119,4,false)),"Disponible",If(vlookup(A:A,Pagos!$B$5:$L119,5,false),vlookup(A:A,Pagos!$B$5:$L119,5,false),vlookup(A:A,Pagos!$B$5:$L119,4,false)))</f>
        <v>45992</v>
      </c>
      <c r="E44" s="510"/>
      <c r="F44" s="350" t="str">
        <f t="shared" si="1"/>
        <v/>
      </c>
      <c r="G44" s="350" t="b">
        <f>If(COUNTIF(Pagos!B:B,A44)&gt;1,true,false)</f>
        <v>0</v>
      </c>
    </row>
    <row r="45">
      <c r="A45" s="528" t="s">
        <v>181</v>
      </c>
      <c r="B45" s="525">
        <f>IF(iserror(vlookup(A:A,Pagos!$B$5:$L119,2,false)),"Disponible",vlookup(A:A,Pagos!$B$5:$L119,2,false))</f>
        <v>1618</v>
      </c>
      <c r="C45" s="526" t="str">
        <f>IF(iserror(vlookup(A:A,Pagos!$B$5:$L119,3,false)),"Disponible",vlookup(A:A,Pagos!$B$5:$L119,3,false))</f>
        <v>VILLACORTA, GERARDO</v>
      </c>
      <c r="D45" s="527">
        <f>IF(iserror(vlookup(A:A,Pagos!$B$5:$L119,4,false)),"Disponible",If(vlookup(A:A,Pagos!$B$5:$L119,5,false),vlookup(A:A,Pagos!$B$5:$L119,5,false),vlookup(A:A,Pagos!$B$5:$L119,4,false)))</f>
        <v>45992</v>
      </c>
      <c r="E45" s="510"/>
      <c r="F45" s="350" t="str">
        <f t="shared" si="1"/>
        <v/>
      </c>
      <c r="G45" s="350" t="b">
        <f>If(COUNTIF(Pagos!B:B,A45)&gt;1,true,false)</f>
        <v>0</v>
      </c>
    </row>
    <row r="46">
      <c r="A46" s="528" t="s">
        <v>4997</v>
      </c>
      <c r="B46" s="525" t="str">
        <f>IF(iserror(vlookup(A:A,Pagos!$B$5:$L119,2,false)),"Disponible",vlookup(A:A,Pagos!$B$5:$L119,2,false))</f>
        <v>Disponible</v>
      </c>
      <c r="C46" s="526" t="str">
        <f>IF(iserror(vlookup(A:A,Pagos!$B$5:$L119,3,false)),"Disponible",vlookup(A:A,Pagos!$B$5:$L119,3,false))</f>
        <v>Disponible</v>
      </c>
      <c r="D46" s="527" t="str">
        <f>IF(iserror(vlookup(A:A,Pagos!$B$5:$L119,4,false)),"Disponible",If(vlookup(A:A,Pagos!$B$5:$L119,5,false),vlookup(A:A,Pagos!$B$5:$L119,5,false),vlookup(A:A,Pagos!$B$5:$L119,4,false)))</f>
        <v>Disponible</v>
      </c>
      <c r="E46" s="510"/>
      <c r="F46" s="350" t="str">
        <f t="shared" si="1"/>
        <v/>
      </c>
      <c r="G46" s="350" t="b">
        <f>If(COUNTIF(Pagos!B:B,A46)&gt;1,true,false)</f>
        <v>0</v>
      </c>
    </row>
    <row r="47">
      <c r="A47" s="528" t="s">
        <v>227</v>
      </c>
      <c r="B47" s="525">
        <f>IF(iserror(vlookup(A:A,Pagos!$B$5:$L119,2,false)),"Disponible",vlookup(A:A,Pagos!$B$5:$L119,2,false))</f>
        <v>1727</v>
      </c>
      <c r="C47" s="526" t="str">
        <f>IF(iserror(vlookup(A:A,Pagos!$B$5:$L119,3,false)),"Disponible",vlookup(A:A,Pagos!$B$5:$L119,3,false))</f>
        <v>SALMOIRAGHI, GUILLERMO</v>
      </c>
      <c r="D47" s="527">
        <f>IF(iserror(vlookup(A:A,Pagos!$B$5:$L119,4,false)),"Disponible",If(vlookup(A:A,Pagos!$B$5:$L119,5,false),vlookup(A:A,Pagos!$B$5:$L119,5,false),vlookup(A:A,Pagos!$B$5:$L119,4,false)))</f>
        <v>45992</v>
      </c>
      <c r="E47" s="529"/>
      <c r="F47" s="350" t="str">
        <f t="shared" si="1"/>
        <v/>
      </c>
      <c r="G47" s="350" t="b">
        <f>If(COUNTIF(Pagos!B:B,A47)&gt;1,true,false)</f>
        <v>0</v>
      </c>
    </row>
    <row r="48">
      <c r="A48" s="528" t="s">
        <v>238</v>
      </c>
      <c r="B48" s="525">
        <f>IF(iserror(vlookup(A:A,Pagos!$B$5:$L119,2,false)),"Disponible",vlookup(A:A,Pagos!$B$5:$L119,2,false))</f>
        <v>1756</v>
      </c>
      <c r="C48" s="526" t="str">
        <f>IF(iserror(vlookup(A:A,Pagos!$B$5:$L119,3,false)),"Disponible",vlookup(A:A,Pagos!$B$5:$L119,3,false))</f>
        <v>PENNA, GONZALO</v>
      </c>
      <c r="D48" s="527">
        <f>IF(iserror(vlookup(A:A,Pagos!$B$5:$L119,4,false)),"Disponible",If(vlookup(A:A,Pagos!$B$5:$L119,5,false),vlookup(A:A,Pagos!$B$5:$L119,5,false),vlookup(A:A,Pagos!$B$5:$L119,4,false)))</f>
        <v>45992</v>
      </c>
      <c r="E48" s="529"/>
      <c r="F48" s="350" t="str">
        <f t="shared" si="1"/>
        <v/>
      </c>
      <c r="G48" s="350" t="b">
        <f>If(COUNTIF(Pagos!B:B,A48)&gt;1,true,false)</f>
        <v>0</v>
      </c>
    </row>
    <row r="49">
      <c r="A49" s="528" t="s">
        <v>4998</v>
      </c>
      <c r="B49" s="525" t="str">
        <f>IF(iserror(vlookup(A:A,Pagos!$B$5:$L119,2,false)),"Disponible",vlookup(A:A,Pagos!$B$5:$L119,2,false))</f>
        <v>Disponible</v>
      </c>
      <c r="C49" s="526" t="str">
        <f>IF(iserror(vlookup(A:A,Pagos!$B$5:$L119,3,false)),"Disponible",vlookup(A:A,Pagos!$B$5:$L119,3,false))</f>
        <v>Disponible</v>
      </c>
      <c r="D49" s="527" t="str">
        <f>IF(iserror(vlookup(A:A,Pagos!$B$5:$L119,4,false)),"Disponible",If(vlookup(A:A,Pagos!$B$5:$L119,5,false),vlookup(A:A,Pagos!$B$5:$L119,5,false),vlookup(A:A,Pagos!$B$5:$L119,4,false)))</f>
        <v>Disponible</v>
      </c>
      <c r="E49" s="510"/>
      <c r="F49" s="350" t="str">
        <f t="shared" si="1"/>
        <v/>
      </c>
      <c r="G49" s="350" t="b">
        <f>If(COUNTIF(Pagos!B:B,A49)&gt;1,true,false)</f>
        <v>0</v>
      </c>
    </row>
    <row r="50">
      <c r="A50" s="528" t="s">
        <v>161</v>
      </c>
      <c r="B50" s="525">
        <f>IF(iserror(vlookup(A:A,Pagos!$B$5:$L119,2,false)),"Disponible",vlookup(A:A,Pagos!$B$5:$L119,2,false))</f>
        <v>1552</v>
      </c>
      <c r="C50" s="526" t="str">
        <f>IF(iserror(vlookup(A:A,Pagos!$B$5:$L119,3,false)),"Disponible",vlookup(A:A,Pagos!$B$5:$L119,3,false))</f>
        <v>MARKARIAN, DANIEL</v>
      </c>
      <c r="D50" s="527">
        <f>IF(iserror(vlookup(A:A,Pagos!$B$5:$L119,4,false)),"Disponible",If(vlookup(A:A,Pagos!$B$5:$L119,5,false),vlookup(A:A,Pagos!$B$5:$L119,5,false),vlookup(A:A,Pagos!$B$5:$L119,4,false)))</f>
        <v>45992</v>
      </c>
      <c r="E50" s="510"/>
      <c r="F50" s="350" t="str">
        <f t="shared" si="1"/>
        <v/>
      </c>
      <c r="G50" s="350" t="b">
        <f>If(COUNTIF(Pagos!B:B,A50)&gt;1,true,false)</f>
        <v>0</v>
      </c>
    </row>
    <row r="51">
      <c r="A51" s="528" t="s">
        <v>160</v>
      </c>
      <c r="B51" s="525">
        <f>IF(iserror(vlookup(A:A,Pagos!$B$5:$L119,2,false)),"Disponible",vlookup(A:A,Pagos!$B$5:$L119,2,false))</f>
        <v>1552</v>
      </c>
      <c r="C51" s="526" t="str">
        <f>IF(iserror(vlookup(A:A,Pagos!$B$5:$L119,3,false)),"Disponible",vlookup(A:A,Pagos!$B$5:$L119,3,false))</f>
        <v>MARKARIAN, DANIEL</v>
      </c>
      <c r="D51" s="527">
        <f>IF(iserror(vlookup(A:A,Pagos!$B$5:$L119,4,false)),"Disponible",If(vlookup(A:A,Pagos!$B$5:$L119,5,false),vlookup(A:A,Pagos!$B$5:$L119,5,false),vlookup(A:A,Pagos!$B$5:$L119,4,false)))</f>
        <v>45992</v>
      </c>
      <c r="E51" s="529"/>
      <c r="F51" s="350" t="str">
        <f t="shared" si="1"/>
        <v/>
      </c>
      <c r="G51" s="350" t="b">
        <f>If(COUNTIF(Pagos!B:B,A51)&gt;1,true,false)</f>
        <v>0</v>
      </c>
    </row>
    <row r="52">
      <c r="A52" s="528" t="s">
        <v>468</v>
      </c>
      <c r="B52" s="525">
        <f>IF(iserror(vlookup(A:A,Pagos!$B$5:$L119,2,false)),"Disponible",vlookup(A:A,Pagos!$B$5:$L119,2,false))</f>
        <v>2315</v>
      </c>
      <c r="C52" s="526" t="str">
        <f>IF(iserror(vlookup(A:A,Pagos!$B$5:$L119,3,false)),"Disponible",vlookup(A:A,Pagos!$B$5:$L119,3,false))</f>
        <v>DAVAGNINO, LUCIANO</v>
      </c>
      <c r="D52" s="527">
        <f>IF(iserror(vlookup(A:A,Pagos!$B$5:$L119,4,false)),"Disponible",If(vlookup(A:A,Pagos!$B$5:$L119,5,false),vlookup(A:A,Pagos!$B$5:$L119,5,false),vlookup(A:A,Pagos!$B$5:$L119,4,false)))</f>
        <v>45992</v>
      </c>
      <c r="E52" s="529"/>
      <c r="F52" s="350" t="str">
        <f t="shared" si="1"/>
        <v/>
      </c>
      <c r="G52" s="350" t="b">
        <f>If(COUNTIF(Pagos!B:B,A52)&gt;1,true,false)</f>
        <v>0</v>
      </c>
    </row>
    <row r="53">
      <c r="A53" s="528" t="s">
        <v>4999</v>
      </c>
      <c r="B53" s="525" t="str">
        <f>IF(iserror(vlookup(A:A,Pagos!$B$5:$L119,2,false)),"Disponible",vlookup(A:A,Pagos!$B$5:$L119,2,false))</f>
        <v>Disponible</v>
      </c>
      <c r="C53" s="526" t="str">
        <f>IF(iserror(vlookup(A:A,Pagos!$B$5:$L119,3,false)),"Disponible",vlookup(A:A,Pagos!$B$5:$L119,3,false))</f>
        <v>Disponible</v>
      </c>
      <c r="D53" s="527" t="str">
        <f>IF(iserror(vlookup(A:A,Pagos!$B$5:$L119,4,false)),"Disponible",If(vlookup(A:A,Pagos!$B$5:$L119,5,false),vlookup(A:A,Pagos!$B$5:$L119,5,false),vlookup(A:A,Pagos!$B$5:$L119,4,false)))</f>
        <v>Disponible</v>
      </c>
      <c r="E53" s="510"/>
      <c r="F53" s="350" t="str">
        <f t="shared" si="1"/>
        <v/>
      </c>
      <c r="G53" s="350" t="b">
        <f>If(COUNTIF(Pagos!B:B,A53)&gt;1,true,false)</f>
        <v>0</v>
      </c>
    </row>
    <row r="54">
      <c r="A54" s="528" t="s">
        <v>138</v>
      </c>
      <c r="B54" s="525">
        <f>IF(iserror(vlookup(A:A,Pagos!$B$5:$L119,2,false)),"Disponible",vlookup(A:A,Pagos!$B$5:$L119,2,false))</f>
        <v>1456</v>
      </c>
      <c r="C54" s="526" t="str">
        <f>IF(iserror(vlookup(A:A,Pagos!$B$5:$L119,3,false)),"Disponible",vlookup(A:A,Pagos!$B$5:$L119,3,false))</f>
        <v>SEMPLICI, CESAR</v>
      </c>
      <c r="D54" s="527">
        <f>IF(iserror(vlookup(A:A,Pagos!$B$5:$L119,4,false)),"Disponible",If(vlookup(A:A,Pagos!$B$5:$L119,5,false),vlookup(A:A,Pagos!$B$5:$L119,5,false),vlookup(A:A,Pagos!$B$5:$L119,4,false)))</f>
        <v>45992</v>
      </c>
      <c r="E54" s="510"/>
      <c r="F54" s="350" t="str">
        <f t="shared" si="1"/>
        <v/>
      </c>
      <c r="G54" s="350" t="b">
        <f>If(COUNTIF(Pagos!B:B,A54)&gt;1,true,false)</f>
        <v>0</v>
      </c>
    </row>
    <row r="55">
      <c r="A55" s="528" t="s">
        <v>166</v>
      </c>
      <c r="B55" s="525">
        <f>IF(iserror(vlookup(A:A,Pagos!$B$5:$L119,2,false)),"Disponible",vlookup(A:A,Pagos!$B$5:$L119,2,false))</f>
        <v>1590</v>
      </c>
      <c r="C55" s="526" t="str">
        <f>IF(iserror(vlookup(A:A,Pagos!$B$5:$L119,3,false)),"Disponible",vlookup(A:A,Pagos!$B$5:$L119,3,false))</f>
        <v>VUCASSOVICH, SERGIO</v>
      </c>
      <c r="D55" s="527">
        <f>IF(iserror(vlookup(A:A,Pagos!$B$5:$L119,4,false)),"Disponible",If(vlookup(A:A,Pagos!$B$5:$L119,5,false),vlookup(A:A,Pagos!$B$5:$L119,5,false),vlookup(A:A,Pagos!$B$5:$L119,4,false)))</f>
        <v>45992</v>
      </c>
      <c r="E55" s="510"/>
      <c r="F55" s="350" t="str">
        <f t="shared" si="1"/>
        <v/>
      </c>
      <c r="G55" s="350" t="b">
        <f>If(COUNTIF(Pagos!B:B,A55)&gt;1,true,false)</f>
        <v>0</v>
      </c>
    </row>
    <row r="56">
      <c r="A56" s="528" t="s">
        <v>167</v>
      </c>
      <c r="B56" s="525">
        <f>IF(iserror(vlookup(A:A,Pagos!$B$5:$L119,2,false)),"Disponible",vlookup(A:A,Pagos!$B$5:$L119,2,false))</f>
        <v>1590</v>
      </c>
      <c r="C56" s="526" t="str">
        <f>IF(iserror(vlookup(A:A,Pagos!$B$5:$L119,3,false)),"Disponible",vlookup(A:A,Pagos!$B$5:$L119,3,false))</f>
        <v>VUCASSOVICH, SERGIO</v>
      </c>
      <c r="D56" s="527">
        <f>IF(iserror(vlookup(A:A,Pagos!$B$5:$L119,4,false)),"Disponible",If(vlookup(A:A,Pagos!$B$5:$L119,5,false),vlookup(A:A,Pagos!$B$5:$L119,5,false),vlookup(A:A,Pagos!$B$5:$L119,4,false)))</f>
        <v>45992</v>
      </c>
      <c r="E56" s="510"/>
      <c r="F56" s="350" t="str">
        <f t="shared" si="1"/>
        <v/>
      </c>
      <c r="G56" s="350" t="b">
        <f>If(COUNTIF(Pagos!B:B,A56)&gt;1,true,false)</f>
        <v>0</v>
      </c>
    </row>
    <row r="57">
      <c r="A57" s="528" t="s">
        <v>359</v>
      </c>
      <c r="B57" s="525">
        <f>IF(iserror(vlookup(A:A,Pagos!$B$5:$L119,2,false)),"Disponible",vlookup(A:A,Pagos!$B$5:$L119,2,false))</f>
        <v>2080</v>
      </c>
      <c r="C57" s="526" t="str">
        <f>IF(iserror(vlookup(A:A,Pagos!$B$5:$L119,3,false)),"Disponible",vlookup(A:A,Pagos!$B$5:$L119,3,false))</f>
        <v>SORINO, CARLOS MARTIN</v>
      </c>
      <c r="D57" s="527">
        <f>IF(iserror(vlookup(A:A,Pagos!$B$5:$L119,4,false)),"Disponible",If(vlookup(A:A,Pagos!$B$5:$L119,5,false),vlookup(A:A,Pagos!$B$5:$L119,5,false),vlookup(A:A,Pagos!$B$5:$L119,4,false)))</f>
        <v>45992</v>
      </c>
      <c r="E57" s="510"/>
      <c r="F57" s="350" t="str">
        <f t="shared" si="1"/>
        <v/>
      </c>
      <c r="G57" s="350" t="b">
        <f>If(COUNTIF(Pagos!B:B,A57)&gt;1,true,false)</f>
        <v>0</v>
      </c>
    </row>
    <row r="58">
      <c r="A58" s="528" t="s">
        <v>137</v>
      </c>
      <c r="B58" s="525">
        <f>IF(iserror(vlookup(A:A,Pagos!$B$5:$L119,2,false)),"Disponible",vlookup(A:A,Pagos!$B$5:$L119,2,false))</f>
        <v>1452</v>
      </c>
      <c r="C58" s="526" t="str">
        <f>IF(iserror(vlookup(A:A,Pagos!$B$5:$L119,3,false)),"Disponible",vlookup(A:A,Pagos!$B$5:$L119,3,false))</f>
        <v>REZALA, MARCELO</v>
      </c>
      <c r="D58" s="527">
        <f>IF(iserror(vlookup(A:A,Pagos!$B$5:$L119,4,false)),"Disponible",If(vlookup(A:A,Pagos!$B$5:$L119,5,false),vlookup(A:A,Pagos!$B$5:$L119,5,false),vlookup(A:A,Pagos!$B$5:$L119,4,false)))</f>
        <v>45992</v>
      </c>
      <c r="E58" s="529"/>
      <c r="F58" s="350" t="str">
        <f t="shared" si="1"/>
        <v/>
      </c>
      <c r="G58" s="350" t="b">
        <f>If(COUNTIF(Pagos!B:B,A58)&gt;1,true,false)</f>
        <v>0</v>
      </c>
    </row>
    <row r="59">
      <c r="A59" s="528" t="s">
        <v>427</v>
      </c>
      <c r="B59" s="525">
        <f>IF(iserror(vlookup(A:A,Pagos!$B$5:$L119,2,false)),"Disponible",vlookup(A:A,Pagos!$B$5:$L119,2,false))</f>
        <v>2219</v>
      </c>
      <c r="C59" s="526" t="str">
        <f>IF(iserror(vlookup(A:A,Pagos!$B$5:$L119,3,false)),"Disponible",vlookup(A:A,Pagos!$B$5:$L119,3,false))</f>
        <v>CARDOZO GADDI, LIHUE AILIN</v>
      </c>
      <c r="D59" s="527">
        <f>IF(iserror(vlookup(A:A,Pagos!$B$5:$L119,4,false)),"Disponible",If(vlookup(A:A,Pagos!$B$5:$L119,5,false),vlookup(A:A,Pagos!$B$5:$L119,5,false),vlookup(A:A,Pagos!$B$5:$L119,4,false)))</f>
        <v>45992</v>
      </c>
      <c r="E59" s="510"/>
      <c r="F59" s="350" t="str">
        <f t="shared" si="1"/>
        <v/>
      </c>
      <c r="G59" s="350" t="b">
        <f>If(COUNTIF(Pagos!B:B,A59)&gt;1,true,false)</f>
        <v>0</v>
      </c>
    </row>
    <row r="60">
      <c r="A60" s="528" t="s">
        <v>112</v>
      </c>
      <c r="B60" s="525">
        <f>IF(iserror(vlookup(A:A,Pagos!$B$5:$L119,2,false)),"Disponible",vlookup(A:A,Pagos!$B$5:$L119,2,false))</f>
        <v>1279</v>
      </c>
      <c r="C60" s="526" t="str">
        <f>IF(iserror(vlookup(A:A,Pagos!$B$5:$L119,3,false)),"Disponible",vlookup(A:A,Pagos!$B$5:$L119,3,false))</f>
        <v>PAIS, VERONICA</v>
      </c>
      <c r="D60" s="527">
        <f>IF(iserror(vlookup(A:A,Pagos!$B$5:$L119,4,false)),"Disponible",If(vlookup(A:A,Pagos!$B$5:$L119,5,false),vlookup(A:A,Pagos!$B$5:$L119,5,false),vlookup(A:A,Pagos!$B$5:$L119,4,false)))</f>
        <v>45992</v>
      </c>
      <c r="E60" s="510"/>
      <c r="F60" s="350" t="str">
        <f t="shared" si="1"/>
        <v/>
      </c>
      <c r="G60" s="350" t="b">
        <f>If(COUNTIF(Pagos!B:B,A60)&gt;1,true,false)</f>
        <v>0</v>
      </c>
    </row>
    <row r="61">
      <c r="A61" s="528" t="s">
        <v>66</v>
      </c>
      <c r="B61" s="525">
        <f>IF(iserror(vlookup(A:A,Pagos!$B$5:$L119,2,false)),"Disponible",vlookup(A:A,Pagos!$B$5:$L119,2,false))</f>
        <v>504</v>
      </c>
      <c r="C61" s="526" t="str">
        <f>IF(iserror(vlookup(A:A,Pagos!$B$5:$L119,3,false)),"Disponible",vlookup(A:A,Pagos!$B$5:$L119,3,false))</f>
        <v>BASOALTO, RAUL ALBERTO</v>
      </c>
      <c r="D61" s="527">
        <f>IF(iserror(vlookup(A:A,Pagos!$B$5:$L119,4,false)),"Disponible",If(vlookup(A:A,Pagos!$B$5:$L119,5,false),vlookup(A:A,Pagos!$B$5:$L119,5,false),vlookup(A:A,Pagos!$B$5:$L119,4,false)))</f>
        <v>45992</v>
      </c>
      <c r="E61" s="510"/>
      <c r="F61" s="350" t="str">
        <f t="shared" si="1"/>
        <v/>
      </c>
      <c r="G61" s="350" t="b">
        <f>If(COUNTIF(Pagos!B:B,A61)&gt;1,true,false)</f>
        <v>0</v>
      </c>
    </row>
    <row r="62">
      <c r="A62" s="528" t="s">
        <v>103</v>
      </c>
      <c r="B62" s="525">
        <f>IF(iserror(vlookup(A:A,Pagos!$B$5:$L119,2,false)),"Disponible",vlookup(A:A,Pagos!$B$5:$L119,2,false))</f>
        <v>1141</v>
      </c>
      <c r="C62" s="526" t="str">
        <f>IF(iserror(vlookup(A:A,Pagos!$B$5:$L119,3,false)),"Disponible",vlookup(A:A,Pagos!$B$5:$L119,3,false))</f>
        <v>BASOALTO, CLAUDIA</v>
      </c>
      <c r="D62" s="527">
        <f>IF(iserror(vlookup(A:A,Pagos!$B$5:$L119,4,false)),"Disponible",If(vlookup(A:A,Pagos!$B$5:$L119,5,false),vlookup(A:A,Pagos!$B$5:$L119,5,false),vlookup(A:A,Pagos!$B$5:$L119,4,false)))</f>
        <v>45992</v>
      </c>
      <c r="E62" s="510"/>
      <c r="F62" s="350" t="str">
        <f t="shared" si="1"/>
        <v/>
      </c>
      <c r="G62" s="350" t="b">
        <f>If(COUNTIF(Pagos!B:B,A62)&gt;1,true,false)</f>
        <v>0</v>
      </c>
    </row>
    <row r="63">
      <c r="A63" s="528" t="s">
        <v>268</v>
      </c>
      <c r="B63" s="525">
        <f>IF(iserror(vlookup(A:A,Pagos!$B$5:$L119,2,false)),"Disponible",vlookup(A:A,Pagos!$B$5:$L119,2,false))</f>
        <v>1863</v>
      </c>
      <c r="C63" s="526" t="str">
        <f>IF(iserror(vlookup(A:A,Pagos!$B$5:$L119,3,false)),"Disponible",vlookup(A:A,Pagos!$B$5:$L119,3,false))</f>
        <v>QUINTEROS, MARIO</v>
      </c>
      <c r="D63" s="527">
        <f>IF(iserror(vlookup(A:A,Pagos!$B$5:$L119,4,false)),"Disponible",If(vlookup(A:A,Pagos!$B$5:$L119,5,false),vlookup(A:A,Pagos!$B$5:$L119,5,false),vlookup(A:A,Pagos!$B$5:$L119,4,false)))</f>
        <v>45992</v>
      </c>
      <c r="E63" s="529"/>
      <c r="F63" s="350" t="str">
        <f t="shared" si="1"/>
        <v/>
      </c>
      <c r="G63" s="350" t="b">
        <f>If(COUNTIF(Pagos!B:B,A63)&gt;1,true,false)</f>
        <v>0</v>
      </c>
    </row>
    <row r="64">
      <c r="A64" s="528" t="s">
        <v>428</v>
      </c>
      <c r="B64" s="525">
        <f>IF(iserror(vlookup(A:A,Pagos!$B$5:$L119,2,false)),"Disponible",vlookup(A:A,Pagos!$B$5:$L119,2,false))</f>
        <v>2219</v>
      </c>
      <c r="C64" s="526" t="str">
        <f>IF(iserror(vlookup(A:A,Pagos!$B$5:$L119,3,false)),"Disponible",vlookup(A:A,Pagos!$B$5:$L119,3,false))</f>
        <v>CARDOZO GADDI, LIHUE AILIN</v>
      </c>
      <c r="D64" s="527">
        <f>IF(iserror(vlookup(A:A,Pagos!$B$5:$L119,4,false)),"Disponible",If(vlookup(A:A,Pagos!$B$5:$L119,5,false),vlookup(A:A,Pagos!$B$5:$L119,5,false),vlookup(A:A,Pagos!$B$5:$L119,4,false)))</f>
        <v>45992</v>
      </c>
      <c r="E64" s="529"/>
      <c r="F64" s="350" t="str">
        <f t="shared" si="1"/>
        <v/>
      </c>
      <c r="G64" s="350" t="b">
        <f>If(COUNTIF(Pagos!B:B,A64)&gt;1,true,false)</f>
        <v>0</v>
      </c>
    </row>
    <row r="65">
      <c r="A65" s="528" t="s">
        <v>5000</v>
      </c>
      <c r="B65" s="525" t="str">
        <f>IF(iserror(vlookup(A:A,Pagos!$B$5:$L119,2,false)),"Disponible",vlookup(A:A,Pagos!$B$5:$L119,2,false))</f>
        <v>Disponible</v>
      </c>
      <c r="C65" s="526" t="str">
        <f>IF(iserror(vlookup(A:A,Pagos!$B$5:$L119,3,false)),"Disponible",vlookup(A:A,Pagos!$B$5:$L119,3,false))</f>
        <v>Disponible</v>
      </c>
      <c r="D65" s="527" t="str">
        <f>IF(iserror(vlookup(A:A,Pagos!$B$5:$L119,4,false)),"Disponible",If(vlookup(A:A,Pagos!$B$5:$L119,5,false),vlookup(A:A,Pagos!$B$5:$L119,5,false),vlookup(A:A,Pagos!$B$5:$L119,4,false)))</f>
        <v>Disponible</v>
      </c>
      <c r="E65" s="529"/>
      <c r="F65" s="350" t="str">
        <f t="shared" si="1"/>
        <v/>
      </c>
      <c r="G65" s="350" t="b">
        <f>If(COUNTIF(Pagos!B:B,A65)&gt;1,true,false)</f>
        <v>0</v>
      </c>
    </row>
    <row r="66">
      <c r="A66" s="528" t="s">
        <v>5001</v>
      </c>
      <c r="B66" s="525" t="str">
        <f>IF(iserror(vlookup(A:A,Pagos!$B$5:$L119,2,false)),"Disponible",vlookup(A:A,Pagos!$B$5:$L119,2,false))</f>
        <v>Disponible</v>
      </c>
      <c r="C66" s="526" t="str">
        <f>IF(iserror(vlookup(A:A,Pagos!$B$5:$L119,3,false)),"Disponible",vlookup(A:A,Pagos!$B$5:$L119,3,false))</f>
        <v>Disponible</v>
      </c>
      <c r="D66" s="527" t="str">
        <f>IF(iserror(vlookup(A:A,Pagos!$B$5:$L119,4,false)),"Disponible",If(vlookup(A:A,Pagos!$B$5:$L119,5,false),vlookup(A:A,Pagos!$B$5:$L119,5,false),vlookup(A:A,Pagos!$B$5:$L119,4,false)))</f>
        <v>Disponible</v>
      </c>
      <c r="E66" s="529"/>
      <c r="F66" s="350" t="str">
        <f t="shared" si="1"/>
        <v/>
      </c>
      <c r="G66" s="350" t="b">
        <f>If(COUNTIF(Pagos!B:B,A66)&gt;1,true,false)</f>
        <v>0</v>
      </c>
    </row>
    <row r="67">
      <c r="A67" s="528" t="s">
        <v>107</v>
      </c>
      <c r="B67" s="525">
        <f>IF(iserror(vlookup(A:A,Pagos!$B$5:$L119,2,false)),"Disponible",vlookup(A:A,Pagos!$B$5:$L119,2,false))</f>
        <v>1165</v>
      </c>
      <c r="C67" s="526" t="str">
        <f>IF(iserror(vlookup(A:A,Pagos!$B$5:$L119,3,false)),"Disponible",vlookup(A:A,Pagos!$B$5:$L119,3,false))</f>
        <v>MACHI MAURICIO</v>
      </c>
      <c r="D67" s="527">
        <f>IF(iserror(vlookup(A:A,Pagos!$B$5:$L119,4,false)),"Disponible",If(vlookup(A:A,Pagos!$B$5:$L119,5,false),vlookup(A:A,Pagos!$B$5:$L119,5,false),vlookup(A:A,Pagos!$B$5:$L119,4,false)))</f>
        <v>45992</v>
      </c>
      <c r="E67" s="510"/>
      <c r="F67" s="350" t="str">
        <f t="shared" si="1"/>
        <v/>
      </c>
      <c r="G67" s="350" t="b">
        <f>If(COUNTIF(Pagos!B:B,A67)&gt;1,true,false)</f>
        <v>0</v>
      </c>
    </row>
    <row r="68">
      <c r="A68" s="528" t="s">
        <v>5002</v>
      </c>
      <c r="B68" s="525" t="str">
        <f>IF(iserror(vlookup(A:A,Pagos!$B$5:$L119,2,false)),"Disponible",vlookup(A:A,Pagos!$B$5:$L119,2,false))</f>
        <v>Disponible</v>
      </c>
      <c r="C68" s="526" t="str">
        <f>IF(iserror(vlookup(A:A,Pagos!$B$5:$L119,3,false)),"Disponible",vlookup(A:A,Pagos!$B$5:$L119,3,false))</f>
        <v>Disponible</v>
      </c>
      <c r="D68" s="527" t="str">
        <f>IF(iserror(vlookup(A:A,Pagos!$B$5:$L119,4,false)),"Disponible",If(vlookup(A:A,Pagos!$B$5:$L119,5,false),vlookup(A:A,Pagos!$B$5:$L119,5,false),vlookup(A:A,Pagos!$B$5:$L119,4,false)))</f>
        <v>Disponible</v>
      </c>
      <c r="E68" s="510"/>
      <c r="F68" s="350" t="str">
        <f t="shared" si="1"/>
        <v/>
      </c>
      <c r="G68" s="350" t="b">
        <f>If(COUNTIF(Pagos!B:B,A68)&gt;1,true,false)</f>
        <v>0</v>
      </c>
    </row>
    <row r="69">
      <c r="A69" s="528" t="s">
        <v>5003</v>
      </c>
      <c r="B69" s="525" t="str">
        <f>IF(iserror(vlookup(A:A,Pagos!$B$5:$L119,2,false)),"Disponible",vlookup(A:A,Pagos!$B$5:$L119,2,false))</f>
        <v>Disponible</v>
      </c>
      <c r="C69" s="526" t="str">
        <f>IF(iserror(vlookup(A:A,Pagos!$B$5:$L119,3,false)),"Disponible",vlookup(A:A,Pagos!$B$5:$L119,3,false))</f>
        <v>Disponible</v>
      </c>
      <c r="D69" s="527" t="str">
        <f>IF(iserror(vlookup(A:A,Pagos!$B$5:$L119,4,false)),"Disponible",If(vlookup(A:A,Pagos!$B$5:$L119,5,false),vlookup(A:A,Pagos!$B$5:$L119,5,false),vlookup(A:A,Pagos!$B$5:$L119,4,false)))</f>
        <v>Disponible</v>
      </c>
      <c r="E69" s="529"/>
      <c r="F69" s="350" t="str">
        <f t="shared" si="1"/>
        <v/>
      </c>
      <c r="G69" s="350" t="b">
        <f>If(COUNTIF(Pagos!B:B,A69)&gt;1,true,false)</f>
        <v>0</v>
      </c>
    </row>
    <row r="70">
      <c r="A70" s="528" t="s">
        <v>5004</v>
      </c>
      <c r="B70" s="525" t="str">
        <f>IF(iserror(vlookup(A:A,Pagos!$B$5:$L119,2,false)),"Disponible",vlookup(A:A,Pagos!$B$5:$L119,2,false))</f>
        <v>Disponible</v>
      </c>
      <c r="C70" s="526" t="str">
        <f>IF(iserror(vlookup(A:A,Pagos!$B$5:$L119,3,false)),"Disponible",vlookup(A:A,Pagos!$B$5:$L119,3,false))</f>
        <v>Disponible</v>
      </c>
      <c r="D70" s="527" t="str">
        <f>IF(iserror(vlookup(A:A,Pagos!$B$5:$L119,4,false)),"Disponible",If(vlookup(A:A,Pagos!$B$5:$L119,5,false),vlookup(A:A,Pagos!$B$5:$L119,5,false),vlookup(A:A,Pagos!$B$5:$L119,4,false)))</f>
        <v>Disponible</v>
      </c>
      <c r="E70" s="510"/>
      <c r="F70" s="350" t="str">
        <f t="shared" si="1"/>
        <v/>
      </c>
      <c r="G70" s="350" t="b">
        <f>If(COUNTIF(Pagos!B:B,A70)&gt;1,true,false)</f>
        <v>0</v>
      </c>
    </row>
    <row r="71">
      <c r="A71" s="528" t="s">
        <v>5005</v>
      </c>
      <c r="B71" s="525" t="str">
        <f>IF(iserror(vlookup(A:A,Pagos!$B$5:$L119,2,false)),"Disponible",vlookup(A:A,Pagos!$B$5:$L119,2,false))</f>
        <v>Disponible</v>
      </c>
      <c r="C71" s="526" t="str">
        <f>IF(iserror(vlookup(A:A,Pagos!$B$5:$L119,3,false)),"Disponible",vlookup(A:A,Pagos!$B$5:$L119,3,false))</f>
        <v>Disponible</v>
      </c>
      <c r="D71" s="527" t="str">
        <f>IF(iserror(vlookup(A:A,Pagos!$B$5:$L119,4,false)),"Disponible",If(vlookup(A:A,Pagos!$B$5:$L119,5,false),vlookup(A:A,Pagos!$B$5:$L119,5,false),vlookup(A:A,Pagos!$B$5:$L119,4,false)))</f>
        <v>Disponible</v>
      </c>
      <c r="E71" s="510"/>
      <c r="F71" s="350" t="str">
        <f t="shared" si="1"/>
        <v/>
      </c>
      <c r="G71" s="350" t="b">
        <f>If(COUNTIF(Pagos!B:B,A71)&gt;1,true,false)</f>
        <v>0</v>
      </c>
    </row>
    <row r="72">
      <c r="A72" s="528" t="s">
        <v>323</v>
      </c>
      <c r="B72" s="525">
        <f>IF(iserror(vlookup(A:A,Pagos!$B$5:$L119,2,false)),"Disponible",vlookup(A:A,Pagos!$B$5:$L119,2,false))</f>
        <v>1996</v>
      </c>
      <c r="C72" s="526" t="str">
        <f>IF(iserror(vlookup(A:A,Pagos!$B$5:$L119,3,false)),"Disponible",vlookup(A:A,Pagos!$B$5:$L119,3,false))</f>
        <v>BETROSQUI, GERMÀN</v>
      </c>
      <c r="D72" s="527">
        <f>IF(iserror(vlookup(A:A,Pagos!$B$5:$L119,4,false)),"Disponible",If(vlookup(A:A,Pagos!$B$5:$L119,5,false),vlookup(A:A,Pagos!$B$5:$L119,5,false),vlookup(A:A,Pagos!$B$5:$L119,4,false)))</f>
        <v>45992</v>
      </c>
      <c r="E72" s="510"/>
      <c r="F72" s="350" t="str">
        <f t="shared" si="1"/>
        <v/>
      </c>
      <c r="G72" s="350" t="b">
        <f>If(COUNTIF(Pagos!B:B,A72)&gt;1,true,false)</f>
        <v>0</v>
      </c>
    </row>
    <row r="73">
      <c r="A73" s="528" t="s">
        <v>301</v>
      </c>
      <c r="B73" s="525">
        <f>IF(iserror(vlookup(A:A,Pagos!$B$5:$L119,2,false)),"Disponible",vlookup(A:A,Pagos!$B$5:$L119,2,false))</f>
        <v>1936</v>
      </c>
      <c r="C73" s="526" t="str">
        <f>IF(iserror(vlookup(A:A,Pagos!$B$5:$L119,3,false)),"Disponible",vlookup(A:A,Pagos!$B$5:$L119,3,false))</f>
        <v>SOSA, MA. JOSEFINA</v>
      </c>
      <c r="D73" s="527">
        <f>IF(iserror(vlookup(A:A,Pagos!$B$5:$L119,4,false)),"Disponible",If(vlookup(A:A,Pagos!$B$5:$L119,5,false),vlookup(A:A,Pagos!$B$5:$L119,5,false),vlookup(A:A,Pagos!$B$5:$L119,4,false)))</f>
        <v>45992</v>
      </c>
      <c r="E73" s="510"/>
      <c r="F73" s="350" t="str">
        <f t="shared" si="1"/>
        <v/>
      </c>
      <c r="G73" s="350" t="b">
        <f>If(COUNTIF(Pagos!B:B,A73)&gt;1,true,false)</f>
        <v>0</v>
      </c>
    </row>
    <row r="74">
      <c r="A74" s="528" t="s">
        <v>136</v>
      </c>
      <c r="B74" s="525">
        <f>IF(iserror(vlookup(A:A,Pagos!$B$5:$L119,2,false)),"Disponible",vlookup(A:A,Pagos!$B$5:$L119,2,false))</f>
        <v>1452</v>
      </c>
      <c r="C74" s="526" t="str">
        <f>IF(iserror(vlookup(A:A,Pagos!$B$5:$L119,3,false)),"Disponible",vlookup(A:A,Pagos!$B$5:$L119,3,false))</f>
        <v>REZALA, MARCELO</v>
      </c>
      <c r="D74" s="527">
        <f>IF(iserror(vlookup(A:A,Pagos!$B$5:$L119,4,false)),"Disponible",If(vlookup(A:A,Pagos!$B$5:$L119,5,false),vlookup(A:A,Pagos!$B$5:$L119,5,false),vlookup(A:A,Pagos!$B$5:$L119,4,false)))</f>
        <v>45992</v>
      </c>
      <c r="E74" s="510"/>
      <c r="F74" s="350" t="str">
        <f t="shared" si="1"/>
        <v/>
      </c>
      <c r="G74" s="350" t="b">
        <f>If(COUNTIF(Pagos!B:B,A74)&gt;1,true,false)</f>
        <v>0</v>
      </c>
    </row>
    <row r="75">
      <c r="A75" s="528" t="s">
        <v>393</v>
      </c>
      <c r="B75" s="525">
        <f>IF(iserror(vlookup(A:A,Pagos!$B$5:$L119,2,false)),"Disponible",vlookup(A:A,Pagos!$B$5:$L119,2,false))</f>
        <v>2153</v>
      </c>
      <c r="C75" s="526" t="str">
        <f>IF(iserror(vlookup(A:A,Pagos!$B$5:$L119,3,false)),"Disponible",vlookup(A:A,Pagos!$B$5:$L119,3,false))</f>
        <v>ACHINELLI, FABIO GERMAN</v>
      </c>
      <c r="D75" s="527">
        <f>IF(iserror(vlookup(A:A,Pagos!$B$5:$L119,4,false)),"Disponible",If(vlookup(A:A,Pagos!$B$5:$L119,5,false),vlookup(A:A,Pagos!$B$5:$L119,5,false),vlookup(A:A,Pagos!$B$5:$L119,4,false)))</f>
        <v>45992</v>
      </c>
      <c r="E75" s="510"/>
      <c r="F75" s="350" t="str">
        <f t="shared" si="1"/>
        <v/>
      </c>
      <c r="G75" s="350" t="b">
        <f>If(COUNTIF(Pagos!B:B,A75)&gt;1,true,false)</f>
        <v>0</v>
      </c>
    </row>
    <row r="76">
      <c r="A76" s="528" t="s">
        <v>74</v>
      </c>
      <c r="B76" s="525">
        <f>IF(iserror(vlookup(A:A,Pagos!$B$5:$L119,2,false)),"Disponible",vlookup(A:A,Pagos!$B$5:$L119,2,false))</f>
        <v>697</v>
      </c>
      <c r="C76" s="526" t="str">
        <f>IF(iserror(vlookup(A:A,Pagos!$B$5:$L119,3,false)),"Disponible",vlookup(A:A,Pagos!$B$5:$L119,3,false))</f>
        <v>ROMERO, IGNACIO</v>
      </c>
      <c r="D76" s="527">
        <f>IF(iserror(vlookup(A:A,Pagos!$B$5:$L119,4,false)),"Disponible",If(vlookup(A:A,Pagos!$B$5:$L119,5,false),vlookup(A:A,Pagos!$B$5:$L119,5,false),vlookup(A:A,Pagos!$B$5:$L119,4,false)))</f>
        <v>45992</v>
      </c>
      <c r="E76" s="510"/>
      <c r="F76" s="350" t="str">
        <f t="shared" si="1"/>
        <v/>
      </c>
      <c r="G76" s="350" t="b">
        <f>If(COUNTIF(Pagos!B:B,A76)&gt;1,true,false)</f>
        <v>0</v>
      </c>
    </row>
    <row r="77">
      <c r="A77" s="528" t="s">
        <v>5006</v>
      </c>
      <c r="B77" s="525" t="str">
        <f>IF(iserror(vlookup(A:A,Pagos!$B$5:$L119,2,false)),"Disponible",vlookup(A:A,Pagos!$B$5:$L119,2,false))</f>
        <v>Disponible</v>
      </c>
      <c r="C77" s="526" t="str">
        <f>IF(iserror(vlookup(A:A,Pagos!$B$5:$L119,3,false)),"Disponible",vlookup(A:A,Pagos!$B$5:$L119,3,false))</f>
        <v>Disponible</v>
      </c>
      <c r="D77" s="527" t="str">
        <f>IF(iserror(vlookup(A:A,Pagos!$B$5:$L119,4,false)),"Disponible",If(vlookup(A:A,Pagos!$B$5:$L119,5,false),vlookup(A:A,Pagos!$B$5:$L119,5,false),vlookup(A:A,Pagos!$B$5:$L119,4,false)))</f>
        <v>Disponible</v>
      </c>
      <c r="E77" s="529"/>
      <c r="F77" s="350" t="str">
        <f t="shared" si="1"/>
        <v/>
      </c>
      <c r="G77" s="350" t="b">
        <f>If(COUNTIF(Pagos!B:B,A77)&gt;1,true,false)</f>
        <v>0</v>
      </c>
    </row>
    <row r="78">
      <c r="A78" s="528" t="s">
        <v>78</v>
      </c>
      <c r="B78" s="525">
        <f>IF(iserror(vlookup(A:A,Pagos!$B$5:$L119,2,false)),"Disponible",vlookup(A:A,Pagos!$B$5:$L119,2,false))</f>
        <v>732</v>
      </c>
      <c r="C78" s="526" t="str">
        <f>IF(iserror(vlookup(A:A,Pagos!$B$5:$L119,3,false)),"Disponible",vlookup(A:A,Pagos!$B$5:$L119,3,false))</f>
        <v>MANCINO, SERGIO ARIEL</v>
      </c>
      <c r="D78" s="527">
        <f>IF(iserror(vlookup(A:A,Pagos!$B$5:$L119,4,false)),"Disponible",If(vlookup(A:A,Pagos!$B$5:$L119,5,false),vlookup(A:A,Pagos!$B$5:$L119,5,false),vlookup(A:A,Pagos!$B$5:$L119,4,false)))</f>
        <v>45992</v>
      </c>
      <c r="E78" s="510"/>
      <c r="F78" s="350" t="str">
        <f t="shared" si="1"/>
        <v/>
      </c>
      <c r="G78" s="350" t="b">
        <f>If(COUNTIF(Pagos!B:B,A78)&gt;1,true,false)</f>
        <v>0</v>
      </c>
    </row>
    <row r="79">
      <c r="A79" s="528" t="s">
        <v>79</v>
      </c>
      <c r="B79" s="525">
        <f>IF(iserror(vlookup(A:A,Pagos!$B$5:$L119,2,false)),"Disponible",vlookup(A:A,Pagos!$B$5:$L119,2,false))</f>
        <v>732</v>
      </c>
      <c r="C79" s="526" t="str">
        <f>IF(iserror(vlookup(A:A,Pagos!$B$5:$L119,3,false)),"Disponible",vlookup(A:A,Pagos!$B$5:$L119,3,false))</f>
        <v>MANCINO, SERGIO ARIEL</v>
      </c>
      <c r="D79" s="527">
        <f>IF(iserror(vlookup(A:A,Pagos!$B$5:$L119,4,false)),"Disponible",If(vlookup(A:A,Pagos!$B$5:$L119,5,false),vlookup(A:A,Pagos!$B$5:$L119,5,false),vlookup(A:A,Pagos!$B$5:$L119,4,false)))</f>
        <v>45992</v>
      </c>
      <c r="E79" s="529"/>
      <c r="F79" s="350" t="str">
        <f t="shared" si="1"/>
        <v/>
      </c>
      <c r="G79" s="350" t="b">
        <f>If(COUNTIF(Pagos!B:B,A79)&gt;1,true,false)</f>
        <v>0</v>
      </c>
    </row>
    <row r="80">
      <c r="A80" s="528" t="s">
        <v>384</v>
      </c>
      <c r="B80" s="525">
        <f>IF(iserror(vlookup(A:A,Pagos!$B$5:$L119,2,false)),"Disponible",vlookup(A:A,Pagos!$B$5:$L119,2,false))</f>
        <v>2136</v>
      </c>
      <c r="C80" s="526" t="str">
        <f>IF(iserror(vlookup(A:A,Pagos!$B$5:$L119,3,false)),"Disponible",vlookup(A:A,Pagos!$B$5:$L119,3,false))</f>
        <v>ETCHEVERS, PABLO</v>
      </c>
      <c r="D80" s="527">
        <f>IF(iserror(vlookup(A:A,Pagos!$B$5:$L119,4,false)),"Disponible",If(vlookup(A:A,Pagos!$B$5:$L119,5,false),vlookup(A:A,Pagos!$B$5:$L119,5,false),vlookup(A:A,Pagos!$B$5:$L119,4,false)))</f>
        <v>45992</v>
      </c>
      <c r="E80" s="529"/>
      <c r="F80" s="350" t="str">
        <f t="shared" si="1"/>
        <v/>
      </c>
      <c r="G80" s="350" t="b">
        <f>If(COUNTIF(Pagos!B:B,A80)&gt;1,true,false)</f>
        <v>0</v>
      </c>
    </row>
    <row r="81">
      <c r="A81" s="528" t="s">
        <v>249</v>
      </c>
      <c r="B81" s="525">
        <f>IF(iserror(vlookup(A:A,Pagos!$B$5:$L119,2,false)),"Disponible",vlookup(A:A,Pagos!$B$5:$L119,2,false))</f>
        <v>1784</v>
      </c>
      <c r="C81" s="526" t="str">
        <f>IF(iserror(vlookup(A:A,Pagos!$B$5:$L119,3,false)),"Disponible",vlookup(A:A,Pagos!$B$5:$L119,3,false))</f>
        <v>LESCANO, FABIAN</v>
      </c>
      <c r="D81" s="527">
        <f>IF(iserror(vlookup(A:A,Pagos!$B$5:$L119,4,false)),"Disponible",If(vlookup(A:A,Pagos!$B$5:$L119,5,false),vlookup(A:A,Pagos!$B$5:$L119,5,false),vlookup(A:A,Pagos!$B$5:$L119,4,false)))</f>
        <v>45992</v>
      </c>
      <c r="E81" s="529"/>
      <c r="F81" s="350" t="str">
        <f t="shared" si="1"/>
        <v/>
      </c>
      <c r="G81" s="350" t="b">
        <f>If(COUNTIF(Pagos!B:B,A81)&gt;1,true,false)</f>
        <v>0</v>
      </c>
    </row>
    <row r="82">
      <c r="A82" s="528" t="s">
        <v>220</v>
      </c>
      <c r="B82" s="525">
        <f>IF(iserror(vlookup(A:A,Pagos!$B$5:$L119,2,false)),"Disponible",vlookup(A:A,Pagos!$B$5:$L119,2,false))</f>
        <v>1720</v>
      </c>
      <c r="C82" s="526" t="str">
        <f>IF(iserror(vlookup(A:A,Pagos!$B$5:$L119,3,false)),"Disponible",vlookup(A:A,Pagos!$B$5:$L119,3,false))</f>
        <v>PUPO, JOSE</v>
      </c>
      <c r="D82" s="527">
        <f>IF(iserror(vlookup(A:A,Pagos!$B$5:$L119,4,false)),"Disponible",If(vlookup(A:A,Pagos!$B$5:$L119,5,false),vlookup(A:A,Pagos!$B$5:$L119,5,false),vlookup(A:A,Pagos!$B$5:$L119,4,false)))</f>
        <v>45992</v>
      </c>
      <c r="E82" s="529"/>
      <c r="F82" s="350" t="str">
        <f t="shared" si="1"/>
        <v/>
      </c>
      <c r="G82" s="350" t="b">
        <f>If(COUNTIF(Pagos!B:B,A82)&gt;1,true,false)</f>
        <v>0</v>
      </c>
    </row>
    <row r="83">
      <c r="A83" s="528" t="s">
        <v>311</v>
      </c>
      <c r="B83" s="525">
        <f>IF(iserror(vlookup(A:A,Pagos!$B$5:$L119,2,false)),"Disponible",vlookup(A:A,Pagos!$B$5:$L119,2,false))</f>
        <v>1960</v>
      </c>
      <c r="C83" s="526" t="str">
        <f>IF(iserror(vlookup(A:A,Pagos!$B$5:$L119,3,false)),"Disponible",vlookup(A:A,Pagos!$B$5:$L119,3,false))</f>
        <v>CAMPARO, CARLOS</v>
      </c>
      <c r="D83" s="527">
        <f>IF(iserror(vlookup(A:A,Pagos!$B$5:$L119,4,false)),"Disponible",If(vlookup(A:A,Pagos!$B$5:$L119,5,false),vlookup(A:A,Pagos!$B$5:$L119,5,false),vlookup(A:A,Pagos!$B$5:$L119,4,false)))</f>
        <v>45992</v>
      </c>
      <c r="E83" s="510"/>
      <c r="F83" s="350" t="str">
        <f t="shared" si="1"/>
        <v/>
      </c>
      <c r="G83" s="350" t="b">
        <f>If(COUNTIF(Pagos!B:B,A83)&gt;1,true,false)</f>
        <v>0</v>
      </c>
    </row>
    <row r="84">
      <c r="A84" s="528" t="s">
        <v>385</v>
      </c>
      <c r="B84" s="525">
        <f>IF(iserror(vlookup(A:A,Pagos!$B$5:$L119,2,false)),"Disponible",vlookup(A:A,Pagos!$B$5:$L119,2,false))</f>
        <v>2136</v>
      </c>
      <c r="C84" s="526" t="str">
        <f>IF(iserror(vlookup(A:A,Pagos!$B$5:$L119,3,false)),"Disponible",vlookup(A:A,Pagos!$B$5:$L119,3,false))</f>
        <v>ETCHEVERS, PABLO</v>
      </c>
      <c r="D84" s="527">
        <f>IF(iserror(vlookup(A:A,Pagos!$B$5:$L119,4,false)),"Disponible",If(vlookup(A:A,Pagos!$B$5:$L119,5,false),vlookup(A:A,Pagos!$B$5:$L119,5,false),vlookup(A:A,Pagos!$B$5:$L119,4,false)))</f>
        <v>45992</v>
      </c>
      <c r="E84" s="510"/>
      <c r="F84" s="350" t="str">
        <f t="shared" si="1"/>
        <v/>
      </c>
      <c r="G84" s="350" t="b">
        <f>If(COUNTIF(Pagos!B:B,A84)&gt;1,true,false)</f>
        <v>0</v>
      </c>
    </row>
    <row r="85">
      <c r="A85" s="528" t="s">
        <v>5007</v>
      </c>
      <c r="B85" s="525" t="str">
        <f>IF(iserror(vlookup(A:A,Pagos!$B$5:$L119,2,false)),"Disponible",vlookup(A:A,Pagos!$B$5:$L119,2,false))</f>
        <v>Disponible</v>
      </c>
      <c r="C85" s="526" t="str">
        <f>IF(iserror(vlookup(A:A,Pagos!$B$5:$L119,3,false)),"Disponible",vlookup(A:A,Pagos!$B$5:$L119,3,false))</f>
        <v>Disponible</v>
      </c>
      <c r="D85" s="527" t="str">
        <f>IF(iserror(vlookup(A:A,Pagos!$B$5:$L119,4,false)),"Disponible",If(vlookup(A:A,Pagos!$B$5:$L119,5,false),vlookup(A:A,Pagos!$B$5:$L119,5,false),vlookup(A:A,Pagos!$B$5:$L119,4,false)))</f>
        <v>Disponible</v>
      </c>
      <c r="E85" s="510"/>
      <c r="F85" s="350" t="str">
        <f t="shared" si="1"/>
        <v/>
      </c>
      <c r="G85" s="350" t="b">
        <f>If(COUNTIF(Pagos!B:B,A85)&gt;1,true,false)</f>
        <v>0</v>
      </c>
    </row>
    <row r="86">
      <c r="A86" s="528" t="s">
        <v>98</v>
      </c>
      <c r="B86" s="525">
        <f>IF(iserror(vlookup(A:A,Pagos!$B$5:$L119,2,false)),"Disponible",vlookup(A:A,Pagos!$B$5:$L119,2,false))</f>
        <v>1048</v>
      </c>
      <c r="C86" s="526" t="str">
        <f>IF(iserror(vlookup(A:A,Pagos!$B$5:$L119,3,false)),"Disponible",vlookup(A:A,Pagos!$B$5:$L119,3,false))</f>
        <v>CASADO ,EDUARDO</v>
      </c>
      <c r="D86" s="527">
        <f>IF(iserror(vlookup(A:A,Pagos!$B$5:$L119,4,false)),"Disponible",If(vlookup(A:A,Pagos!$B$5:$L119,5,false),vlookup(A:A,Pagos!$B$5:$L119,5,false),vlookup(A:A,Pagos!$B$5:$L119,4,false)))</f>
        <v>45992</v>
      </c>
      <c r="E86" s="510"/>
      <c r="F86" s="350" t="str">
        <f t="shared" si="1"/>
        <v/>
      </c>
      <c r="G86" s="350" t="b">
        <f>If(COUNTIF(Pagos!B:B,A86)&gt;1,true,false)</f>
        <v>0</v>
      </c>
    </row>
    <row r="87">
      <c r="A87" s="528" t="s">
        <v>145</v>
      </c>
      <c r="B87" s="525">
        <f>IF(iserror(vlookup(A:A,Pagos!$B$5:$L119,2,false)),"Disponible",vlookup(A:A,Pagos!$B$5:$L119,2,false))</f>
        <v>1479</v>
      </c>
      <c r="C87" s="526" t="str">
        <f>IF(iserror(vlookup(A:A,Pagos!$B$5:$L119,3,false)),"Disponible",vlookup(A:A,Pagos!$B$5:$L119,3,false))</f>
        <v>BLANCO, GUILLERMO</v>
      </c>
      <c r="D87" s="527">
        <f>IF(iserror(vlookup(A:A,Pagos!$B$5:$L119,4,false)),"Disponible",If(vlookup(A:A,Pagos!$B$5:$L119,5,false),vlookup(A:A,Pagos!$B$5:$L119,5,false),vlookup(A:A,Pagos!$B$5:$L119,4,false)))</f>
        <v>45992</v>
      </c>
      <c r="E87" s="510"/>
      <c r="F87" s="350" t="str">
        <f t="shared" si="1"/>
        <v/>
      </c>
      <c r="G87" s="350" t="b">
        <f>If(COUNTIF(Pagos!B:B,A87)&gt;1,true,false)</f>
        <v>0</v>
      </c>
    </row>
    <row r="88">
      <c r="A88" s="528" t="s">
        <v>5008</v>
      </c>
      <c r="B88" s="525" t="str">
        <f>IF(iserror(vlookup(A:A,Pagos!$B$5:$L119,2,false)),"Disponible",vlookup(A:A,Pagos!$B$5:$L119,2,false))</f>
        <v>Disponible</v>
      </c>
      <c r="C88" s="526" t="str">
        <f>IF(iserror(vlookup(A:A,Pagos!$B$5:$L119,3,false)),"Disponible",vlookup(A:A,Pagos!$B$5:$L119,3,false))</f>
        <v>Disponible</v>
      </c>
      <c r="D88" s="527" t="str">
        <f>IF(iserror(vlookup(A:A,Pagos!$B$5:$L119,4,false)),"Disponible",If(vlookup(A:A,Pagos!$B$5:$L119,5,false),vlookup(A:A,Pagos!$B$5:$L119,5,false),vlookup(A:A,Pagos!$B$5:$L119,4,false)))</f>
        <v>Disponible</v>
      </c>
      <c r="E88" s="529"/>
      <c r="F88" s="350" t="str">
        <f t="shared" si="1"/>
        <v/>
      </c>
      <c r="G88" s="350" t="b">
        <f>If(COUNTIF(Pagos!B:B,A88)&gt;1,true,false)</f>
        <v>0</v>
      </c>
    </row>
    <row r="89">
      <c r="A89" s="528" t="s">
        <v>5009</v>
      </c>
      <c r="B89" s="525" t="str">
        <f>IF(iserror(vlookup(A:A,Pagos!$B$5:$L119,2,false)),"Disponible",vlookup(A:A,Pagos!$B$5:$L119,2,false))</f>
        <v>Disponible</v>
      </c>
      <c r="C89" s="526" t="str">
        <f>IF(iserror(vlookup(A:A,Pagos!$B$5:$L119,3,false)),"Disponible",vlookup(A:A,Pagos!$B$5:$L119,3,false))</f>
        <v>Disponible</v>
      </c>
      <c r="D89" s="527" t="str">
        <f>IF(iserror(vlookup(A:A,Pagos!$B$5:$L119,4,false)),"Disponible",If(vlookup(A:A,Pagos!$B$5:$L119,5,false),vlookup(A:A,Pagos!$B$5:$L119,5,false),vlookup(A:A,Pagos!$B$5:$L119,4,false)))</f>
        <v>Disponible</v>
      </c>
      <c r="E89" s="529"/>
      <c r="F89" s="350" t="str">
        <f t="shared" si="1"/>
        <v/>
      </c>
      <c r="G89" s="350" t="b">
        <f>If(COUNTIF(Pagos!B:B,A89)&gt;1,true,false)</f>
        <v>0</v>
      </c>
    </row>
    <row r="90">
      <c r="A90" s="528" t="s">
        <v>5010</v>
      </c>
      <c r="B90" s="525" t="str">
        <f>IF(iserror(vlookup(A:A,Pagos!$B$5:$L119,2,false)),"Disponible",vlookup(A:A,Pagos!$B$5:$L119,2,false))</f>
        <v>Disponible</v>
      </c>
      <c r="C90" s="526" t="str">
        <f>IF(iserror(vlookup(A:A,Pagos!$B$5:$L119,3,false)),"Disponible",vlookup(A:A,Pagos!$B$5:$L119,3,false))</f>
        <v>Disponible</v>
      </c>
      <c r="D90" s="527" t="str">
        <f>IF(iserror(vlookup(A:A,Pagos!$B$5:$L119,4,false)),"Disponible",If(vlookup(A:A,Pagos!$B$5:$L119,5,false),vlookup(A:A,Pagos!$B$5:$L119,5,false),vlookup(A:A,Pagos!$B$5:$L119,4,false)))</f>
        <v>Disponible</v>
      </c>
      <c r="E90" s="529"/>
      <c r="F90" s="350" t="str">
        <f t="shared" si="1"/>
        <v/>
      </c>
      <c r="G90" s="350" t="b">
        <f>If(COUNTIF(Pagos!B:B,A90)&gt;1,true,false)</f>
        <v>0</v>
      </c>
    </row>
    <row r="91">
      <c r="A91" s="528" t="s">
        <v>61</v>
      </c>
      <c r="B91" s="525">
        <f>IF(iserror(vlookup(A:A,Pagos!$B$5:$L119,2,false)),"Disponible",vlookup(A:A,Pagos!$B$5:$L119,2,false))</f>
        <v>164</v>
      </c>
      <c r="C91" s="526" t="str">
        <f>IF(iserror(vlookup(A:A,Pagos!$B$5:$L119,3,false)),"Disponible",vlookup(A:A,Pagos!$B$5:$L119,3,false))</f>
        <v>MORENO,HECTOR</v>
      </c>
      <c r="D91" s="527">
        <f>IF(iserror(vlookup(A:A,Pagos!$B$5:$L119,4,false)),"Disponible",If(vlookup(A:A,Pagos!$B$5:$L119,5,false),vlookup(A:A,Pagos!$B$5:$L119,5,false),vlookup(A:A,Pagos!$B$5:$L119,4,false)))</f>
        <v>45992</v>
      </c>
      <c r="E91" s="529"/>
      <c r="F91" s="350" t="str">
        <f t="shared" si="1"/>
        <v/>
      </c>
      <c r="G91" s="350" t="b">
        <f>If(COUNTIF(Pagos!B:B,A91)&gt;1,true,false)</f>
        <v>0</v>
      </c>
    </row>
    <row r="92">
      <c r="A92" s="528" t="s">
        <v>62</v>
      </c>
      <c r="B92" s="525">
        <f>IF(iserror(vlookup(A:A,Pagos!$B$5:$L119,2,false)),"Disponible",vlookup(A:A,Pagos!$B$5:$L119,2,false))</f>
        <v>164</v>
      </c>
      <c r="C92" s="526" t="str">
        <f>IF(iserror(vlookup(A:A,Pagos!$B$5:$L119,3,false)),"Disponible",vlookup(A:A,Pagos!$B$5:$L119,3,false))</f>
        <v>MORENO,HECTOR</v>
      </c>
      <c r="D92" s="527">
        <f>IF(iserror(vlookup(A:A,Pagos!$B$5:$L119,4,false)),"Disponible",If(vlookup(A:A,Pagos!$B$5:$L119,5,false),vlookup(A:A,Pagos!$B$5:$L119,5,false),vlookup(A:A,Pagos!$B$5:$L119,4,false)))</f>
        <v>45992</v>
      </c>
      <c r="E92" s="529"/>
      <c r="F92" s="350" t="str">
        <f t="shared" si="1"/>
        <v/>
      </c>
      <c r="G92" s="350" t="b">
        <f>If(COUNTIF(Pagos!B:B,A92)&gt;1,true,false)</f>
        <v>0</v>
      </c>
    </row>
    <row r="93">
      <c r="A93" s="528" t="s">
        <v>5011</v>
      </c>
      <c r="B93" s="525" t="str">
        <f>IF(iserror(vlookup(A:A,Pagos!$B$5:$L119,2,false)),"Disponible",vlookup(A:A,Pagos!$B$5:$L119,2,false))</f>
        <v>Disponible</v>
      </c>
      <c r="C93" s="526" t="str">
        <f>IF(iserror(vlookup(A:A,Pagos!$B$5:$L119,3,false)),"Disponible",vlookup(A:A,Pagos!$B$5:$L119,3,false))</f>
        <v>Disponible</v>
      </c>
      <c r="D93" s="527" t="str">
        <f>IF(iserror(vlookup(A:A,Pagos!$B$5:$L119,4,false)),"Disponible",If(vlookup(A:A,Pagos!$B$5:$L119,5,false),vlookup(A:A,Pagos!$B$5:$L119,5,false),vlookup(A:A,Pagos!$B$5:$L119,4,false)))</f>
        <v>Disponible</v>
      </c>
      <c r="E93" s="529"/>
      <c r="F93" s="350" t="str">
        <f t="shared" si="1"/>
        <v/>
      </c>
      <c r="G93" s="350" t="b">
        <f>If(COUNTIF(Pagos!B:B,A93)&gt;1,true,false)</f>
        <v>0</v>
      </c>
    </row>
    <row r="94">
      <c r="A94" s="528" t="s">
        <v>5012</v>
      </c>
      <c r="B94" s="525" t="str">
        <f>IF(iserror(vlookup(A:A,Pagos!$B$5:$L119,2,false)),"Disponible",vlookup(A:A,Pagos!$B$5:$L119,2,false))</f>
        <v>Disponible</v>
      </c>
      <c r="C94" s="526" t="str">
        <f>IF(iserror(vlookup(A:A,Pagos!$B$5:$L119,3,false)),"Disponible",vlookup(A:A,Pagos!$B$5:$L119,3,false))</f>
        <v>Disponible</v>
      </c>
      <c r="D94" s="527" t="str">
        <f>IF(iserror(vlookup(A:A,Pagos!$B$5:$L119,4,false)),"Disponible",If(vlookup(A:A,Pagos!$B$5:$L119,5,false),vlookup(A:A,Pagos!$B$5:$L119,5,false),vlookup(A:A,Pagos!$B$5:$L119,4,false)))</f>
        <v>Disponible</v>
      </c>
      <c r="E94" s="529"/>
      <c r="F94" s="350" t="str">
        <f t="shared" si="1"/>
        <v/>
      </c>
      <c r="G94" s="350" t="b">
        <f>If(COUNTIF(Pagos!B:B,A94)&gt;1,true,false)</f>
        <v>0</v>
      </c>
    </row>
    <row r="95">
      <c r="A95" s="528" t="s">
        <v>5013</v>
      </c>
      <c r="B95" s="525" t="str">
        <f>IF(iserror(vlookup(A:A,Pagos!$B$5:$L119,2,false)),"Disponible",vlookup(A:A,Pagos!$B$5:$L119,2,false))</f>
        <v>Disponible</v>
      </c>
      <c r="C95" s="526" t="str">
        <f>IF(iserror(vlookup(A:A,Pagos!$B$5:$L119,3,false)),"Disponible",vlookup(A:A,Pagos!$B$5:$L119,3,false))</f>
        <v>Disponible</v>
      </c>
      <c r="D95" s="527" t="str">
        <f>IF(iserror(vlookup(A:A,Pagos!$B$5:$L119,4,false)),"Disponible",If(vlookup(A:A,Pagos!$B$5:$L119,5,false),vlookup(A:A,Pagos!$B$5:$L119,5,false),vlookup(A:A,Pagos!$B$5:$L119,4,false)))</f>
        <v>Disponible</v>
      </c>
      <c r="E95" s="510"/>
      <c r="F95" s="350" t="str">
        <f t="shared" si="1"/>
        <v/>
      </c>
      <c r="G95" s="350" t="b">
        <f>If(COUNTIF(Pagos!B:B,A95)&gt;1,true,false)</f>
        <v>0</v>
      </c>
    </row>
    <row r="96">
      <c r="A96" s="528" t="s">
        <v>5014</v>
      </c>
      <c r="B96" s="525" t="str">
        <f>IF(iserror(vlookup(A:A,Pagos!$B$5:$L119,2,false)),"Disponible",vlookup(A:A,Pagos!$B$5:$L119,2,false))</f>
        <v>Disponible</v>
      </c>
      <c r="C96" s="526" t="str">
        <f>IF(iserror(vlookup(A:A,Pagos!$B$5:$L119,3,false)),"Disponible",vlookup(A:A,Pagos!$B$5:$L119,3,false))</f>
        <v>Disponible</v>
      </c>
      <c r="D96" s="527" t="str">
        <f>IF(iserror(vlookup(A:A,Pagos!$B$5:$L119,4,false)),"Disponible",If(vlookup(A:A,Pagos!$B$5:$L119,5,false),vlookup(A:A,Pagos!$B$5:$L119,5,false),vlookup(A:A,Pagos!$B$5:$L119,4,false)))</f>
        <v>Disponible</v>
      </c>
      <c r="E96" s="529"/>
      <c r="F96" s="350" t="str">
        <f t="shared" si="1"/>
        <v/>
      </c>
      <c r="G96" s="350" t="b">
        <f>If(COUNTIF(Pagos!B:B,A96)&gt;1,true,false)</f>
        <v>0</v>
      </c>
    </row>
    <row r="97">
      <c r="A97" s="528" t="s">
        <v>5015</v>
      </c>
      <c r="B97" s="525" t="str">
        <f>IF(iserror(vlookup(A:A,Pagos!$B$5:$L119,2,false)),"Disponible",vlookup(A:A,Pagos!$B$5:$L119,2,false))</f>
        <v>Disponible</v>
      </c>
      <c r="C97" s="526" t="str">
        <f>IF(iserror(vlookup(A:A,Pagos!$B$5:$L119,3,false)),"Disponible",vlookup(A:A,Pagos!$B$5:$L119,3,false))</f>
        <v>Disponible</v>
      </c>
      <c r="D97" s="527" t="str">
        <f>IF(iserror(vlookup(A:A,Pagos!$B$5:$L119,4,false)),"Disponible",If(vlookup(A:A,Pagos!$B$5:$L119,5,false),vlookup(A:A,Pagos!$B$5:$L119,5,false),vlookup(A:A,Pagos!$B$5:$L119,4,false)))</f>
        <v>Disponible</v>
      </c>
      <c r="E97" s="529"/>
      <c r="F97" s="350" t="str">
        <f t="shared" si="1"/>
        <v/>
      </c>
      <c r="G97" s="350" t="b">
        <f>If(COUNTIF(Pagos!B:B,A97)&gt;1,true,false)</f>
        <v>0</v>
      </c>
    </row>
    <row r="98">
      <c r="A98" s="528" t="s">
        <v>5016</v>
      </c>
      <c r="B98" s="525" t="str">
        <f>IF(iserror(vlookup(A:A,Pagos!$B$5:$L119,2,false)),"Disponible",vlookup(A:A,Pagos!$B$5:$L119,2,false))</f>
        <v>Disponible</v>
      </c>
      <c r="C98" s="526" t="str">
        <f>IF(iserror(vlookup(A:A,Pagos!$B$5:$L119,3,false)),"Disponible",vlookup(A:A,Pagos!$B$5:$L119,3,false))</f>
        <v>Disponible</v>
      </c>
      <c r="D98" s="527" t="str">
        <f>IF(iserror(vlookup(A:A,Pagos!$B$5:$L119,4,false)),"Disponible",If(vlookup(A:A,Pagos!$B$5:$L119,5,false),vlookup(A:A,Pagos!$B$5:$L119,5,false),vlookup(A:A,Pagos!$B$5:$L119,4,false)))</f>
        <v>Disponible</v>
      </c>
      <c r="E98" s="510"/>
      <c r="F98" s="350" t="str">
        <f t="shared" si="1"/>
        <v/>
      </c>
      <c r="G98" s="350" t="b">
        <f>If(COUNTIF(Pagos!B:B,A98)&gt;1,true,false)</f>
        <v>0</v>
      </c>
    </row>
    <row r="99">
      <c r="A99" s="528" t="s">
        <v>5017</v>
      </c>
      <c r="B99" s="525" t="str">
        <f>IF(iserror(vlookup(A:A,Pagos!$B$5:$L119,2,false)),"Disponible",vlookup(A:A,Pagos!$B$5:$L119,2,false))</f>
        <v>Disponible</v>
      </c>
      <c r="C99" s="526" t="str">
        <f>IF(iserror(vlookup(A:A,Pagos!$B$5:$L119,3,false)),"Disponible",vlookup(A:A,Pagos!$B$5:$L119,3,false))</f>
        <v>Disponible</v>
      </c>
      <c r="D99" s="527" t="str">
        <f>IF(iserror(vlookup(A:A,Pagos!$B$5:$L119,4,false)),"Disponible",If(vlookup(A:A,Pagos!$B$5:$L119,5,false),vlookup(A:A,Pagos!$B$5:$L119,5,false),vlookup(A:A,Pagos!$B$5:$L119,4,false)))</f>
        <v>Disponible</v>
      </c>
      <c r="E99" s="510"/>
      <c r="F99" s="350" t="str">
        <f t="shared" si="1"/>
        <v/>
      </c>
      <c r="G99" s="350" t="b">
        <f>If(COUNTIF(Pagos!B:B,A99)&gt;1,true,false)</f>
        <v>0</v>
      </c>
    </row>
    <row r="100">
      <c r="A100" s="528" t="s">
        <v>5018</v>
      </c>
      <c r="B100" s="525" t="str">
        <f>IF(iserror(vlookup(A:A,Pagos!$B$5:$L119,2,false)),"Disponible",vlookup(A:A,Pagos!$B$5:$L119,2,false))</f>
        <v>Disponible</v>
      </c>
      <c r="C100" s="526" t="str">
        <f>IF(iserror(vlookup(A:A,Pagos!$B$5:$L119,3,false)),"Disponible",vlookup(A:A,Pagos!$B$5:$L119,3,false))</f>
        <v>Disponible</v>
      </c>
      <c r="D100" s="527" t="str">
        <f>IF(iserror(vlookup(A:A,Pagos!$B$5:$L119,4,false)),"Disponible",If(vlookup(A:A,Pagos!$B$5:$L119,5,false),vlookup(A:A,Pagos!$B$5:$L119,5,false),vlookup(A:A,Pagos!$B$5:$L119,4,false)))</f>
        <v>Disponible</v>
      </c>
      <c r="E100" s="510"/>
      <c r="F100" s="350" t="str">
        <f t="shared" si="1"/>
        <v/>
      </c>
      <c r="G100" s="350" t="b">
        <f>If(COUNTIF(Pagos!B:B,A100)&gt;1,true,false)</f>
        <v>0</v>
      </c>
    </row>
    <row r="101">
      <c r="A101" s="528" t="s">
        <v>5019</v>
      </c>
      <c r="B101" s="525" t="str">
        <f>IF(iserror(vlookup(A:A,Pagos!$B$5:$L119,2,false)),"Disponible",vlookup(A:A,Pagos!$B$5:$L119,2,false))</f>
        <v>Disponible</v>
      </c>
      <c r="C101" s="526" t="str">
        <f>IF(iserror(vlookup(A:A,Pagos!$B$5:$L119,3,false)),"Disponible",vlookup(A:A,Pagos!$B$5:$L119,3,false))</f>
        <v>Disponible</v>
      </c>
      <c r="D101" s="527" t="str">
        <f>IF(iserror(vlookup(A:A,Pagos!$B$5:$L119,4,false)),"Disponible",If(vlookup(A:A,Pagos!$B$5:$L119,5,false),vlookup(A:A,Pagos!$B$5:$L119,5,false),vlookup(A:A,Pagos!$B$5:$L119,4,false)))</f>
        <v>Disponible</v>
      </c>
      <c r="E101" s="510"/>
      <c r="F101" s="350" t="str">
        <f t="shared" si="1"/>
        <v/>
      </c>
      <c r="G101" s="350" t="b">
        <f>If(COUNTIF(Pagos!B:B,A101)&gt;1,true,false)</f>
        <v>0</v>
      </c>
    </row>
    <row r="102">
      <c r="A102" s="528" t="s">
        <v>118</v>
      </c>
      <c r="B102" s="525">
        <f>IF(iserror(vlookup(A:A,Pagos!$B$5:$L119,2,false)),"Disponible",vlookup(A:A,Pagos!$B$5:$L119,2,false))</f>
        <v>1293</v>
      </c>
      <c r="C102" s="526" t="str">
        <f>IF(iserror(vlookup(A:A,Pagos!$B$5:$L119,3,false)),"Disponible",vlookup(A:A,Pagos!$B$5:$L119,3,false))</f>
        <v>PARDO, AUGUSTO</v>
      </c>
      <c r="D102" s="527">
        <f>IF(iserror(vlookup(A:A,Pagos!$B$5:$L119,4,false)),"Disponible",If(vlookup(A:A,Pagos!$B$5:$L119,5,false),vlookup(A:A,Pagos!$B$5:$L119,5,false),vlookup(A:A,Pagos!$B$5:$L119,4,false)))</f>
        <v>45992</v>
      </c>
      <c r="E102" s="510"/>
      <c r="F102" s="350" t="str">
        <f t="shared" si="1"/>
        <v/>
      </c>
      <c r="G102" s="350" t="b">
        <f>If(COUNTIF(Pagos!B:B,A102)&gt;1,true,false)</f>
        <v>0</v>
      </c>
    </row>
    <row r="103">
      <c r="A103" s="528" t="s">
        <v>119</v>
      </c>
      <c r="B103" s="525">
        <f>IF(iserror(vlookup(A:A,Pagos!$B$5:$L119,2,false)),"Disponible",vlookup(A:A,Pagos!$B$5:$L119,2,false))</f>
        <v>1293</v>
      </c>
      <c r="C103" s="526" t="str">
        <f>IF(iserror(vlookup(A:A,Pagos!$B$5:$L119,3,false)),"Disponible",vlookup(A:A,Pagos!$B$5:$L119,3,false))</f>
        <v>PARDO, AUGUSTO</v>
      </c>
      <c r="D103" s="527">
        <f>IF(iserror(vlookup(A:A,Pagos!$B$5:$L119,4,false)),"Disponible",If(vlookup(A:A,Pagos!$B$5:$L119,5,false),vlookup(A:A,Pagos!$B$5:$L119,5,false),vlookup(A:A,Pagos!$B$5:$L119,4,false)))</f>
        <v>45992</v>
      </c>
      <c r="E103" s="510"/>
      <c r="F103" s="350" t="str">
        <f t="shared" si="1"/>
        <v/>
      </c>
      <c r="G103" s="350" t="b">
        <f>If(COUNTIF(Pagos!B:B,A103)&gt;1,true,false)</f>
        <v>0</v>
      </c>
    </row>
    <row r="104">
      <c r="A104" s="528" t="s">
        <v>5020</v>
      </c>
      <c r="B104" s="525" t="str">
        <f>IF(iserror(vlookup(A:A,Pagos!$B$5:$L119,2,false)),"Disponible",vlookup(A:A,Pagos!$B$5:$L119,2,false))</f>
        <v>Disponible</v>
      </c>
      <c r="C104" s="526" t="str">
        <f>IF(iserror(vlookup(A:A,Pagos!$B$5:$L119,3,false)),"Disponible",vlookup(A:A,Pagos!$B$5:$L119,3,false))</f>
        <v>Disponible</v>
      </c>
      <c r="D104" s="527" t="str">
        <f>IF(iserror(vlookup(A:A,Pagos!$B$5:$L119,4,false)),"Disponible",If(vlookup(A:A,Pagos!$B$5:$L119,5,false),vlookup(A:A,Pagos!$B$5:$L119,5,false),vlookup(A:A,Pagos!$B$5:$L119,4,false)))</f>
        <v>Disponible</v>
      </c>
      <c r="E104" s="510"/>
      <c r="F104" s="350" t="str">
        <f t="shared" si="1"/>
        <v/>
      </c>
      <c r="G104" s="350" t="b">
        <f>If(COUNTIF(Pagos!B:B,A104)&gt;1,true,false)</f>
        <v>0</v>
      </c>
    </row>
    <row r="105">
      <c r="A105" s="528" t="s">
        <v>5021</v>
      </c>
      <c r="B105" s="525" t="str">
        <f>IF(iserror(vlookup(A:A,Pagos!$B$5:$L119,2,false)),"Disponible",vlookup(A:A,Pagos!$B$5:$L119,2,false))</f>
        <v>Disponible</v>
      </c>
      <c r="C105" s="526" t="str">
        <f>IF(iserror(vlookup(A:A,Pagos!$B$5:$L119,3,false)),"Disponible",vlookup(A:A,Pagos!$B$5:$L119,3,false))</f>
        <v>Disponible</v>
      </c>
      <c r="D105" s="527" t="str">
        <f>IF(iserror(vlookup(A:A,Pagos!$B$5:$L119,4,false)),"Disponible",If(vlookup(A:A,Pagos!$B$5:$L119,5,false),vlookup(A:A,Pagos!$B$5:$L119,5,false),vlookup(A:A,Pagos!$B$5:$L119,4,false)))</f>
        <v>Disponible</v>
      </c>
      <c r="E105" s="510"/>
      <c r="F105" s="350" t="str">
        <f t="shared" si="1"/>
        <v/>
      </c>
      <c r="G105" s="350" t="b">
        <f>If(COUNTIF(Pagos!B:B,A105)&gt;1,true,false)</f>
        <v>0</v>
      </c>
    </row>
    <row r="106">
      <c r="A106" s="528" t="s">
        <v>93</v>
      </c>
      <c r="B106" s="525">
        <f>IF(iserror(vlookup(A:A,Pagos!$B$5:$L119,2,false)),"Disponible",vlookup(A:A,Pagos!$B$5:$L119,2,false))</f>
        <v>982</v>
      </c>
      <c r="C106" s="526" t="str">
        <f>IF(iserror(vlookup(A:A,Pagos!$B$5:$L119,3,false)),"Disponible",vlookup(A:A,Pagos!$B$5:$L119,3,false))</f>
        <v>PESCI, JOSE PEDRO</v>
      </c>
      <c r="D106" s="527">
        <f>IF(iserror(vlookup(A:A,Pagos!$B$5:$L119,4,false)),"Disponible",If(vlookup(A:A,Pagos!$B$5:$L119,5,false),vlookup(A:A,Pagos!$B$5:$L119,5,false),vlookup(A:A,Pagos!$B$5:$L119,4,false)))</f>
        <v>45992</v>
      </c>
      <c r="E106" s="510"/>
      <c r="F106" s="350" t="str">
        <f t="shared" si="1"/>
        <v/>
      </c>
      <c r="G106" s="350" t="b">
        <f>If(COUNTIF(Pagos!B:B,A106)&gt;1,true,false)</f>
        <v>0</v>
      </c>
    </row>
    <row r="107">
      <c r="A107" s="528" t="s">
        <v>5022</v>
      </c>
      <c r="B107" s="525" t="str">
        <f>IF(iserror(vlookup(A:A,Pagos!$B$5:$L119,2,false)),"Disponible",vlookup(A:A,Pagos!$B$5:$L119,2,false))</f>
        <v>Disponible</v>
      </c>
      <c r="C107" s="526" t="str">
        <f>IF(iserror(vlookup(A:A,Pagos!$B$5:$L119,3,false)),"Disponible",vlookup(A:A,Pagos!$B$5:$L119,3,false))</f>
        <v>Disponible</v>
      </c>
      <c r="D107" s="527" t="str">
        <f>IF(iserror(vlookup(A:A,Pagos!$B$5:$L119,4,false)),"Disponible",If(vlookup(A:A,Pagos!$B$5:$L119,5,false),vlookup(A:A,Pagos!$B$5:$L119,5,false),vlookup(A:A,Pagos!$B$5:$L119,4,false)))</f>
        <v>Disponible</v>
      </c>
      <c r="E107" s="510"/>
      <c r="F107" s="350" t="str">
        <f t="shared" si="1"/>
        <v/>
      </c>
      <c r="G107" s="350" t="b">
        <f>If(COUNTIF(Pagos!B:B,A107)&gt;1,true,false)</f>
        <v>0</v>
      </c>
    </row>
    <row r="108">
      <c r="A108" s="528" t="s">
        <v>5023</v>
      </c>
      <c r="B108" s="525" t="str">
        <f>IF(iserror(vlookup(A:A,Pagos!$B$5:$L119,2,false)),"Disponible",vlookup(A:A,Pagos!$B$5:$L119,2,false))</f>
        <v>Disponible</v>
      </c>
      <c r="C108" s="526" t="str">
        <f>IF(iserror(vlookup(A:A,Pagos!$B$5:$L119,3,false)),"Disponible",vlookup(A:A,Pagos!$B$5:$L119,3,false))</f>
        <v>Disponible</v>
      </c>
      <c r="D108" s="527" t="str">
        <f>IF(iserror(vlookup(A:A,Pagos!$B$5:$L119,4,false)),"Disponible",If(vlookup(A:A,Pagos!$B$5:$L119,5,false),vlookup(A:A,Pagos!$B$5:$L119,5,false),vlookup(A:A,Pagos!$B$5:$L119,4,false)))</f>
        <v>Disponible</v>
      </c>
      <c r="E108" s="529"/>
      <c r="F108" s="350" t="str">
        <f t="shared" si="1"/>
        <v/>
      </c>
      <c r="G108" s="350" t="b">
        <f>If(COUNTIF(Pagos!B:B,A108)&gt;1,true,false)</f>
        <v>0</v>
      </c>
    </row>
    <row r="109">
      <c r="A109" s="528" t="s">
        <v>5024</v>
      </c>
      <c r="B109" s="525" t="str">
        <f>IF(iserror(vlookup(A:A,Pagos!$B$5:$L119,2,false)),"Disponible",vlookup(A:A,Pagos!$B$5:$L119,2,false))</f>
        <v>Disponible</v>
      </c>
      <c r="C109" s="526" t="str">
        <f>IF(iserror(vlookup(A:A,Pagos!$B$5:$L119,3,false)),"Disponible",vlookup(A:A,Pagos!$B$5:$L119,3,false))</f>
        <v>Disponible</v>
      </c>
      <c r="D109" s="527" t="str">
        <f>IF(iserror(vlookup(A:A,Pagos!$B$5:$L119,4,false)),"Disponible",If(vlookup(A:A,Pagos!$B$5:$L119,5,false),vlookup(A:A,Pagos!$B$5:$L119,5,false),vlookup(A:A,Pagos!$B$5:$L119,4,false)))</f>
        <v>Disponible</v>
      </c>
      <c r="E109" s="510"/>
      <c r="F109" s="350" t="str">
        <f t="shared" si="1"/>
        <v/>
      </c>
      <c r="G109" s="350" t="b">
        <f>If(COUNTIF(Pagos!B:B,A109)&gt;1,true,false)</f>
        <v>0</v>
      </c>
    </row>
    <row r="110">
      <c r="A110" s="528" t="s">
        <v>5025</v>
      </c>
      <c r="B110" s="525" t="str">
        <f>IF(iserror(vlookup(A:A,Pagos!$B$5:$L119,2,false)),"Disponible",vlookup(A:A,Pagos!$B$5:$L119,2,false))</f>
        <v>Disponible</v>
      </c>
      <c r="C110" s="526" t="str">
        <f>IF(iserror(vlookup(A:A,Pagos!$B$5:$L119,3,false)),"Disponible",vlookup(A:A,Pagos!$B$5:$L119,3,false))</f>
        <v>Disponible</v>
      </c>
      <c r="D110" s="527" t="str">
        <f>IF(iserror(vlookup(A:A,Pagos!$B$5:$L119,4,false)),"Disponible",If(vlookup(A:A,Pagos!$B$5:$L119,5,false),vlookup(A:A,Pagos!$B$5:$L119,5,false),vlookup(A:A,Pagos!$B$5:$L119,4,false)))</f>
        <v>Disponible</v>
      </c>
      <c r="E110" s="510"/>
      <c r="F110" s="350" t="str">
        <f t="shared" si="1"/>
        <v/>
      </c>
      <c r="G110" s="350" t="b">
        <f>If(COUNTIF(Pagos!B:B,A110)&gt;1,true,false)</f>
        <v>0</v>
      </c>
    </row>
    <row r="111">
      <c r="A111" s="528" t="s">
        <v>5026</v>
      </c>
      <c r="B111" s="525" t="str">
        <f>IF(iserror(vlookup(A:A,Pagos!$B$5:$L119,2,false)),"Disponible",vlookup(A:A,Pagos!$B$5:$L119,2,false))</f>
        <v>Disponible</v>
      </c>
      <c r="C111" s="526" t="str">
        <f>IF(iserror(vlookup(A:A,Pagos!$B$5:$L119,3,false)),"Disponible",vlookup(A:A,Pagos!$B$5:$L119,3,false))</f>
        <v>Disponible</v>
      </c>
      <c r="D111" s="527" t="str">
        <f>IF(iserror(vlookup(A:A,Pagos!$B$5:$L119,4,false)),"Disponible",If(vlookup(A:A,Pagos!$B$5:$L119,5,false),vlookup(A:A,Pagos!$B$5:$L119,5,false),vlookup(A:A,Pagos!$B$5:$L119,4,false)))</f>
        <v>Disponible</v>
      </c>
      <c r="E111" s="510"/>
      <c r="F111" s="350" t="str">
        <f t="shared" si="1"/>
        <v/>
      </c>
      <c r="G111" s="350" t="b">
        <f>If(COUNTIF(Pagos!B:B,A111)&gt;1,true,false)</f>
        <v>0</v>
      </c>
    </row>
    <row r="112">
      <c r="A112" s="528" t="s">
        <v>5027</v>
      </c>
      <c r="B112" s="525" t="str">
        <f>IF(iserror(vlookup(A:A,Pagos!$B$5:$L119,2,false)),"Disponible",vlookup(A:A,Pagos!$B$5:$L119,2,false))</f>
        <v>Disponible</v>
      </c>
      <c r="C112" s="526" t="str">
        <f>IF(iserror(vlookup(A:A,Pagos!$B$5:$L119,3,false)),"Disponible",vlookup(A:A,Pagos!$B$5:$L119,3,false))</f>
        <v>Disponible</v>
      </c>
      <c r="D112" s="527" t="str">
        <f>IF(iserror(vlookup(A:A,Pagos!$B$5:$L119,4,false)),"Disponible",If(vlookup(A:A,Pagos!$B$5:$L119,5,false),vlookup(A:A,Pagos!$B$5:$L119,5,false),vlookup(A:A,Pagos!$B$5:$L119,4,false)))</f>
        <v>Disponible</v>
      </c>
      <c r="E112" s="510"/>
      <c r="F112" s="350" t="str">
        <f t="shared" si="1"/>
        <v/>
      </c>
      <c r="G112" s="350" t="b">
        <f>If(COUNTIF(Pagos!B:B,A112)&gt;1,true,false)</f>
        <v>0</v>
      </c>
    </row>
    <row r="113">
      <c r="A113" s="528" t="s">
        <v>5028</v>
      </c>
      <c r="B113" s="525" t="str">
        <f>IF(iserror(vlookup(A:A,Pagos!$B$5:$L119,2,false)),"Disponible",vlookup(A:A,Pagos!$B$5:$L119,2,false))</f>
        <v>Disponible</v>
      </c>
      <c r="C113" s="526" t="str">
        <f>IF(iserror(vlookup(A:A,Pagos!$B$5:$L119,3,false)),"Disponible",vlookup(A:A,Pagos!$B$5:$L119,3,false))</f>
        <v>Disponible</v>
      </c>
      <c r="D113" s="527" t="str">
        <f>IF(iserror(vlookup(A:A,Pagos!$B$5:$L119,4,false)),"Disponible",If(vlookup(A:A,Pagos!$B$5:$L119,5,false),vlookup(A:A,Pagos!$B$5:$L119,5,false),vlookup(A:A,Pagos!$B$5:$L119,4,false)))</f>
        <v>Disponible</v>
      </c>
      <c r="E113" s="510"/>
      <c r="F113" s="350" t="str">
        <f t="shared" si="1"/>
        <v/>
      </c>
      <c r="G113" s="350" t="b">
        <f>If(COUNTIF(Pagos!B:B,A113)&gt;1,true,false)</f>
        <v>0</v>
      </c>
    </row>
    <row r="114">
      <c r="A114" s="528" t="s">
        <v>5029</v>
      </c>
      <c r="B114" s="525" t="str">
        <f>IF(iserror(vlookup(A:A,Pagos!$B$5:$L119,2,false)),"Disponible",vlookup(A:A,Pagos!$B$5:$L119,2,false))</f>
        <v>Disponible</v>
      </c>
      <c r="C114" s="526" t="str">
        <f>IF(iserror(vlookup(A:A,Pagos!$B$5:$L119,3,false)),"Disponible",vlookup(A:A,Pagos!$B$5:$L119,3,false))</f>
        <v>Disponible</v>
      </c>
      <c r="D114" s="527" t="str">
        <f>IF(iserror(vlookup(A:A,Pagos!$B$5:$L119,4,false)),"Disponible",If(vlookup(A:A,Pagos!$B$5:$L119,5,false),vlookup(A:A,Pagos!$B$5:$L119,5,false),vlookup(A:A,Pagos!$B$5:$L119,4,false)))</f>
        <v>Disponible</v>
      </c>
      <c r="E114" s="510"/>
      <c r="F114" s="350" t="str">
        <f t="shared" si="1"/>
        <v/>
      </c>
      <c r="G114" s="350" t="b">
        <f>If(COUNTIF(Pagos!B:B,A114)&gt;1,true,false)</f>
        <v>0</v>
      </c>
    </row>
    <row r="115">
      <c r="A115" s="528" t="s">
        <v>5030</v>
      </c>
      <c r="B115" s="525" t="str">
        <f>IF(iserror(vlookup(A:A,Pagos!$B$5:$L119,2,false)),"Disponible",vlookup(A:A,Pagos!$B$5:$L119,2,false))</f>
        <v>Disponible</v>
      </c>
      <c r="C115" s="526" t="str">
        <f>IF(iserror(vlookup(A:A,Pagos!$B$5:$L119,3,false)),"Disponible",vlookup(A:A,Pagos!$B$5:$L119,3,false))</f>
        <v>Disponible</v>
      </c>
      <c r="D115" s="527" t="str">
        <f>IF(iserror(vlookup(A:A,Pagos!$B$5:$L119,4,false)),"Disponible",If(vlookup(A:A,Pagos!$B$5:$L119,5,false),vlookup(A:A,Pagos!$B$5:$L119,5,false),vlookup(A:A,Pagos!$B$5:$L119,4,false)))</f>
        <v>Disponible</v>
      </c>
      <c r="E115" s="510"/>
      <c r="F115" s="350" t="str">
        <f t="shared" si="1"/>
        <v/>
      </c>
      <c r="G115" s="350" t="b">
        <f>If(COUNTIF(Pagos!B:B,A115)&gt;1,true,false)</f>
        <v>0</v>
      </c>
    </row>
    <row r="116">
      <c r="A116" s="528" t="s">
        <v>206</v>
      </c>
      <c r="B116" s="525">
        <f>IF(iserror(vlookup(A:A,Pagos!$B$5:$L119,2,false)),"Disponible",vlookup(A:A,Pagos!$B$5:$L119,2,false))</f>
        <v>1671</v>
      </c>
      <c r="C116" s="526" t="str">
        <f>IF(iserror(vlookup(A:A,Pagos!$B$5:$L119,3,false)),"Disponible",vlookup(A:A,Pagos!$B$5:$L119,3,false))</f>
        <v>LAYANA, CLAUDIO</v>
      </c>
      <c r="D116" s="527">
        <f>IF(iserror(vlookup(A:A,Pagos!$B$5:$L119,4,false)),"Disponible",If(vlookup(A:A,Pagos!$B$5:$L119,5,false),vlookup(A:A,Pagos!$B$5:$L119,5,false),vlookup(A:A,Pagos!$B$5:$L119,4,false)))</f>
        <v>45992</v>
      </c>
      <c r="E116" s="510"/>
      <c r="F116" s="350" t="str">
        <f t="shared" si="1"/>
        <v/>
      </c>
      <c r="G116" s="350" t="b">
        <f>If(COUNTIF(Pagos!B:B,A116)&gt;1,true,false)</f>
        <v>0</v>
      </c>
    </row>
    <row r="117">
      <c r="A117" s="528" t="s">
        <v>178</v>
      </c>
      <c r="B117" s="525">
        <f>IF(iserror(vlookup(A:A,Pagos!$B$5:$L119,2,false)),"Disponible",vlookup(A:A,Pagos!$B$5:$L119,2,false))</f>
        <v>1616</v>
      </c>
      <c r="C117" s="526" t="str">
        <f>IF(iserror(vlookup(A:A,Pagos!$B$5:$L119,3,false)),"Disponible",vlookup(A:A,Pagos!$B$5:$L119,3,false))</f>
        <v>OLIVA, GUILLERMO</v>
      </c>
      <c r="D117" s="527">
        <f>IF(iserror(vlookup(A:A,Pagos!$B$5:$L119,4,false)),"Disponible",If(vlookup(A:A,Pagos!$B$5:$L119,5,false),vlookup(A:A,Pagos!$B$5:$L119,5,false),vlookup(A:A,Pagos!$B$5:$L119,4,false)))</f>
        <v>45992</v>
      </c>
      <c r="E117" s="510"/>
      <c r="F117" s="350" t="str">
        <f t="shared" si="1"/>
        <v/>
      </c>
      <c r="G117" s="350" t="b">
        <f>If(COUNTIF(Pagos!B:B,A117)&gt;1,true,false)</f>
        <v>0</v>
      </c>
    </row>
    <row r="118">
      <c r="A118" s="528" t="s">
        <v>5031</v>
      </c>
      <c r="B118" s="525" t="str">
        <f>IF(iserror(vlookup(A:A,Pagos!$B$5:$L119,2,false)),"Disponible",vlookup(A:A,Pagos!$B$5:$L119,2,false))</f>
        <v>Disponible</v>
      </c>
      <c r="C118" s="526" t="str">
        <f>IF(iserror(vlookup(A:A,Pagos!$B$5:$L119,3,false)),"Disponible",vlookup(A:A,Pagos!$B$5:$L119,3,false))</f>
        <v>Disponible</v>
      </c>
      <c r="D118" s="527" t="str">
        <f>IF(iserror(vlookup(A:A,Pagos!$B$5:$L119,4,false)),"Disponible",If(vlookup(A:A,Pagos!$B$5:$L119,5,false),vlookup(A:A,Pagos!$B$5:$L119,5,false),vlookup(A:A,Pagos!$B$5:$L119,4,false)))</f>
        <v>Disponible</v>
      </c>
      <c r="E118" s="529"/>
      <c r="F118" s="350" t="str">
        <f t="shared" si="1"/>
        <v/>
      </c>
      <c r="G118" s="350" t="b">
        <f>If(COUNTIF(Pagos!B:B,A118)&gt;1,true,false)</f>
        <v>0</v>
      </c>
    </row>
    <row r="119">
      <c r="A119" s="528" t="s">
        <v>5032</v>
      </c>
      <c r="B119" s="525" t="str">
        <f>IF(iserror(vlookup(A:A,Pagos!$B$5:$L119,2,false)),"Disponible",vlookup(A:A,Pagos!$B$5:$L119,2,false))</f>
        <v>Disponible</v>
      </c>
      <c r="C119" s="526" t="str">
        <f>IF(iserror(vlookup(A:A,Pagos!$B$5:$L119,3,false)),"Disponible",vlookup(A:A,Pagos!$B$5:$L119,3,false))</f>
        <v>Disponible</v>
      </c>
      <c r="D119" s="527" t="str">
        <f>IF(iserror(vlookup(A:A,Pagos!$B$5:$L119,4,false)),"Disponible",If(vlookup(A:A,Pagos!$B$5:$L119,5,false),vlookup(A:A,Pagos!$B$5:$L119,5,false),vlookup(A:A,Pagos!$B$5:$L119,4,false)))</f>
        <v>Disponible</v>
      </c>
      <c r="E119" s="529"/>
      <c r="F119" s="350" t="str">
        <f t="shared" si="1"/>
        <v/>
      </c>
      <c r="G119" s="350" t="b">
        <f>If(COUNTIF(Pagos!B:B,A119)&gt;1,true,false)</f>
        <v>0</v>
      </c>
    </row>
  </sheetData>
  <conditionalFormatting sqref="E1:G1">
    <cfRule type="containsText" dxfId="19" priority="1" operator="containsText" text="Disponible">
      <formula>NOT(ISERROR(SEARCH(("Disponible"),(E1))))</formula>
    </cfRule>
  </conditionalFormatting>
  <conditionalFormatting sqref="B1:D119">
    <cfRule type="containsText" dxfId="9" priority="2" operator="containsText" text="Disponible">
      <formula>NOT(ISERROR(SEARCH(("Disponible"),(B1))))</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2" max="2" width="7.75"/>
    <col customWidth="1" min="3" max="3" width="15.25"/>
    <col customWidth="1" min="4" max="4" width="29.38"/>
    <col customWidth="1" min="5" max="5" width="14.5"/>
    <col customWidth="1" min="6" max="6" width="35.13"/>
    <col customWidth="1" min="7" max="7" width="21.88"/>
    <col customWidth="1" hidden="1" min="8" max="8" width="21.88"/>
  </cols>
  <sheetData>
    <row r="1">
      <c r="A1" s="487" t="s">
        <v>5033</v>
      </c>
      <c r="B1" s="509" t="s">
        <v>494</v>
      </c>
      <c r="C1" s="509" t="s">
        <v>4731</v>
      </c>
      <c r="D1" s="514" t="s">
        <v>25</v>
      </c>
      <c r="E1" s="484" t="s">
        <v>512</v>
      </c>
      <c r="F1" s="509" t="s">
        <v>33</v>
      </c>
      <c r="G1" s="487" t="s">
        <v>4732</v>
      </c>
      <c r="H1" s="487" t="s">
        <v>4732</v>
      </c>
    </row>
    <row r="2">
      <c r="A2" s="495" t="s">
        <v>267</v>
      </c>
      <c r="B2" s="513" t="s">
        <v>5034</v>
      </c>
      <c r="C2" s="489">
        <f>IF(iserror(vlookup(A:A,Pagos!$B$5:$L76,2,false)),"Disponible",vlookup(A:A,Pagos!$B$5:$L76,2,false))</f>
        <v>1863</v>
      </c>
      <c r="D2" s="490" t="str">
        <f>IF(iserror(vlookup(A:A,Pagos!$B$5:$L76,3,false)),"Disponible",vlookup(A:A,Pagos!$B$5:$L76,3,false))</f>
        <v>QUINTEROS, MARIO</v>
      </c>
      <c r="E2" s="491">
        <f>IF(iserror(vlookup(A:A,Pagos!$B$5:$L76,4,false)),"Disponible",If(vlookup(A:A,Pagos!$B$5:$L76,5,false),vlookup(A:A,Pagos!$B$5:$L76,5,false),vlookup(A:A,Pagos!$B$5:$L76,4,false)))</f>
        <v>45992</v>
      </c>
      <c r="F2" s="494"/>
      <c r="G2" s="531" t="str">
        <f t="shared" ref="G2:G46" si="1">IF(H2,"Sobreasignado","")</f>
        <v/>
      </c>
      <c r="H2" s="531" t="b">
        <f>If(COUNTIF(Pagos!B:B,A2)&gt;1,true,false)</f>
        <v>0</v>
      </c>
    </row>
    <row r="3">
      <c r="A3" s="495" t="s">
        <v>386</v>
      </c>
      <c r="B3" s="513" t="s">
        <v>5034</v>
      </c>
      <c r="C3" s="489">
        <f>IF(iserror(vlookup(A:A,Pagos!$B$5:$L76,2,false)),"Disponible",vlookup(A:A,Pagos!$B$5:$L76,2,false))</f>
        <v>2136</v>
      </c>
      <c r="D3" s="490" t="str">
        <f>IF(iserror(vlookup(A:A,Pagos!$B$5:$L76,3,false)),"Disponible",vlookup(A:A,Pagos!$B$5:$L76,3,false))</f>
        <v>ETCHEVERS, PABLO</v>
      </c>
      <c r="E3" s="491">
        <f>IF(iserror(vlookup(A:A,Pagos!$B$5:$L76,4,false)),"Disponible",If(vlookup(A:A,Pagos!$B$5:$L76,5,false),vlookup(A:A,Pagos!$B$5:$L76,5,false),vlookup(A:A,Pagos!$B$5:$L76,4,false)))</f>
        <v>45992</v>
      </c>
      <c r="F3" s="492"/>
      <c r="G3" s="531" t="str">
        <f t="shared" si="1"/>
        <v/>
      </c>
      <c r="H3" s="531" t="b">
        <f>If(COUNTIF(Pagos!B:B,A3)&gt;1,true,false)</f>
        <v>0</v>
      </c>
    </row>
    <row r="4">
      <c r="A4" s="495" t="s">
        <v>228</v>
      </c>
      <c r="B4" s="513" t="s">
        <v>5034</v>
      </c>
      <c r="C4" s="489">
        <f>IF(iserror(vlookup(A:A,Pagos!$B$5:$L76,2,false)),"Disponible",vlookup(A:A,Pagos!$B$5:$L76,2,false))</f>
        <v>1727</v>
      </c>
      <c r="D4" s="490" t="str">
        <f>IF(iserror(vlookup(A:A,Pagos!$B$5:$L76,3,false)),"Disponible",vlookup(A:A,Pagos!$B$5:$L76,3,false))</f>
        <v>SALMOIRAGHI, GUILLERMO</v>
      </c>
      <c r="E4" s="491">
        <f>IF(iserror(vlookup(A:A,Pagos!$B$5:$L76,4,false)),"Disponible",If(vlookup(A:A,Pagos!$B$5:$L76,5,false),vlookup(A:A,Pagos!$B$5:$L76,5,false),vlookup(A:A,Pagos!$B$5:$L76,4,false)))</f>
        <v>45992</v>
      </c>
      <c r="F4" s="492"/>
      <c r="G4" s="531" t="str">
        <f t="shared" si="1"/>
        <v/>
      </c>
      <c r="H4" s="531" t="b">
        <f>If(COUNTIF(Pagos!B:B,A4)&gt;1,true,false)</f>
        <v>0</v>
      </c>
    </row>
    <row r="5">
      <c r="A5" s="495" t="s">
        <v>192</v>
      </c>
      <c r="B5" s="513" t="s">
        <v>5034</v>
      </c>
      <c r="C5" s="489">
        <f>IF(iserror(vlookup(A:A,Pagos!$B$5:$L76,2,false)),"Disponible",vlookup(A:A,Pagos!$B$5:$L76,2,false))</f>
        <v>1639</v>
      </c>
      <c r="D5" s="490" t="str">
        <f>IF(iserror(vlookup(A:A,Pagos!$B$5:$L76,3,false)),"Disponible",vlookup(A:A,Pagos!$B$5:$L76,3,false))</f>
        <v>IDIAZABAL JUAN</v>
      </c>
      <c r="E5" s="491">
        <f>IF(iserror(vlookup(A:A,Pagos!$B$5:$L76,4,false)),"Disponible",If(vlookup(A:A,Pagos!$B$5:$L76,5,false),vlookup(A:A,Pagos!$B$5:$L76,5,false),vlookup(A:A,Pagos!$B$5:$L76,4,false)))</f>
        <v>45992</v>
      </c>
      <c r="F5" s="494"/>
      <c r="G5" s="531" t="str">
        <f t="shared" si="1"/>
        <v/>
      </c>
      <c r="H5" s="531" t="b">
        <f>If(COUNTIF(Pagos!B:B,A5)&gt;1,true,false)</f>
        <v>0</v>
      </c>
    </row>
    <row r="6">
      <c r="A6" s="495" t="s">
        <v>69</v>
      </c>
      <c r="B6" s="513" t="s">
        <v>5034</v>
      </c>
      <c r="C6" s="489">
        <f>IF(iserror(vlookup(A:A,Pagos!$B$5:$L76,2,false)),"Disponible",vlookup(A:A,Pagos!$B$5:$L76,2,false))</f>
        <v>610</v>
      </c>
      <c r="D6" s="490" t="str">
        <f>IF(iserror(vlookup(A:A,Pagos!$B$5:$L76,3,false)),"Disponible",vlookup(A:A,Pagos!$B$5:$L76,3,false))</f>
        <v>GOUDAK, JORGE</v>
      </c>
      <c r="E6" s="491">
        <f>IF(iserror(vlookup(A:A,Pagos!$B$5:$L76,4,false)),"Disponible",If(vlookup(A:A,Pagos!$B$5:$L76,5,false),vlookup(A:A,Pagos!$B$5:$L76,5,false),vlookup(A:A,Pagos!$B$5:$L76,4,false)))</f>
        <v>45992</v>
      </c>
      <c r="F6" s="492"/>
      <c r="G6" s="531" t="str">
        <f t="shared" si="1"/>
        <v/>
      </c>
      <c r="H6" s="531" t="b">
        <f>If(COUNTIF(Pagos!B:B,A6)&gt;1,true,false)</f>
        <v>0</v>
      </c>
    </row>
    <row r="7">
      <c r="A7" s="495" t="s">
        <v>53</v>
      </c>
      <c r="B7" s="513" t="s">
        <v>5034</v>
      </c>
      <c r="C7" s="489">
        <f>IF(iserror(vlookup(A:A,Pagos!$B$5:$L76,2,false)),"Disponible",vlookup(A:A,Pagos!$B$5:$L76,2,false))</f>
        <v>45</v>
      </c>
      <c r="D7" s="490" t="str">
        <f>IF(iserror(vlookup(A:A,Pagos!$B$5:$L76,3,false)),"Disponible",vlookup(A:A,Pagos!$B$5:$L76,3,false))</f>
        <v>MANDRINI, LEOPOLDO</v>
      </c>
      <c r="E7" s="491">
        <f>IF(iserror(vlookup(A:A,Pagos!$B$5:$L76,4,false)),"Disponible",If(vlookup(A:A,Pagos!$B$5:$L76,5,false),vlookup(A:A,Pagos!$B$5:$L76,5,false),vlookup(A:A,Pagos!$B$5:$L76,4,false)))</f>
        <v>45992</v>
      </c>
      <c r="F7" s="492"/>
      <c r="G7" s="531" t="str">
        <f t="shared" si="1"/>
        <v/>
      </c>
      <c r="H7" s="531" t="b">
        <f>If(COUNTIF(Pagos!B:B,A7)&gt;1,true,false)</f>
        <v>0</v>
      </c>
    </row>
    <row r="8">
      <c r="A8" s="495" t="s">
        <v>65</v>
      </c>
      <c r="B8" s="513" t="s">
        <v>5034</v>
      </c>
      <c r="C8" s="489">
        <f>IF(iserror(vlookup(A:A,Pagos!$B$5:$L76,2,false)),"Disponible",vlookup(A:A,Pagos!$B$5:$L76,2,false))</f>
        <v>504</v>
      </c>
      <c r="D8" s="490" t="str">
        <f>IF(iserror(vlookup(A:A,Pagos!$B$5:$L76,3,false)),"Disponible",vlookup(A:A,Pagos!$B$5:$L76,3,false))</f>
        <v>BASOALTO, RAUL ALBERTO</v>
      </c>
      <c r="E8" s="491">
        <f>IF(iserror(vlookup(A:A,Pagos!$B$5:$L76,4,false)),"Disponible",If(vlookup(A:A,Pagos!$B$5:$L76,5,false),vlookup(A:A,Pagos!$B$5:$L76,5,false),vlookup(A:A,Pagos!$B$5:$L76,4,false)))</f>
        <v>45992</v>
      </c>
      <c r="F8" s="492"/>
      <c r="G8" s="531" t="str">
        <f t="shared" si="1"/>
        <v/>
      </c>
      <c r="H8" s="531" t="b">
        <f>If(COUNTIF(Pagos!B:B,A8)&gt;1,true,false)</f>
        <v>0</v>
      </c>
    </row>
    <row r="9">
      <c r="A9" s="495" t="s">
        <v>155</v>
      </c>
      <c r="B9" s="513" t="s">
        <v>5034</v>
      </c>
      <c r="C9" s="489">
        <f>IF(iserror(vlookup(A:A,Pagos!$B$5:$L76,2,false)),"Disponible",vlookup(A:A,Pagos!$B$5:$L76,2,false))</f>
        <v>1546</v>
      </c>
      <c r="D9" s="490" t="str">
        <f>IF(iserror(vlookup(A:A,Pagos!$B$5:$L76,3,false)),"Disponible",vlookup(A:A,Pagos!$B$5:$L76,3,false))</f>
        <v>ARMAN, ALEJANDRO</v>
      </c>
      <c r="E9" s="491">
        <f>IF(iserror(vlookup(A:A,Pagos!$B$5:$L76,4,false)),"Disponible",If(vlookup(A:A,Pagos!$B$5:$L76,5,false),vlookup(A:A,Pagos!$B$5:$L76,5,false),vlookup(A:A,Pagos!$B$5:$L76,4,false)))</f>
        <v>45992</v>
      </c>
      <c r="F9" s="492"/>
      <c r="G9" s="531" t="str">
        <f t="shared" si="1"/>
        <v/>
      </c>
      <c r="H9" s="531" t="b">
        <f>If(COUNTIF(Pagos!B:B,A9)&gt;1,true,false)</f>
        <v>0</v>
      </c>
    </row>
    <row r="10">
      <c r="A10" s="495" t="s">
        <v>285</v>
      </c>
      <c r="B10" s="532" t="s">
        <v>5035</v>
      </c>
      <c r="C10" s="489">
        <f>IF(iserror(vlookup(A:A,Pagos!$B$5:$L76,2,false)),"Disponible",vlookup(A:A,Pagos!$B$5:$L76,2,false))</f>
        <v>1906</v>
      </c>
      <c r="D10" s="490" t="str">
        <f>IF(iserror(vlookup(A:A,Pagos!$B$5:$L76,3,false)),"Disponible",vlookup(A:A,Pagos!$B$5:$L76,3,false))</f>
        <v>VILLANUEVA, MARCELO</v>
      </c>
      <c r="E10" s="491">
        <f>IF(iserror(vlookup(A:A,Pagos!$B$5:$L76,4,false)),"Disponible",If(vlookup(A:A,Pagos!$B$5:$L76,5,false),vlookup(A:A,Pagos!$B$5:$L76,5,false),vlookup(A:A,Pagos!$B$5:$L76,4,false)))</f>
        <v>45992</v>
      </c>
      <c r="F10" s="492"/>
      <c r="G10" s="531" t="str">
        <f t="shared" si="1"/>
        <v/>
      </c>
      <c r="H10" s="531" t="b">
        <f>If(COUNTIF(Pagos!B:B,A10)&gt;1,true,false)</f>
        <v>0</v>
      </c>
    </row>
    <row r="11">
      <c r="A11" s="495" t="s">
        <v>235</v>
      </c>
      <c r="B11" s="532" t="s">
        <v>5035</v>
      </c>
      <c r="C11" s="489">
        <f>IF(iserror(vlookup(A:A,Pagos!$B$5:$L76,2,false)),"Disponible",vlookup(A:A,Pagos!$B$5:$L76,2,false))</f>
        <v>1748</v>
      </c>
      <c r="D11" s="490" t="str">
        <f>IF(iserror(vlookup(A:A,Pagos!$B$5:$L76,3,false)),"Disponible",vlookup(A:A,Pagos!$B$5:$L76,3,false))</f>
        <v>TRAVERSO, MERCEDES</v>
      </c>
      <c r="E11" s="491">
        <f>IF(iserror(vlookup(A:A,Pagos!$B$5:$L76,4,false)),"Disponible",If(vlookup(A:A,Pagos!$B$5:$L76,5,false),vlookup(A:A,Pagos!$B$5:$L76,5,false),vlookup(A:A,Pagos!$B$5:$L76,4,false)))</f>
        <v>45992</v>
      </c>
      <c r="F11" s="492"/>
      <c r="G11" s="531" t="str">
        <f t="shared" si="1"/>
        <v/>
      </c>
      <c r="H11" s="531" t="b">
        <f>If(COUNTIF(Pagos!B:B,A11)&gt;1,true,false)</f>
        <v>0</v>
      </c>
    </row>
    <row r="12">
      <c r="A12" s="495" t="s">
        <v>219</v>
      </c>
      <c r="B12" s="532" t="s">
        <v>5035</v>
      </c>
      <c r="C12" s="489">
        <f>IF(iserror(vlookup(A:A,Pagos!$B$5:$L76,2,false)),"Disponible",vlookup(A:A,Pagos!$B$5:$L76,2,false))</f>
        <v>1720</v>
      </c>
      <c r="D12" s="490" t="str">
        <f>IF(iserror(vlookup(A:A,Pagos!$B$5:$L76,3,false)),"Disponible",vlookup(A:A,Pagos!$B$5:$L76,3,false))</f>
        <v>PUPO, JOSE</v>
      </c>
      <c r="E12" s="491">
        <f>IF(iserror(vlookup(A:A,Pagos!$B$5:$L76,4,false)),"Disponible",If(vlookup(A:A,Pagos!$B$5:$L76,5,false),vlookup(A:A,Pagos!$B$5:$L76,5,false),vlookup(A:A,Pagos!$B$5:$L76,4,false)))</f>
        <v>45992</v>
      </c>
      <c r="F12" s="492"/>
      <c r="G12" s="531" t="str">
        <f t="shared" si="1"/>
        <v/>
      </c>
      <c r="H12" s="531" t="b">
        <f>If(COUNTIF(Pagos!B:B,A12)&gt;1,true,false)</f>
        <v>0</v>
      </c>
    </row>
    <row r="13">
      <c r="A13" s="495" t="s">
        <v>170</v>
      </c>
      <c r="B13" s="532" t="s">
        <v>5035</v>
      </c>
      <c r="C13" s="489">
        <f>IF(iserror(vlookup(A:A,Pagos!$B$5:$L76,2,false)),"Disponible",vlookup(A:A,Pagos!$B$5:$L76,2,false))</f>
        <v>1600</v>
      </c>
      <c r="D13" s="490" t="str">
        <f>IF(iserror(vlookup(A:A,Pagos!$B$5:$L76,3,false)),"Disponible",vlookup(A:A,Pagos!$B$5:$L76,3,false))</f>
        <v>VILLAREAL, RAFAEL</v>
      </c>
      <c r="E13" s="491">
        <f>IF(iserror(vlookup(A:A,Pagos!$B$5:$L76,4,false)),"Disponible",If(vlookup(A:A,Pagos!$B$5:$L76,5,false),vlookup(A:A,Pagos!$B$5:$L76,5,false),vlookup(A:A,Pagos!$B$5:$L76,4,false)))</f>
        <v>45992</v>
      </c>
      <c r="F13" s="492"/>
      <c r="G13" s="531" t="str">
        <f t="shared" si="1"/>
        <v/>
      </c>
      <c r="H13" s="531" t="b">
        <f>If(COUNTIF(Pagos!B:B,A13)&gt;1,true,false)</f>
        <v>0</v>
      </c>
    </row>
    <row r="14">
      <c r="A14" s="495" t="s">
        <v>299</v>
      </c>
      <c r="B14" s="532" t="s">
        <v>5035</v>
      </c>
      <c r="C14" s="489">
        <f>IF(iserror(vlookup(A:A,Pagos!$B$5:$L76,2,false)),"Disponible",vlookup(A:A,Pagos!$B$5:$L76,2,false))</f>
        <v>1935</v>
      </c>
      <c r="D14" s="490" t="str">
        <f>IF(iserror(vlookup(A:A,Pagos!$B$5:$L76,3,false)),"Disponible",vlookup(A:A,Pagos!$B$5:$L76,3,false))</f>
        <v>ROMERO, ROCIO</v>
      </c>
      <c r="E14" s="491">
        <f>IF(iserror(vlookup(A:A,Pagos!$B$5:$L76,4,false)),"Disponible",If(vlookup(A:A,Pagos!$B$5:$L76,5,false),vlookup(A:A,Pagos!$B$5:$L76,5,false),vlookup(A:A,Pagos!$B$5:$L76,4,false)))</f>
        <v>45992</v>
      </c>
      <c r="F14" s="492"/>
      <c r="G14" s="531" t="str">
        <f t="shared" si="1"/>
        <v/>
      </c>
      <c r="H14" s="531" t="b">
        <f>If(COUNTIF(Pagos!B:B,A14)&gt;1,true,false)</f>
        <v>0</v>
      </c>
    </row>
    <row r="15">
      <c r="A15" s="495" t="s">
        <v>90</v>
      </c>
      <c r="B15" s="532" t="s">
        <v>5035</v>
      </c>
      <c r="C15" s="489">
        <f>IF(iserror(vlookup(A:A,Pagos!$B$5:$L76,2,false)),"Disponible",vlookup(A:A,Pagos!$B$5:$L76,2,false))</f>
        <v>913</v>
      </c>
      <c r="D15" s="490" t="str">
        <f>IF(iserror(vlookup(A:A,Pagos!$B$5:$L76,3,false)),"Disponible",vlookup(A:A,Pagos!$B$5:$L76,3,false))</f>
        <v>AROZAMENA, GUSTAVO</v>
      </c>
      <c r="E15" s="491">
        <f>IF(iserror(vlookup(A:A,Pagos!$B$5:$L76,4,false)),"Disponible",If(vlookup(A:A,Pagos!$B$5:$L76,5,false),vlookup(A:A,Pagos!$B$5:$L76,5,false),vlookup(A:A,Pagos!$B$5:$L76,4,false)))</f>
        <v>45992</v>
      </c>
      <c r="F15" s="492"/>
      <c r="G15" s="531" t="str">
        <f t="shared" si="1"/>
        <v/>
      </c>
      <c r="H15" s="531" t="b">
        <f>If(COUNTIF(Pagos!B:B,A15)&gt;1,true,false)</f>
        <v>0</v>
      </c>
    </row>
    <row r="16">
      <c r="A16" s="495" t="s">
        <v>418</v>
      </c>
      <c r="B16" s="532" t="s">
        <v>5035</v>
      </c>
      <c r="C16" s="489">
        <f>IF(iserror(vlookup(A:A,Pagos!$B$5:$L76,2,false)),"Disponible",vlookup(A:A,Pagos!$B$5:$L76,2,false))</f>
        <v>2206</v>
      </c>
      <c r="D16" s="490" t="str">
        <f>IF(iserror(vlookup(A:A,Pagos!$B$5:$L76,3,false)),"Disponible",vlookup(A:A,Pagos!$B$5:$L76,3,false))</f>
        <v>NOUZEILLES, ANDREA</v>
      </c>
      <c r="E16" s="491">
        <f>IF(iserror(vlookup(A:A,Pagos!$B$5:$L76,4,false)),"Disponible",If(vlookup(A:A,Pagos!$B$5:$L76,5,false),vlookup(A:A,Pagos!$B$5:$L76,5,false),vlookup(A:A,Pagos!$B$5:$L76,4,false)))</f>
        <v>45992</v>
      </c>
      <c r="F16" s="492"/>
      <c r="G16" s="531" t="str">
        <f t="shared" si="1"/>
        <v/>
      </c>
      <c r="H16" s="531" t="b">
        <f>If(COUNTIF(Pagos!B:B,A16)&gt;1,true,false)</f>
        <v>0</v>
      </c>
    </row>
    <row r="17">
      <c r="A17" s="495" t="s">
        <v>404</v>
      </c>
      <c r="B17" s="532" t="s">
        <v>5035</v>
      </c>
      <c r="C17" s="489">
        <f>IF(iserror(vlookup(A:A,Pagos!$B$5:$L76,2,false)),"Disponible",vlookup(A:A,Pagos!$B$5:$L76,2,false))</f>
        <v>2170</v>
      </c>
      <c r="D17" s="490" t="str">
        <f>IF(iserror(vlookup(A:A,Pagos!$B$5:$L76,3,false)),"Disponible",vlookup(A:A,Pagos!$B$5:$L76,3,false))</f>
        <v>GALARZA, JUAN MANUEL</v>
      </c>
      <c r="E17" s="491">
        <f>IF(iserror(vlookup(A:A,Pagos!$B$5:$L76,4,false)),"Disponible",If(vlookup(A:A,Pagos!$B$5:$L76,5,false),vlookup(A:A,Pagos!$B$5:$L76,5,false),vlookup(A:A,Pagos!$B$5:$L76,4,false)))</f>
        <v>45992</v>
      </c>
      <c r="F17" s="492"/>
      <c r="G17" s="531" t="str">
        <f t="shared" si="1"/>
        <v/>
      </c>
      <c r="H17" s="531" t="b">
        <f>If(COUNTIF(Pagos!B:B,A17)&gt;1,true,false)</f>
        <v>0</v>
      </c>
    </row>
    <row r="18">
      <c r="A18" s="495" t="s">
        <v>54</v>
      </c>
      <c r="B18" s="532" t="s">
        <v>5035</v>
      </c>
      <c r="C18" s="489">
        <f>IF(iserror(vlookup(A:A,Pagos!$B$5:$L76,2,false)),"Disponible",vlookup(A:A,Pagos!$B$5:$L76,2,false))</f>
        <v>45</v>
      </c>
      <c r="D18" s="490" t="str">
        <f>IF(iserror(vlookup(A:A,Pagos!$B$5:$L76,3,false)),"Disponible",vlookup(A:A,Pagos!$B$5:$L76,3,false))</f>
        <v>MANDRINI, LEOPOLDO</v>
      </c>
      <c r="E18" s="491">
        <f>IF(iserror(vlookup(A:A,Pagos!$B$5:$L76,4,false)),"Disponible",If(vlookup(A:A,Pagos!$B$5:$L76,5,false),vlookup(A:A,Pagos!$B$5:$L76,5,false),vlookup(A:A,Pagos!$B$5:$L76,4,false)))</f>
        <v>45992</v>
      </c>
      <c r="F18" s="492"/>
      <c r="G18" s="531" t="str">
        <f t="shared" si="1"/>
        <v/>
      </c>
      <c r="H18" s="531" t="b">
        <f>If(COUNTIF(Pagos!B:B,A18)&gt;1,true,false)</f>
        <v>0</v>
      </c>
    </row>
    <row r="19">
      <c r="A19" s="495" t="s">
        <v>110</v>
      </c>
      <c r="B19" s="532" t="s">
        <v>5035</v>
      </c>
      <c r="C19" s="489">
        <f>IF(iserror(vlookup(A:A,Pagos!$B$5:$L76,2,false)),"Disponible",vlookup(A:A,Pagos!$B$5:$L76,2,false))</f>
        <v>1204</v>
      </c>
      <c r="D19" s="490" t="str">
        <f>IF(iserror(vlookup(A:A,Pagos!$B$5:$L76,3,false)),"Disponible",vlookup(A:A,Pagos!$B$5:$L76,3,false))</f>
        <v>PIETRA FIGUEREDO, GUILLERMO</v>
      </c>
      <c r="E19" s="491">
        <f>IF(iserror(vlookup(A:A,Pagos!$B$5:$L76,4,false)),"Disponible",If(vlookup(A:A,Pagos!$B$5:$L76,5,false),vlookup(A:A,Pagos!$B$5:$L76,5,false),vlookup(A:A,Pagos!$B$5:$L76,4,false)))</f>
        <v>45992</v>
      </c>
      <c r="F19" s="492"/>
      <c r="G19" s="531" t="str">
        <f t="shared" si="1"/>
        <v/>
      </c>
      <c r="H19" s="531" t="b">
        <f>If(COUNTIF(Pagos!B:B,A19)&gt;1,true,false)</f>
        <v>0</v>
      </c>
    </row>
    <row r="20">
      <c r="A20" s="495" t="s">
        <v>73</v>
      </c>
      <c r="B20" s="532" t="s">
        <v>5035</v>
      </c>
      <c r="C20" s="489">
        <f>IF(iserror(vlookup(A:A,Pagos!$B$5:$L76,2,false)),"Disponible",vlookup(A:A,Pagos!$B$5:$L76,2,false))</f>
        <v>697</v>
      </c>
      <c r="D20" s="490" t="str">
        <f>IF(iserror(vlookup(A:A,Pagos!$B$5:$L76,3,false)),"Disponible",vlookup(A:A,Pagos!$B$5:$L76,3,false))</f>
        <v>ROMERO, IGNACIO</v>
      </c>
      <c r="E20" s="491">
        <f>IF(iserror(vlookup(A:A,Pagos!$B$5:$L76,4,false)),"Disponible",If(vlookup(A:A,Pagos!$B$5:$L76,5,false),vlookup(A:A,Pagos!$B$5:$L76,5,false),vlookup(A:A,Pagos!$B$5:$L76,4,false)))</f>
        <v>45992</v>
      </c>
      <c r="F20" s="492"/>
      <c r="G20" s="531" t="str">
        <f t="shared" si="1"/>
        <v/>
      </c>
      <c r="H20" s="531" t="b">
        <f>If(COUNTIF(Pagos!B:B,A20)&gt;1,true,false)</f>
        <v>0</v>
      </c>
    </row>
    <row r="21">
      <c r="A21" s="495" t="s">
        <v>5036</v>
      </c>
      <c r="B21" s="532" t="s">
        <v>5035</v>
      </c>
      <c r="C21" s="489" t="str">
        <f>IF(iserror(vlookup(A:A,Pagos!$B$5:$L76,2,false)),"Disponible",vlookup(A:A,Pagos!$B$5:$L76,2,false))</f>
        <v>Disponible</v>
      </c>
      <c r="D21" s="490" t="str">
        <f>IF(iserror(vlookup(A:A,Pagos!$B$5:$L76,3,false)),"Disponible",vlookup(A:A,Pagos!$B$5:$L76,3,false))</f>
        <v>Disponible</v>
      </c>
      <c r="E21" s="491" t="str">
        <f>IF(iserror(vlookup(A:A,Pagos!$B$5:$L76,4,false)),"Disponible",If(vlookup(A:A,Pagos!$B$5:$L76,5,false),vlookup(A:A,Pagos!$B$5:$L76,5,false),vlookup(A:A,Pagos!$B$5:$L76,4,false)))</f>
        <v>Disponible</v>
      </c>
      <c r="F21" s="492"/>
      <c r="G21" s="531" t="str">
        <f t="shared" si="1"/>
        <v/>
      </c>
      <c r="H21" s="531" t="b">
        <f>If(COUNTIF(Pagos!B:B,A21)&gt;1,true,false)</f>
        <v>0</v>
      </c>
    </row>
    <row r="22">
      <c r="A22" s="495" t="s">
        <v>184</v>
      </c>
      <c r="B22" s="532" t="s">
        <v>5035</v>
      </c>
      <c r="C22" s="489">
        <f>IF(iserror(vlookup(A:A,Pagos!$B$5:$L76,2,false)),"Disponible",vlookup(A:A,Pagos!$B$5:$L76,2,false))</f>
        <v>1631</v>
      </c>
      <c r="D22" s="490" t="str">
        <f>IF(iserror(vlookup(A:A,Pagos!$B$5:$L76,3,false)),"Disponible",vlookup(A:A,Pagos!$B$5:$L76,3,false))</f>
        <v>HALECKA, JUAN GABRIEL</v>
      </c>
      <c r="E22" s="491">
        <f>IF(iserror(vlookup(A:A,Pagos!$B$5:$L76,4,false)),"Disponible",If(vlookup(A:A,Pagos!$B$5:$L76,5,false),vlookup(A:A,Pagos!$B$5:$L76,5,false),vlookup(A:A,Pagos!$B$5:$L76,4,false)))</f>
        <v>45992</v>
      </c>
      <c r="F22" s="492"/>
      <c r="G22" s="531" t="str">
        <f t="shared" si="1"/>
        <v/>
      </c>
      <c r="H22" s="531" t="b">
        <f>If(COUNTIF(Pagos!B:B,A22)&gt;1,true,false)</f>
        <v>0</v>
      </c>
    </row>
    <row r="23">
      <c r="A23" s="495" t="s">
        <v>113</v>
      </c>
      <c r="B23" s="532" t="s">
        <v>5035</v>
      </c>
      <c r="C23" s="489">
        <f>IF(iserror(vlookup(A:A,Pagos!$B$5:$L76,2,false)),"Disponible",vlookup(A:A,Pagos!$B$5:$L76,2,false))</f>
        <v>1279</v>
      </c>
      <c r="D23" s="490" t="str">
        <f>IF(iserror(vlookup(A:A,Pagos!$B$5:$L76,3,false)),"Disponible",vlookup(A:A,Pagos!$B$5:$L76,3,false))</f>
        <v>PAIS, VERONICA</v>
      </c>
      <c r="E23" s="491">
        <f>IF(iserror(vlookup(A:A,Pagos!$B$5:$L76,4,false)),"Disponible",If(vlookup(A:A,Pagos!$B$5:$L76,5,false),vlookup(A:A,Pagos!$B$5:$L76,5,false),vlookup(A:A,Pagos!$B$5:$L76,4,false)))</f>
        <v>45992</v>
      </c>
      <c r="F23" s="492"/>
      <c r="G23" s="531" t="str">
        <f t="shared" si="1"/>
        <v/>
      </c>
      <c r="H23" s="531" t="b">
        <f>If(COUNTIF(Pagos!B:B,A23)&gt;1,true,false)</f>
        <v>0</v>
      </c>
    </row>
    <row r="24">
      <c r="A24" s="495" t="s">
        <v>478</v>
      </c>
      <c r="B24" s="532" t="s">
        <v>5035</v>
      </c>
      <c r="C24" s="489">
        <f>IF(iserror(vlookup(A:A,Pagos!$B$5:$L76,2,false)),"Disponible",vlookup(A:A,Pagos!$B$5:$L76,2,false))</f>
        <v>2332</v>
      </c>
      <c r="D24" s="490" t="str">
        <f>IF(iserror(vlookup(A:A,Pagos!$B$5:$L76,3,false)),"Disponible",vlookup(A:A,Pagos!$B$5:$L76,3,false))</f>
        <v>ALONSO, GASTON GABRIEL</v>
      </c>
      <c r="E24" s="491">
        <f>IF(iserror(vlookup(A:A,Pagos!$B$5:$L76,4,false)),"Disponible",If(vlookup(A:A,Pagos!$B$5:$L76,5,false),vlookup(A:A,Pagos!$B$5:$L76,5,false),vlookup(A:A,Pagos!$B$5:$L76,4,false)))</f>
        <v>45992</v>
      </c>
      <c r="F24" s="492"/>
      <c r="G24" s="531" t="str">
        <f t="shared" si="1"/>
        <v/>
      </c>
      <c r="H24" s="531" t="b">
        <f>If(COUNTIF(Pagos!B:B,A24)&gt;1,true,false)</f>
        <v>0</v>
      </c>
    </row>
    <row r="25">
      <c r="A25" s="495" t="s">
        <v>5037</v>
      </c>
      <c r="B25" s="532" t="s">
        <v>5035</v>
      </c>
      <c r="C25" s="489" t="str">
        <f>IF(iserror(vlookup(A:A,Pagos!$B$5:$L76,2,false)),"Disponible",vlookup(A:A,Pagos!$B$5:$L76,2,false))</f>
        <v>Disponible</v>
      </c>
      <c r="D25" s="490" t="str">
        <f>IF(iserror(vlookup(A:A,Pagos!$B$5:$L76,3,false)),"Disponible",vlookup(A:A,Pagos!$B$5:$L76,3,false))</f>
        <v>Disponible</v>
      </c>
      <c r="E25" s="491" t="str">
        <f>IF(iserror(vlookup(A:A,Pagos!$B$5:$L76,4,false)),"Disponible",If(vlookup(A:A,Pagos!$B$5:$L76,5,false),vlookup(A:A,Pagos!$B$5:$L76,5,false),vlookup(A:A,Pagos!$B$5:$L76,4,false)))</f>
        <v>Disponible</v>
      </c>
      <c r="F25" s="492"/>
      <c r="G25" s="531" t="str">
        <f t="shared" si="1"/>
        <v/>
      </c>
      <c r="H25" s="531" t="b">
        <f>If(COUNTIF(Pagos!B:B,A25)&gt;1,true,false)</f>
        <v>0</v>
      </c>
    </row>
    <row r="26">
      <c r="A26" s="495" t="s">
        <v>250</v>
      </c>
      <c r="B26" s="532" t="s">
        <v>5035</v>
      </c>
      <c r="C26" s="489">
        <f>IF(iserror(vlookup(A:A,Pagos!$B$5:$L76,2,false)),"Disponible",vlookup(A:A,Pagos!$B$5:$L76,2,false))</f>
        <v>1784</v>
      </c>
      <c r="D26" s="490" t="str">
        <f>IF(iserror(vlookup(A:A,Pagos!$B$5:$L76,3,false)),"Disponible",vlookup(A:A,Pagos!$B$5:$L76,3,false))</f>
        <v>LESCANO, FABIAN</v>
      </c>
      <c r="E26" s="491">
        <f>IF(iserror(vlookup(A:A,Pagos!$B$5:$L76,4,false)),"Disponible",If(vlookup(A:A,Pagos!$B$5:$L76,5,false),vlookup(A:A,Pagos!$B$5:$L76,5,false),vlookup(A:A,Pagos!$B$5:$L76,4,false)))</f>
        <v>45992</v>
      </c>
      <c r="F26" s="492"/>
      <c r="G26" s="531" t="str">
        <f t="shared" si="1"/>
        <v/>
      </c>
      <c r="H26" s="531" t="b">
        <f>If(COUNTIF(Pagos!B:B,A26)&gt;1,true,false)</f>
        <v>0</v>
      </c>
    </row>
    <row r="27">
      <c r="A27" s="495" t="s">
        <v>257</v>
      </c>
      <c r="B27" s="532" t="s">
        <v>5035</v>
      </c>
      <c r="C27" s="489">
        <f>IF(iserror(vlookup(A:A,Pagos!$B$5:$L76,2,false)),"Disponible",vlookup(A:A,Pagos!$B$5:$L76,2,false))</f>
        <v>1837</v>
      </c>
      <c r="D27" s="490" t="str">
        <f>IF(iserror(vlookup(A:A,Pagos!$B$5:$L76,3,false)),"Disponible",vlookup(A:A,Pagos!$B$5:$L76,3,false))</f>
        <v>ALMADA, GUILLERMO MARTIN</v>
      </c>
      <c r="E27" s="491">
        <f>IF(iserror(vlookup(A:A,Pagos!$B$5:$L76,4,false)),"Disponible",If(vlookup(A:A,Pagos!$B$5:$L76,5,false),vlookup(A:A,Pagos!$B$5:$L76,5,false),vlookup(A:A,Pagos!$B$5:$L76,4,false)))</f>
        <v>45992</v>
      </c>
      <c r="F27" s="492"/>
      <c r="G27" s="531" t="str">
        <f t="shared" si="1"/>
        <v/>
      </c>
      <c r="H27" s="531" t="b">
        <f>If(COUNTIF(Pagos!B:B,A27)&gt;1,true,false)</f>
        <v>0</v>
      </c>
    </row>
    <row r="28">
      <c r="A28" s="495" t="s">
        <v>5038</v>
      </c>
      <c r="B28" s="532" t="s">
        <v>5035</v>
      </c>
      <c r="C28" s="489" t="str">
        <f>IF(iserror(vlookup(A:A,Pagos!$B$5:$L76,2,false)),"Disponible",vlookup(A:A,Pagos!$B$5:$L76,2,false))</f>
        <v>Disponible</v>
      </c>
      <c r="D28" s="490" t="str">
        <f>IF(iserror(vlookup(A:A,Pagos!$B$5:$L76,3,false)),"Disponible",vlookup(A:A,Pagos!$B$5:$L76,3,false))</f>
        <v>Disponible</v>
      </c>
      <c r="E28" s="491" t="str">
        <f>IF(iserror(vlookup(A:A,Pagos!$B$5:$L76,4,false)),"Disponible",If(vlookup(A:A,Pagos!$B$5:$L76,5,false),vlookup(A:A,Pagos!$B$5:$L76,5,false),vlookup(A:A,Pagos!$B$5:$L76,4,false)))</f>
        <v>Disponible</v>
      </c>
      <c r="F28" s="492"/>
      <c r="G28" s="531" t="str">
        <f t="shared" si="1"/>
        <v/>
      </c>
      <c r="H28" s="531" t="b">
        <f>If(COUNTIF(Pagos!B:B,A28)&gt;1,true,false)</f>
        <v>0</v>
      </c>
    </row>
    <row r="29">
      <c r="A29" s="495" t="s">
        <v>217</v>
      </c>
      <c r="B29" s="532" t="s">
        <v>5035</v>
      </c>
      <c r="C29" s="489">
        <f>IF(iserror(vlookup(A:A,Pagos!$B$5:$L76,2,false)),"Disponible",vlookup(A:A,Pagos!$B$5:$L76,2,false))</f>
        <v>1714</v>
      </c>
      <c r="D29" s="490" t="str">
        <f>IF(iserror(vlookup(A:A,Pagos!$B$5:$L76,3,false)),"Disponible",vlookup(A:A,Pagos!$B$5:$L76,3,false))</f>
        <v>SALGADO, GUSTAVO</v>
      </c>
      <c r="E29" s="491">
        <f>IF(iserror(vlookup(A:A,Pagos!$B$5:$L76,4,false)),"Disponible",If(vlookup(A:A,Pagos!$B$5:$L76,5,false),vlookup(A:A,Pagos!$B$5:$L76,5,false),vlookup(A:A,Pagos!$B$5:$L76,4,false)))</f>
        <v>45992</v>
      </c>
      <c r="F29" s="492"/>
      <c r="G29" s="531" t="str">
        <f t="shared" si="1"/>
        <v/>
      </c>
      <c r="H29" s="531" t="b">
        <f>If(COUNTIF(Pagos!B:B,A29)&gt;1,true,false)</f>
        <v>0</v>
      </c>
    </row>
    <row r="30">
      <c r="A30" s="495" t="s">
        <v>117</v>
      </c>
      <c r="B30" s="532" t="s">
        <v>5035</v>
      </c>
      <c r="C30" s="489">
        <f>IF(iserror(vlookup(A:A,Pagos!$B$5:$L76,2,false)),"Disponible",vlookup(A:A,Pagos!$B$5:$L76,2,false))</f>
        <v>1293</v>
      </c>
      <c r="D30" s="490" t="str">
        <f>IF(iserror(vlookup(A:A,Pagos!$B$5:$L76,3,false)),"Disponible",vlookup(A:A,Pagos!$B$5:$L76,3,false))</f>
        <v>PARDO, AUGUSTO</v>
      </c>
      <c r="E30" s="491">
        <f>IF(iserror(vlookup(A:A,Pagos!$B$5:$L76,4,false)),"Disponible",If(vlookup(A:A,Pagos!$B$5:$L76,5,false),vlookup(A:A,Pagos!$B$5:$L76,5,false),vlookup(A:A,Pagos!$B$5:$L76,4,false)))</f>
        <v>45992</v>
      </c>
      <c r="F30" s="492"/>
      <c r="G30" s="531" t="str">
        <f t="shared" si="1"/>
        <v/>
      </c>
      <c r="H30" s="531" t="b">
        <f>If(COUNTIF(Pagos!B:B,A30)&gt;1,true,false)</f>
        <v>0</v>
      </c>
    </row>
    <row r="31">
      <c r="A31" s="495" t="s">
        <v>5039</v>
      </c>
      <c r="B31" s="532" t="s">
        <v>5035</v>
      </c>
      <c r="C31" s="489" t="str">
        <f>IF(iserror(vlookup(A:A,Pagos!$B$5:$L76,2,false)),"Disponible",vlookup(A:A,Pagos!$B$5:$L76,2,false))</f>
        <v>Disponible</v>
      </c>
      <c r="D31" s="490" t="str">
        <f>IF(iserror(vlookup(A:A,Pagos!$B$5:$L76,3,false)),"Disponible",vlookup(A:A,Pagos!$B$5:$L76,3,false))</f>
        <v>Disponible</v>
      </c>
      <c r="E31" s="491" t="str">
        <f>IF(iserror(vlookup(A:A,Pagos!$B$5:$L76,4,false)),"Disponible",If(vlookup(A:A,Pagos!$B$5:$L76,5,false),vlookup(A:A,Pagos!$B$5:$L76,5,false),vlookup(A:A,Pagos!$B$5:$L76,4,false)))</f>
        <v>Disponible</v>
      </c>
      <c r="F31" s="492"/>
      <c r="G31" s="531" t="str">
        <f t="shared" si="1"/>
        <v/>
      </c>
      <c r="H31" s="531" t="b">
        <f>If(COUNTIF(Pagos!B:B,A31)&gt;1,true,false)</f>
        <v>0</v>
      </c>
    </row>
    <row r="32">
      <c r="A32" s="495" t="s">
        <v>5040</v>
      </c>
      <c r="B32" s="513" t="s">
        <v>5035</v>
      </c>
      <c r="C32" s="489" t="str">
        <f>IF(iserror(vlookup(A:A,Pagos!$B$5:$L76,2,false)),"Disponible",vlookup(A:A,Pagos!$B$5:$L76,2,false))</f>
        <v>Disponible</v>
      </c>
      <c r="D32" s="490" t="str">
        <f>IF(iserror(vlookup(A:A,Pagos!$B$5:$L76,3,false)),"Disponible",vlookup(A:A,Pagos!$B$5:$L76,3,false))</f>
        <v>Disponible</v>
      </c>
      <c r="E32" s="491" t="str">
        <f>IF(iserror(vlookup(A:A,Pagos!$B$5:$L76,4,false)),"Disponible",If(vlookup(A:A,Pagos!$B$5:$L76,5,false),vlookup(A:A,Pagos!$B$5:$L76,5,false),vlookup(A:A,Pagos!$B$5:$L76,4,false)))</f>
        <v>Disponible</v>
      </c>
      <c r="F32" s="494" t="s">
        <v>4087</v>
      </c>
      <c r="G32" s="531" t="str">
        <f t="shared" si="1"/>
        <v/>
      </c>
      <c r="H32" s="531" t="b">
        <f>If(COUNTIF(Pagos!B:B,A32)&gt;1,true,false)</f>
        <v>0</v>
      </c>
    </row>
    <row r="33">
      <c r="A33" s="495" t="s">
        <v>124</v>
      </c>
      <c r="B33" s="513" t="s">
        <v>5035</v>
      </c>
      <c r="C33" s="489">
        <f>IF(iserror(vlookup(A:A,Pagos!$B$5:$L76,2,false)),"Disponible",vlookup(A:A,Pagos!$B$5:$L76,2,false))</f>
        <v>1321</v>
      </c>
      <c r="D33" s="490" t="str">
        <f>IF(iserror(vlookup(A:A,Pagos!$B$5:$L76,3,false)),"Disponible",vlookup(A:A,Pagos!$B$5:$L76,3,false))</f>
        <v>ROSAS, SEBASTIAN</v>
      </c>
      <c r="E33" s="491">
        <f>IF(iserror(vlookup(A:A,Pagos!$B$5:$L76,4,false)),"Disponible",If(vlookup(A:A,Pagos!$B$5:$L76,5,false),vlookup(A:A,Pagos!$B$5:$L76,5,false),vlookup(A:A,Pagos!$B$5:$L76,4,false)))</f>
        <v>45992</v>
      </c>
      <c r="F33" s="492"/>
      <c r="G33" s="531" t="str">
        <f t="shared" si="1"/>
        <v/>
      </c>
      <c r="H33" s="531" t="b">
        <f>If(COUNTIF(Pagos!B:B,A33)&gt;1,true,false)</f>
        <v>0</v>
      </c>
    </row>
    <row r="34">
      <c r="A34" s="495" t="s">
        <v>100</v>
      </c>
      <c r="B34" s="513" t="s">
        <v>5035</v>
      </c>
      <c r="C34" s="489">
        <f>IF(iserror(vlookup(A:A,Pagos!$B$5:$L76,2,false)),"Disponible",vlookup(A:A,Pagos!$B$5:$L76,2,false))</f>
        <v>1066</v>
      </c>
      <c r="D34" s="490" t="str">
        <f>IF(iserror(vlookup(A:A,Pagos!$B$5:$L76,3,false)),"Disponible",vlookup(A:A,Pagos!$B$5:$L76,3,false))</f>
        <v>SANTANA, MIGUEL</v>
      </c>
      <c r="E34" s="491">
        <f>IF(iserror(vlookup(A:A,Pagos!$B$5:$L76,4,false)),"Disponible",If(vlookup(A:A,Pagos!$B$5:$L76,5,false),vlookup(A:A,Pagos!$B$5:$L76,5,false),vlookup(A:A,Pagos!$B$5:$L76,4,false)))</f>
        <v>45992</v>
      </c>
      <c r="F34" s="492"/>
      <c r="G34" s="531" t="str">
        <f t="shared" si="1"/>
        <v/>
      </c>
      <c r="H34" s="531" t="b">
        <f>If(COUNTIF(Pagos!B:B,A34)&gt;1,true,false)</f>
        <v>0</v>
      </c>
    </row>
    <row r="35">
      <c r="A35" s="495" t="s">
        <v>433</v>
      </c>
      <c r="B35" s="513" t="s">
        <v>5035</v>
      </c>
      <c r="C35" s="489">
        <f>IF(iserror(vlookup(A:A,Pagos!$B$5:$L76,2,false)),"Disponible",vlookup(A:A,Pagos!$B$5:$L76,2,false))</f>
        <v>2230</v>
      </c>
      <c r="D35" s="490" t="str">
        <f>IF(iserror(vlookup(A:A,Pagos!$B$5:$L76,3,false)),"Disponible",vlookup(A:A,Pagos!$B$5:$L76,3,false))</f>
        <v>ESCOBAR, ALEJANDRA</v>
      </c>
      <c r="E35" s="491">
        <f>IF(iserror(vlookup(A:A,Pagos!$B$5:$L76,4,false)),"Disponible",If(vlookup(A:A,Pagos!$B$5:$L76,5,false),vlookup(A:A,Pagos!$B$5:$L76,5,false),vlookup(A:A,Pagos!$B$5:$L76,4,false)))</f>
        <v>45992</v>
      </c>
      <c r="F35" s="492"/>
      <c r="G35" s="531" t="str">
        <f t="shared" si="1"/>
        <v/>
      </c>
      <c r="H35" s="531" t="b">
        <f>If(COUNTIF(Pagos!B:B,A35)&gt;1,true,false)</f>
        <v>0</v>
      </c>
    </row>
    <row r="36">
      <c r="A36" s="495" t="s">
        <v>60</v>
      </c>
      <c r="B36" s="532" t="s">
        <v>5035</v>
      </c>
      <c r="C36" s="489">
        <f>IF(iserror(vlookup(A:A,Pagos!$B$5:$L76,2,false)),"Disponible",vlookup(A:A,Pagos!$B$5:$L76,2,false))</f>
        <v>164</v>
      </c>
      <c r="D36" s="490" t="str">
        <f>IF(iserror(vlookup(A:A,Pagos!$B$5:$L76,3,false)),"Disponible",vlookup(A:A,Pagos!$B$5:$L76,3,false))</f>
        <v>MORENO,HECTOR</v>
      </c>
      <c r="E36" s="491">
        <f>IF(iserror(vlookup(A:A,Pagos!$B$5:$L76,4,false)),"Disponible",If(vlookup(A:A,Pagos!$B$5:$L76,5,false),vlookup(A:A,Pagos!$B$5:$L76,5,false),vlookup(A:A,Pagos!$B$5:$L76,4,false)))</f>
        <v>45992</v>
      </c>
      <c r="F36" s="492"/>
      <c r="G36" s="531" t="str">
        <f t="shared" si="1"/>
        <v/>
      </c>
      <c r="H36" s="531" t="b">
        <f>If(COUNTIF(Pagos!B:B,A36)&gt;1,true,false)</f>
        <v>0</v>
      </c>
    </row>
    <row r="37">
      <c r="A37" s="495" t="s">
        <v>372</v>
      </c>
      <c r="B37" s="532" t="s">
        <v>5035</v>
      </c>
      <c r="C37" s="489">
        <f>IF(iserror(vlookup(A:A,Pagos!$B$5:$L76,2,false)),"Disponible",vlookup(A:A,Pagos!$B$5:$L76,2,false))</f>
        <v>2108</v>
      </c>
      <c r="D37" s="490" t="str">
        <f>IF(iserror(vlookup(A:A,Pagos!$B$5:$L76,3,false)),"Disponible",vlookup(A:A,Pagos!$B$5:$L76,3,false))</f>
        <v>FERNANDEZ, VICTOR</v>
      </c>
      <c r="E37" s="491">
        <f>IF(iserror(vlookup(A:A,Pagos!$B$5:$L76,4,false)),"Disponible",If(vlookup(A:A,Pagos!$B$5:$L76,5,false),vlookup(A:A,Pagos!$B$5:$L76,5,false),vlookup(A:A,Pagos!$B$5:$L76,4,false)))</f>
        <v>45992</v>
      </c>
      <c r="F37" s="492"/>
      <c r="G37" s="531" t="str">
        <f t="shared" si="1"/>
        <v/>
      </c>
      <c r="H37" s="531" t="b">
        <f>If(COUNTIF(Pagos!B:B,A37)&gt;1,true,false)</f>
        <v>0</v>
      </c>
    </row>
    <row r="38">
      <c r="A38" s="495" t="s">
        <v>174</v>
      </c>
      <c r="B38" s="513" t="s">
        <v>5034</v>
      </c>
      <c r="C38" s="489">
        <f>IF(iserror(vlookup(A:A,Pagos!$B$5:$L76,2,false)),"Disponible",vlookup(A:A,Pagos!$B$5:$L76,2,false))</f>
        <v>1602</v>
      </c>
      <c r="D38" s="490" t="str">
        <f>IF(iserror(vlookup(A:A,Pagos!$B$5:$L76,3,false)),"Disponible",vlookup(A:A,Pagos!$B$5:$L76,3,false))</f>
        <v>PELUSO, MIGUEL ANDRES</v>
      </c>
      <c r="E38" s="491">
        <f>IF(iserror(vlookup(A:A,Pagos!$B$5:$L76,4,false)),"Disponible",If(vlookup(A:A,Pagos!$B$5:$L76,5,false),vlookup(A:A,Pagos!$B$5:$L76,5,false),vlookup(A:A,Pagos!$B$5:$L76,4,false)))</f>
        <v>45992</v>
      </c>
      <c r="F38" s="492"/>
      <c r="G38" s="531" t="str">
        <f t="shared" si="1"/>
        <v/>
      </c>
      <c r="H38" s="531" t="b">
        <f>If(COUNTIF(Pagos!B:B,A38)&gt;1,true,false)</f>
        <v>0</v>
      </c>
    </row>
    <row r="39">
      <c r="A39" s="533" t="s">
        <v>163</v>
      </c>
      <c r="B39" s="513" t="s">
        <v>5034</v>
      </c>
      <c r="C39" s="489">
        <f>IF(iserror(vlookup(A:A,Pagos!$B$5:$L76,2,false)),"Disponible",vlookup(A:A,Pagos!$B$5:$L76,2,false))</f>
        <v>1559</v>
      </c>
      <c r="D39" s="490" t="str">
        <f>IF(iserror(vlookup(A:A,Pagos!$B$5:$L76,3,false)),"Disponible",vlookup(A:A,Pagos!$B$5:$L76,3,false))</f>
        <v>STEFANOFF, ESTEBAN</v>
      </c>
      <c r="E39" s="491">
        <f>IF(iserror(vlookup(A:A,Pagos!$B$5:$L76,4,false)),"Disponible",If(vlookup(A:A,Pagos!$B$5:$L76,5,false),vlookup(A:A,Pagos!$B$5:$L76,5,false),vlookup(A:A,Pagos!$B$5:$L76,4,false)))</f>
        <v>45992</v>
      </c>
      <c r="F39" s="492"/>
      <c r="G39" s="531" t="str">
        <f t="shared" si="1"/>
        <v/>
      </c>
      <c r="H39" s="531" t="b">
        <f>If(COUNTIF(Pagos!B:B,A39)&gt;1,true,false)</f>
        <v>0</v>
      </c>
    </row>
    <row r="40">
      <c r="A40" s="495" t="s">
        <v>134</v>
      </c>
      <c r="B40" s="513" t="s">
        <v>5034</v>
      </c>
      <c r="C40" s="489">
        <f>IF(iserror(vlookup(A:A,Pagos!$B$5:$L76,2,false)),"Disponible",vlookup(A:A,Pagos!$B$5:$L76,2,false))</f>
        <v>1441</v>
      </c>
      <c r="D40" s="490" t="str">
        <f>IF(iserror(vlookup(A:A,Pagos!$B$5:$L76,3,false)),"Disponible",vlookup(A:A,Pagos!$B$5:$L76,3,false))</f>
        <v>MACEDO, SERGIO</v>
      </c>
      <c r="E40" s="491">
        <f>IF(iserror(vlookup(A:A,Pagos!$B$5:$L76,4,false)),"Disponible",If(vlookup(A:A,Pagos!$B$5:$L76,5,false),vlookup(A:A,Pagos!$B$5:$L76,5,false),vlookup(A:A,Pagos!$B$5:$L76,4,false)))</f>
        <v>45992</v>
      </c>
      <c r="F40" s="534"/>
      <c r="G40" s="531" t="str">
        <f t="shared" si="1"/>
        <v/>
      </c>
      <c r="H40" s="531" t="b">
        <f>If(COUNTIF(Pagos!B:B,A40)&gt;1,true,false)</f>
        <v>0</v>
      </c>
    </row>
    <row r="41">
      <c r="A41" s="495" t="s">
        <v>91</v>
      </c>
      <c r="B41" s="513" t="s">
        <v>5034</v>
      </c>
      <c r="C41" s="489">
        <f>IF(iserror(vlookup(A:A,Pagos!$B$5:$L76,2,false)),"Disponible",vlookup(A:A,Pagos!$B$5:$L76,2,false))</f>
        <v>913</v>
      </c>
      <c r="D41" s="490" t="str">
        <f>IF(iserror(vlookup(A:A,Pagos!$B$5:$L76,3,false)),"Disponible",vlookup(A:A,Pagos!$B$5:$L76,3,false))</f>
        <v>AROZAMENA, GUSTAVO</v>
      </c>
      <c r="E41" s="491">
        <f>IF(iserror(vlookup(A:A,Pagos!$B$5:$L76,4,false)),"Disponible",If(vlookup(A:A,Pagos!$B$5:$L76,5,false),vlookup(A:A,Pagos!$B$5:$L76,5,false),vlookup(A:A,Pagos!$B$5:$L76,4,false)))</f>
        <v>45992</v>
      </c>
      <c r="F41" s="492"/>
      <c r="G41" s="531" t="str">
        <f t="shared" si="1"/>
        <v/>
      </c>
      <c r="H41" s="531" t="b">
        <f>If(COUNTIF(Pagos!B:B,A41)&gt;1,true,false)</f>
        <v>0</v>
      </c>
    </row>
    <row r="42">
      <c r="A42" s="495" t="s">
        <v>188</v>
      </c>
      <c r="B42" s="532" t="s">
        <v>5035</v>
      </c>
      <c r="C42" s="489">
        <f>IF(iserror(vlookup(A:A,Pagos!$B$5:$L76,2,false)),"Disponible",vlookup(A:A,Pagos!$B$5:$L76,2,false))</f>
        <v>1633</v>
      </c>
      <c r="D42" s="490" t="str">
        <f>IF(iserror(vlookup(A:A,Pagos!$B$5:$L76,3,false)),"Disponible",vlookup(A:A,Pagos!$B$5:$L76,3,false))</f>
        <v>RODRIGUEZ, CESAR</v>
      </c>
      <c r="E42" s="491">
        <f>IF(iserror(vlookup(A:A,Pagos!$B$5:$L76,4,false)),"Disponible",If(vlookup(A:A,Pagos!$B$5:$L76,5,false),vlookup(A:A,Pagos!$B$5:$L76,5,false),vlookup(A:A,Pagos!$B$5:$L76,4,false)))</f>
        <v>45992</v>
      </c>
      <c r="F42" s="492"/>
      <c r="G42" s="531" t="str">
        <f t="shared" si="1"/>
        <v/>
      </c>
      <c r="H42" s="531" t="b">
        <f>If(COUNTIF(Pagos!B:B,A42)&gt;1,true,false)</f>
        <v>0</v>
      </c>
    </row>
    <row r="43">
      <c r="A43" s="495" t="s">
        <v>339</v>
      </c>
      <c r="B43" s="513" t="s">
        <v>5035</v>
      </c>
      <c r="C43" s="489">
        <f>IF(iserror(vlookup(A:A,Pagos!$B$5:$L76,2,false)),"Disponible",vlookup(A:A,Pagos!$B$5:$L76,2,false))</f>
        <v>2041</v>
      </c>
      <c r="D43" s="490" t="str">
        <f>IF(iserror(vlookup(A:A,Pagos!$B$5:$L76,3,false)),"Disponible",vlookup(A:A,Pagos!$B$5:$L76,3,false))</f>
        <v>CAÑÓN, FABIAN</v>
      </c>
      <c r="E43" s="491">
        <f>IF(iserror(vlookup(A:A,Pagos!$B$5:$L76,4,false)),"Disponible",If(vlookup(A:A,Pagos!$B$5:$L76,5,false),vlookup(A:A,Pagos!$B$5:$L76,5,false),vlookup(A:A,Pagos!$B$5:$L76,4,false)))</f>
        <v>45992</v>
      </c>
      <c r="F43" s="492"/>
      <c r="G43" s="531" t="str">
        <f t="shared" si="1"/>
        <v/>
      </c>
      <c r="H43" s="531" t="b">
        <f>If(COUNTIF(Pagos!B:B,A43)&gt;1,true,false)</f>
        <v>0</v>
      </c>
    </row>
    <row r="44">
      <c r="A44" s="496" t="s">
        <v>51</v>
      </c>
      <c r="B44" s="513" t="s">
        <v>5035</v>
      </c>
      <c r="C44" s="489">
        <f>IF(iserror(vlookup(A:A,Pagos!$B$5:$L76,2,false)),"Disponible",vlookup(A:A,Pagos!$B$5:$L76,2,false))</f>
        <v>45</v>
      </c>
      <c r="D44" s="490" t="str">
        <f>IF(iserror(vlookup(A:A,Pagos!$B$5:$L76,3,false)),"Disponible",vlookup(A:A,Pagos!$B$5:$L76,3,false))</f>
        <v>MANDRINI, LEOPOLDO</v>
      </c>
      <c r="E44" s="491">
        <f>IF(iserror(vlookup(A:A,Pagos!$B$5:$L76,4,false)),"Disponible",If(vlookup(A:A,Pagos!$B$5:$L76,5,false),vlookup(A:A,Pagos!$B$5:$L76,5,false),vlookup(A:A,Pagos!$B$5:$L76,4,false)))</f>
        <v>45992</v>
      </c>
      <c r="F44" s="494"/>
      <c r="G44" s="531" t="str">
        <f t="shared" si="1"/>
        <v/>
      </c>
      <c r="H44" s="531" t="b">
        <f>If(COUNTIF(Pagos!B:B,A44)&gt;1,true,false)</f>
        <v>0</v>
      </c>
    </row>
    <row r="45">
      <c r="A45" s="535" t="s">
        <v>199</v>
      </c>
      <c r="B45" s="536" t="s">
        <v>5035</v>
      </c>
      <c r="C45" s="537">
        <f>IF(iserror(vlookup(A:A,Pagos!$B$5:$L76,2,false)),"Disponible",vlookup(A:A,Pagos!$B$5:$L76,2,false))</f>
        <v>1643</v>
      </c>
      <c r="D45" s="538" t="str">
        <f>IF(iserror(vlookup(A:A,Pagos!$B$5:$L76,3,false)),"Disponible",vlookup(A:A,Pagos!$B$5:$L76,3,false))</f>
        <v>Archipretre, Maria</v>
      </c>
      <c r="E45" s="539">
        <f>IF(iserror(vlookup(A:A,Pagos!$B$5:$L76,4,false)),"Disponible",If(vlookup(A:A,Pagos!$B$5:$L76,5,false),vlookup(A:A,Pagos!$B$5:$L76,5,false),vlookup(A:A,Pagos!$B$5:$L76,4,false)))</f>
        <v>45992</v>
      </c>
      <c r="F45" s="494"/>
      <c r="G45" s="531" t="str">
        <f t="shared" si="1"/>
        <v/>
      </c>
      <c r="H45" s="531" t="b">
        <f>If(COUNTIF(Pagos!B:B,A45)&gt;1,true,false)</f>
        <v>0</v>
      </c>
    </row>
    <row r="46">
      <c r="A46" s="535" t="s">
        <v>344</v>
      </c>
      <c r="B46" s="536" t="s">
        <v>5035</v>
      </c>
      <c r="C46" s="537">
        <f>IF(iserror(vlookup(A:A,Pagos!$B$5:$L76,2,false)),"Disponible",vlookup(A:A,Pagos!$B$5:$L76,2,false))</f>
        <v>2047</v>
      </c>
      <c r="D46" s="538" t="str">
        <f>IF(iserror(vlookup(A:A,Pagos!$B$5:$L76,3,false)),"Disponible",vlookup(A:A,Pagos!$B$5:$L76,3,false))</f>
        <v>NADAL, NELVA HILDA</v>
      </c>
      <c r="E46" s="539">
        <f>IF(iserror(vlookup(A:A,Pagos!$B$5:$L76,4,false)),"Disponible",If(vlookup(A:A,Pagos!$B$5:$L76,5,false),vlookup(A:A,Pagos!$B$5:$L76,5,false),vlookup(A:A,Pagos!$B$5:$L76,4,false)))</f>
        <v>45992</v>
      </c>
      <c r="F46" s="494"/>
      <c r="G46" s="531" t="str">
        <f t="shared" si="1"/>
        <v/>
      </c>
      <c r="H46" s="531" t="b">
        <f>If(COUNTIF(Pagos!B:B,A46)&gt;1,true,false)</f>
        <v>0</v>
      </c>
    </row>
    <row r="47">
      <c r="A47" s="535"/>
      <c r="B47" s="540"/>
      <c r="C47" s="537"/>
      <c r="D47" s="538"/>
      <c r="E47" s="539"/>
      <c r="F47" s="494"/>
      <c r="G47" s="531"/>
      <c r="H47" s="541"/>
    </row>
    <row r="48">
      <c r="A48" s="535" t="s">
        <v>85</v>
      </c>
      <c r="B48" s="536" t="s">
        <v>5035</v>
      </c>
      <c r="C48" s="537">
        <f>IF(iserror(vlookup(A:A,Pagos!$B$5:$L76,2,false)),"Disponible",vlookup(A:A,Pagos!$B$5:$L76,2,false))</f>
        <v>869</v>
      </c>
      <c r="D48" s="538" t="str">
        <f>IF(iserror(vlookup(A:A,Pagos!$B$5:$L76,3,false)),"Disponible",vlookup(A:A,Pagos!$B$5:$L76,3,false))</f>
        <v>SORENSEN, HANS</v>
      </c>
      <c r="E48" s="539">
        <f>IF(iserror(vlookup(A:A,Pagos!$B$5:$L76,4,false)),"Disponible",If(vlookup(A:A,Pagos!$B$5:$L76,5,false),vlookup(A:A,Pagos!$B$5:$L76,5,false),vlookup(A:A,Pagos!$B$5:$L76,4,false)))</f>
        <v>45992</v>
      </c>
      <c r="F48" s="494"/>
      <c r="G48" s="531" t="str">
        <f t="shared" ref="G48:G75" si="2">IF(H48,"Sobreasignado","")</f>
        <v/>
      </c>
      <c r="H48" s="541"/>
    </row>
    <row r="49">
      <c r="A49" s="535" t="s">
        <v>159</v>
      </c>
      <c r="B49" s="536" t="s">
        <v>5035</v>
      </c>
      <c r="C49" s="537">
        <f>IF(iserror(vlookup(A:A,Pagos!$B$5:$L76,2,false)),"Disponible",vlookup(A:A,Pagos!$B$5:$L76,2,false))</f>
        <v>1552</v>
      </c>
      <c r="D49" s="538" t="str">
        <f>IF(iserror(vlookup(A:A,Pagos!$B$5:$L76,3,false)),"Disponible",vlookup(A:A,Pagos!$B$5:$L76,3,false))</f>
        <v>MARKARIAN, DANIEL</v>
      </c>
      <c r="E49" s="539">
        <f>IF(iserror(vlookup(A:A,Pagos!$B$5:$L76,4,false)),"Disponible",If(vlookup(A:A,Pagos!$B$5:$L76,5,false),vlookup(A:A,Pagos!$B$5:$L76,5,false),vlookup(A:A,Pagos!$B$5:$L76,4,false)))</f>
        <v>45992</v>
      </c>
      <c r="F49" s="494"/>
      <c r="G49" s="531" t="str">
        <f t="shared" si="2"/>
        <v/>
      </c>
      <c r="H49" s="541"/>
    </row>
    <row r="50">
      <c r="A50" s="535" t="s">
        <v>239</v>
      </c>
      <c r="B50" s="536" t="s">
        <v>5035</v>
      </c>
      <c r="C50" s="537">
        <f>IF(iserror(vlookup(A:A,Pagos!$B$5:$L76,2,false)),"Disponible",vlookup(A:A,Pagos!$B$5:$L76,2,false))</f>
        <v>1756</v>
      </c>
      <c r="D50" s="538" t="str">
        <f>IF(iserror(vlookup(A:A,Pagos!$B$5:$L76,3,false)),"Disponible",vlookup(A:A,Pagos!$B$5:$L76,3,false))</f>
        <v>PENNA, GONZALO</v>
      </c>
      <c r="E50" s="539">
        <f>IF(iserror(vlookup(A:A,Pagos!$B$5:$L76,4,false)),"Disponible",If(vlookup(A:A,Pagos!$B$5:$L76,5,false),vlookup(A:A,Pagos!$B$5:$L76,5,false),vlookup(A:A,Pagos!$B$5:$L76,4,false)))</f>
        <v>45992</v>
      </c>
      <c r="F50" s="494"/>
      <c r="G50" s="531" t="str">
        <f t="shared" si="2"/>
        <v/>
      </c>
      <c r="H50" s="541"/>
    </row>
    <row r="51">
      <c r="A51" s="535" t="s">
        <v>5041</v>
      </c>
      <c r="B51" s="536" t="s">
        <v>5035</v>
      </c>
      <c r="C51" s="537" t="str">
        <f>IF(iserror(vlookup(A:A,Pagos!$B$5:$L76,2,false)),"Disponible",vlookup(A:A,Pagos!$B$5:$L76,2,false))</f>
        <v>Disponible</v>
      </c>
      <c r="D51" s="538" t="str">
        <f>IF(iserror(vlookup(A:A,Pagos!$B$5:$L76,3,false)),"Disponible",vlookup(A:A,Pagos!$B$5:$L76,3,false))</f>
        <v>Disponible</v>
      </c>
      <c r="E51" s="539" t="str">
        <f>IF(iserror(vlookup(A:A,Pagos!$B$5:$L76,4,false)),"Disponible",If(vlookup(A:A,Pagos!$B$5:$L76,5,false),vlookup(A:A,Pagos!$B$5:$L76,5,false),vlookup(A:A,Pagos!$B$5:$L76,4,false)))</f>
        <v>Disponible</v>
      </c>
      <c r="F51" s="494"/>
      <c r="G51" s="531" t="str">
        <f t="shared" si="2"/>
        <v/>
      </c>
      <c r="H51" s="541"/>
    </row>
    <row r="52">
      <c r="A52" s="535" t="s">
        <v>5042</v>
      </c>
      <c r="B52" s="536" t="s">
        <v>5035</v>
      </c>
      <c r="C52" s="537" t="str">
        <f>IF(iserror(vlookup(A:A,Pagos!$B$5:$L76,2,false)),"Disponible",vlookup(A:A,Pagos!$B$5:$L76,2,false))</f>
        <v>Disponible</v>
      </c>
      <c r="D52" s="538" t="str">
        <f>IF(iserror(vlookup(A:A,Pagos!$B$5:$L76,3,false)),"Disponible",vlookup(A:A,Pagos!$B$5:$L76,3,false))</f>
        <v>Disponible</v>
      </c>
      <c r="E52" s="539" t="str">
        <f>IF(iserror(vlookup(A:A,Pagos!$B$5:$L76,4,false)),"Disponible",If(vlookup(A:A,Pagos!$B$5:$L76,5,false),vlookup(A:A,Pagos!$B$5:$L76,5,false),vlookup(A:A,Pagos!$B$5:$L76,4,false)))</f>
        <v>Disponible</v>
      </c>
      <c r="F52" s="494"/>
      <c r="G52" s="531" t="str">
        <f t="shared" si="2"/>
        <v/>
      </c>
      <c r="H52" s="541"/>
    </row>
    <row r="53">
      <c r="A53" s="535" t="s">
        <v>180</v>
      </c>
      <c r="B53" s="536" t="s">
        <v>5035</v>
      </c>
      <c r="C53" s="537">
        <f>IF(iserror(vlookup(A:A,Pagos!$B$5:$L76,2,false)),"Disponible",vlookup(A:A,Pagos!$B$5:$L76,2,false))</f>
        <v>1618</v>
      </c>
      <c r="D53" s="538" t="str">
        <f>IF(iserror(vlookup(A:A,Pagos!$B$5:$L76,3,false)),"Disponible",vlookup(A:A,Pagos!$B$5:$L76,3,false))</f>
        <v>VILLACORTA, GERARDO</v>
      </c>
      <c r="E53" s="539">
        <f>IF(iserror(vlookup(A:A,Pagos!$B$5:$L76,4,false)),"Disponible",If(vlookup(A:A,Pagos!$B$5:$L76,5,false),vlookup(A:A,Pagos!$B$5:$L76,5,false),vlookup(A:A,Pagos!$B$5:$L76,4,false)))</f>
        <v>45992</v>
      </c>
      <c r="F53" s="494"/>
      <c r="G53" s="531" t="str">
        <f t="shared" si="2"/>
        <v/>
      </c>
      <c r="H53" s="541"/>
    </row>
    <row r="54">
      <c r="A54" s="535" t="s">
        <v>150</v>
      </c>
      <c r="B54" s="536" t="s">
        <v>5035</v>
      </c>
      <c r="C54" s="537">
        <f>IF(iserror(vlookup(A:A,Pagos!$B$5:$L76,2,false)),"Disponible",vlookup(A:A,Pagos!$B$5:$L76,2,false))</f>
        <v>1503</v>
      </c>
      <c r="D54" s="538" t="str">
        <f>IF(iserror(vlookup(A:A,Pagos!$B$5:$L76,3,false)),"Disponible",vlookup(A:A,Pagos!$B$5:$L76,3,false))</f>
        <v>GOBBI SILVINA</v>
      </c>
      <c r="E54" s="539">
        <f>IF(iserror(vlookup(A:A,Pagos!$B$5:$L76,4,false)),"Disponible",If(vlookup(A:A,Pagos!$B$5:$L76,5,false),vlookup(A:A,Pagos!$B$5:$L76,5,false),vlookup(A:A,Pagos!$B$5:$L76,4,false)))</f>
        <v>45992</v>
      </c>
      <c r="F54" s="494"/>
      <c r="G54" s="531" t="str">
        <f t="shared" si="2"/>
        <v/>
      </c>
      <c r="H54" s="541"/>
    </row>
    <row r="55">
      <c r="A55" s="535" t="s">
        <v>5043</v>
      </c>
      <c r="B55" s="536" t="s">
        <v>5034</v>
      </c>
      <c r="C55" s="537" t="str">
        <f>IF(iserror(vlookup(A:A,Pagos!$B$5:$L76,2,false)),"Disponible",vlookup(A:A,Pagos!$B$5:$L76,2,false))</f>
        <v>Disponible</v>
      </c>
      <c r="D55" s="538" t="str">
        <f>IF(iserror(vlookup(A:A,Pagos!$B$5:$L76,3,false)),"Disponible",vlookup(A:A,Pagos!$B$5:$L76,3,false))</f>
        <v>Disponible</v>
      </c>
      <c r="E55" s="539" t="str">
        <f>IF(iserror(vlookup(A:A,Pagos!$B$5:$L76,4,false)),"Disponible",If(vlookup(A:A,Pagos!$B$5:$L76,5,false),vlookup(A:A,Pagos!$B$5:$L76,5,false),vlookup(A:A,Pagos!$B$5:$L76,4,false)))</f>
        <v>Disponible</v>
      </c>
      <c r="F55" s="494" t="s">
        <v>5044</v>
      </c>
      <c r="G55" s="531" t="str">
        <f t="shared" si="2"/>
        <v/>
      </c>
      <c r="H55" s="541"/>
    </row>
    <row r="56">
      <c r="A56" s="535" t="s">
        <v>349</v>
      </c>
      <c r="B56" s="536" t="s">
        <v>5034</v>
      </c>
      <c r="C56" s="537">
        <f>IF(iserror(vlookup(A:A,Pagos!$B$5:$L76,2,false)),"Disponible",vlookup(A:A,Pagos!$B$5:$L76,2,false))</f>
        <v>2054</v>
      </c>
      <c r="D56" s="538" t="str">
        <f>IF(iserror(vlookup(A:A,Pagos!$B$5:$L76,3,false)),"Disponible",vlookup(A:A,Pagos!$B$5:$L76,3,false))</f>
        <v>LARROZA, ALVARO</v>
      </c>
      <c r="E56" s="539">
        <f>IF(iserror(vlookup(A:A,Pagos!$B$5:$L76,4,false)),"Disponible",If(vlookup(A:A,Pagos!$B$5:$L76,5,false),vlookup(A:A,Pagos!$B$5:$L76,5,false),vlookup(A:A,Pagos!$B$5:$L76,4,false)))</f>
        <v>45992</v>
      </c>
      <c r="F56" s="494"/>
      <c r="G56" s="531" t="str">
        <f t="shared" si="2"/>
        <v/>
      </c>
      <c r="H56" s="541"/>
    </row>
    <row r="57">
      <c r="A57" s="535" t="s">
        <v>5045</v>
      </c>
      <c r="B57" s="540" t="s">
        <v>5034</v>
      </c>
      <c r="C57" s="537" t="str">
        <f>IF(iserror(vlookup(A:A,Pagos!$B$5:$L76,2,false)),"Disponible",vlookup(A:A,Pagos!$B$5:$L76,2,false))</f>
        <v>Disponible</v>
      </c>
      <c r="D57" s="538" t="str">
        <f>IF(iserror(vlookup(A:A,Pagos!$B$5:$L76,3,false)),"Disponible",vlookup(A:A,Pagos!$B$5:$L76,3,false))</f>
        <v>Disponible</v>
      </c>
      <c r="E57" s="539" t="str">
        <f>IF(iserror(vlookup(A:A,Pagos!$B$5:$L76,4,false)),"Disponible",If(vlookup(A:A,Pagos!$B$5:$L76,5,false),vlookup(A:A,Pagos!$B$5:$L76,5,false),vlookup(A:A,Pagos!$B$5:$L76,4,false)))</f>
        <v>Disponible</v>
      </c>
      <c r="F57" s="494" t="s">
        <v>5046</v>
      </c>
      <c r="G57" s="531" t="str">
        <f t="shared" si="2"/>
        <v/>
      </c>
      <c r="H57" s="541"/>
    </row>
    <row r="58">
      <c r="A58" s="535" t="s">
        <v>397</v>
      </c>
      <c r="B58" s="540" t="s">
        <v>5034</v>
      </c>
      <c r="C58" s="537">
        <f>IF(iserror(vlookup(A:A,Pagos!$B$5:$L76,2,false)),"Disponible",vlookup(A:A,Pagos!$B$5:$L76,2,false))</f>
        <v>2163</v>
      </c>
      <c r="D58" s="538" t="str">
        <f>IF(iserror(vlookup(A:A,Pagos!$B$5:$L76,3,false)),"Disponible",vlookup(A:A,Pagos!$B$5:$L76,3,false))</f>
        <v>KACZAN, ALEJO</v>
      </c>
      <c r="E58" s="539">
        <f>IF(iserror(vlookup(A:A,Pagos!$B$5:$L76,4,false)),"Disponible",If(vlookup(A:A,Pagos!$B$5:$L76,5,false),vlookup(A:A,Pagos!$B$5:$L76,5,false),vlookup(A:A,Pagos!$B$5:$L76,4,false)))</f>
        <v>45992</v>
      </c>
      <c r="F58" s="494"/>
      <c r="G58" s="531" t="str">
        <f t="shared" si="2"/>
        <v/>
      </c>
      <c r="H58" s="541"/>
    </row>
    <row r="59">
      <c r="A59" s="535" t="s">
        <v>315</v>
      </c>
      <c r="B59" s="540" t="s">
        <v>5034</v>
      </c>
      <c r="C59" s="537">
        <f>IF(iserror(vlookup(A:A,Pagos!$B$5:$L76,2,false)),"Disponible",vlookup(A:A,Pagos!$B$5:$L76,2,false))</f>
        <v>1965</v>
      </c>
      <c r="D59" s="538" t="str">
        <f>IF(iserror(vlookup(A:A,Pagos!$B$5:$L76,3,false)),"Disponible",vlookup(A:A,Pagos!$B$5:$L76,3,false))</f>
        <v>PEDERSOLI, FRANCO</v>
      </c>
      <c r="E59" s="539">
        <f>IF(iserror(vlookup(A:A,Pagos!$B$5:$L76,4,false)),"Disponible",If(vlookup(A:A,Pagos!$B$5:$L76,5,false),vlookup(A:A,Pagos!$B$5:$L76,5,false),vlookup(A:A,Pagos!$B$5:$L76,4,false)))</f>
        <v>45992</v>
      </c>
      <c r="F59" s="494"/>
      <c r="G59" s="531" t="str">
        <f t="shared" si="2"/>
        <v/>
      </c>
      <c r="H59" s="541"/>
    </row>
    <row r="60">
      <c r="A60" s="535" t="s">
        <v>132</v>
      </c>
      <c r="B60" s="540" t="s">
        <v>5034</v>
      </c>
      <c r="C60" s="537">
        <f>IF(iserror(vlookup(A:A,Pagos!$B$5:$L76,2,false)),"Disponible",vlookup(A:A,Pagos!$B$5:$L76,2,false))</f>
        <v>1403</v>
      </c>
      <c r="D60" s="538" t="str">
        <f>IF(iserror(vlookup(A:A,Pagos!$B$5:$L76,3,false)),"Disponible",vlookup(A:A,Pagos!$B$5:$L76,3,false))</f>
        <v>CARRASQUET, PABLO</v>
      </c>
      <c r="E60" s="539">
        <f>IF(iserror(vlookup(A:A,Pagos!$B$5:$L76,4,false)),"Disponible",If(vlookup(A:A,Pagos!$B$5:$L76,5,false),vlookup(A:A,Pagos!$B$5:$L76,5,false),vlookup(A:A,Pagos!$B$5:$L76,4,false)))</f>
        <v>45992</v>
      </c>
      <c r="F60" s="494"/>
      <c r="G60" s="531" t="str">
        <f t="shared" si="2"/>
        <v/>
      </c>
      <c r="H60" s="541"/>
    </row>
    <row r="61">
      <c r="A61" s="535" t="s">
        <v>365</v>
      </c>
      <c r="B61" s="540" t="s">
        <v>5034</v>
      </c>
      <c r="C61" s="537">
        <f>IF(iserror(vlookup(A:A,Pagos!$B$5:$L76,2,false)),"Disponible",vlookup(A:A,Pagos!$B$5:$L76,2,false))</f>
        <v>2091</v>
      </c>
      <c r="D61" s="538" t="str">
        <f>IF(iserror(vlookup(A:A,Pagos!$B$5:$L76,3,false)),"Disponible",vlookup(A:A,Pagos!$B$5:$L76,3,false))</f>
        <v>FIUZA, MARIANA</v>
      </c>
      <c r="E61" s="539">
        <f>IF(iserror(vlookup(A:A,Pagos!$B$5:$L76,4,false)),"Disponible",If(vlookup(A:A,Pagos!$B$5:$L76,5,false),vlookup(A:A,Pagos!$B$5:$L76,5,false),vlookup(A:A,Pagos!$B$5:$L76,4,false)))</f>
        <v>45992</v>
      </c>
      <c r="F61" s="494"/>
      <c r="G61" s="531" t="str">
        <f t="shared" si="2"/>
        <v/>
      </c>
      <c r="H61" s="541"/>
    </row>
    <row r="62">
      <c r="A62" s="535" t="s">
        <v>5047</v>
      </c>
      <c r="B62" s="540" t="s">
        <v>5034</v>
      </c>
      <c r="C62" s="537" t="str">
        <f>IF(iserror(vlookup(A:A,Pagos!$B$5:$L76,2,false)),"Disponible",vlookup(A:A,Pagos!$B$5:$L76,2,false))</f>
        <v>Disponible</v>
      </c>
      <c r="D62" s="538" t="str">
        <f>IF(iserror(vlookup(A:A,Pagos!$B$5:$L76,3,false)),"Disponible",vlookup(A:A,Pagos!$B$5:$L76,3,false))</f>
        <v>Disponible</v>
      </c>
      <c r="E62" s="539" t="str">
        <f>IF(iserror(vlookup(A:A,Pagos!$B$5:$L76,4,false)),"Disponible",If(vlookup(A:A,Pagos!$B$5:$L76,5,false),vlookup(A:A,Pagos!$B$5:$L76,5,false),vlookup(A:A,Pagos!$B$5:$L76,4,false)))</f>
        <v>Disponible</v>
      </c>
      <c r="F62" s="494" t="s">
        <v>5048</v>
      </c>
      <c r="G62" s="531" t="str">
        <f t="shared" si="2"/>
        <v/>
      </c>
      <c r="H62" s="541"/>
    </row>
    <row r="63">
      <c r="A63" s="535" t="s">
        <v>399</v>
      </c>
      <c r="B63" s="540" t="s">
        <v>5034</v>
      </c>
      <c r="C63" s="537">
        <f>IF(iserror(vlookup(A:A,Pagos!$B$5:$L76,2,false)),"Disponible",vlookup(A:A,Pagos!$B$5:$L76,2,false))</f>
        <v>2164</v>
      </c>
      <c r="D63" s="538" t="str">
        <f>IF(iserror(vlookup(A:A,Pagos!$B$5:$L76,3,false)),"Disponible",vlookup(A:A,Pagos!$B$5:$L76,3,false))</f>
        <v>SAN CRISTOBAL, JAVIER</v>
      </c>
      <c r="E63" s="539">
        <f>IF(iserror(vlookup(A:A,Pagos!$B$5:$L76,4,false)),"Disponible",If(vlookup(A:A,Pagos!$B$5:$L76,5,false),vlookup(A:A,Pagos!$B$5:$L76,5,false),vlookup(A:A,Pagos!$B$5:$L76,4,false)))</f>
        <v>45992</v>
      </c>
      <c r="F63" s="494"/>
      <c r="G63" s="531" t="str">
        <f t="shared" si="2"/>
        <v/>
      </c>
      <c r="H63" s="541"/>
    </row>
    <row r="64">
      <c r="A64" s="535" t="s">
        <v>412</v>
      </c>
      <c r="B64" s="540" t="s">
        <v>5034</v>
      </c>
      <c r="C64" s="537">
        <f>IF(iserror(vlookup(A:A,Pagos!$B$5:$L76,2,false)),"Disponible",vlookup(A:A,Pagos!$B$5:$L76,2,false))</f>
        <v>2177</v>
      </c>
      <c r="D64" s="538" t="str">
        <f>IF(iserror(vlookup(A:A,Pagos!$B$5:$L76,3,false)),"Disponible",vlookup(A:A,Pagos!$B$5:$L76,3,false))</f>
        <v>BIANCHI, SANTIAGO</v>
      </c>
      <c r="E64" s="539">
        <f>IF(iserror(vlookup(A:A,Pagos!$B$5:$L76,4,false)),"Disponible",If(vlookup(A:A,Pagos!$B$5:$L76,5,false),vlookup(A:A,Pagos!$B$5:$L76,5,false),vlookup(A:A,Pagos!$B$5:$L76,4,false)))</f>
        <v>45992</v>
      </c>
      <c r="F64" s="494"/>
      <c r="G64" s="531" t="str">
        <f t="shared" si="2"/>
        <v/>
      </c>
      <c r="H64" s="541"/>
    </row>
    <row r="65">
      <c r="A65" s="535" t="s">
        <v>281</v>
      </c>
      <c r="B65" s="540" t="s">
        <v>5034</v>
      </c>
      <c r="C65" s="537">
        <f>IF(iserror(vlookup(A:A,Pagos!$B$5:$L76,2,false)),"Disponible",vlookup(A:A,Pagos!$B$5:$L76,2,false))</f>
        <v>1894</v>
      </c>
      <c r="D65" s="538" t="str">
        <f>IF(iserror(vlookup(A:A,Pagos!$B$5:$L76,3,false)),"Disponible",vlookup(A:A,Pagos!$B$5:$L76,3,false))</f>
        <v>MAS JAVIER IGNACIO</v>
      </c>
      <c r="E65" s="542">
        <v>45261.0</v>
      </c>
      <c r="F65" s="494"/>
      <c r="G65" s="531" t="str">
        <f t="shared" si="2"/>
        <v/>
      </c>
      <c r="H65" s="541"/>
    </row>
    <row r="66">
      <c r="A66" s="535" t="s">
        <v>352</v>
      </c>
      <c r="B66" s="540" t="s">
        <v>5034</v>
      </c>
      <c r="C66" s="537">
        <f>IF(iserror(vlookup(A:A,Pagos!$B$5:$L76,2,false)),"Disponible",vlookup(A:A,Pagos!$B$5:$L76,2,false))</f>
        <v>2056</v>
      </c>
      <c r="D66" s="538" t="str">
        <f>IF(iserror(vlookup(A:A,Pagos!$B$5:$L76,3,false)),"Disponible",vlookup(A:A,Pagos!$B$5:$L76,3,false))</f>
        <v>SOLANO, GABRIEL AGUSTIN</v>
      </c>
      <c r="E66" s="539">
        <f>IF(iserror(vlookup(A:A,Pagos!$B$5:$L76,4,false)),"Disponible",If(vlookup(A:A,Pagos!$B$5:$L76,5,false),vlookup(A:A,Pagos!$B$5:$L76,5,false),vlookup(A:A,Pagos!$B$5:$L76,4,false)))</f>
        <v>45992</v>
      </c>
      <c r="F66" s="494"/>
      <c r="G66" s="531" t="str">
        <f t="shared" si="2"/>
        <v/>
      </c>
      <c r="H66" s="541"/>
    </row>
    <row r="67">
      <c r="A67" s="535" t="s">
        <v>126</v>
      </c>
      <c r="B67" s="540" t="s">
        <v>5034</v>
      </c>
      <c r="C67" s="537">
        <f>IF(iserror(vlookup(A:A,Pagos!$B$5:$L76,2,false)),"Disponible",vlookup(A:A,Pagos!$B$5:$L76,2,false))</f>
        <v>1362</v>
      </c>
      <c r="D67" s="538" t="str">
        <f>IF(iserror(vlookup(A:A,Pagos!$B$5:$L76,3,false)),"Disponible",vlookup(A:A,Pagos!$B$5:$L76,3,false))</f>
        <v>BALLERINI, MARCELO</v>
      </c>
      <c r="E67" s="539">
        <f>IF(iserror(vlookup(A:A,Pagos!$B$5:$L76,4,false)),"Disponible",If(vlookup(A:A,Pagos!$B$5:$L76,5,false),vlookup(A:A,Pagos!$B$5:$L76,5,false),vlookup(A:A,Pagos!$B$5:$L76,4,false)))</f>
        <v>45992</v>
      </c>
      <c r="F67" s="494"/>
      <c r="G67" s="531" t="str">
        <f t="shared" si="2"/>
        <v/>
      </c>
      <c r="H67" s="541"/>
    </row>
    <row r="68">
      <c r="A68" s="535" t="s">
        <v>390</v>
      </c>
      <c r="B68" s="540" t="s">
        <v>5034</v>
      </c>
      <c r="C68" s="537">
        <f>IF(iserror(vlookup(A:A,Pagos!$B$5:$L76,2,false)),"Disponible",vlookup(A:A,Pagos!$B$5:$L76,2,false))</f>
        <v>2142</v>
      </c>
      <c r="D68" s="538" t="str">
        <f>IF(iserror(vlookup(A:A,Pagos!$B$5:$L76,3,false)),"Disponible",vlookup(A:A,Pagos!$B$5:$L76,3,false))</f>
        <v>CELLI, HERNAN HORACIO</v>
      </c>
      <c r="E68" s="539">
        <f>IF(iserror(vlookup(A:A,Pagos!$B$5:$L76,4,false)),"Disponible",If(vlookup(A:A,Pagos!$B$5:$L76,5,false),vlookup(A:A,Pagos!$B$5:$L76,5,false),vlookup(A:A,Pagos!$B$5:$L76,4,false)))</f>
        <v>45992</v>
      </c>
      <c r="F68" s="494"/>
      <c r="G68" s="531" t="str">
        <f t="shared" si="2"/>
        <v/>
      </c>
      <c r="H68" s="541"/>
    </row>
    <row r="69">
      <c r="A69" s="535" t="s">
        <v>5049</v>
      </c>
      <c r="B69" s="540" t="s">
        <v>5034</v>
      </c>
      <c r="C69" s="537" t="str">
        <f>IF(iserror(vlookup(A:A,Pagos!$B$5:$L76,2,false)),"Disponible",vlookup(A:A,Pagos!$B$5:$L76,2,false))</f>
        <v>Disponible</v>
      </c>
      <c r="D69" s="538" t="str">
        <f>IF(iserror(vlookup(A:A,Pagos!$B$5:$L76,3,false)),"Disponible",vlookup(A:A,Pagos!$B$5:$L76,3,false))</f>
        <v>Disponible</v>
      </c>
      <c r="E69" s="539" t="str">
        <f>IF(iserror(vlookup(A:A,Pagos!$B$5:$L76,4,false)),"Disponible",If(vlookup(A:A,Pagos!$B$5:$L76,5,false),vlookup(A:A,Pagos!$B$5:$L76,5,false),vlookup(A:A,Pagos!$B$5:$L76,4,false)))</f>
        <v>Disponible</v>
      </c>
      <c r="F69" s="494" t="s">
        <v>5050</v>
      </c>
      <c r="G69" s="531" t="str">
        <f t="shared" si="2"/>
        <v/>
      </c>
      <c r="H69" s="541"/>
    </row>
    <row r="70">
      <c r="A70" s="535" t="s">
        <v>275</v>
      </c>
      <c r="B70" s="540" t="s">
        <v>5034</v>
      </c>
      <c r="C70" s="537">
        <f>IF(iserror(vlookup(A:A,Pagos!$B$5:$L76,2,false)),"Disponible",vlookup(A:A,Pagos!$B$5:$L76,2,false))</f>
        <v>1886</v>
      </c>
      <c r="D70" s="538" t="str">
        <f>IF(iserror(vlookup(A:A,Pagos!$B$5:$L76,3,false)),"Disponible",vlookup(A:A,Pagos!$B$5:$L76,3,false))</f>
        <v>VILLAMAYOR, ALEJANDRO</v>
      </c>
      <c r="E70" s="539">
        <f>IF(iserror(vlookup(A:A,Pagos!$B$5:$L76,4,false)),"Disponible",If(vlookup(A:A,Pagos!$B$5:$L76,5,false),vlookup(A:A,Pagos!$B$5:$L76,5,false),vlookup(A:A,Pagos!$B$5:$L76,4,false)))</f>
        <v>45992</v>
      </c>
      <c r="F70" s="494"/>
      <c r="G70" s="531" t="str">
        <f t="shared" si="2"/>
        <v/>
      </c>
      <c r="H70" s="541"/>
    </row>
    <row r="71">
      <c r="A71" s="535" t="s">
        <v>70</v>
      </c>
      <c r="B71" s="540" t="s">
        <v>5034</v>
      </c>
      <c r="C71" s="537">
        <f>IF(iserror(vlookup(A:A,Pagos!$B$5:$L76,2,false)),"Disponible",vlookup(A:A,Pagos!$B$5:$L76,2,false))</f>
        <v>610</v>
      </c>
      <c r="D71" s="538" t="str">
        <f>IF(iserror(vlookup(A:A,Pagos!$B$5:$L76,3,false)),"Disponible",vlookup(A:A,Pagos!$B$5:$L76,3,false))</f>
        <v>GOUDAK, JORGE</v>
      </c>
      <c r="E71" s="539">
        <f>IF(iserror(vlookup(A:A,Pagos!$B$5:$L76,4,false)),"Disponible",If(vlookup(A:A,Pagos!$B$5:$L76,5,false),vlookup(A:A,Pagos!$B$5:$L76,5,false),vlookup(A:A,Pagos!$B$5:$L76,4,false)))</f>
        <v>45992</v>
      </c>
      <c r="F71" s="494"/>
      <c r="G71" s="531" t="str">
        <f t="shared" si="2"/>
        <v/>
      </c>
      <c r="H71" s="541"/>
    </row>
    <row r="72">
      <c r="A72" s="535" t="s">
        <v>143</v>
      </c>
      <c r="B72" s="540" t="s">
        <v>5034</v>
      </c>
      <c r="C72" s="537">
        <f>IF(iserror(vlookup(A:A,Pagos!$B$5:$L76,2,false)),"Disponible",vlookup(A:A,Pagos!$B$5:$L76,2,false))</f>
        <v>1476</v>
      </c>
      <c r="D72" s="538" t="str">
        <f>IF(iserror(vlookup(A:A,Pagos!$B$5:$L76,3,false)),"Disponible",vlookup(A:A,Pagos!$B$5:$L76,3,false))</f>
        <v>CASTILLO, DARDO</v>
      </c>
      <c r="E72" s="539">
        <f>IF(iserror(vlookup(A:A,Pagos!$B$5:$L76,4,false)),"Disponible",If(vlookup(A:A,Pagos!$B$5:$L76,5,false),vlookup(A:A,Pagos!$B$5:$L76,5,false),vlookup(A:A,Pagos!$B$5:$L76,4,false)))</f>
        <v>45992</v>
      </c>
      <c r="F72" s="494"/>
      <c r="G72" s="531" t="str">
        <f t="shared" si="2"/>
        <v/>
      </c>
      <c r="H72" s="541"/>
    </row>
    <row r="73">
      <c r="A73" s="535" t="s">
        <v>357</v>
      </c>
      <c r="B73" s="540" t="s">
        <v>5034</v>
      </c>
      <c r="C73" s="537">
        <f>IF(iserror(vlookup(A:A,Pagos!$B$5:$L76,2,false)),"Disponible",vlookup(A:A,Pagos!$B$5:$L76,2,false))</f>
        <v>2078</v>
      </c>
      <c r="D73" s="538" t="str">
        <f>IF(iserror(vlookup(A:A,Pagos!$B$5:$L76,3,false)),"Disponible",vlookup(A:A,Pagos!$B$5:$L76,3,false))</f>
        <v>CAPOBIANCO, CRISTIAN</v>
      </c>
      <c r="E73" s="539">
        <f>IF(iserror(vlookup(A:A,Pagos!$B$5:$L76,4,false)),"Disponible",If(vlookup(A:A,Pagos!$B$5:$L76,5,false),vlookup(A:A,Pagos!$B$5:$L76,5,false),vlookup(A:A,Pagos!$B$5:$L76,4,false)))</f>
        <v>45992</v>
      </c>
      <c r="F73" s="494"/>
      <c r="G73" s="531" t="str">
        <f t="shared" si="2"/>
        <v/>
      </c>
      <c r="H73" s="541"/>
    </row>
    <row r="74">
      <c r="A74" s="535" t="s">
        <v>347</v>
      </c>
      <c r="B74" s="540" t="s">
        <v>5034</v>
      </c>
      <c r="C74" s="537">
        <f>IF(iserror(vlookup(A:A,Pagos!$B$5:$L76,2,false)),"Disponible",vlookup(A:A,Pagos!$B$5:$L76,2,false))</f>
        <v>2052</v>
      </c>
      <c r="D74" s="538" t="str">
        <f>IF(iserror(vlookup(A:A,Pagos!$B$5:$L76,3,false)),"Disponible",vlookup(A:A,Pagos!$B$5:$L76,3,false))</f>
        <v>BALLESTERO, BRENDA</v>
      </c>
      <c r="E74" s="539">
        <f>IF(iserror(vlookup(A:A,Pagos!$B$5:$L76,4,false)),"Disponible",If(vlookup(A:A,Pagos!$B$5:$L76,5,false),vlookup(A:A,Pagos!$B$5:$L76,5,false),vlookup(A:A,Pagos!$B$5:$L76,4,false)))</f>
        <v>45870</v>
      </c>
      <c r="F74" s="494"/>
      <c r="G74" s="531" t="str">
        <f t="shared" si="2"/>
        <v/>
      </c>
      <c r="H74" s="541"/>
    </row>
    <row r="75">
      <c r="A75" s="535" t="s">
        <v>437</v>
      </c>
      <c r="B75" s="540" t="s">
        <v>5034</v>
      </c>
      <c r="C75" s="537">
        <f>IF(iserror(vlookup(A:A,Pagos!$B$5:$L76,2,false)),"Disponible",vlookup(A:A,Pagos!$B$5:$L76,2,false))</f>
        <v>2242</v>
      </c>
      <c r="D75" s="538" t="str">
        <f>IF(iserror(vlookup(A:A,Pagos!$B$5:$L76,3,false)),"Disponible",vlookup(A:A,Pagos!$B$5:$L76,3,false))</f>
        <v>MERCERAT, FERNANDO</v>
      </c>
      <c r="E75" s="539">
        <f>IF(iserror(vlookup(A:A,Pagos!$B$5:$L76,4,false)),"Disponible",If(vlookup(A:A,Pagos!$B$5:$L76,5,false),vlookup(A:A,Pagos!$B$5:$L76,5,false),vlookup(A:A,Pagos!$B$5:$L76,4,false)))</f>
        <v>45992</v>
      </c>
      <c r="F75" s="494"/>
      <c r="G75" s="531" t="str">
        <f t="shared" si="2"/>
        <v/>
      </c>
      <c r="H75" s="541"/>
    </row>
    <row r="76">
      <c r="A76" s="543"/>
      <c r="B76" s="544"/>
      <c r="C76" s="545"/>
      <c r="D76" s="546"/>
      <c r="E76" s="547"/>
      <c r="F76" s="548"/>
      <c r="G76" s="541"/>
      <c r="H76" s="541"/>
    </row>
  </sheetData>
  <conditionalFormatting sqref="B2:B76">
    <cfRule type="containsText" dxfId="12" priority="1" operator="containsText" text="grande">
      <formula>NOT(ISERROR(SEARCH(("grande"),(B2))))</formula>
    </cfRule>
  </conditionalFormatting>
  <conditionalFormatting sqref="F1:H1">
    <cfRule type="containsText" dxfId="19" priority="2" operator="containsText" text="Disponible">
      <formula>NOT(ISERROR(SEARCH(("Disponible"),(F1))))</formula>
    </cfRule>
  </conditionalFormatting>
  <conditionalFormatting sqref="C1:E76">
    <cfRule type="containsText" dxfId="9" priority="3" operator="containsText" text="Disponible">
      <formula>NOT(ISERROR(SEARCH(("Disponible"),(C1))))</formula>
    </cfRule>
  </conditionalFormatting>
  <dataValidations>
    <dataValidation type="list" allowBlank="1" sqref="B2:B76">
      <formula1>"Grande,Chico"</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13"/>
    <col customWidth="1" min="3" max="3" width="5.38"/>
    <col customWidth="1" min="4" max="4" width="28.63"/>
    <col customWidth="1" min="5" max="5" width="14.13"/>
    <col hidden="1" min="13" max="16" width="12.63"/>
  </cols>
  <sheetData>
    <row r="1">
      <c r="A1" s="7" t="s">
        <v>154</v>
      </c>
      <c r="B1" s="7" t="s">
        <v>23</v>
      </c>
      <c r="C1" s="8" t="s">
        <v>24</v>
      </c>
      <c r="D1" s="8" t="s">
        <v>25</v>
      </c>
      <c r="E1" s="9" t="s">
        <v>26</v>
      </c>
      <c r="F1" s="10" t="s">
        <v>27</v>
      </c>
      <c r="G1" s="11" t="s">
        <v>28</v>
      </c>
      <c r="H1" s="11" t="s">
        <v>29</v>
      </c>
      <c r="I1" s="12" t="s">
        <v>30</v>
      </c>
      <c r="J1" s="12" t="str">
        <f>Concatenate("Importe ", "(",+sum(J2:J376)," $)")</f>
        <v>Importe (0 $)</v>
      </c>
      <c r="K1" s="13" t="s">
        <v>31</v>
      </c>
      <c r="L1" s="13" t="s">
        <v>32</v>
      </c>
      <c r="M1" s="549"/>
      <c r="N1" s="549"/>
      <c r="O1" s="549"/>
      <c r="P1" s="549"/>
      <c r="Q1" s="549"/>
      <c r="R1" s="549"/>
      <c r="S1" s="549"/>
      <c r="T1" s="549"/>
    </row>
    <row r="2">
      <c r="A2" s="550" t="s">
        <v>71</v>
      </c>
      <c r="B2" s="551">
        <v>508.0</v>
      </c>
      <c r="C2" s="552">
        <v>508.0</v>
      </c>
      <c r="D2" s="553" t="str">
        <f>if(   iserror(offset(PADRON!B$2,match(C:C,PADRON!A$2:A376,0)-1,0,1,1) )  ,  ,    offset(PADRON!B$2,match(C:C,PADRON!A$2:A376,0)-1,0,1,1))</f>
        <v>TORRE, GUILLERMO FEDERICO</v>
      </c>
      <c r="E2" s="554">
        <v>41883.0</v>
      </c>
      <c r="F2" s="555"/>
      <c r="G2" s="23" t="s">
        <v>56</v>
      </c>
      <c r="H2" s="556">
        <f>IF( ISERROR( OFFSET(   'Cuadro tarifario'!D$2  , MATCH(CONCATENATE(                 IF(F2&gt;Mes,OFFSET(NroCT!B$17, MATCH($F2,NroCT!$A$18:$A376,0),0,1,1),Periodovigente)                                                                                                                     ,A2) ,'Cuadro tarifario'!A$2:A376,0) -1 , 0 , 1 , 1) )   , 0  ,   OFFSET(   'Cuadro tarifario'!D$2  , MATCH(CONCATENATE( IF(F2&gt;Mes,OFFSET(NroCT!B$17, MATCH($F2,NroCT!$A$18:$A376,0),0,1,1),Periodovigente) ,A2) ,'Cuadro tarifario'!A$2:A376,0) -1 , 0 , 1 , 1))</f>
        <v>11000</v>
      </c>
      <c r="I2" s="1">
        <f t="shared" ref="I2:I13" si="1">Int(If(F2,DAYS360(          date(Year(E2),Month(E2),1),         date(Year(F2)     ,      Month(F2),1 )    )            /30,0 ))</f>
        <v>0</v>
      </c>
      <c r="J2" s="557">
        <f t="shared" ref="J2:J283" si="2">I2*H2</f>
        <v>0</v>
      </c>
      <c r="K2" s="2">
        <f>If(  If(F2,   DAYS360(date(year(F2),month(F2),1),Mes)/30  ,  DAYS360(date(year(E2),month(E2),1),Mes)/30) &gt; 0 , If(F2,   DAYS360(date(year(F2),month(F2),1),Mes)/30  ,  DAYS360(date(year(E2),month(E2),1),Mes)/30) , 0)</f>
        <v>131</v>
      </c>
      <c r="L2" s="558">
        <f t="shared" ref="L2:L136" si="3">If(Iserror(K:K*H:H)   ,  0   ,   K:K*H:H)</f>
        <v>1441000</v>
      </c>
      <c r="M2" s="559"/>
      <c r="N2" s="559"/>
      <c r="O2" s="559"/>
      <c r="P2" s="559"/>
      <c r="Q2" s="559"/>
      <c r="R2" s="559"/>
      <c r="S2" s="559"/>
      <c r="T2" s="559"/>
    </row>
    <row r="3">
      <c r="A3" s="550" t="s">
        <v>71</v>
      </c>
      <c r="B3" s="551">
        <v>538.0</v>
      </c>
      <c r="C3" s="552">
        <v>538.0</v>
      </c>
      <c r="D3" s="553" t="str">
        <f>if(   iserror(offset(PADRON!B$2,match(C:C,PADRON!A$2:A376,0)-1,0,1,1) )  ,  ,    offset(PADRON!B$2,match(C:C,PADRON!A$2:A376,0)-1,0,1,1))</f>
        <v>YAMAWAKI, JORGE</v>
      </c>
      <c r="E3" s="554">
        <v>41974.0</v>
      </c>
      <c r="F3" s="555"/>
      <c r="G3" s="23" t="s">
        <v>56</v>
      </c>
      <c r="H3" s="556">
        <f>IF( ISERROR( OFFSET(   'Cuadro tarifario'!D$2  , MATCH(CONCATENATE(                 IF(F3&gt;Mes,OFFSET(NroCT!B$17, MATCH($F3,NroCT!$A$18:$A376,0),0,1,1),Periodovigente)                                                                                                                     ,A3) ,'Cuadro tarifario'!A$2:A376,0) -1 , 0 , 1 , 1) )   , 0  ,   OFFSET(   'Cuadro tarifario'!D$2  , MATCH(CONCATENATE( IF(F3&gt;Mes,OFFSET(NroCT!B$17, MATCH($F3,NroCT!$A$18:$A376,0),0,1,1),Periodovigente) ,A3) ,'Cuadro tarifario'!A$2:A376,0) -1 , 0 , 1 , 1))</f>
        <v>11000</v>
      </c>
      <c r="I3" s="1">
        <f t="shared" si="1"/>
        <v>0</v>
      </c>
      <c r="J3" s="557">
        <f t="shared" si="2"/>
        <v>0</v>
      </c>
      <c r="K3" s="2">
        <f>if(  and(M3&gt;0,I3=0)          ,M3 ,                         If(  If( F3 ,  DAYS360(date(year(F3),month(F3),1),Mes)/30  ,  DAYS360(date(year(E3),month(E3),1),Mes)/30  )  &gt;  0 , If(F3,   DAYS360(date(year(F3),month(F3),1),Mes)/30  ,  DAYS360(date(year(E3),month(E3),1),Mes)/30) , 0)       )</f>
        <v>128</v>
      </c>
      <c r="L3" s="558">
        <f t="shared" si="3"/>
        <v>1408000</v>
      </c>
      <c r="M3" s="314"/>
      <c r="N3" s="314"/>
      <c r="O3" s="3"/>
      <c r="P3" s="3"/>
      <c r="Q3" s="3"/>
      <c r="R3" s="3"/>
      <c r="S3" s="3"/>
      <c r="T3" s="3"/>
    </row>
    <row r="4">
      <c r="A4" s="550" t="s">
        <v>71</v>
      </c>
      <c r="B4" s="551">
        <v>538.0</v>
      </c>
      <c r="C4" s="552">
        <v>538.0</v>
      </c>
      <c r="D4" s="553" t="str">
        <f>if(   iserror(offset(PADRON!B$2,match(C:C,PADRON!A$2:A376,0)-1,0,1,1) )  ,  ,    offset(PADRON!B$2,match(C:C,PADRON!A$2:A376,0)-1,0,1,1))</f>
        <v>YAMAWAKI, JORGE</v>
      </c>
      <c r="E4" s="554">
        <v>41974.0</v>
      </c>
      <c r="F4" s="555"/>
      <c r="G4" s="23" t="s">
        <v>56</v>
      </c>
      <c r="H4" s="556">
        <f>IF( ISERROR( OFFSET(   'Cuadro tarifario'!D$2  , MATCH(CONCATENATE(                 IF(F4&gt;Mes,OFFSET(NroCT!B$17, MATCH($F4,NroCT!$A$18:$A376,0),0,1,1),Periodovigente)                                                                                                                     ,A4) ,'Cuadro tarifario'!A$2:A376,0) -1 , 0 , 1 , 1) )   , 0  ,   OFFSET(   'Cuadro tarifario'!D$2  , MATCH(CONCATENATE( IF(F4&gt;Mes,OFFSET(NroCT!B$17, MATCH($F4,NroCT!$A$18:$A376,0),0,1,1),Periodovigente) ,A4) ,'Cuadro tarifario'!A$2:A376,0) -1 , 0 , 1 , 1))</f>
        <v>11000</v>
      </c>
      <c r="I4" s="1">
        <f t="shared" si="1"/>
        <v>0</v>
      </c>
      <c r="J4" s="557">
        <f t="shared" si="2"/>
        <v>0</v>
      </c>
      <c r="K4" s="2">
        <f>if(  and(M4&gt;0,I4=0)          ,M4 ,                         If(  If( F4 ,  DAYS360(date(year(F4),month(F4),1),Mes)/30  ,  DAYS360(date(year(E4),month(E4),1),Mes)/30  )  &gt;  0 , If(F4,   DAYS360(date(year(F4),month(F4),1),Mes)/30  ,  DAYS360(date(year(E4),month(E4),1),Mes)/30) , 0)       )</f>
        <v>128</v>
      </c>
      <c r="L4" s="558">
        <f t="shared" si="3"/>
        <v>1408000</v>
      </c>
      <c r="M4" s="314">
        <f>If( iserror(offset(SECUESTRADOS!D$1,match(B4,SECUESTRADOS!A$2:A376,0),0)) ,0 ,  offset(SECUESTRADOS!D$1,match(B4,SECUESTRADOS!A$2:A376,0),0)  )</f>
        <v>0</v>
      </c>
      <c r="N4" s="314"/>
      <c r="O4" s="3" t="b">
        <f>if(I4,A4)</f>
        <v>0</v>
      </c>
      <c r="P4" s="3" t="str">
        <f>if(and(A4=A3,B4=B3,C4=C3),"Repetido","")</f>
        <v>Repetido</v>
      </c>
      <c r="Q4" s="3"/>
      <c r="R4" s="3"/>
      <c r="S4" s="3"/>
      <c r="T4" s="3"/>
    </row>
    <row r="5">
      <c r="A5" s="550" t="s">
        <v>71</v>
      </c>
      <c r="B5" s="551">
        <v>706.0</v>
      </c>
      <c r="C5" s="552">
        <v>706.0</v>
      </c>
      <c r="D5" s="553" t="str">
        <f>if(   iserror(offset(PADRON!B$2,match(C:C,PADRON!A$2:A376,0)-1,0,1,1) )  ,  ,    offset(PADRON!B$2,match(C:C,PADRON!A$2:A376,0)-1,0,1,1))</f>
        <v>PARODI, DANIEL</v>
      </c>
      <c r="E5" s="554">
        <v>41974.0</v>
      </c>
      <c r="F5" s="555"/>
      <c r="G5" s="23" t="s">
        <v>56</v>
      </c>
      <c r="H5" s="556">
        <f>IF( ISERROR( OFFSET(   'Cuadro tarifario'!D$2  , MATCH(CONCATENATE(                 IF(F5&gt;Mes,OFFSET(NroCT!B$17, MATCH($F5,NroCT!$A$18:$A376,0),0,1,1),Periodovigente)                                                                                                                     ,A5) ,'Cuadro tarifario'!A$2:A376,0) -1 , 0 , 1 , 1) )   , 0  ,   OFFSET(   'Cuadro tarifario'!D$2  , MATCH(CONCATENATE( IF(F5&gt;Mes,OFFSET(NroCT!B$17, MATCH($F5,NroCT!$A$18:$A376,0),0,1,1),Periodovigente) ,A5) ,'Cuadro tarifario'!A$2:A376,0) -1 , 0 , 1 , 1))</f>
        <v>11000</v>
      </c>
      <c r="I5" s="1">
        <f t="shared" si="1"/>
        <v>0</v>
      </c>
      <c r="J5" s="557">
        <f t="shared" si="2"/>
        <v>0</v>
      </c>
      <c r="K5" s="2">
        <f>if(  and(M5&gt;0,I5=0)          ,M5 ,                         If(  If( F5 ,  DAYS360(date(year(F5),month(F5),1),Mes)/30  ,  DAYS360(date(year(E5),month(E5),1),Mes)/30  )  &gt;  0 , If(F5,   DAYS360(date(year(F5),month(F5),1),Mes)/30  ,  DAYS360(date(year(E5),month(E5),1),Mes)/30) , 0)       )</f>
        <v>128</v>
      </c>
      <c r="L5" s="558">
        <f t="shared" si="3"/>
        <v>1408000</v>
      </c>
      <c r="M5" s="314"/>
      <c r="N5" s="314"/>
      <c r="O5" s="3"/>
      <c r="P5" s="3"/>
      <c r="Q5" s="3"/>
      <c r="R5" s="3"/>
      <c r="S5" s="3"/>
      <c r="T5" s="3"/>
    </row>
    <row r="6">
      <c r="A6" s="560" t="s">
        <v>40</v>
      </c>
      <c r="B6" s="561" t="s">
        <v>102</v>
      </c>
      <c r="C6" s="552">
        <v>706.0</v>
      </c>
      <c r="D6" s="553" t="str">
        <f>if(   iserror(offset(PADRON!B$2,match(C:C,PADRON!A$2:A376,0)-1,0,1,1) )  ,  ,    offset(PADRON!B$2,match(C:C,PADRON!A$2:A376,0)-1,0,1,1))</f>
        <v>PARODI, DANIEL</v>
      </c>
      <c r="E6" s="554">
        <v>41974.0</v>
      </c>
      <c r="F6" s="555"/>
      <c r="G6" s="23" t="s">
        <v>56</v>
      </c>
      <c r="H6" s="556">
        <f>IF( ISERROR( OFFSET(   'Cuadro tarifario'!D$2  , MATCH(CONCATENATE(                 IF(F6&gt;Mes,OFFSET(NroCT!B$17, MATCH($F6,NroCT!$A$18:$A376,0),0,1,1),Periodovigente)                                                                                                                     ,A6) ,'Cuadro tarifario'!A$2:A376,0) -1 , 0 , 1 , 1) )   , 0  ,   OFFSET(   'Cuadro tarifario'!D$2  , MATCH(CONCATENATE( IF(F6&gt;Mes,OFFSET(NroCT!B$17, MATCH($F6,NroCT!$A$18:$A376,0),0,1,1),Periodovigente) ,A6) ,'Cuadro tarifario'!A$2:A376,0) -1 , 0 , 1 , 1))</f>
        <v>12000</v>
      </c>
      <c r="I6" s="1">
        <f t="shared" si="1"/>
        <v>0</v>
      </c>
      <c r="J6" s="557">
        <f t="shared" si="2"/>
        <v>0</v>
      </c>
      <c r="K6" s="2">
        <f>if(  and(M6&gt;0,I6=0)          ,M6 ,                         If(  If( F6 ,  DAYS360(date(year(F6),month(F6),1),Mes)/30  ,  DAYS360(date(year(E6),month(E6),1),Mes)/30  )  &gt;  0 , If(F6,   DAYS360(date(year(F6),month(F6),1),Mes)/30  ,  DAYS360(date(year(E6),month(E6),1),Mes)/30) , 0)       )</f>
        <v>128</v>
      </c>
      <c r="L6" s="558">
        <f t="shared" si="3"/>
        <v>1536000</v>
      </c>
      <c r="M6" s="314"/>
      <c r="N6" s="314"/>
      <c r="O6" s="3"/>
      <c r="P6" s="3"/>
      <c r="Q6" s="3"/>
      <c r="R6" s="3"/>
      <c r="S6" s="3"/>
      <c r="T6" s="3"/>
    </row>
    <row r="7">
      <c r="A7" s="550" t="s">
        <v>71</v>
      </c>
      <c r="B7" s="551">
        <v>706.0</v>
      </c>
      <c r="C7" s="552">
        <v>706.0</v>
      </c>
      <c r="D7" s="553" t="str">
        <f>if(   iserror(offset(PADRON!B$2,match(C:C,PADRON!A$2:A376,0)-1,0,1,1) )  ,  ,    offset(PADRON!B$2,match(C:C,PADRON!A$2:A376,0)-1,0,1,1))</f>
        <v>PARODI, DANIEL</v>
      </c>
      <c r="E7" s="554">
        <v>41974.0</v>
      </c>
      <c r="F7" s="555"/>
      <c r="G7" s="23" t="s">
        <v>56</v>
      </c>
      <c r="H7" s="556">
        <f>IF( ISERROR( OFFSET(   'Cuadro tarifario'!D$2  , MATCH(CONCATENATE(                 IF(F7&gt;Mes,OFFSET(NroCT!B$17, MATCH($F7,NroCT!$A$18:$A376,0),0,1,1),Periodovigente)                                                                                                                     ,A7) ,'Cuadro tarifario'!A$2:A376,0) -1 , 0 , 1 , 1) )   , 0  ,   OFFSET(   'Cuadro tarifario'!D$2  , MATCH(CONCATENATE( IF(F7&gt;Mes,OFFSET(NroCT!B$17, MATCH($F7,NroCT!$A$18:$A376,0),0,1,1),Periodovigente) ,A7) ,'Cuadro tarifario'!A$2:A376,0) -1 , 0 , 1 , 1))</f>
        <v>11000</v>
      </c>
      <c r="I7" s="1">
        <f t="shared" si="1"/>
        <v>0</v>
      </c>
      <c r="J7" s="557">
        <f t="shared" si="2"/>
        <v>0</v>
      </c>
      <c r="K7" s="2">
        <f>if(  and(M7&gt;0,I7=0)          ,M7 ,                         If(  If( F7 ,  DAYS360(date(year(F7),month(F7),1),Mes)/30  ,  DAYS360(date(year(E7),month(E7),1),Mes)/30  )  &gt;  0 , If(F7,   DAYS360(date(year(F7),month(F7),1),Mes)/30  ,  DAYS360(date(year(E7),month(E7),1),Mes)/30) , 0)       )</f>
        <v>128</v>
      </c>
      <c r="L7" s="558">
        <f t="shared" si="3"/>
        <v>1408000</v>
      </c>
      <c r="M7" s="314">
        <f>If( iserror(offset(SECUESTRADOS!D$1,match(B7,SECUESTRADOS!A$2:A376,0),0)) ,0 ,  offset(SECUESTRADOS!D$1,match(B7,SECUESTRADOS!A$2:A376,0),0)  )</f>
        <v>0</v>
      </c>
      <c r="N7" s="314"/>
      <c r="O7" s="3" t="b">
        <f t="shared" ref="O7:O8" si="4">if(I7,A7)</f>
        <v>0</v>
      </c>
      <c r="P7" s="3" t="str">
        <f t="shared" ref="P7:P8" si="5">if(and(A7=A6,B7=B6,C7=C6),"Repetido","")</f>
        <v/>
      </c>
      <c r="Q7" s="3"/>
      <c r="R7" s="3"/>
      <c r="S7" s="3"/>
      <c r="T7" s="3"/>
    </row>
    <row r="8">
      <c r="A8" s="560" t="s">
        <v>40</v>
      </c>
      <c r="B8" s="561" t="s">
        <v>102</v>
      </c>
      <c r="C8" s="552">
        <v>706.0</v>
      </c>
      <c r="D8" s="553" t="str">
        <f>if(   iserror(offset(PADRON!B$2,match(C:C,PADRON!A$2:A376,0)-1,0,1,1) )  ,  ,    offset(PADRON!B$2,match(C:C,PADRON!A$2:A376,0)-1,0,1,1))</f>
        <v>PARODI, DANIEL</v>
      </c>
      <c r="E8" s="554">
        <v>41974.0</v>
      </c>
      <c r="F8" s="555"/>
      <c r="G8" s="23" t="s">
        <v>56</v>
      </c>
      <c r="H8" s="556">
        <f>IF( ISERROR( OFFSET(   'Cuadro tarifario'!D$2  , MATCH(CONCATENATE(                 IF(F8&gt;Mes,OFFSET(NroCT!B$17, MATCH($F8,NroCT!$A$18:$A376,0),0,1,1),Periodovigente)                                                                                                                     ,A8) ,'Cuadro tarifario'!A$2:A376,0) -1 , 0 , 1 , 1) )   , 0  ,   OFFSET(   'Cuadro tarifario'!D$2  , MATCH(CONCATENATE( IF(F8&gt;Mes,OFFSET(NroCT!B$17, MATCH($F8,NroCT!$A$18:$A376,0),0,1,1),Periodovigente) ,A8) ,'Cuadro tarifario'!A$2:A376,0) -1 , 0 , 1 , 1))</f>
        <v>12000</v>
      </c>
      <c r="I8" s="1">
        <f t="shared" si="1"/>
        <v>0</v>
      </c>
      <c r="J8" s="557">
        <f t="shared" si="2"/>
        <v>0</v>
      </c>
      <c r="K8" s="2">
        <f>if(  and(M8&gt;0,I8=0)          ,M8 ,                         If(  If( F8 ,  DAYS360(date(year(F8),month(F8),1),Mes)/30  ,  DAYS360(date(year(E8),month(E8),1),Mes)/30  )  &gt;  0 , If(F8,   DAYS360(date(year(F8),month(F8),1),Mes)/30  ,  DAYS360(date(year(E8),month(E8),1),Mes)/30) , 0)       )</f>
        <v>128</v>
      </c>
      <c r="L8" s="558">
        <f t="shared" si="3"/>
        <v>1536000</v>
      </c>
      <c r="M8" s="314">
        <f>If( iserror(offset(SECUESTRADOS!D$1,match(B8,SECUESTRADOS!A$2:A376,0),0)) ,0 ,  offset(SECUESTRADOS!D$1,match(B8,SECUESTRADOS!A$2:A376,0),0)  )</f>
        <v>0</v>
      </c>
      <c r="N8" s="314"/>
      <c r="O8" s="3" t="b">
        <f t="shared" si="4"/>
        <v>0</v>
      </c>
      <c r="P8" s="3" t="str">
        <f t="shared" si="5"/>
        <v/>
      </c>
      <c r="Q8" s="3"/>
      <c r="R8" s="3"/>
      <c r="S8" s="3"/>
      <c r="T8" s="3"/>
    </row>
    <row r="9">
      <c r="A9" s="550" t="s">
        <v>71</v>
      </c>
      <c r="B9" s="551">
        <v>707.0</v>
      </c>
      <c r="C9" s="552">
        <v>707.0</v>
      </c>
      <c r="D9" s="553" t="str">
        <f>if(   iserror(offset(PADRON!B$2,match(C:C,PADRON!A$2:A376,0)-1,0,1,1) )  ,  ,    offset(PADRON!B$2,match(C:C,PADRON!A$2:A376,0)-1,0,1,1))</f>
        <v>HERRERA, LEOPOLDO</v>
      </c>
      <c r="E9" s="554">
        <v>42339.0</v>
      </c>
      <c r="F9" s="555"/>
      <c r="G9" s="23" t="s">
        <v>56</v>
      </c>
      <c r="H9" s="556">
        <f>IF( ISERROR( OFFSET(   'Cuadro tarifario'!D$2  , MATCH(CONCATENATE(                 IF(F9&gt;Mes,OFFSET(NroCT!B$17, MATCH($F9,NroCT!$A$18:$A376,0),0,1,1),Periodovigente)                                                                                                                     ,A9) ,'Cuadro tarifario'!A$2:A376,0) -1 , 0 , 1 , 1) )   , 0  ,   OFFSET(   'Cuadro tarifario'!D$2  , MATCH(CONCATENATE( IF(F9&gt;Mes,OFFSET(NroCT!B$17, MATCH($F9,NroCT!$A$18:$A376,0),0,1,1),Periodovigente) ,A9) ,'Cuadro tarifario'!A$2:A376,0) -1 , 0 , 1 , 1))</f>
        <v>11000</v>
      </c>
      <c r="I9" s="1">
        <f t="shared" si="1"/>
        <v>0</v>
      </c>
      <c r="J9" s="557">
        <f t="shared" si="2"/>
        <v>0</v>
      </c>
      <c r="K9" s="2">
        <f>if(  and(M9&gt;0,I9=0)          ,M9 ,                         If(  If( F9 ,  DAYS360(date(year(F9),month(F9),1),Mes)/30  ,  DAYS360(date(year(E9),month(E9),1),Mes)/30  )  &gt;  0 , If(F9,   DAYS360(date(year(F9),month(F9),1),Mes)/30  ,  DAYS360(date(year(E9),month(E9),1),Mes)/30) , 0)       )</f>
        <v>116</v>
      </c>
      <c r="L9" s="558">
        <f t="shared" si="3"/>
        <v>1276000</v>
      </c>
      <c r="M9" s="314"/>
      <c r="N9" s="314"/>
      <c r="O9" s="3"/>
      <c r="P9" s="3"/>
      <c r="Q9" s="3"/>
      <c r="R9" s="3"/>
      <c r="S9" s="3"/>
      <c r="T9" s="3"/>
    </row>
    <row r="10">
      <c r="A10" s="562" t="s">
        <v>50</v>
      </c>
      <c r="B10" s="563" t="s">
        <v>404</v>
      </c>
      <c r="C10" s="552">
        <v>801.0</v>
      </c>
      <c r="D10" s="553" t="str">
        <f>if(   iserror(offset(PADRON!B$2,match(C:C,PADRON!A$2:A376,0)-1,0,1,1) )  ,  ,    offset(PADRON!B$2,match(C:C,PADRON!A$2:A376,0)-1,0,1,1))</f>
        <v>DE SANTI, FERNANDO</v>
      </c>
      <c r="E10" s="554">
        <v>42339.0</v>
      </c>
      <c r="F10" s="555"/>
      <c r="G10" s="23" t="s">
        <v>56</v>
      </c>
      <c r="H10" s="556">
        <f>IF( ISERROR( OFFSET(   'Cuadro tarifario'!D$2  , MATCH(CONCATENATE(                 IF(F10&gt;Mes,OFFSET(NroCT!B$17, MATCH($F10,NroCT!$A$18:$A376,0),0,1,1),Periodovigente)                                                                                                                     ,A10) ,'Cuadro tarifario'!A$2:A376,0) -1 , 0 , 1 , 1) )   , 0  ,   OFFSET(   'Cuadro tarifario'!D$2  , MATCH(CONCATENATE( IF(F10&gt;Mes,OFFSET(NroCT!B$17, MATCH($F10,NroCT!$A$18:$A376,0),0,1,1),Periodovigente) ,A10) ,'Cuadro tarifario'!A$2:A376,0) -1 , 0 , 1 , 1))</f>
        <v>3600</v>
      </c>
      <c r="I10" s="1">
        <f t="shared" si="1"/>
        <v>0</v>
      </c>
      <c r="J10" s="557">
        <f t="shared" si="2"/>
        <v>0</v>
      </c>
      <c r="K10" s="2">
        <f>if(  and(M10&gt;0,I10=0)          ,M10 ,                         If(  If( F10 ,  DAYS360(date(year(F10),month(F10),1),Mes)/30  ,  DAYS360(date(year(E10),month(E10),1),Mes)/30  )  &gt;  0 , If(F10,   DAYS360(date(year(F10),month(F10),1),Mes)/30  ,  DAYS360(date(year(E10),month(E10),1),Mes)/30) , 0)       )</f>
        <v>116</v>
      </c>
      <c r="L10" s="558">
        <f t="shared" si="3"/>
        <v>417600</v>
      </c>
      <c r="M10" s="314"/>
      <c r="N10" s="314"/>
      <c r="O10" s="3"/>
      <c r="P10" s="3"/>
      <c r="Q10" s="3"/>
      <c r="R10" s="3"/>
      <c r="S10" s="3"/>
      <c r="T10" s="3"/>
    </row>
    <row r="11">
      <c r="A11" s="550" t="s">
        <v>71</v>
      </c>
      <c r="B11" s="551">
        <v>838.0</v>
      </c>
      <c r="C11" s="552">
        <v>838.0</v>
      </c>
      <c r="D11" s="553" t="str">
        <f>if(   iserror(offset(PADRON!B$2,match(C:C,PADRON!A$2:A376,0)-1,0,1,1) )  ,  ,    offset(PADRON!B$2,match(C:C,PADRON!A$2:A376,0)-1,0,1,1))</f>
        <v>DURO ,GONZALO</v>
      </c>
      <c r="E11" s="554">
        <v>41153.0</v>
      </c>
      <c r="F11" s="564"/>
      <c r="G11" s="23" t="s">
        <v>56</v>
      </c>
      <c r="H11" s="556">
        <f>if( iserror( offset(   'Cuadro tarifario'!D$2  , match(concatenate(                 If(F11&gt;Periodovigente,Offset(NroCT!B$17, match($F11,NroCT!$A$18:$A376,0),0,1,1),Periodovigente)                                                                                                                     ,A11) ,'Cuadro tarifario'!A$2:A376,0) -1 , 0 , 1 , 1) )   , 0  ,   offset(   'Cuadro tarifario'!D$2  , match(concatenate( If(F11&gt;Periodovigente,Offset(NroCT!B$17, match($F11,NroCT!$A$18:$A376,0),0,1,1),Periodovigente) ,A11) ,'Cuadro tarifario'!A$2:A376,0) -1 , 0 , 1 , 1))</f>
        <v>11000</v>
      </c>
      <c r="I11" s="1">
        <f t="shared" si="1"/>
        <v>0</v>
      </c>
      <c r="J11" s="557">
        <f t="shared" si="2"/>
        <v>0</v>
      </c>
      <c r="K11" s="2">
        <f>If(  If(F11,   DAYS360(date(year(F11),month(F11),1),Mes)/30  ,  DAYS360(date(year(E11),month(E11),1),Mes)/30) &gt; 0 , If(F11,   DAYS360(date(year(F11),month(F11),1),Mes)/30  ,  DAYS360(date(year(E11),month(E11),1),Mes)/30) , 0)</f>
        <v>155</v>
      </c>
      <c r="L11" s="558">
        <f t="shared" si="3"/>
        <v>1705000</v>
      </c>
      <c r="M11" s="559"/>
      <c r="N11" s="559"/>
      <c r="O11" s="559"/>
      <c r="P11" s="559"/>
      <c r="Q11" s="559"/>
      <c r="R11" s="559"/>
      <c r="S11" s="559"/>
      <c r="T11" s="559"/>
    </row>
    <row r="12">
      <c r="A12" s="550" t="s">
        <v>71</v>
      </c>
      <c r="B12" s="551">
        <v>866.0</v>
      </c>
      <c r="C12" s="552">
        <v>866.0</v>
      </c>
      <c r="D12" s="553" t="str">
        <f>if(   iserror(offset(PADRON!B$2,match(C:C,PADRON!A$2:A376,0)-1,0,1,1) )  ,  ,    offset(PADRON!B$2,match(C:C,PADRON!A$2:A376,0)-1,0,1,1))</f>
        <v>ZALAZAR, RUBEN</v>
      </c>
      <c r="E12" s="554">
        <v>40909.0</v>
      </c>
      <c r="F12" s="564"/>
      <c r="G12" s="23" t="s">
        <v>56</v>
      </c>
      <c r="H12" s="556">
        <f>if( iserror( offset(   'Cuadro tarifario'!D$2  , match(concatenate(                 If(F12&gt;Periodovigente,Offset(NroCT!B$17, match($F12,NroCT!$A$18:$A376,0),0,1,1),Periodovigente)                                                                                                                     ,A12) ,'Cuadro tarifario'!A$2:A376,0) -1 , 0 , 1 , 1) )   , 0  ,   offset(   'Cuadro tarifario'!D$2  , match(concatenate( If(F12&gt;Periodovigente,Offset(NroCT!B$17, match($F12,NroCT!$A$18:$A376,0),0,1,1),Periodovigente) ,A12) ,'Cuadro tarifario'!A$2:A376,0) -1 , 0 , 1 , 1))</f>
        <v>11000</v>
      </c>
      <c r="I12" s="1">
        <f t="shared" si="1"/>
        <v>0</v>
      </c>
      <c r="J12" s="557">
        <f t="shared" si="2"/>
        <v>0</v>
      </c>
      <c r="K12" s="2">
        <f>If(  If(F12,   DAYS360(date(year(F12),month(F12),1),Mes)/30  ,  DAYS360(date(year(E12),month(E12),1),Mes)/30) &gt; 0 , If(F12,   DAYS360(date(year(F12),month(F12),1),Mes)/30  ,  DAYS360(date(year(E12),month(E12),1),Mes)/30) , 0)</f>
        <v>163</v>
      </c>
      <c r="L12" s="558">
        <f t="shared" si="3"/>
        <v>1793000</v>
      </c>
      <c r="M12" s="559"/>
      <c r="N12" s="559"/>
      <c r="O12" s="559"/>
      <c r="P12" s="559"/>
      <c r="Q12" s="559"/>
      <c r="R12" s="559"/>
      <c r="S12" s="559"/>
      <c r="T12" s="559"/>
    </row>
    <row r="13">
      <c r="A13" s="550" t="s">
        <v>71</v>
      </c>
      <c r="B13" s="551">
        <v>934.0</v>
      </c>
      <c r="C13" s="552">
        <v>934.0</v>
      </c>
      <c r="D13" s="553" t="str">
        <f>if(   iserror(offset(PADRON!B$2,match(C:C,PADRON!A$2:A376,0)-1,0,1,1) )  ,  ,    offset(PADRON!B$2,match(C:C,PADRON!A$2:A376,0)-1,0,1,1))</f>
        <v>RENDANI, GUSTAVO</v>
      </c>
      <c r="E13" s="554">
        <v>41760.0</v>
      </c>
      <c r="F13" s="555"/>
      <c r="G13" s="23" t="s">
        <v>56</v>
      </c>
      <c r="H13" s="556">
        <f>IF( ISERROR( OFFSET(   'Cuadro tarifario'!D$2  , MATCH(CONCATENATE(                 IF(F13&gt;Mes,OFFSET(NroCT!B$17, MATCH($F13,NroCT!$A$18:$A376,0),0,1,1),Periodovigente)                                                                                                                     ,A13) ,'Cuadro tarifario'!A$2:A376,0) -1 , 0 , 1 , 1) )   , 0  ,   OFFSET(   'Cuadro tarifario'!D$2  , MATCH(CONCATENATE( IF(F13&gt;Mes,OFFSET(NroCT!B$17, MATCH($F13,NroCT!$A$18:$A376,0),0,1,1),Periodovigente) ,A13) ,'Cuadro tarifario'!A$2:A376,0) -1 , 0 , 1 , 1))</f>
        <v>11000</v>
      </c>
      <c r="I13" s="1">
        <f t="shared" si="1"/>
        <v>0</v>
      </c>
      <c r="J13" s="557">
        <f t="shared" si="2"/>
        <v>0</v>
      </c>
      <c r="K13" s="2">
        <f>If(  If(F13,   DAYS360(date(year(F13),month(F13),1),Mes)/30  ,  DAYS360(date(year(E13),month(E13),1),Mes)/30) &gt; 0 , If(F13,   DAYS360(date(year(F13),month(F13),1),Mes)/30  ,  DAYS360(date(year(E13),month(E13),1),Mes)/30) , 0)</f>
        <v>135</v>
      </c>
      <c r="L13" s="558">
        <f t="shared" si="3"/>
        <v>1485000</v>
      </c>
      <c r="M13" s="559"/>
      <c r="N13" s="559"/>
      <c r="O13" s="559"/>
      <c r="P13" s="559"/>
      <c r="Q13" s="559"/>
      <c r="R13" s="559"/>
      <c r="S13" s="559"/>
      <c r="T13" s="559"/>
    </row>
    <row r="14">
      <c r="A14" s="565" t="s">
        <v>71</v>
      </c>
      <c r="B14" s="566">
        <v>934.0</v>
      </c>
      <c r="C14" s="567">
        <v>934.0</v>
      </c>
      <c r="D14" s="568" t="str">
        <f>IF(   ISERROR(OFFSET(PADRON!B$2,MATCH(C:C,PADRON!A$2:A376,0)-1,0,1,1) )  ,  ,    OFFSET(PADRON!B$2,MATCH(C:C,PADRON!A$2:A376,0)-1,0,1,1))</f>
        <v>RENDANI, GUSTAVO</v>
      </c>
      <c r="E14" s="569">
        <v>41760.0</v>
      </c>
      <c r="F14" s="570"/>
      <c r="G14" s="23" t="s">
        <v>56</v>
      </c>
      <c r="H14" s="147">
        <f>IF( ISERROR( OFFSET(   'Cuadro tarifario'!D$2  , MATCH(CONCATENATE(                 IF(F14&gt;Mes,OFFSET(NroCT!B$17, MATCH($F14,NroCT!$A$18:$A376,0),0,1,1),Periodovigente)                                                                                                                     ,A14) ,'Cuadro tarifario'!A$2:A376,0) -1 , 0 , 1 , 1) )   , 0  ,   OFFSET(   'Cuadro tarifario'!D$2  , MATCH(CONCATENATE( IF(F14&gt;Mes,OFFSET(NroCT!B$17, MATCH($F14,NroCT!$A$18:$A376,0),0,1,1),Periodovigente) ,A14) ,'Cuadro tarifario'!A$2:A376,0) -1 , 0 , 1 , 1))</f>
        <v>11000</v>
      </c>
      <c r="I14" s="571">
        <f>INT(IF(F14,DAYS360(          DATE(YEAR(E14),MONTH(E14),1),         DATE(YEAR(F14)     ,      MONTH(F14),1 )    )            /30,0 ))</f>
        <v>0</v>
      </c>
      <c r="J14" s="572">
        <f t="shared" si="2"/>
        <v>0</v>
      </c>
      <c r="K14" s="2">
        <f>If(  If(F14,   DAYS360(date(year(F14),month(F14),1),Mes)/30  ,  DAYS360(date(year(E14),month(E14),1),Mes)/30) &gt; 0 , If(F14,   DAYS360(date(year(F14),month(F14),1),Mes)/30  ,  DAYS360(date(year(E14),month(E14),1),Mes)/30) , 0)</f>
        <v>135</v>
      </c>
      <c r="L14" s="573">
        <f t="shared" si="3"/>
        <v>1485000</v>
      </c>
      <c r="M14" s="559"/>
      <c r="N14" s="559"/>
      <c r="O14" s="559"/>
      <c r="P14" s="559"/>
      <c r="Q14" s="559"/>
      <c r="R14" s="559"/>
      <c r="S14" s="559"/>
      <c r="T14" s="559"/>
    </row>
    <row r="15">
      <c r="A15" s="550" t="s">
        <v>71</v>
      </c>
      <c r="B15" s="551">
        <v>1039.0</v>
      </c>
      <c r="C15" s="552">
        <v>1039.0</v>
      </c>
      <c r="D15" s="553" t="str">
        <f>if(   iserror(offset(PADRON!B$2,match(C:C,PADRON!A$2:A376,0)-1,0,1,1) )  ,  ,    offset(PADRON!B$2,match(C:C,PADRON!A$2:A376,0)-1,0,1,1))</f>
        <v/>
      </c>
      <c r="E15" s="554">
        <v>41306.0</v>
      </c>
      <c r="F15" s="564"/>
      <c r="G15" s="23" t="s">
        <v>56</v>
      </c>
      <c r="H15" s="556">
        <f>if( iserror( offset(   'Cuadro tarifario'!D$2  , match(concatenate(                 If(F15&gt;Periodovigente,Offset(NroCT!B$17, match($F15,NroCT!$A$18:$A376,0),0,1,1),Periodovigente)                                                                                                                     ,A15) ,'Cuadro tarifario'!A$2:A376,0) -1 , 0 , 1 , 1) )   , 0  ,   offset(   'Cuadro tarifario'!D$2  , match(concatenate( If(F15&gt;Periodovigente,Offset(NroCT!B$17, match($F15,NroCT!$A$18:$A376,0),0,1,1),Periodovigente) ,A15) ,'Cuadro tarifario'!A$2:A376,0) -1 , 0 , 1 , 1))</f>
        <v>11000</v>
      </c>
      <c r="I15" s="1">
        <f t="shared" ref="I15:I94" si="6">Int(If(F15,DAYS360(          date(Year(E15),Month(E15),1),         date(Year(F15)     ,      Month(F15),1 )    )            /30,0 ))</f>
        <v>0</v>
      </c>
      <c r="J15" s="557">
        <f t="shared" si="2"/>
        <v>0</v>
      </c>
      <c r="K15" s="2">
        <f>If(  If(F15,   DAYS360(date(year(F15),month(F15),1),Mes)/30  ,  DAYS360(date(year(E15),month(E15),1),Mes)/30) &gt; 0 , If(F15,   DAYS360(date(year(F15),month(F15),1),Mes)/30  ,  DAYS360(date(year(E15),month(E15),1),Mes)/30) , 0)</f>
        <v>150</v>
      </c>
      <c r="L15" s="558">
        <f t="shared" si="3"/>
        <v>1650000</v>
      </c>
      <c r="M15" s="559"/>
      <c r="N15" s="559"/>
      <c r="O15" s="559"/>
      <c r="P15" s="559"/>
      <c r="Q15" s="559"/>
      <c r="R15" s="559"/>
      <c r="S15" s="559"/>
      <c r="T15" s="559"/>
    </row>
    <row r="16">
      <c r="A16" s="550" t="s">
        <v>71</v>
      </c>
      <c r="B16" s="551">
        <v>1044.0</v>
      </c>
      <c r="C16" s="552">
        <v>1044.0</v>
      </c>
      <c r="D16" s="553" t="str">
        <f>if(   iserror(offset(PADRON!B$2,match(C:C,PADRON!A$2:A376,0)-1,0,1,1) )  ,  ,    offset(PADRON!B$2,match(C:C,PADRON!A$2:A376,0)-1,0,1,1))</f>
        <v>DELIZZIA, LEONARDO</v>
      </c>
      <c r="E16" s="554">
        <v>41671.0</v>
      </c>
      <c r="F16" s="555"/>
      <c r="G16" s="23" t="s">
        <v>56</v>
      </c>
      <c r="H16" s="556">
        <f>IF( ISERROR( OFFSET(   'Cuadro tarifario'!D$2  , MATCH(CONCATENATE(                 IF(F16&gt;Mes,OFFSET(NroCT!B$17, MATCH($F16,NroCT!$A$18:$A376,0),0,1,1),Periodovigente)                                                                                                                     ,A16) ,'Cuadro tarifario'!A$2:A376,0) -1 , 0 , 1 , 1) )   , 0  ,   OFFSET(   'Cuadro tarifario'!D$2  , MATCH(CONCATENATE( IF(F16&gt;Mes,OFFSET(NroCT!B$17, MATCH($F16,NroCT!$A$18:$A376,0),0,1,1),Periodovigente) ,A16) ,'Cuadro tarifario'!A$2:A376,0) -1 , 0 , 1 , 1))</f>
        <v>11000</v>
      </c>
      <c r="I16" s="1">
        <f t="shared" si="6"/>
        <v>0</v>
      </c>
      <c r="J16" s="557">
        <f t="shared" si="2"/>
        <v>0</v>
      </c>
      <c r="K16" s="2">
        <f>If(  If(F16,   DAYS360(date(year(F16),month(F16),1),Mes)/30  ,  DAYS360(date(year(E16),month(E16),1),Mes)/30) &gt; 0 , If(F16,   DAYS360(date(year(F16),month(F16),1),Mes)/30  ,  DAYS360(date(year(E16),month(E16),1),Mes)/30) , 0)</f>
        <v>138</v>
      </c>
      <c r="L16" s="558">
        <f t="shared" si="3"/>
        <v>1518000</v>
      </c>
      <c r="M16" s="559"/>
      <c r="N16" s="559"/>
      <c r="O16" s="559"/>
      <c r="P16" s="559"/>
      <c r="Q16" s="559"/>
      <c r="R16" s="559"/>
      <c r="S16" s="559"/>
      <c r="T16" s="559"/>
    </row>
    <row r="17">
      <c r="A17" s="550" t="s">
        <v>71</v>
      </c>
      <c r="B17" s="551">
        <v>1059.0</v>
      </c>
      <c r="C17" s="552">
        <v>1059.0</v>
      </c>
      <c r="D17" s="553" t="str">
        <f>if(   iserror(offset(PADRON!B$2,match(C:C,PADRON!A$2:A376,0)-1,0,1,1) )  ,  ,    offset(PADRON!B$2,match(C:C,PADRON!A$2:A376,0)-1,0,1,1))</f>
        <v>VALVERDE, MARIO</v>
      </c>
      <c r="E17" s="554">
        <v>42370.0</v>
      </c>
      <c r="F17" s="555"/>
      <c r="G17" s="23" t="s">
        <v>56</v>
      </c>
      <c r="H17" s="556">
        <f>IF( ISERROR( OFFSET(   'Cuadro tarifario'!D$2  , MATCH(CONCATENATE(                 IF(F17&gt;Mes,OFFSET(NroCT!B$17, MATCH($F17,NroCT!$A$18:$A376,0),0,1,1),Periodovigente)                                                                                                                     ,A17) ,'Cuadro tarifario'!A$2:A376,0) -1 , 0 , 1 , 1) )   , 0  ,   OFFSET(   'Cuadro tarifario'!D$2  , MATCH(CONCATENATE( IF(F17&gt;Mes,OFFSET(NroCT!B$17, MATCH($F17,NroCT!$A$18:$A376,0),0,1,1),Periodovigente) ,A17) ,'Cuadro tarifario'!A$2:A376,0) -1 , 0 , 1 , 1))</f>
        <v>11000</v>
      </c>
      <c r="I17" s="1">
        <f t="shared" si="6"/>
        <v>0</v>
      </c>
      <c r="J17" s="557">
        <f t="shared" si="2"/>
        <v>0</v>
      </c>
      <c r="K17" s="2">
        <f>if(  and(M17&gt;0,I17=0)          ,M17 ,                         If(  If( F17 ,  DAYS360(date(year(F17),month(F17),1),Mes)/30  ,  DAYS360(date(year(E17),month(E17),1),Mes)/30  )  &gt;  0 , If(F17,   DAYS360(date(year(F17),month(F17),1),Mes)/30  ,  DAYS360(date(year(E17),month(E17),1),Mes)/30) , 0)       )</f>
        <v>115</v>
      </c>
      <c r="L17" s="558">
        <f t="shared" si="3"/>
        <v>1265000</v>
      </c>
      <c r="M17" s="314"/>
      <c r="N17" s="314"/>
      <c r="O17" s="3"/>
      <c r="P17" s="3"/>
      <c r="Q17" s="3"/>
      <c r="R17" s="3"/>
      <c r="S17" s="3"/>
      <c r="T17" s="3"/>
    </row>
    <row r="18">
      <c r="A18" s="560" t="s">
        <v>40</v>
      </c>
      <c r="B18" s="561" t="s">
        <v>72</v>
      </c>
      <c r="C18" s="552">
        <v>1059.0</v>
      </c>
      <c r="D18" s="553" t="str">
        <f>if(   iserror(offset(PADRON!B$2,match(C:C,PADRON!A$2:A376,0)-1,0,1,1) )  ,  ,    offset(PADRON!B$2,match(C:C,PADRON!A$2:A376,0)-1,0,1,1))</f>
        <v>VALVERDE, MARIO</v>
      </c>
      <c r="E18" s="554">
        <v>42370.0</v>
      </c>
      <c r="F18" s="555"/>
      <c r="G18" s="23" t="s">
        <v>56</v>
      </c>
      <c r="H18" s="556">
        <f>IF( ISERROR( OFFSET(   'Cuadro tarifario'!D$2  , MATCH(CONCATENATE(                 IF(F18&gt;Mes,OFFSET(NroCT!B$17, MATCH($F18,NroCT!$A$18:$A376,0),0,1,1),Periodovigente)                                                                                                                     ,A18) ,'Cuadro tarifario'!A$2:A376,0) -1 , 0 , 1 , 1) )   , 0  ,   OFFSET(   'Cuadro tarifario'!D$2  , MATCH(CONCATENATE( IF(F18&gt;Mes,OFFSET(NroCT!B$17, MATCH($F18,NroCT!$A$18:$A376,0),0,1,1),Periodovigente) ,A18) ,'Cuadro tarifario'!A$2:A376,0) -1 , 0 , 1 , 1))</f>
        <v>12000</v>
      </c>
      <c r="I18" s="1">
        <f t="shared" si="6"/>
        <v>0</v>
      </c>
      <c r="J18" s="557">
        <f t="shared" si="2"/>
        <v>0</v>
      </c>
      <c r="K18" s="2">
        <f>if(  and(M18&gt;0,I18=0)          ,M18 ,                         If(  If( F18 ,  DAYS360(date(year(F18),month(F18),1),Mes)/30  ,  DAYS360(date(year(E18),month(E18),1),Mes)/30  )  &gt;  0 , If(F18,   DAYS360(date(year(F18),month(F18),1),Mes)/30  ,  DAYS360(date(year(E18),month(E18),1),Mes)/30) , 0)       )</f>
        <v>115</v>
      </c>
      <c r="L18" s="558">
        <f t="shared" si="3"/>
        <v>1380000</v>
      </c>
      <c r="M18" s="314"/>
      <c r="N18" s="314"/>
      <c r="O18" s="3"/>
      <c r="P18" s="3"/>
      <c r="Q18" s="3"/>
      <c r="R18" s="3"/>
      <c r="S18" s="3"/>
      <c r="T18" s="3"/>
    </row>
    <row r="19">
      <c r="A19" s="41" t="s">
        <v>42</v>
      </c>
      <c r="B19" s="41" t="s">
        <v>260</v>
      </c>
      <c r="C19" s="574">
        <v>1059.0</v>
      </c>
      <c r="D19" s="34" t="str">
        <f>if(   iserror(offset(PADRON!B$2,match(C:C,PADRON!A$2:A376,0)-1,0,1,1) )  ,  ,    offset(PADRON!B$2,match(C:C,PADRON!A$2:A376,0)-1,0,1,1))</f>
        <v>VALVERDE, MARIO</v>
      </c>
      <c r="E19" s="22">
        <v>42705.0</v>
      </c>
      <c r="F19" s="22"/>
      <c r="G19" s="23" t="s">
        <v>56</v>
      </c>
      <c r="H19" s="35">
        <f>IF( ISERROR( OFFSET(   'Cuadro tarifario'!D$2  , MATCH(CONCATENATE(                 IF(F19&gt;Mes,OFFSET(NroCT!B$17, MATCH($F19,NroCT!$A$18:$A376,0),0,1,1),Periodovigente)                                                                                                                     ,A19) ,'Cuadro tarifario'!A$2:A376,0) -1 , 0 , 1 , 1) )   , 0  ,   OFFSET(   'Cuadro tarifario'!D$2  , MATCH(CONCATENATE( IF(F19&gt;Mes,OFFSET(NroCT!B$17, MATCH($F19,NroCT!$A$18:$A376,0),0,1,1),Periodovigente) ,A19) ,'Cuadro tarifario'!A$2:A376,0) -1 , 0 , 1 , 1))</f>
        <v>4000</v>
      </c>
      <c r="I19" s="36">
        <f t="shared" si="6"/>
        <v>0</v>
      </c>
      <c r="J19" s="37">
        <f t="shared" si="2"/>
        <v>0</v>
      </c>
      <c r="K19" s="38">
        <f>if(  and(M19&gt;0,I19=0)          ,M19 ,                         If(  If( F19 ,  DAYS360(date(year(F19),month(F19),1),Mes)/30  ,  DAYS360(date(year(E19),month(E19),1),Mes)/30  )  &gt;  0 , If(F19,   DAYS360(date(year(F19),month(F19),1),Mes)/30  ,  DAYS360(date(year(E19),month(E19),1),Mes)/30) , 0)       )</f>
        <v>104</v>
      </c>
      <c r="L19" s="39">
        <f t="shared" si="3"/>
        <v>416000</v>
      </c>
      <c r="M19" s="29">
        <f>IF( ISERROR(OFFSET(SECUESTRADOS!D$1,MATCH(B19,SECUESTRADOS!A$2:A376,0),0)) ,0 ,  OFFSET(SECUESTRADOS!D$1,MATCH(B19,SECUESTRADOS!A$2:A376,0),0)  )</f>
        <v>0</v>
      </c>
      <c r="N19" s="30"/>
      <c r="O19" s="17" t="b">
        <f>IF(I19,A19)</f>
        <v>0</v>
      </c>
      <c r="P19" s="17" t="str">
        <f>IF(AND(A19=A18,B19=B18,C19=C18),"Repetido","")</f>
        <v/>
      </c>
      <c r="Q19" s="31"/>
      <c r="R19" s="31"/>
      <c r="S19" s="31"/>
      <c r="T19" s="31"/>
    </row>
    <row r="20">
      <c r="A20" s="550" t="s">
        <v>71</v>
      </c>
      <c r="B20" s="551">
        <v>1070.0</v>
      </c>
      <c r="C20" s="552">
        <v>1070.0</v>
      </c>
      <c r="D20" s="553" t="str">
        <f>if(   iserror(offset(PADRON!B$2,match(C:C,PADRON!A$2:A376,0)-1,0,1,1) )  ,  ,    offset(PADRON!B$2,match(C:C,PADRON!A$2:A376,0)-1,0,1,1))</f>
        <v>DIAGO, ANDRES</v>
      </c>
      <c r="E20" s="554">
        <v>41306.0</v>
      </c>
      <c r="F20" s="564"/>
      <c r="G20" s="23" t="s">
        <v>56</v>
      </c>
      <c r="H20" s="556">
        <f>if( iserror( offset(   'Cuadro tarifario'!D$2  , match(concatenate(                 If(F20&gt;Periodovigente,Offset(NroCT!B$17, match($F20,NroCT!$A$18:$A376,0),0,1,1),Periodovigente)                                                                                                                     ,A20) ,'Cuadro tarifario'!A$2:A376,0) -1 , 0 , 1 , 1) )   , 0  ,   offset(   'Cuadro tarifario'!D$2  , match(concatenate( If(F20&gt;Periodovigente,Offset(NroCT!B$17, match($F20,NroCT!$A$18:$A376,0),0,1,1),Periodovigente) ,A20) ,'Cuadro tarifario'!A$2:A376,0) -1 , 0 , 1 , 1))</f>
        <v>11000</v>
      </c>
      <c r="I20" s="1">
        <f t="shared" si="6"/>
        <v>0</v>
      </c>
      <c r="J20" s="557">
        <f t="shared" si="2"/>
        <v>0</v>
      </c>
      <c r="K20" s="2">
        <f>If(  If(F20,   DAYS360(date(year(F20),month(F20),1),Mes)/30  ,  DAYS360(date(year(E20),month(E20),1),Mes)/30) &gt; 0 , If(F20,   DAYS360(date(year(F20),month(F20),1),Mes)/30  ,  DAYS360(date(year(E20),month(E20),1),Mes)/30) , 0)</f>
        <v>150</v>
      </c>
      <c r="L20" s="558">
        <f t="shared" si="3"/>
        <v>1650000</v>
      </c>
      <c r="M20" s="559"/>
      <c r="N20" s="559"/>
      <c r="O20" s="559"/>
      <c r="P20" s="559"/>
      <c r="Q20" s="559"/>
      <c r="R20" s="559"/>
      <c r="S20" s="559"/>
      <c r="T20" s="559"/>
    </row>
    <row r="21">
      <c r="A21" s="550" t="s">
        <v>71</v>
      </c>
      <c r="B21" s="551">
        <v>1080.0</v>
      </c>
      <c r="C21" s="552">
        <v>1080.0</v>
      </c>
      <c r="D21" s="553" t="str">
        <f>if(   iserror(offset(PADRON!B$2,match(C:C,PADRON!A$2:A376,0)-1,0,1,1) )  ,  ,    offset(PADRON!B$2,match(C:C,PADRON!A$2:A376,0)-1,0,1,1))</f>
        <v>FERNANDEZ CASTILLO, J. MANUEL</v>
      </c>
      <c r="E21" s="554">
        <v>42005.0</v>
      </c>
      <c r="F21" s="555"/>
      <c r="G21" s="23" t="s">
        <v>56</v>
      </c>
      <c r="H21" s="556">
        <f>IF( ISERROR( OFFSET(   'Cuadro tarifario'!D$2  , MATCH(CONCATENATE(                 IF(F21&gt;Mes,OFFSET(NroCT!B$17, MATCH($F21,NroCT!$A$18:$A376,0),0,1,1),Periodovigente)                                                                                                                     ,A21) ,'Cuadro tarifario'!A$2:A376,0) -1 , 0 , 1 , 1) )   , 0  ,   OFFSET(   'Cuadro tarifario'!D$2  , MATCH(CONCATENATE( IF(F21&gt;Mes,OFFSET(NroCT!B$17, MATCH($F21,NroCT!$A$18:$A376,0),0,1,1),Periodovigente) ,A21) ,'Cuadro tarifario'!A$2:A376,0) -1 , 0 , 1 , 1))</f>
        <v>11000</v>
      </c>
      <c r="I21" s="1">
        <f t="shared" si="6"/>
        <v>0</v>
      </c>
      <c r="J21" s="557">
        <f t="shared" si="2"/>
        <v>0</v>
      </c>
      <c r="K21" s="2">
        <f>if(  and(M21&gt;0,I21=0)          ,M21 ,                         If(  If( F21 ,  DAYS360(date(year(F21),month(F21),1),Mes)/30  ,  DAYS360(date(year(E21),month(E21),1),Mes)/30  )  &gt;  0 , If(F21,   DAYS360(date(year(F21),month(F21),1),Mes)/30  ,  DAYS360(date(year(E21),month(E21),1),Mes)/30) , 0)       )</f>
        <v>127</v>
      </c>
      <c r="L21" s="558">
        <f t="shared" si="3"/>
        <v>1397000</v>
      </c>
      <c r="M21" s="314"/>
      <c r="N21" s="314"/>
      <c r="O21" s="3"/>
      <c r="P21" s="3"/>
      <c r="Q21" s="3"/>
      <c r="R21" s="3"/>
      <c r="S21" s="3"/>
      <c r="T21" s="3"/>
    </row>
    <row r="22">
      <c r="A22" s="550" t="s">
        <v>71</v>
      </c>
      <c r="B22" s="551">
        <v>1133.0</v>
      </c>
      <c r="C22" s="552">
        <v>1133.0</v>
      </c>
      <c r="D22" s="553" t="str">
        <f>if(   iserror(offset(PADRON!B$2,match(C:C,PADRON!A$2:A376,0)-1,0,1,1) )  ,  ,    offset(PADRON!B$2,match(C:C,PADRON!A$2:A376,0)-1,0,1,1))</f>
        <v>VERDINI, FACUNDO</v>
      </c>
      <c r="E22" s="554">
        <v>42644.0</v>
      </c>
      <c r="F22" s="555"/>
      <c r="G22" s="23" t="s">
        <v>56</v>
      </c>
      <c r="H22" s="556">
        <f>IF( ISERROR( OFFSET(   'Cuadro tarifario'!D$2  , MATCH(CONCATENATE(                 IF(F22&gt;Mes,OFFSET(NroCT!B$17, MATCH($F22,NroCT!$A$18:$A376,0),0,1,1),Periodovigente)                                                                                                                     ,A22) ,'Cuadro tarifario'!A$2:A376,0) -1 , 0 , 1 , 1) )   , 0  ,   OFFSET(   'Cuadro tarifario'!D$2  , MATCH(CONCATENATE( IF(F22&gt;Mes,OFFSET(NroCT!B$17, MATCH($F22,NroCT!$A$18:$A376,0),0,1,1),Periodovigente) ,A22) ,'Cuadro tarifario'!A$2:A376,0) -1 , 0 , 1 , 1))</f>
        <v>11000</v>
      </c>
      <c r="I22" s="1">
        <f t="shared" si="6"/>
        <v>0</v>
      </c>
      <c r="J22" s="557">
        <f t="shared" si="2"/>
        <v>0</v>
      </c>
      <c r="K22" s="2">
        <f>if(  and(M22&gt;0,I22=0)          ,M22 ,                         If(  If( F22 ,  DAYS360(date(year(F22),month(F22),1),Mes)/30  ,  DAYS360(date(year(E22),month(E22),1),Mes)/30  )  &gt;  0 , If(F22,   DAYS360(date(year(F22),month(F22),1),Mes)/30  ,  DAYS360(date(year(E22),month(E22),1),Mes)/30) , 0)       )</f>
        <v>106</v>
      </c>
      <c r="L22" s="558">
        <f t="shared" si="3"/>
        <v>1166000</v>
      </c>
      <c r="M22" s="314"/>
      <c r="N22" s="314"/>
      <c r="O22" s="3"/>
      <c r="P22" s="3"/>
      <c r="Q22" s="3"/>
      <c r="R22" s="3"/>
      <c r="S22" s="3"/>
      <c r="T22" s="3"/>
    </row>
    <row r="23">
      <c r="A23" s="550" t="s">
        <v>71</v>
      </c>
      <c r="B23" s="551">
        <v>1139.0</v>
      </c>
      <c r="C23" s="552">
        <v>1139.0</v>
      </c>
      <c r="D23" s="553" t="str">
        <f>if(   iserror(offset(PADRON!B$2,match(C:C,PADRON!A$2:A376,0)-1,0,1,1) )  ,  ,    offset(PADRON!B$2,match(C:C,PADRON!A$2:A376,0)-1,0,1,1))</f>
        <v>GIBA, CARLOS</v>
      </c>
      <c r="E23" s="554">
        <v>41214.0</v>
      </c>
      <c r="F23" s="564"/>
      <c r="G23" s="23" t="s">
        <v>56</v>
      </c>
      <c r="H23" s="556">
        <f>if( iserror( offset(   'Cuadro tarifario'!D$2  , match(concatenate(                 If(F23&gt;Periodovigente,Offset(NroCT!B$17, match($F23,NroCT!$A$18:$A376,0),0,1,1),Periodovigente)                                                                                                                     ,A23) ,'Cuadro tarifario'!A$2:A376,0) -1 , 0 , 1 , 1) )   , 0  ,   offset(   'Cuadro tarifario'!D$2  , match(concatenate( If(F23&gt;Periodovigente,Offset(NroCT!B$17, match($F23,NroCT!$A$18:$A376,0),0,1,1),Periodovigente) ,A23) ,'Cuadro tarifario'!A$2:A376,0) -1 , 0 , 1 , 1))</f>
        <v>11000</v>
      </c>
      <c r="I23" s="1">
        <f t="shared" si="6"/>
        <v>0</v>
      </c>
      <c r="J23" s="557">
        <f t="shared" si="2"/>
        <v>0</v>
      </c>
      <c r="K23" s="2">
        <f>If(  If(F23,   DAYS360(date(year(F23),month(F23),1),Mes)/30  ,  DAYS360(date(year(E23),month(E23),1),Mes)/30) &gt; 0 , If(F23,   DAYS360(date(year(F23),month(F23),1),Mes)/30  ,  DAYS360(date(year(E23),month(E23),1),Mes)/30) , 0)</f>
        <v>153</v>
      </c>
      <c r="L23" s="558">
        <f t="shared" si="3"/>
        <v>1683000</v>
      </c>
      <c r="M23" s="559"/>
      <c r="N23" s="559"/>
      <c r="O23" s="559"/>
      <c r="P23" s="559"/>
      <c r="Q23" s="559"/>
      <c r="R23" s="559"/>
      <c r="S23" s="559"/>
      <c r="T23" s="559"/>
    </row>
    <row r="24">
      <c r="A24" s="550" t="s">
        <v>71</v>
      </c>
      <c r="B24" s="551">
        <v>1157.0</v>
      </c>
      <c r="C24" s="552">
        <v>1157.0</v>
      </c>
      <c r="D24" s="553" t="str">
        <f>if(   iserror(offset(PADRON!B$2,match(C:C,PADRON!A$2:A376,0)-1,0,1,1) )  ,  ,    offset(PADRON!B$2,match(C:C,PADRON!A$2:A376,0)-1,0,1,1))</f>
        <v>RE, JUAN SEBASTIAN</v>
      </c>
      <c r="E24" s="554">
        <v>40878.0</v>
      </c>
      <c r="F24" s="564"/>
      <c r="G24" s="23" t="s">
        <v>56</v>
      </c>
      <c r="H24" s="556">
        <f>if( iserror( offset(   'Cuadro tarifario'!D$2  , match(concatenate(                 If(F24&gt;Periodovigente,Offset(NroCT!B$17, match($F24,NroCT!$A$18:$A376,0),0,1,1),Periodovigente)                                                                                                                     ,A24) ,'Cuadro tarifario'!A$2:A376,0) -1 , 0 , 1 , 1) )   , 0  ,   offset(   'Cuadro tarifario'!D$2  , match(concatenate( If(F24&gt;Periodovigente,Offset(NroCT!B$17, match($F24,NroCT!$A$18:$A376,0),0,1,1),Periodovigente) ,A24) ,'Cuadro tarifario'!A$2:A376,0) -1 , 0 , 1 , 1))</f>
        <v>11000</v>
      </c>
      <c r="I24" s="1">
        <f t="shared" si="6"/>
        <v>0</v>
      </c>
      <c r="J24" s="557">
        <f t="shared" si="2"/>
        <v>0</v>
      </c>
      <c r="K24" s="2">
        <f>If(  If(F24,   DAYS360(date(year(F24),month(F24),1),Mes)/30  ,  DAYS360(date(year(E24),month(E24),1),Mes)/30) &gt; 0 , If(F24,   DAYS360(date(year(F24),month(F24),1),Mes)/30  ,  DAYS360(date(year(E24),month(E24),1),Mes)/30) , 0)</f>
        <v>164</v>
      </c>
      <c r="L24" s="558">
        <f t="shared" si="3"/>
        <v>1804000</v>
      </c>
      <c r="M24" s="559"/>
      <c r="N24" s="559"/>
      <c r="O24" s="559"/>
      <c r="P24" s="559"/>
      <c r="Q24" s="559"/>
      <c r="R24" s="559"/>
      <c r="S24" s="559"/>
      <c r="T24" s="559"/>
    </row>
    <row r="25">
      <c r="A25" s="550" t="s">
        <v>71</v>
      </c>
      <c r="B25" s="551">
        <v>1181.0</v>
      </c>
      <c r="C25" s="552">
        <v>1181.0</v>
      </c>
      <c r="D25" s="553" t="str">
        <f>if(   iserror(offset(PADRON!B$2,match(C:C,PADRON!A$2:A376,0)-1,0,1,1) )  ,  ,    offset(PADRON!B$2,match(C:C,PADRON!A$2:A376,0)-1,0,1,1))</f>
        <v>VANNI, CLAUDIO</v>
      </c>
      <c r="E25" s="554">
        <v>41548.0</v>
      </c>
      <c r="F25" s="555"/>
      <c r="G25" s="23" t="s">
        <v>56</v>
      </c>
      <c r="H25" s="556">
        <f>if( iserror( offset(   'Cuadro tarifario'!D$2  , match(concatenate(                 If(F25&gt;Periodovigente,Offset(NroCT!B$17, match($F25,NroCT!$A$18:$A376,0),0,1,1),Periodovigente)                                                                                                                     ,A25) ,'Cuadro tarifario'!A$2:A376,0) -1 , 0 , 1 , 1) )   , 0  ,   offset(   'Cuadro tarifario'!D$2  , match(concatenate( If(F25&gt;Periodovigente,Offset(NroCT!B$17, match($F25,NroCT!$A$18:$A376,0),0,1,1),Periodovigente) ,A25) ,'Cuadro tarifario'!A$2:A376,0) -1 , 0 , 1 , 1))</f>
        <v>11000</v>
      </c>
      <c r="I25" s="1">
        <f t="shared" si="6"/>
        <v>0</v>
      </c>
      <c r="J25" s="557">
        <f t="shared" si="2"/>
        <v>0</v>
      </c>
      <c r="K25" s="2">
        <f>If(  If(F25,   DAYS360(date(year(F25),month(F25),1),Mes)/30  ,  DAYS360(date(year(E25),month(E25),1),Mes)/30) &gt; 0 , If(F25,   DAYS360(date(year(F25),month(F25),1),Mes)/30  ,  DAYS360(date(year(E25),month(E25),1),Mes)/30) , 0)</f>
        <v>142</v>
      </c>
      <c r="L25" s="558">
        <f t="shared" si="3"/>
        <v>1562000</v>
      </c>
      <c r="M25" s="559"/>
      <c r="N25" s="559"/>
      <c r="O25" s="559"/>
      <c r="P25" s="559"/>
      <c r="Q25" s="559"/>
      <c r="R25" s="559"/>
      <c r="S25" s="559"/>
      <c r="T25" s="559"/>
    </row>
    <row r="26">
      <c r="A26" s="550" t="s">
        <v>71</v>
      </c>
      <c r="B26" s="551">
        <v>1190.0</v>
      </c>
      <c r="C26" s="552">
        <v>1190.0</v>
      </c>
      <c r="D26" s="553" t="str">
        <f>if(   iserror(offset(PADRON!B$2,match(C:C,PADRON!A$2:A376,0)-1,0,1,1) )  ,  ,    offset(PADRON!B$2,match(C:C,PADRON!A$2:A376,0)-1,0,1,1))</f>
        <v>VILLARINO, FELIPE</v>
      </c>
      <c r="E26" s="554">
        <v>41456.0</v>
      </c>
      <c r="F26" s="555"/>
      <c r="G26" s="23" t="s">
        <v>56</v>
      </c>
      <c r="H26" s="556">
        <f>if( iserror( offset(   'Cuadro tarifario'!D$2  , match(concatenate(                 If(F26&gt;Periodovigente,Offset(NroCT!B$17, match($F26,NroCT!$A$18:$A376,0),0,1,1),Periodovigente)                                                                                                                     ,A26) ,'Cuadro tarifario'!A$2:A376,0) -1 , 0 , 1 , 1) )   , 0  ,   offset(   'Cuadro tarifario'!D$2  , match(concatenate( If(F26&gt;Periodovigente,Offset(NroCT!B$17, match($F26,NroCT!$A$18:$A376,0),0,1,1),Periodovigente) ,A26) ,'Cuadro tarifario'!A$2:A376,0) -1 , 0 , 1 , 1))</f>
        <v>11000</v>
      </c>
      <c r="I26" s="1">
        <f t="shared" si="6"/>
        <v>0</v>
      </c>
      <c r="J26" s="557">
        <f t="shared" si="2"/>
        <v>0</v>
      </c>
      <c r="K26" s="2">
        <f>If(  If(F26,   DAYS360(date(year(F26),month(F26),1),Mes)/30  ,  DAYS360(date(year(E26),month(E26),1),Mes)/30) &gt; 0 , If(F26,   DAYS360(date(year(F26),month(F26),1),Mes)/30  ,  DAYS360(date(year(E26),month(E26),1),Mes)/30) , 0)</f>
        <v>145</v>
      </c>
      <c r="L26" s="558">
        <f t="shared" si="3"/>
        <v>1595000</v>
      </c>
      <c r="M26" s="559"/>
      <c r="N26" s="559"/>
      <c r="O26" s="559"/>
      <c r="P26" s="559"/>
      <c r="Q26" s="559"/>
      <c r="R26" s="559"/>
      <c r="S26" s="559"/>
      <c r="T26" s="559"/>
    </row>
    <row r="27">
      <c r="A27" s="550" t="s">
        <v>71</v>
      </c>
      <c r="B27" s="551">
        <v>1216.0</v>
      </c>
      <c r="C27" s="552">
        <v>1216.0</v>
      </c>
      <c r="D27" s="553" t="str">
        <f>if(   iserror(offset(PADRON!B$2,match(C:C,PADRON!A$2:A376,0)-1,0,1,1) )  ,  ,    offset(PADRON!B$2,match(C:C,PADRON!A$2:A376,0)-1,0,1,1))</f>
        <v>MARATEA, PATRICIO</v>
      </c>
      <c r="E27" s="554">
        <v>42401.0</v>
      </c>
      <c r="F27" s="555"/>
      <c r="G27" s="23" t="s">
        <v>56</v>
      </c>
      <c r="H27" s="556">
        <f>IF( ISERROR( OFFSET(   'Cuadro tarifario'!D$2  , MATCH(CONCATENATE(                 IF(F27&gt;Mes,OFFSET(NroCT!B$17, MATCH($F27,NroCT!$A$18:$A376,0),0,1,1),Periodovigente)                                                                                                                     ,A27) ,'Cuadro tarifario'!A$2:A376,0) -1 , 0 , 1 , 1) )   , 0  ,   OFFSET(   'Cuadro tarifario'!D$2  , MATCH(CONCATENATE( IF(F27&gt;Mes,OFFSET(NroCT!B$17, MATCH($F27,NroCT!$A$18:$A376,0),0,1,1),Periodovigente) ,A27) ,'Cuadro tarifario'!A$2:A376,0) -1 , 0 , 1 , 1))</f>
        <v>11000</v>
      </c>
      <c r="I27" s="1">
        <f t="shared" si="6"/>
        <v>0</v>
      </c>
      <c r="J27" s="557">
        <f t="shared" si="2"/>
        <v>0</v>
      </c>
      <c r="K27" s="2">
        <f>if(  and(M27&gt;0,I27=0)          ,M27 ,                         If(  If( F27 ,  DAYS360(date(year(F27),month(F27),1),Mes)/30  ,  DAYS360(date(year(E27),month(E27),1),Mes)/30  )  &gt;  0 , If(F27,   DAYS360(date(year(F27),month(F27),1),Mes)/30  ,  DAYS360(date(year(E27),month(E27),1),Mes)/30) , 0)       )</f>
        <v>114</v>
      </c>
      <c r="L27" s="558">
        <f t="shared" si="3"/>
        <v>1254000</v>
      </c>
      <c r="M27" s="314"/>
      <c r="N27" s="314"/>
      <c r="O27" s="3"/>
      <c r="P27" s="3"/>
      <c r="Q27" s="3"/>
      <c r="R27" s="3"/>
      <c r="S27" s="3"/>
      <c r="T27" s="3"/>
    </row>
    <row r="28">
      <c r="A28" s="550" t="s">
        <v>71</v>
      </c>
      <c r="B28" s="551">
        <v>1255.0</v>
      </c>
      <c r="C28" s="552">
        <v>1255.0</v>
      </c>
      <c r="D28" s="553" t="str">
        <f>if(   iserror(offset(PADRON!B$2,match(C:C,PADRON!A$2:A376,0)-1,0,1,1) )  ,  ,    offset(PADRON!B$2,match(C:C,PADRON!A$2:A376,0)-1,0,1,1))</f>
        <v>REYNOSO, CARLOS ALBERTO</v>
      </c>
      <c r="E28" s="555">
        <v>41306.0</v>
      </c>
      <c r="F28" s="555"/>
      <c r="G28" s="23" t="s">
        <v>56</v>
      </c>
      <c r="H28" s="556">
        <f>if( iserror( offset(   'Cuadro tarifario'!D$2  , match(concatenate(                 If(F28&gt;Periodovigente,Offset(NroCT!B$17, match($F28,NroCT!$A$18:$A376,0),0,1,1),Periodovigente)                                                                                                                     ,A28) ,'Cuadro tarifario'!A$2:A376,0) -1 , 0 , 1 , 1) )   , 0  ,   offset(   'Cuadro tarifario'!D$2  , match(concatenate( If(F28&gt;Periodovigente,Offset(NroCT!B$17, match($F28,NroCT!$A$18:$A376,0),0,1,1),Periodovigente) ,A28) ,'Cuadro tarifario'!A$2:A376,0) -1 , 0 , 1 , 1))</f>
        <v>11000</v>
      </c>
      <c r="I28" s="1">
        <f t="shared" si="6"/>
        <v>0</v>
      </c>
      <c r="J28" s="557">
        <f t="shared" si="2"/>
        <v>0</v>
      </c>
      <c r="K28" s="2">
        <f>If(  If(F28,   DAYS360(date(year(F28),month(F28),1),Mes)/30  ,  DAYS360(date(year(E28),month(E28),1),Mes)/30) &gt; 0 , If(F28,   DAYS360(date(year(F28),month(F28),1),Mes)/30  ,  DAYS360(date(year(E28),month(E28),1),Mes)/30) , 0)</f>
        <v>150</v>
      </c>
      <c r="L28" s="558">
        <f t="shared" si="3"/>
        <v>1650000</v>
      </c>
      <c r="M28" s="559"/>
      <c r="N28" s="559"/>
      <c r="O28" s="559"/>
      <c r="P28" s="559"/>
      <c r="Q28" s="559"/>
      <c r="R28" s="559"/>
      <c r="S28" s="559"/>
      <c r="T28" s="559"/>
    </row>
    <row r="29">
      <c r="A29" s="575" t="s">
        <v>82</v>
      </c>
      <c r="B29" s="576" t="s">
        <v>5051</v>
      </c>
      <c r="C29" s="552">
        <v>1255.0</v>
      </c>
      <c r="D29" s="553" t="str">
        <f>if(   iserror(offset(PADRON!B$2,match(C:C,PADRON!A$2:A376,0)-1,0,1,1) )  ,  ,    offset(PADRON!B$2,match(C:C,PADRON!A$2:A376,0)-1,0,1,1))</f>
        <v>REYNOSO, CARLOS ALBERTO</v>
      </c>
      <c r="E29" s="554">
        <v>41306.0</v>
      </c>
      <c r="F29" s="555"/>
      <c r="G29" s="23" t="s">
        <v>56</v>
      </c>
      <c r="H29" s="577">
        <f>if( iserror( offset(   'Cuadro tarifario'!D$2  , match(concatenate(                 If(F29&gt;Periodovigente,Offset(NroCT!B$17, match($F29,NroCT!$A$18:$A376,0),0,1,1),Periodovigente)                                                                                                                     ,A29) ,'Cuadro tarifario'!A$2:A376,0) -1 , 0 , 1 , 1) )   , 0  ,   offset(   'Cuadro tarifario'!D$2  , match(concatenate( If(F29&gt;Periodovigente,Offset(NroCT!B$17, match($F29,NroCT!$A$18:$A376,0),0,1,1),Periodovigente) ,A29) ,'Cuadro tarifario'!A$2:A376,0) -1 , 0 , 1 , 1))</f>
        <v>12000</v>
      </c>
      <c r="I29" s="1">
        <f t="shared" si="6"/>
        <v>0</v>
      </c>
      <c r="J29" s="1">
        <f t="shared" si="2"/>
        <v>0</v>
      </c>
      <c r="K29" s="2">
        <f>If(  If(F29,   DAYS360(date(year(F29),month(F29),1),Mes)/30  ,  DAYS360(date(year(E29),month(E29),1),Mes)/30) &gt; 0 , If(F29,   DAYS360(date(year(F29),month(F29),1),Mes)/30  ,  DAYS360(date(year(E29),month(E29),1),Mes)/30) , 0)</f>
        <v>150</v>
      </c>
      <c r="L29" s="2">
        <f t="shared" si="3"/>
        <v>1800000</v>
      </c>
      <c r="M29" s="559"/>
      <c r="N29" s="559"/>
      <c r="O29" s="559"/>
      <c r="P29" s="559"/>
      <c r="Q29" s="559"/>
      <c r="R29" s="559"/>
      <c r="S29" s="559"/>
      <c r="T29" s="559"/>
    </row>
    <row r="30">
      <c r="A30" s="550" t="s">
        <v>71</v>
      </c>
      <c r="B30" s="551">
        <v>1269.0</v>
      </c>
      <c r="C30" s="552">
        <v>1269.0</v>
      </c>
      <c r="D30" s="553" t="str">
        <f>if(   iserror(offset(PADRON!B$2,match(C:C,PADRON!A$2:A376,0)-1,0,1,1) )  ,  ,    offset(PADRON!B$2,match(C:C,PADRON!A$2:A376,0)-1,0,1,1))</f>
        <v>MONEDA, PABLO</v>
      </c>
      <c r="E30" s="554">
        <v>41487.0</v>
      </c>
      <c r="F30" s="555"/>
      <c r="G30" s="23" t="s">
        <v>56</v>
      </c>
      <c r="H30" s="556">
        <f>if( iserror( offset(   'Cuadro tarifario'!D$2  , match(concatenate(                 If(F30&gt;Periodovigente,Offset(NroCT!B$17, match($F30,NroCT!$A$18:$A376,0),0,1,1),Periodovigente)                                                                                                                     ,A30) ,'Cuadro tarifario'!A$2:A376,0) -1 , 0 , 1 , 1) )   , 0  ,   offset(   'Cuadro tarifario'!D$2  , match(concatenate( If(F30&gt;Periodovigente,Offset(NroCT!B$17, match($F30,NroCT!$A$18:$A376,0),0,1,1),Periodovigente) ,A30) ,'Cuadro tarifario'!A$2:A376,0) -1 , 0 , 1 , 1))</f>
        <v>11000</v>
      </c>
      <c r="I30" s="1">
        <f t="shared" si="6"/>
        <v>0</v>
      </c>
      <c r="J30" s="557">
        <f t="shared" si="2"/>
        <v>0</v>
      </c>
      <c r="K30" s="2">
        <f>If(  If(F30,   DAYS360(date(year(F30),month(F30),1),Mes)/30  ,  DAYS360(date(year(E30),month(E30),1),Mes)/30) &gt; 0 , If(F30,   DAYS360(date(year(F30),month(F30),1),Mes)/30  ,  DAYS360(date(year(E30),month(E30),1),Mes)/30) , 0)</f>
        <v>144</v>
      </c>
      <c r="L30" s="558">
        <f t="shared" si="3"/>
        <v>1584000</v>
      </c>
      <c r="M30" s="559"/>
      <c r="N30" s="559"/>
      <c r="O30" s="559"/>
      <c r="P30" s="559"/>
      <c r="Q30" s="559"/>
      <c r="R30" s="559"/>
      <c r="S30" s="559"/>
      <c r="T30" s="559"/>
    </row>
    <row r="31">
      <c r="A31" s="550" t="s">
        <v>40</v>
      </c>
      <c r="B31" s="551" t="s">
        <v>5052</v>
      </c>
      <c r="C31" s="552">
        <v>1269.0</v>
      </c>
      <c r="D31" s="553" t="str">
        <f>if(   iserror(offset(PADRON!B$2,match(C:C,PADRON!A$2:A376,0)-1,0,1,1) )  ,  ,    offset(PADRON!B$2,match(C:C,PADRON!A$2:A376,0)-1,0,1,1))</f>
        <v>MONEDA, PABLO</v>
      </c>
      <c r="E31" s="554">
        <v>41518.0</v>
      </c>
      <c r="F31" s="555"/>
      <c r="G31" s="23" t="s">
        <v>56</v>
      </c>
      <c r="H31" s="556">
        <f>IF( ISERROR( OFFSET(   'Cuadro tarifario'!D$2  , MATCH(CONCATENATE(                 IF(F31&gt;Mes,OFFSET(NroCT!B$17, MATCH($F31,NroCT!$A$18:$A376,0),0,1,1),Periodovigente)                                                                                                                     ,A31) ,'Cuadro tarifario'!A$2:A376,0) -1 , 0 , 1 , 1) )   , 0  ,   OFFSET(   'Cuadro tarifario'!D$2  , MATCH(CONCATENATE( IF(F31&gt;Mes,OFFSET(NroCT!B$17, MATCH($F31,NroCT!$A$18:$A376,0),0,1,1),Periodovigente) ,A31) ,'Cuadro tarifario'!A$2:A376,0) -1 , 0 , 1 , 1))</f>
        <v>12000</v>
      </c>
      <c r="I31" s="1">
        <f t="shared" si="6"/>
        <v>0</v>
      </c>
      <c r="J31" s="557">
        <f t="shared" si="2"/>
        <v>0</v>
      </c>
      <c r="K31" s="2">
        <f>if(  and(M31&gt;0,I31=0)          ,M31 ,                         If(  If( F31 ,  DAYS360(date(year(F31),month(F31),1),Mes)/30  ,  DAYS360(date(year(E31),month(E31),1),Mes)/30  )  &gt;  0 , If(F31,   DAYS360(date(year(F31),month(F31),1),Mes)/30  ,  DAYS360(date(year(E31),month(E31),1),Mes)/30) , 0)       )</f>
        <v>143</v>
      </c>
      <c r="L31" s="558">
        <f t="shared" si="3"/>
        <v>1716000</v>
      </c>
      <c r="M31" s="314"/>
      <c r="N31" s="314"/>
      <c r="O31" s="3"/>
      <c r="P31" s="3"/>
      <c r="Q31" s="3"/>
      <c r="R31" s="3"/>
      <c r="S31" s="3"/>
      <c r="T31" s="3"/>
    </row>
    <row r="32">
      <c r="A32" s="550" t="s">
        <v>71</v>
      </c>
      <c r="B32" s="551">
        <v>1271.0</v>
      </c>
      <c r="C32" s="552">
        <v>1271.0</v>
      </c>
      <c r="D32" s="553" t="str">
        <f>if(   iserror(offset(PADRON!B$2,match(C:C,PADRON!A$2:A376,0)-1,0,1,1) )  ,  ,    offset(PADRON!B$2,match(C:C,PADRON!A$2:A376,0)-1,0,1,1))</f>
        <v>AGUERRE, LAUTARO</v>
      </c>
      <c r="E32" s="554">
        <v>42005.0</v>
      </c>
      <c r="F32" s="555"/>
      <c r="G32" s="23" t="s">
        <v>56</v>
      </c>
      <c r="H32" s="556">
        <f>IF( ISERROR( OFFSET(   'Cuadro tarifario'!D$2  , MATCH(CONCATENATE(                 IF(F32&gt;Mes,OFFSET(NroCT!B$17, MATCH($F32,NroCT!$A$18:$A376,0),0,1,1),Periodovigente)                                                                                                                     ,A32) ,'Cuadro tarifario'!A$2:A376,0) -1 , 0 , 1 , 1) )   , 0  ,   OFFSET(   'Cuadro tarifario'!D$2  , MATCH(CONCATENATE( IF(F32&gt;Mes,OFFSET(NroCT!B$17, MATCH($F32,NroCT!$A$18:$A376,0),0,1,1),Periodovigente) ,A32) ,'Cuadro tarifario'!A$2:A376,0) -1 , 0 , 1 , 1))</f>
        <v>11000</v>
      </c>
      <c r="I32" s="1">
        <f t="shared" si="6"/>
        <v>0</v>
      </c>
      <c r="J32" s="557">
        <f t="shared" si="2"/>
        <v>0</v>
      </c>
      <c r="K32" s="2">
        <f>if(  and(M32&gt;0,I32=0)          ,M32 ,                         If(  If( F32 ,  DAYS360(date(year(F32),month(F32),1),Mes)/30  ,  DAYS360(date(year(E32),month(E32),1),Mes)/30  )  &gt;  0 , If(F32,   DAYS360(date(year(F32),month(F32),1),Mes)/30  ,  DAYS360(date(year(E32),month(E32),1),Mes)/30) , 0)       )</f>
        <v>127</v>
      </c>
      <c r="L32" s="558">
        <f t="shared" si="3"/>
        <v>1397000</v>
      </c>
      <c r="M32" s="314"/>
      <c r="N32" s="314"/>
      <c r="O32" s="3"/>
      <c r="P32" s="3"/>
      <c r="Q32" s="3"/>
      <c r="R32" s="3"/>
      <c r="S32" s="3"/>
      <c r="T32" s="3"/>
    </row>
    <row r="33">
      <c r="A33" s="550" t="s">
        <v>71</v>
      </c>
      <c r="B33" s="551">
        <v>1287.0</v>
      </c>
      <c r="C33" s="552">
        <v>1287.0</v>
      </c>
      <c r="D33" s="553" t="str">
        <f>if(   iserror(offset(PADRON!B$2,match(C:C,PADRON!A$2:A376,0)-1,0,1,1) )  ,  ,    offset(PADRON!B$2,match(C:C,PADRON!A$2:A376,0)-1,0,1,1))</f>
        <v/>
      </c>
      <c r="E33" s="554">
        <v>41913.0</v>
      </c>
      <c r="F33" s="555"/>
      <c r="G33" s="23" t="s">
        <v>56</v>
      </c>
      <c r="H33" s="556">
        <f>IF( ISERROR( OFFSET(   'Cuadro tarifario'!D$2  , MATCH(CONCATENATE(                 IF(F33&gt;Mes,OFFSET(NroCT!B$17, MATCH($F33,NroCT!$A$18:$A376,0),0,1,1),Periodovigente)                                                                                                                     ,A33) ,'Cuadro tarifario'!A$2:A376,0) -1 , 0 , 1 , 1) )   , 0  ,   OFFSET(   'Cuadro tarifario'!D$2  , MATCH(CONCATENATE( IF(F33&gt;Mes,OFFSET(NroCT!B$17, MATCH($F33,NroCT!$A$18:$A376,0),0,1,1),Periodovigente) ,A33) ,'Cuadro tarifario'!A$2:A376,0) -1 , 0 , 1 , 1))</f>
        <v>11000</v>
      </c>
      <c r="I33" s="1">
        <f t="shared" si="6"/>
        <v>0</v>
      </c>
      <c r="J33" s="557">
        <f t="shared" si="2"/>
        <v>0</v>
      </c>
      <c r="K33" s="2">
        <f>If(  If(F33,   DAYS360(date(year(F33),month(F33),1),Mes)/30  ,  DAYS360(date(year(E33),month(E33),1),Mes)/30) &gt; 0 , If(F33,   DAYS360(date(year(F33),month(F33),1),Mes)/30  ,  DAYS360(date(year(E33),month(E33),1),Mes)/30) , 0)</f>
        <v>130</v>
      </c>
      <c r="L33" s="558">
        <f t="shared" si="3"/>
        <v>1430000</v>
      </c>
      <c r="M33" s="559"/>
      <c r="N33" s="559"/>
      <c r="O33" s="559"/>
      <c r="P33" s="559"/>
      <c r="Q33" s="559"/>
      <c r="R33" s="559"/>
      <c r="S33" s="559"/>
      <c r="T33" s="559"/>
    </row>
    <row r="34">
      <c r="A34" s="575" t="s">
        <v>82</v>
      </c>
      <c r="B34" s="576" t="s">
        <v>245</v>
      </c>
      <c r="C34" s="552">
        <v>1287.0</v>
      </c>
      <c r="D34" s="553" t="str">
        <f>if(   iserror(offset(PADRON!B$2,match(C:C,PADRON!A$2:A376,0)-1,0,1,1) )  ,  ,    offset(PADRON!B$2,match(C:C,PADRON!A$2:A376,0)-1,0,1,1))</f>
        <v/>
      </c>
      <c r="E34" s="554">
        <v>41913.0</v>
      </c>
      <c r="F34" s="555"/>
      <c r="G34" s="23" t="s">
        <v>56</v>
      </c>
      <c r="H34" s="577">
        <f>IF( ISERROR( OFFSET(   'Cuadro tarifario'!D$2  , MATCH(CONCATENATE(                 IF(F34&gt;Mes,OFFSET(NroCT!B$17, MATCH($F34,NroCT!$A$18:$A376,0),0,1,1),Periodovigente)                                                                                                                     ,A34) ,'Cuadro tarifario'!A$2:A376,0) -1 , 0 , 1 , 1) )   , 0  ,   OFFSET(   'Cuadro tarifario'!D$2  , MATCH(CONCATENATE( IF(F34&gt;Mes,OFFSET(NroCT!B$17, MATCH($F34,NroCT!$A$18:$A376,0),0,1,1),Periodovigente) ,A34) ,'Cuadro tarifario'!A$2:A376,0) -1 , 0 , 1 , 1))</f>
        <v>12000</v>
      </c>
      <c r="I34" s="1">
        <f t="shared" si="6"/>
        <v>0</v>
      </c>
      <c r="J34" s="1">
        <f t="shared" si="2"/>
        <v>0</v>
      </c>
      <c r="K34" s="2">
        <f>If(  If(F34,   DAYS360(date(year(F34),month(F34),1),Mes)/30  ,  DAYS360(date(year(E34),month(E34),1),Mes)/30) &gt; 0 , If(F34,   DAYS360(date(year(F34),month(F34),1),Mes)/30  ,  DAYS360(date(year(E34),month(E34),1),Mes)/30) , 0)</f>
        <v>130</v>
      </c>
      <c r="L34" s="2">
        <f t="shared" si="3"/>
        <v>1560000</v>
      </c>
      <c r="M34" s="559"/>
      <c r="N34" s="559"/>
      <c r="O34" s="559"/>
      <c r="P34" s="559"/>
      <c r="Q34" s="559"/>
      <c r="R34" s="559"/>
      <c r="S34" s="559"/>
      <c r="T34" s="559"/>
    </row>
    <row r="35">
      <c r="A35" s="550" t="s">
        <v>71</v>
      </c>
      <c r="B35" s="551">
        <v>1291.0</v>
      </c>
      <c r="C35" s="552">
        <v>1291.0</v>
      </c>
      <c r="D35" s="553" t="str">
        <f>if(   iserror(offset(PADRON!B$2,match(C:C,PADRON!A$2:A376,0)-1,0,1,1) )  ,  ,    offset(PADRON!B$2,match(C:C,PADRON!A$2:A376,0)-1,0,1,1))</f>
        <v>GALAFASSI, GUIDO</v>
      </c>
      <c r="E35" s="554">
        <v>42036.0</v>
      </c>
      <c r="F35" s="555"/>
      <c r="G35" s="23" t="s">
        <v>56</v>
      </c>
      <c r="H35" s="556">
        <f>IF( ISERROR( OFFSET(   'Cuadro tarifario'!D$2  , MATCH(CONCATENATE(                 IF(F35&gt;Mes,OFFSET(NroCT!B$17, MATCH($F35,NroCT!$A$18:$A376,0),0,1,1),Periodovigente)                                                                                                                     ,A35) ,'Cuadro tarifario'!A$2:A376,0) -1 , 0 , 1 , 1) )   , 0  ,   OFFSET(   'Cuadro tarifario'!D$2  , MATCH(CONCATENATE( IF(F35&gt;Mes,OFFSET(NroCT!B$17, MATCH($F35,NroCT!$A$18:$A376,0),0,1,1),Periodovigente) ,A35) ,'Cuadro tarifario'!A$2:A376,0) -1 , 0 , 1 , 1))</f>
        <v>11000</v>
      </c>
      <c r="I35" s="1">
        <f t="shared" si="6"/>
        <v>0</v>
      </c>
      <c r="J35" s="557">
        <f t="shared" si="2"/>
        <v>0</v>
      </c>
      <c r="K35" s="2">
        <f>if(  and(M35&gt;0,I35=0)          ,M35 ,                         If(  If( F35 ,  DAYS360(date(year(F35),month(F35),1),Mes)/30  ,  DAYS360(date(year(E35),month(E35),1),Mes)/30  )  &gt;  0 , If(F35,   DAYS360(date(year(F35),month(F35),1),Mes)/30  ,  DAYS360(date(year(E35),month(E35),1),Mes)/30) , 0)       )</f>
        <v>126</v>
      </c>
      <c r="L35" s="558">
        <f t="shared" si="3"/>
        <v>1386000</v>
      </c>
      <c r="M35" s="314"/>
      <c r="N35" s="314"/>
      <c r="O35" s="3"/>
      <c r="P35" s="3"/>
      <c r="Q35" s="3"/>
      <c r="R35" s="3"/>
      <c r="S35" s="3"/>
      <c r="T35" s="3"/>
    </row>
    <row r="36">
      <c r="A36" s="560" t="s">
        <v>40</v>
      </c>
      <c r="B36" s="561" t="s">
        <v>5053</v>
      </c>
      <c r="C36" s="552">
        <v>1291.0</v>
      </c>
      <c r="D36" s="553" t="str">
        <f>if(   iserror(offset(PADRON!B$2,match(C:C,PADRON!A$2:A376,0)-1,0,1,1) )  ,  ,    offset(PADRON!B$2,match(C:C,PADRON!A$2:A376,0)-1,0,1,1))</f>
        <v>GALAFASSI, GUIDO</v>
      </c>
      <c r="E36" s="554">
        <v>42036.0</v>
      </c>
      <c r="F36" s="555"/>
      <c r="G36" s="23" t="s">
        <v>56</v>
      </c>
      <c r="H36" s="556">
        <f>IF( ISERROR( OFFSET(   'Cuadro tarifario'!D$2  , MATCH(CONCATENATE(                 IF(F36&gt;Mes,OFFSET(NroCT!B$17, MATCH($F36,NroCT!$A$18:$A376,0),0,1,1),Periodovigente)                                                                                                                     ,A36) ,'Cuadro tarifario'!A$2:A376,0) -1 , 0 , 1 , 1) )   , 0  ,   OFFSET(   'Cuadro tarifario'!D$2  , MATCH(CONCATENATE( IF(F36&gt;Mes,OFFSET(NroCT!B$17, MATCH($F36,NroCT!$A$18:$A376,0),0,1,1),Periodovigente) ,A36) ,'Cuadro tarifario'!A$2:A376,0) -1 , 0 , 1 , 1))</f>
        <v>12000</v>
      </c>
      <c r="I36" s="1">
        <f t="shared" si="6"/>
        <v>0</v>
      </c>
      <c r="J36" s="557">
        <f t="shared" si="2"/>
        <v>0</v>
      </c>
      <c r="K36" s="2">
        <f>if(  and(M36&gt;0,I36=0)          ,M36 ,                         If(  If( F36 ,  DAYS360(date(year(F36),month(F36),1),Mes)/30  ,  DAYS360(date(year(E36),month(E36),1),Mes)/30  )  &gt;  0 , If(F36,   DAYS360(date(year(F36),month(F36),1),Mes)/30  ,  DAYS360(date(year(E36),month(E36),1),Mes)/30) , 0)       )</f>
        <v>126</v>
      </c>
      <c r="L36" s="558">
        <f t="shared" si="3"/>
        <v>1512000</v>
      </c>
      <c r="M36" s="314"/>
      <c r="N36" s="314"/>
      <c r="O36" s="3"/>
      <c r="P36" s="3"/>
      <c r="Q36" s="3"/>
      <c r="R36" s="3"/>
      <c r="S36" s="3"/>
      <c r="T36" s="3"/>
    </row>
    <row r="37">
      <c r="A37" s="550" t="s">
        <v>71</v>
      </c>
      <c r="B37" s="551">
        <v>1292.0</v>
      </c>
      <c r="C37" s="552">
        <v>1292.0</v>
      </c>
      <c r="D37" s="553" t="str">
        <f>if(   iserror(offset(PADRON!B$2,match(C:C,PADRON!A$2:A376,0)-1,0,1,1) )  ,  ,    offset(PADRON!B$2,match(C:C,PADRON!A$2:A376,0)-1,0,1,1))</f>
        <v>SERRA, AGUSTIN</v>
      </c>
      <c r="E37" s="554">
        <v>41609.0</v>
      </c>
      <c r="F37" s="555"/>
      <c r="G37" s="23" t="s">
        <v>56</v>
      </c>
      <c r="H37" s="556">
        <f>if( iserror( offset(   'Cuadro tarifario'!D$2  , match(concatenate(                 If(F37&gt;Periodovigente,Offset(NroCT!B$17, match($F37,NroCT!$A$18:$A376,0),0,1,1),Periodovigente)                                                                                                                     ,A37) ,'Cuadro tarifario'!A$2:A376,0) -1 , 0 , 1 , 1) )   , 0  ,   offset(   'Cuadro tarifario'!D$2  , match(concatenate( If(F37&gt;Periodovigente,Offset(NroCT!B$17, match($F37,NroCT!$A$18:$A376,0),0,1,1),Periodovigente) ,A37) ,'Cuadro tarifario'!A$2:A376,0) -1 , 0 , 1 , 1))</f>
        <v>11000</v>
      </c>
      <c r="I37" s="1">
        <f t="shared" si="6"/>
        <v>0</v>
      </c>
      <c r="J37" s="557">
        <f t="shared" si="2"/>
        <v>0</v>
      </c>
      <c r="K37" s="2">
        <f>If(  If(F37,   DAYS360(date(year(F37),month(F37),1),Mes)/30  ,  DAYS360(date(year(E37),month(E37),1),Mes)/30) &gt; 0 , If(F37,   DAYS360(date(year(F37),month(F37),1),Mes)/30  ,  DAYS360(date(year(E37),month(E37),1),Mes)/30) , 0)</f>
        <v>140</v>
      </c>
      <c r="L37" s="558">
        <f t="shared" si="3"/>
        <v>1540000</v>
      </c>
      <c r="M37" s="559"/>
      <c r="N37" s="559"/>
      <c r="O37" s="559"/>
      <c r="P37" s="559"/>
      <c r="Q37" s="559"/>
      <c r="R37" s="559"/>
      <c r="S37" s="559"/>
      <c r="T37" s="559"/>
    </row>
    <row r="38">
      <c r="A38" s="578" t="s">
        <v>71</v>
      </c>
      <c r="B38" s="579">
        <v>1302.0</v>
      </c>
      <c r="C38" s="580">
        <v>1302.0</v>
      </c>
      <c r="D38" s="581" t="str">
        <f>if(   iserror(offset(PADRON!B$2,match(C:C,PADRON!A$2:A376,0)-1,0,1,1) )  ,  ,    offset(PADRON!B$2,match(C:C,PADRON!A$2:A376,0)-1,0,1,1))</f>
        <v>VALCARLOS, PABLO</v>
      </c>
      <c r="E38" s="554">
        <v>41974.0</v>
      </c>
      <c r="F38" s="555"/>
      <c r="G38" s="23" t="s">
        <v>56</v>
      </c>
      <c r="H38" s="556">
        <f>IF( ISERROR( OFFSET(   'Cuadro tarifario'!D$2  , MATCH(CONCATENATE(                 IF(F38&gt;Mes,OFFSET(NroCT!B$17, MATCH($F38,NroCT!$A$18:$A376,0),0,1,1),Periodovigente)                                                                                                                     ,A38) ,'Cuadro tarifario'!A$2:A376,0) -1 , 0 , 1 , 1) )   , 0  ,   OFFSET(   'Cuadro tarifario'!D$2  , MATCH(CONCATENATE( IF(F38&gt;Mes,OFFSET(NroCT!B$17, MATCH($F38,NroCT!$A$18:$A376,0),0,1,1),Periodovigente) ,A38) ,'Cuadro tarifario'!A$2:A376,0) -1 , 0 , 1 , 1))</f>
        <v>11000</v>
      </c>
      <c r="I38" s="582">
        <f t="shared" si="6"/>
        <v>0</v>
      </c>
      <c r="J38" s="583">
        <f t="shared" si="2"/>
        <v>0</v>
      </c>
      <c r="K38" s="2">
        <f>if(  and(M38&gt;0,I38=0)          ,M38 ,                         If(  If( F38 ,  DAYS360(date(year(F38),month(F38),1),Mes)/30  ,  DAYS360(date(year(E38),month(E38),1),Mes)/30  )  &gt;  0 , If(F38,   DAYS360(date(year(F38),month(F38),1),Mes)/30  ,  DAYS360(date(year(E38),month(E38),1),Mes)/30) , 0)       )</f>
        <v>128</v>
      </c>
      <c r="L38" s="584">
        <f t="shared" si="3"/>
        <v>1408000</v>
      </c>
      <c r="M38" s="314"/>
      <c r="N38" s="314"/>
      <c r="O38" s="3"/>
      <c r="P38" s="3"/>
      <c r="Q38" s="3"/>
      <c r="R38" s="3"/>
      <c r="S38" s="3"/>
      <c r="T38" s="3"/>
    </row>
    <row r="39">
      <c r="A39" s="578" t="s">
        <v>71</v>
      </c>
      <c r="B39" s="579">
        <v>1302.0</v>
      </c>
      <c r="C39" s="580">
        <v>1302.0</v>
      </c>
      <c r="D39" s="581" t="str">
        <f>if(   iserror(offset(PADRON!B$2,match(C:C,PADRON!A$2:A376,0)-1,0,1,1) )  ,  ,    offset(PADRON!B$2,match(C:C,PADRON!A$2:A376,0)-1,0,1,1))</f>
        <v>VALCARLOS, PABLO</v>
      </c>
      <c r="E39" s="554">
        <v>41974.0</v>
      </c>
      <c r="F39" s="555"/>
      <c r="G39" s="23" t="s">
        <v>56</v>
      </c>
      <c r="H39" s="556">
        <f>IF( ISERROR( OFFSET(   'Cuadro tarifario'!D$2  , MATCH(CONCATENATE(                 IF(F39&gt;Mes,OFFSET(NroCT!B$17, MATCH($F39,NroCT!$A$18:$A376,0),0,1,1),Periodovigente)                                                                                                                     ,A39) ,'Cuadro tarifario'!A$2:A376,0) -1 , 0 , 1 , 1) )   , 0  ,   OFFSET(   'Cuadro tarifario'!D$2  , MATCH(CONCATENATE( IF(F39&gt;Mes,OFFSET(NroCT!B$17, MATCH($F39,NroCT!$A$18:$A376,0),0,1,1),Periodovigente) ,A39) ,'Cuadro tarifario'!A$2:A376,0) -1 , 0 , 1 , 1))</f>
        <v>11000</v>
      </c>
      <c r="I39" s="582">
        <f t="shared" si="6"/>
        <v>0</v>
      </c>
      <c r="J39" s="583">
        <f t="shared" si="2"/>
        <v>0</v>
      </c>
      <c r="K39" s="2">
        <f>if(  and(M39&gt;0,I39=0)          ,M39 ,                         If(  If( F39 ,  DAYS360(date(year(F39),month(F39),1),Mes)/30  ,  DAYS360(date(year(E39),month(E39),1),Mes)/30  )  &gt;  0 , If(F39,   DAYS360(date(year(F39),month(F39),1),Mes)/30  ,  DAYS360(date(year(E39),month(E39),1),Mes)/30) , 0)       )</f>
        <v>128</v>
      </c>
      <c r="L39" s="584">
        <f t="shared" si="3"/>
        <v>1408000</v>
      </c>
      <c r="M39" s="314">
        <f>If( iserror(offset(SECUESTRADOS!D$1,match(B39,SECUESTRADOS!A$2:A376,0),0)) ,0 ,  offset(SECUESTRADOS!D$1,match(B39,SECUESTRADOS!A$2:A376,0),0)  )</f>
        <v>0</v>
      </c>
      <c r="N39" s="314"/>
      <c r="O39" s="3" t="b">
        <f>if(I39,A39)</f>
        <v>0</v>
      </c>
      <c r="P39" s="3" t="str">
        <f>if(and(A39=#REF!,B39=#REF!,C39=#REF!),"Repetido","")</f>
        <v>#REF!</v>
      </c>
      <c r="Q39" s="3"/>
      <c r="R39" s="3"/>
      <c r="S39" s="3"/>
      <c r="T39" s="3"/>
    </row>
    <row r="40">
      <c r="A40" s="550" t="s">
        <v>71</v>
      </c>
      <c r="B40" s="551">
        <v>1304.0</v>
      </c>
      <c r="C40" s="552">
        <v>1304.0</v>
      </c>
      <c r="D40" s="553" t="str">
        <f>if(   iserror(offset(PADRON!B$2,match(C:C,PADRON!A$2:A376,0)-1,0,1,1) )  ,  ,    offset(PADRON!B$2,match(C:C,PADRON!A$2:A376,0)-1,0,1,1))</f>
        <v>VERON, OMAR</v>
      </c>
      <c r="E40" s="554">
        <v>42644.0</v>
      </c>
      <c r="F40" s="555"/>
      <c r="G40" s="23" t="s">
        <v>56</v>
      </c>
      <c r="H40" s="556">
        <f>IF( ISERROR( OFFSET(   'Cuadro tarifario'!D$2  , MATCH(CONCATENATE(                 IF(F40&gt;Mes,OFFSET(NroCT!B$17, MATCH($F40,NroCT!$A$18:$A376,0),0,1,1),Periodovigente)                                                                                                                     ,A40) ,'Cuadro tarifario'!A$2:A376,0) -1 , 0 , 1 , 1) )   , 0  ,   OFFSET(   'Cuadro tarifario'!D$2  , MATCH(CONCATENATE( IF(F40&gt;Mes,OFFSET(NroCT!B$17, MATCH($F40,NroCT!$A$18:$A376,0),0,1,1),Periodovigente) ,A40) ,'Cuadro tarifario'!A$2:A376,0) -1 , 0 , 1 , 1))</f>
        <v>11000</v>
      </c>
      <c r="I40" s="1">
        <f t="shared" si="6"/>
        <v>0</v>
      </c>
      <c r="J40" s="557">
        <f t="shared" si="2"/>
        <v>0</v>
      </c>
      <c r="K40" s="2">
        <f>if(  and(M40&gt;0,I40=0)          ,M40 ,                         If(  If( F40 ,  DAYS360(date(year(F40),month(F40),1),Mes)/30  ,  DAYS360(date(year(E40),month(E40),1),Mes)/30  )  &gt;  0 , If(F40,   DAYS360(date(year(F40),month(F40),1),Mes)/30  ,  DAYS360(date(year(E40),month(E40),1),Mes)/30) , 0)       )</f>
        <v>106</v>
      </c>
      <c r="L40" s="558">
        <f t="shared" si="3"/>
        <v>1166000</v>
      </c>
      <c r="M40" s="314"/>
      <c r="N40" s="314"/>
      <c r="O40" s="3"/>
      <c r="P40" s="3"/>
      <c r="Q40" s="3"/>
      <c r="R40" s="3"/>
      <c r="S40" s="3"/>
      <c r="T40" s="3"/>
    </row>
    <row r="41">
      <c r="A41" s="578" t="s">
        <v>71</v>
      </c>
      <c r="B41" s="579">
        <v>1307.0</v>
      </c>
      <c r="C41" s="580">
        <v>1307.0</v>
      </c>
      <c r="D41" s="581" t="str">
        <f>if(   iserror(offset(PADRON!B$2,match(C:C,PADRON!A$2:A376,0)-1,0,1,1) )  ,  ,    offset(PADRON!B$2,match(C:C,PADRON!A$2:A376,0)-1,0,1,1))</f>
        <v>NUCITTELLI, LEONARDO</v>
      </c>
      <c r="E41" s="585">
        <v>41365.0</v>
      </c>
      <c r="F41" s="586"/>
      <c r="G41" s="23" t="s">
        <v>56</v>
      </c>
      <c r="H41" s="587">
        <f>if( iserror( offset(   'Cuadro tarifario'!D$2  , match(concatenate(                 If(F41&gt;Periodovigente,Offset(NroCT!B$17, match($F41,NroCT!$A$18:$A376,0),0,1,1),Periodovigente)                                                                                                                     ,A41) ,'Cuadro tarifario'!A$2:A376,0) -1 , 0 , 1 , 1) )   , 0  ,   offset(   'Cuadro tarifario'!D$2  , match(concatenate( If(F41&gt;Periodovigente,Offset(NroCT!B$17, match($F41,NroCT!$A$18:$A376,0),0,1,1),Periodovigente) ,A41) ,'Cuadro tarifario'!A$2:A376,0) -1 , 0 , 1 , 1))</f>
        <v>11000</v>
      </c>
      <c r="I41" s="582">
        <f t="shared" si="6"/>
        <v>0</v>
      </c>
      <c r="J41" s="583">
        <f t="shared" si="2"/>
        <v>0</v>
      </c>
      <c r="K41" s="2">
        <f>If(  If(F41,   DAYS360(date(year(F41),month(F41),1),Mes)/30  ,  DAYS360(date(year(E41),month(E41),1),Mes)/30) &gt; 0 , If(F41,   DAYS360(date(year(F41),month(F41),1),Mes)/30  ,  DAYS360(date(year(E41),month(E41),1),Mes)/30) , 0)</f>
        <v>148</v>
      </c>
      <c r="L41" s="584">
        <f t="shared" si="3"/>
        <v>1628000</v>
      </c>
      <c r="M41" s="588"/>
      <c r="N41" s="588"/>
      <c r="O41" s="588"/>
      <c r="P41" s="588"/>
      <c r="Q41" s="588"/>
      <c r="R41" s="588"/>
      <c r="S41" s="588"/>
      <c r="T41" s="588"/>
    </row>
    <row r="42">
      <c r="A42" s="550" t="s">
        <v>71</v>
      </c>
      <c r="B42" s="551">
        <v>1309.0</v>
      </c>
      <c r="C42" s="552">
        <v>1309.0</v>
      </c>
      <c r="D42" s="553" t="str">
        <f>if(   iserror(offset(PADRON!B$2,match(C:C,PADRON!A$2:A376,0)-1,0,1,1) )  ,  ,    offset(PADRON!B$2,match(C:C,PADRON!A$2:A376,0)-1,0,1,1))</f>
        <v>VALIZA, DIEGO</v>
      </c>
      <c r="E42" s="554">
        <v>42644.0</v>
      </c>
      <c r="F42" s="555"/>
      <c r="G42" s="23" t="s">
        <v>56</v>
      </c>
      <c r="H42" s="556">
        <f>IF( ISERROR( OFFSET(   'Cuadro tarifario'!D$2  , MATCH(CONCATENATE(                 IF(F42&gt;Mes,OFFSET(NroCT!B$17, MATCH($F42,NroCT!$A$18:$A376,0),0,1,1),Periodovigente)                                                                                                                     ,A42) ,'Cuadro tarifario'!A$2:A376,0) -1 , 0 , 1 , 1) )   , 0  ,   OFFSET(   'Cuadro tarifario'!D$2  , MATCH(CONCATENATE( IF(F42&gt;Mes,OFFSET(NroCT!B$17, MATCH($F42,NroCT!$A$18:$A376,0),0,1,1),Periodovigente) ,A42) ,'Cuadro tarifario'!A$2:A376,0) -1 , 0 , 1 , 1))</f>
        <v>11000</v>
      </c>
      <c r="I42" s="1">
        <f t="shared" si="6"/>
        <v>0</v>
      </c>
      <c r="J42" s="557">
        <f t="shared" si="2"/>
        <v>0</v>
      </c>
      <c r="K42" s="2">
        <f>if(  and(M42&gt;0,I42=0)          ,M42 ,                         If(  If( F42 ,  DAYS360(date(year(F42),month(F42),1),Mes)/30  ,  DAYS360(date(year(E42),month(E42),1),Mes)/30  )  &gt;  0 , If(F42,   DAYS360(date(year(F42),month(F42),1),Mes)/30  ,  DAYS360(date(year(E42),month(E42),1),Mes)/30) , 0)       )</f>
        <v>106</v>
      </c>
      <c r="L42" s="558">
        <f t="shared" si="3"/>
        <v>1166000</v>
      </c>
      <c r="M42" s="314"/>
      <c r="N42" s="314"/>
      <c r="O42" s="3"/>
      <c r="P42" s="3"/>
      <c r="Q42" s="3"/>
      <c r="R42" s="3"/>
      <c r="S42" s="3"/>
      <c r="T42" s="3"/>
    </row>
    <row r="43">
      <c r="A43" s="560" t="s">
        <v>40</v>
      </c>
      <c r="B43" s="561" t="s">
        <v>5054</v>
      </c>
      <c r="C43" s="552">
        <v>1309.0</v>
      </c>
      <c r="D43" s="553" t="str">
        <f>if(   iserror(offset(PADRON!B$2,match(C:C,PADRON!A$2:A376,0)-1,0,1,1) )  ,  ,    offset(PADRON!B$2,match(C:C,PADRON!A$2:A376,0)-1,0,1,1))</f>
        <v>VALIZA, DIEGO</v>
      </c>
      <c r="E43" s="554">
        <v>42644.0</v>
      </c>
      <c r="F43" s="555"/>
      <c r="G43" s="23" t="s">
        <v>56</v>
      </c>
      <c r="H43" s="556">
        <f>IF( ISERROR( OFFSET(   'Cuadro tarifario'!D$2  , MATCH(CONCATENATE(                 IF(F43&gt;Mes,OFFSET(NroCT!B$17, MATCH($F43,NroCT!$A$18:$A376,0),0,1,1),Periodovigente)                                                                                                                     ,A43) ,'Cuadro tarifario'!A$2:A376,0) -1 , 0 , 1 , 1) )   , 0  ,   OFFSET(   'Cuadro tarifario'!D$2  , MATCH(CONCATENATE( IF(F43&gt;Mes,OFFSET(NroCT!B$17, MATCH($F43,NroCT!$A$18:$A376,0),0,1,1),Periodovigente) ,A43) ,'Cuadro tarifario'!A$2:A376,0) -1 , 0 , 1 , 1))</f>
        <v>12000</v>
      </c>
      <c r="I43" s="1">
        <f t="shared" si="6"/>
        <v>0</v>
      </c>
      <c r="J43" s="557">
        <f t="shared" si="2"/>
        <v>0</v>
      </c>
      <c r="K43" s="2">
        <f>if(  and(M43&gt;0,I43=0)          ,M43 ,                         If(  If( F43 ,  DAYS360(date(year(F43),month(F43),1),Mes)/30  ,  DAYS360(date(year(E43),month(E43),1),Mes)/30  )  &gt;  0 , If(F43,   DAYS360(date(year(F43),month(F43),1),Mes)/30  ,  DAYS360(date(year(E43),month(E43),1),Mes)/30) , 0)       )</f>
        <v>106</v>
      </c>
      <c r="L43" s="558">
        <f t="shared" si="3"/>
        <v>1272000</v>
      </c>
      <c r="M43" s="314"/>
      <c r="N43" s="314"/>
      <c r="O43" s="3"/>
      <c r="P43" s="3"/>
      <c r="Q43" s="3"/>
      <c r="R43" s="3"/>
      <c r="S43" s="3"/>
      <c r="T43" s="3"/>
    </row>
    <row r="44">
      <c r="A44" s="550" t="s">
        <v>71</v>
      </c>
      <c r="B44" s="551">
        <v>1310.0</v>
      </c>
      <c r="C44" s="552">
        <v>1310.0</v>
      </c>
      <c r="D44" s="553" t="str">
        <f>if(   iserror(offset(PADRON!B$2,match(C:C,PADRON!A$2:A376,0)-1,0,1,1) )  ,  ,    offset(PADRON!B$2,match(C:C,PADRON!A$2:A376,0)-1,0,1,1))</f>
        <v>GARCIA, SEBASTIAN</v>
      </c>
      <c r="E44" s="554">
        <v>42005.0</v>
      </c>
      <c r="F44" s="555"/>
      <c r="G44" s="23" t="s">
        <v>56</v>
      </c>
      <c r="H44" s="556">
        <f>IF( ISERROR( OFFSET(   'Cuadro tarifario'!D$2  , MATCH(CONCATENATE(                 IF(F44&gt;Mes,OFFSET(NroCT!B$17, MATCH($F44,NroCT!$A$18:$A376,0),0,1,1),Periodovigente)                                                                                                                     ,A44) ,'Cuadro tarifario'!A$2:A376,0) -1 , 0 , 1 , 1) )   , 0  ,   OFFSET(   'Cuadro tarifario'!D$2  , MATCH(CONCATENATE( IF(F44&gt;Mes,OFFSET(NroCT!B$17, MATCH($F44,NroCT!$A$18:$A376,0),0,1,1),Periodovigente) ,A44) ,'Cuadro tarifario'!A$2:A376,0) -1 , 0 , 1 , 1))</f>
        <v>11000</v>
      </c>
      <c r="I44" s="1">
        <f t="shared" si="6"/>
        <v>0</v>
      </c>
      <c r="J44" s="557">
        <f t="shared" si="2"/>
        <v>0</v>
      </c>
      <c r="K44" s="2">
        <f>if(  and(M44&gt;0,I44=0)          ,M44 ,                         If(  If( F44 ,  DAYS360(date(year(F44),month(F44),1),Mes)/30  ,  DAYS360(date(year(E44),month(E44),1),Mes)/30  )  &gt;  0 , If(F44,   DAYS360(date(year(F44),month(F44),1),Mes)/30  ,  DAYS360(date(year(E44),month(E44),1),Mes)/30) , 0)       )</f>
        <v>127</v>
      </c>
      <c r="L44" s="558">
        <f t="shared" si="3"/>
        <v>1397000</v>
      </c>
      <c r="M44" s="314"/>
      <c r="N44" s="314"/>
      <c r="O44" s="3"/>
      <c r="P44" s="3"/>
      <c r="Q44" s="3"/>
      <c r="R44" s="3"/>
      <c r="S44" s="3"/>
      <c r="T44" s="3"/>
    </row>
    <row r="45">
      <c r="A45" s="550" t="s">
        <v>71</v>
      </c>
      <c r="B45" s="551">
        <v>1319.0</v>
      </c>
      <c r="C45" s="552">
        <v>1319.0</v>
      </c>
      <c r="D45" s="553" t="str">
        <f>if(   iserror(offset(PADRON!B$2,match(C:C,PADRON!A$2:A376,0)-1,0,1,1) )  ,  ,    offset(PADRON!B$2,match(C:C,PADRON!A$2:A376,0)-1,0,1,1))</f>
        <v/>
      </c>
      <c r="E45" s="555">
        <v>41518.0</v>
      </c>
      <c r="F45" s="555"/>
      <c r="G45" s="23" t="s">
        <v>56</v>
      </c>
      <c r="H45" s="556">
        <f>if( iserror( offset(   'Cuadro tarifario'!D$2  , match(concatenate(                 If(F45&gt;Periodovigente,Offset(NroCT!B$17, match($F45,NroCT!$A$18:$A376,0),0,1,1),Periodovigente)                                                                                                                     ,A45) ,'Cuadro tarifario'!A$2:A376,0) -1 , 0 , 1 , 1) )   , 0  ,   offset(   'Cuadro tarifario'!D$2  , match(concatenate( If(F45&gt;Periodovigente,Offset(NroCT!B$17, match($F45,NroCT!$A$18:$A376,0),0,1,1),Periodovigente) ,A45) ,'Cuadro tarifario'!A$2:A376,0) -1 , 0 , 1 , 1))</f>
        <v>11000</v>
      </c>
      <c r="I45" s="1">
        <f t="shared" si="6"/>
        <v>0</v>
      </c>
      <c r="J45" s="557">
        <f t="shared" si="2"/>
        <v>0</v>
      </c>
      <c r="K45" s="2">
        <f>If(  If(F45,   DAYS360(date(year(F45),month(F45),1),Mes)/30  ,  DAYS360(date(year(E45),month(E45),1),Mes)/30) &gt; 0 , If(F45,   DAYS360(date(year(F45),month(F45),1),Mes)/30  ,  DAYS360(date(year(E45),month(E45),1),Mes)/30) , 0)</f>
        <v>143</v>
      </c>
      <c r="L45" s="558">
        <f t="shared" si="3"/>
        <v>1573000</v>
      </c>
      <c r="M45" s="559"/>
      <c r="N45" s="559"/>
      <c r="O45" s="559"/>
      <c r="P45" s="559"/>
      <c r="Q45" s="559"/>
      <c r="R45" s="559"/>
      <c r="S45" s="559"/>
      <c r="T45" s="559"/>
    </row>
    <row r="46">
      <c r="A46" s="550" t="s">
        <v>71</v>
      </c>
      <c r="B46" s="551">
        <v>1329.0</v>
      </c>
      <c r="C46" s="552">
        <v>1329.0</v>
      </c>
      <c r="D46" s="553" t="str">
        <f>if(   iserror(offset(PADRON!B$2,match(C:C,PADRON!A$2:A376,0)-1,0,1,1) )  ,  ,    offset(PADRON!B$2,match(C:C,PADRON!A$2:A376,0)-1,0,1,1))</f>
        <v>RAMAYON, FERNANDO</v>
      </c>
      <c r="E46" s="555">
        <v>41153.0</v>
      </c>
      <c r="F46" s="564"/>
      <c r="G46" s="23" t="s">
        <v>56</v>
      </c>
      <c r="H46" s="556">
        <f>if( iserror( offset(   'Cuadro tarifario'!D$2  , match(concatenate(                 If(F46&gt;Periodovigente,Offset(NroCT!B$17, match($F46,NroCT!$A$18:$A376,0),0,1,1),Periodovigente)                                                                                                                     ,A46) ,'Cuadro tarifario'!A$2:A376,0) -1 , 0 , 1 , 1) )   , 0  ,   offset(   'Cuadro tarifario'!D$2  , match(concatenate( If(F46&gt;Periodovigente,Offset(NroCT!B$17, match($F46,NroCT!$A$18:$A376,0),0,1,1),Periodovigente) ,A46) ,'Cuadro tarifario'!A$2:A376,0) -1 , 0 , 1 , 1))</f>
        <v>11000</v>
      </c>
      <c r="I46" s="1">
        <f t="shared" si="6"/>
        <v>0</v>
      </c>
      <c r="J46" s="557">
        <f t="shared" si="2"/>
        <v>0</v>
      </c>
      <c r="K46" s="2">
        <f>If(  If(F46,   DAYS360(date(year(F46),month(F46),1),Mes)/30  ,  DAYS360(date(year(E46),month(E46),1),Mes)/30) &gt; 0 , If(F46,   DAYS360(date(year(F46),month(F46),1),Mes)/30  ,  DAYS360(date(year(E46),month(E46),1),Mes)/30) , 0)</f>
        <v>155</v>
      </c>
      <c r="L46" s="558">
        <f t="shared" si="3"/>
        <v>1705000</v>
      </c>
      <c r="M46" s="559"/>
      <c r="N46" s="559"/>
      <c r="O46" s="559"/>
      <c r="P46" s="559"/>
      <c r="Q46" s="559"/>
      <c r="R46" s="559"/>
      <c r="S46" s="559"/>
      <c r="T46" s="559"/>
    </row>
    <row r="47">
      <c r="A47" s="550" t="s">
        <v>71</v>
      </c>
      <c r="B47" s="551">
        <v>1335.0</v>
      </c>
      <c r="C47" s="552">
        <v>1335.0</v>
      </c>
      <c r="D47" s="553" t="str">
        <f>if(   iserror(offset(PADRON!B$2,match(C:C,PADRON!A$2:A376,0)-1,0,1,1) )  ,  ,    offset(PADRON!B$2,match(C:C,PADRON!A$2:A376,0)-1,0,1,1))</f>
        <v>MELINGER, EMILIANO</v>
      </c>
      <c r="E47" s="555">
        <v>40817.0</v>
      </c>
      <c r="F47" s="564"/>
      <c r="G47" s="23" t="s">
        <v>56</v>
      </c>
      <c r="H47" s="556">
        <f>if( iserror( offset(   'Cuadro tarifario'!D$2  , match(concatenate(                 If(F47&gt;Periodovigente,Offset(NroCT!B$17, match($F47,NroCT!$A$18:$A376,0),0,1,1),Periodovigente)                                                                                                                     ,A47) ,'Cuadro tarifario'!A$2:A376,0) -1 , 0 , 1 , 1) )   , 0  ,   offset(   'Cuadro tarifario'!D$2  , match(concatenate( If(F47&gt;Periodovigente,Offset(NroCT!B$17, match($F47,NroCT!$A$18:$A376,0),0,1,1),Periodovigente) ,A47) ,'Cuadro tarifario'!A$2:A376,0) -1 , 0 , 1 , 1))</f>
        <v>11000</v>
      </c>
      <c r="I47" s="1">
        <f t="shared" si="6"/>
        <v>0</v>
      </c>
      <c r="J47" s="557">
        <f t="shared" si="2"/>
        <v>0</v>
      </c>
      <c r="K47" s="2">
        <f>If(  If(F47,   DAYS360(date(year(F47),month(F47),1),Mes)/30  ,  DAYS360(date(year(E47),month(E47),1),Mes)/30) &gt; 0 , If(F47,   DAYS360(date(year(F47),month(F47),1),Mes)/30  ,  DAYS360(date(year(E47),month(E47),1),Mes)/30) , 0)</f>
        <v>166</v>
      </c>
      <c r="L47" s="558">
        <f t="shared" si="3"/>
        <v>1826000</v>
      </c>
      <c r="M47" s="559"/>
      <c r="N47" s="559"/>
      <c r="O47" s="559"/>
      <c r="P47" s="559"/>
      <c r="Q47" s="559"/>
      <c r="R47" s="559"/>
      <c r="S47" s="559"/>
      <c r="T47" s="559"/>
    </row>
    <row r="48">
      <c r="A48" s="550" t="s">
        <v>71</v>
      </c>
      <c r="B48" s="551">
        <v>1340.0</v>
      </c>
      <c r="C48" s="552">
        <v>1340.0</v>
      </c>
      <c r="D48" s="553" t="str">
        <f>if(   iserror(offset(PADRON!B$2,match(C:C,PADRON!A$2:A376,0)-1,0,1,1) )  ,  ,    offset(PADRON!B$2,match(C:C,PADRON!A$2:A376,0)-1,0,1,1))</f>
        <v>DONADIO, JUAN</v>
      </c>
      <c r="E48" s="554">
        <v>41000.0</v>
      </c>
      <c r="F48" s="564"/>
      <c r="G48" s="23" t="s">
        <v>56</v>
      </c>
      <c r="H48" s="556">
        <f>if( iserror( offset(   'Cuadro tarifario'!D$2  , match(concatenate(                 If(F48&gt;Periodovigente,Offset(NroCT!B$17, match($F48,NroCT!$A$18:$A376,0),0,1,1),Periodovigente)                                                                                                                     ,A48) ,'Cuadro tarifario'!A$2:A376,0) -1 , 0 , 1 , 1) )   , 0  ,   offset(   'Cuadro tarifario'!D$2  , match(concatenate( If(F48&gt;Periodovigente,Offset(NroCT!B$17, match($F48,NroCT!$A$18:$A376,0),0,1,1),Periodovigente) ,A48) ,'Cuadro tarifario'!A$2:A376,0) -1 , 0 , 1 , 1))</f>
        <v>11000</v>
      </c>
      <c r="I48" s="1">
        <f t="shared" si="6"/>
        <v>0</v>
      </c>
      <c r="J48" s="557">
        <f t="shared" si="2"/>
        <v>0</v>
      </c>
      <c r="K48" s="2">
        <f>If(  If(F48,   DAYS360(date(year(F48),month(F48),1),Mes)/30  ,  DAYS360(date(year(E48),month(E48),1),Mes)/30) &gt; 0 , If(F48,   DAYS360(date(year(F48),month(F48),1),Mes)/30  ,  DAYS360(date(year(E48),month(E48),1),Mes)/30) , 0)</f>
        <v>160</v>
      </c>
      <c r="L48" s="558">
        <f t="shared" si="3"/>
        <v>1760000</v>
      </c>
      <c r="M48" s="559"/>
      <c r="N48" s="559"/>
      <c r="O48" s="559"/>
      <c r="P48" s="559"/>
      <c r="Q48" s="559"/>
      <c r="R48" s="559"/>
      <c r="S48" s="559"/>
      <c r="T48" s="559"/>
    </row>
    <row r="49">
      <c r="A49" s="550" t="s">
        <v>71</v>
      </c>
      <c r="B49" s="551">
        <v>1341.0</v>
      </c>
      <c r="C49" s="552">
        <v>1341.0</v>
      </c>
      <c r="D49" s="553" t="str">
        <f>if(   iserror(offset(PADRON!B$2,match(C:C,PADRON!A$2:A376,0)-1,0,1,1) )  ,  ,    offset(PADRON!B$2,match(C:C,PADRON!A$2:A376,0)-1,0,1,1))</f>
        <v>CARRASQUET, JUAN</v>
      </c>
      <c r="E49" s="554">
        <v>41153.0</v>
      </c>
      <c r="F49" s="564"/>
      <c r="G49" s="23" t="s">
        <v>56</v>
      </c>
      <c r="H49" s="556">
        <f>if( iserror( offset(   'Cuadro tarifario'!D$2  , match(concatenate(                 If(F49&gt;Periodovigente,Offset(NroCT!B$17, match($F49,NroCT!$A$18:$A376,0),0,1,1),Periodovigente)                                                                                                                     ,A49) ,'Cuadro tarifario'!A$2:A376,0) -1 , 0 , 1 , 1) )   , 0  ,   offset(   'Cuadro tarifario'!D$2  , match(concatenate( If(F49&gt;Periodovigente,Offset(NroCT!B$17, match($F49,NroCT!$A$18:$A376,0),0,1,1),Periodovigente) ,A49) ,'Cuadro tarifario'!A$2:A376,0) -1 , 0 , 1 , 1))</f>
        <v>11000</v>
      </c>
      <c r="I49" s="1">
        <f t="shared" si="6"/>
        <v>0</v>
      </c>
      <c r="J49" s="557">
        <f t="shared" si="2"/>
        <v>0</v>
      </c>
      <c r="K49" s="2">
        <f>If(  If(F49,   DAYS360(date(year(F49),month(F49),1),Mes)/30  ,  DAYS360(date(year(E49),month(E49),1),Mes)/30) &gt; 0 , If(F49,   DAYS360(date(year(F49),month(F49),1),Mes)/30  ,  DAYS360(date(year(E49),month(E49),1),Mes)/30) , 0)</f>
        <v>155</v>
      </c>
      <c r="L49" s="558">
        <f t="shared" si="3"/>
        <v>1705000</v>
      </c>
      <c r="M49" s="559"/>
      <c r="N49" s="559"/>
      <c r="O49" s="559"/>
      <c r="P49" s="559"/>
      <c r="Q49" s="559"/>
      <c r="R49" s="559"/>
      <c r="S49" s="559"/>
      <c r="T49" s="559"/>
    </row>
    <row r="50">
      <c r="A50" s="550" t="s">
        <v>71</v>
      </c>
      <c r="B50" s="551">
        <v>1347.0</v>
      </c>
      <c r="C50" s="552">
        <v>1347.0</v>
      </c>
      <c r="D50" s="553" t="str">
        <f>if(   iserror(offset(PADRON!B$2,match(C:C,PADRON!A$2:A376,0)-1,0,1,1) )  ,  ,    offset(PADRON!B$2,match(C:C,PADRON!A$2:A376,0)-1,0,1,1))</f>
        <v>CICHINO, JULIAN</v>
      </c>
      <c r="E50" s="554">
        <v>40909.0</v>
      </c>
      <c r="F50" s="564"/>
      <c r="G50" s="23" t="s">
        <v>56</v>
      </c>
      <c r="H50" s="556">
        <f>if( iserror( offset(   'Cuadro tarifario'!D$2  , match(concatenate(                 If(F50&gt;Periodovigente,Offset(NroCT!B$17, match($F50,NroCT!$A$18:$A376,0),0,1,1),Periodovigente)                                                                                                                     ,A50) ,'Cuadro tarifario'!A$2:A376,0) -1 , 0 , 1 , 1) )   , 0  ,   offset(   'Cuadro tarifario'!D$2  , match(concatenate( If(F50&gt;Periodovigente,Offset(NroCT!B$17, match($F50,NroCT!$A$18:$A376,0),0,1,1),Periodovigente) ,A50) ,'Cuadro tarifario'!A$2:A376,0) -1 , 0 , 1 , 1))</f>
        <v>11000</v>
      </c>
      <c r="I50" s="1">
        <f t="shared" si="6"/>
        <v>0</v>
      </c>
      <c r="J50" s="557">
        <f t="shared" si="2"/>
        <v>0</v>
      </c>
      <c r="K50" s="2">
        <f>If(  If(F50,   DAYS360(date(year(F50),month(F50),1),Mes)/30  ,  DAYS360(date(year(E50),month(E50),1),Mes)/30) &gt; 0 , If(F50,   DAYS360(date(year(F50),month(F50),1),Mes)/30  ,  DAYS360(date(year(E50),month(E50),1),Mes)/30) , 0)</f>
        <v>163</v>
      </c>
      <c r="L50" s="558">
        <f t="shared" si="3"/>
        <v>1793000</v>
      </c>
      <c r="M50" s="559"/>
      <c r="N50" s="559"/>
      <c r="O50" s="559"/>
      <c r="P50" s="559"/>
      <c r="Q50" s="559"/>
      <c r="R50" s="559"/>
      <c r="S50" s="559"/>
      <c r="T50" s="559"/>
    </row>
    <row r="51">
      <c r="A51" s="550" t="s">
        <v>71</v>
      </c>
      <c r="B51" s="551">
        <v>1349.0</v>
      </c>
      <c r="C51" s="552">
        <v>1349.0</v>
      </c>
      <c r="D51" s="553" t="str">
        <f>if(   iserror(offset(PADRON!B$2,match(C:C,PADRON!A$2:A376,0)-1,0,1,1) )  ,  ,    offset(PADRON!B$2,match(C:C,PADRON!A$2:A376,0)-1,0,1,1))</f>
        <v>VETERI, HUGO</v>
      </c>
      <c r="E51" s="554">
        <v>41030.0</v>
      </c>
      <c r="F51" s="564"/>
      <c r="G51" s="23" t="s">
        <v>56</v>
      </c>
      <c r="H51" s="556">
        <f>if( iserror( offset(   'Cuadro tarifario'!D$2  , match(concatenate(                 If(F51&gt;Periodovigente,Offset(NroCT!B$17, match($F51,NroCT!$A$18:$A376,0),0,1,1),Periodovigente)                                                                                                                     ,A51) ,'Cuadro tarifario'!A$2:A376,0) -1 , 0 , 1 , 1) )   , 0  ,   offset(   'Cuadro tarifario'!D$2  , match(concatenate( If(F51&gt;Periodovigente,Offset(NroCT!B$17, match($F51,NroCT!$A$18:$A376,0),0,1,1),Periodovigente) ,A51) ,'Cuadro tarifario'!A$2:A376,0) -1 , 0 , 1 , 1))</f>
        <v>11000</v>
      </c>
      <c r="I51" s="1">
        <f t="shared" si="6"/>
        <v>0</v>
      </c>
      <c r="J51" s="557">
        <f t="shared" si="2"/>
        <v>0</v>
      </c>
      <c r="K51" s="2">
        <f>If(  If(F51,   DAYS360(date(year(F51),month(F51),1),Mes)/30  ,  DAYS360(date(year(E51),month(E51),1),Mes)/30) &gt; 0 , If(F51,   DAYS360(date(year(F51),month(F51),1),Mes)/30  ,  DAYS360(date(year(E51),month(E51),1),Mes)/30) , 0)</f>
        <v>159</v>
      </c>
      <c r="L51" s="558">
        <f t="shared" si="3"/>
        <v>1749000</v>
      </c>
      <c r="M51" s="559"/>
      <c r="N51" s="559"/>
      <c r="O51" s="559"/>
      <c r="P51" s="559"/>
      <c r="Q51" s="559"/>
      <c r="R51" s="559"/>
      <c r="S51" s="559"/>
      <c r="T51" s="559"/>
    </row>
    <row r="52">
      <c r="A52" s="550" t="s">
        <v>71</v>
      </c>
      <c r="B52" s="551">
        <v>1350.0</v>
      </c>
      <c r="C52" s="552">
        <v>1350.0</v>
      </c>
      <c r="D52" s="553" t="str">
        <f>if(   iserror(offset(PADRON!B$2,match(C:C,PADRON!A$2:A376,0)-1,0,1,1) )  ,  ,    offset(PADRON!B$2,match(C:C,PADRON!A$2:A376,0)-1,0,1,1))</f>
        <v>RE, CARLOS</v>
      </c>
      <c r="E52" s="554">
        <v>41883.0</v>
      </c>
      <c r="F52" s="555"/>
      <c r="G52" s="23" t="s">
        <v>56</v>
      </c>
      <c r="H52" s="556">
        <f>IF( ISERROR( OFFSET(   'Cuadro tarifario'!D$2  , MATCH(CONCATENATE(                 IF(F52&gt;Mes,OFFSET(NroCT!B$17, MATCH($F52,NroCT!$A$18:$A376,0),0,1,1),Periodovigente)                                                                                                                     ,A52) ,'Cuadro tarifario'!A$2:A376,0) -1 , 0 , 1 , 1) )   , 0  ,   OFFSET(   'Cuadro tarifario'!D$2  , MATCH(CONCATENATE( IF(F52&gt;Mes,OFFSET(NroCT!B$17, MATCH($F52,NroCT!$A$18:$A376,0),0,1,1),Periodovigente) ,A52) ,'Cuadro tarifario'!A$2:A376,0) -1 , 0 , 1 , 1))</f>
        <v>11000</v>
      </c>
      <c r="I52" s="1">
        <f t="shared" si="6"/>
        <v>0</v>
      </c>
      <c r="J52" s="557">
        <f t="shared" si="2"/>
        <v>0</v>
      </c>
      <c r="K52" s="2">
        <f>If(  If(F52,   DAYS360(date(year(F52),month(F52),1),Mes)/30  ,  DAYS360(date(year(E52),month(E52),1),Mes)/30) &gt; 0 , If(F52,   DAYS360(date(year(F52),month(F52),1),Mes)/30  ,  DAYS360(date(year(E52),month(E52),1),Mes)/30) , 0)</f>
        <v>131</v>
      </c>
      <c r="L52" s="558">
        <f t="shared" si="3"/>
        <v>1441000</v>
      </c>
      <c r="M52" s="559"/>
      <c r="N52" s="559"/>
      <c r="O52" s="559"/>
      <c r="P52" s="559"/>
      <c r="Q52" s="559"/>
      <c r="R52" s="559"/>
      <c r="S52" s="559"/>
      <c r="T52" s="559"/>
    </row>
    <row r="53">
      <c r="A53" s="550" t="s">
        <v>71</v>
      </c>
      <c r="B53" s="551">
        <v>1354.0</v>
      </c>
      <c r="C53" s="552">
        <v>1354.0</v>
      </c>
      <c r="D53" s="553" t="str">
        <f>if(   iserror(offset(PADRON!B$2,match(C:C,PADRON!A$2:A376,0)-1,0,1,1) )  ,  ,    offset(PADRON!B$2,match(C:C,PADRON!A$2:A376,0)-1,0,1,1))</f>
        <v>LOPEZ, OMAR</v>
      </c>
      <c r="E53" s="554">
        <v>41275.0</v>
      </c>
      <c r="F53" s="564"/>
      <c r="G53" s="23" t="s">
        <v>56</v>
      </c>
      <c r="H53" s="556">
        <f>if( iserror( offset(   'Cuadro tarifario'!D$2  , match(concatenate(                 If(F53&gt;Periodovigente,Offset(NroCT!B$17, match($F53,NroCT!$A$18:$A376,0),0,1,1),Periodovigente)                                                                                                                     ,A53) ,'Cuadro tarifario'!A$2:A376,0) -1 , 0 , 1 , 1) )   , 0  ,   offset(   'Cuadro tarifario'!D$2  , match(concatenate( If(F53&gt;Periodovigente,Offset(NroCT!B$17, match($F53,NroCT!$A$18:$A376,0),0,1,1),Periodovigente) ,A53) ,'Cuadro tarifario'!A$2:A376,0) -1 , 0 , 1 , 1))</f>
        <v>11000</v>
      </c>
      <c r="I53" s="1">
        <f t="shared" si="6"/>
        <v>0</v>
      </c>
      <c r="J53" s="557">
        <f t="shared" si="2"/>
        <v>0</v>
      </c>
      <c r="K53" s="2">
        <f>If(  If(F53,   DAYS360(date(year(F53),month(F53),1),Mes)/30  ,  DAYS360(date(year(E53),month(E53),1),Mes)/30) &gt; 0 , If(F53,   DAYS360(date(year(F53),month(F53),1),Mes)/30  ,  DAYS360(date(year(E53),month(E53),1),Mes)/30) , 0)</f>
        <v>151</v>
      </c>
      <c r="L53" s="558">
        <f t="shared" si="3"/>
        <v>1661000</v>
      </c>
      <c r="M53" s="559"/>
      <c r="N53" s="559"/>
      <c r="O53" s="559"/>
      <c r="P53" s="559"/>
      <c r="Q53" s="559"/>
      <c r="R53" s="559"/>
      <c r="S53" s="559"/>
      <c r="T53" s="559"/>
    </row>
    <row r="54">
      <c r="A54" s="575" t="s">
        <v>82</v>
      </c>
      <c r="B54" s="576" t="s">
        <v>5055</v>
      </c>
      <c r="C54" s="552">
        <v>1354.0</v>
      </c>
      <c r="D54" s="553" t="str">
        <f>if(   iserror(offset(PADRON!B$2,match(C:C,PADRON!A$2:A376,0)-1,0,1,1) )  ,  ,    offset(PADRON!B$2,match(C:C,PADRON!A$2:A376,0)-1,0,1,1))</f>
        <v>LOPEZ, OMAR</v>
      </c>
      <c r="E54" s="554">
        <v>41275.0</v>
      </c>
      <c r="F54" s="564"/>
      <c r="G54" s="23" t="s">
        <v>56</v>
      </c>
      <c r="H54" s="577">
        <f>if( iserror( offset(   'Cuadro tarifario'!D$2  , match(concatenate(                 If(F54&gt;Periodovigente,Offset(NroCT!B$17, match($F54,NroCT!$A$18:$A376,0),0,1,1),Periodovigente)                                                                                                                     ,A54) ,'Cuadro tarifario'!A$2:A376,0) -1 , 0 , 1 , 1) )   , 0  ,   offset(   'Cuadro tarifario'!D$2  , match(concatenate( If(F54&gt;Periodovigente,Offset(NroCT!B$17, match($F54,NroCT!$A$18:$A376,0),0,1,1),Periodovigente) ,A54) ,'Cuadro tarifario'!A$2:A376,0) -1 , 0 , 1 , 1))</f>
        <v>12000</v>
      </c>
      <c r="I54" s="1">
        <f t="shared" si="6"/>
        <v>0</v>
      </c>
      <c r="J54" s="1">
        <f t="shared" si="2"/>
        <v>0</v>
      </c>
      <c r="K54" s="2">
        <f>If(  If(F54,   DAYS360(date(year(F54),month(F54),1),Mes)/30  ,  DAYS360(date(year(E54),month(E54),1),Mes)/30) &gt; 0 , If(F54,   DAYS360(date(year(F54),month(F54),1),Mes)/30  ,  DAYS360(date(year(E54),month(E54),1),Mes)/30) , 0)</f>
        <v>151</v>
      </c>
      <c r="L54" s="2">
        <f t="shared" si="3"/>
        <v>1812000</v>
      </c>
      <c r="M54" s="559"/>
      <c r="N54" s="559"/>
      <c r="O54" s="559"/>
      <c r="P54" s="559"/>
      <c r="Q54" s="559"/>
      <c r="R54" s="559"/>
      <c r="S54" s="559"/>
      <c r="T54" s="559"/>
    </row>
    <row r="55">
      <c r="A55" s="550" t="s">
        <v>71</v>
      </c>
      <c r="B55" s="551">
        <v>1356.0</v>
      </c>
      <c r="C55" s="552">
        <v>1356.0</v>
      </c>
      <c r="D55" s="34" t="str">
        <f>if(   iserror(offset(PADRON!B$2,match(C:C,PADRON!A$2:A376,0)-1,0,1,1) )  ,  ,    offset(PADRON!B$2,match(C:C,PADRON!A$2:A376,0)-1,0,1,1))</f>
        <v>HABURA, SERGIO</v>
      </c>
      <c r="E55" s="554">
        <v>42401.0</v>
      </c>
      <c r="F55" s="555"/>
      <c r="G55" s="23" t="s">
        <v>56</v>
      </c>
      <c r="H55" s="556">
        <f>IF( ISERROR( OFFSET(   'Cuadro tarifario'!D$2  , MATCH(CONCATENATE(                 IF(F55&gt;Mes,OFFSET(NroCT!B$17, MATCH($F55,NroCT!$A$18:$A376,0),0,1,1),Periodovigente)                                                                                                                     ,A55) ,'Cuadro tarifario'!A$2:A376,0) -1 , 0 , 1 , 1) )   , 0  ,   OFFSET(   'Cuadro tarifario'!D$2  , MATCH(CONCATENATE( IF(F55&gt;Mes,OFFSET(NroCT!B$17, MATCH($F55,NroCT!$A$18:$A376,0),0,1,1),Periodovigente) ,A55) ,'Cuadro tarifario'!A$2:A376,0) -1 , 0 , 1 , 1))</f>
        <v>11000</v>
      </c>
      <c r="I55" s="36">
        <f t="shared" si="6"/>
        <v>0</v>
      </c>
      <c r="J55" s="557">
        <f t="shared" si="2"/>
        <v>0</v>
      </c>
      <c r="K55" s="2">
        <f>if(  and(M55&gt;0,I55=0)          ,M55 ,                         If(  If( F55 ,  DAYS360(date(year(F55),month(F55),1),Mes)/30  ,  DAYS360(date(year(E55),month(E55),1),Mes)/30  )  &gt;  0 , If(F55,   DAYS360(date(year(F55),month(F55),1),Mes)/30  ,  DAYS360(date(year(E55),month(E55),1),Mes)/30) , 0)       )</f>
        <v>114</v>
      </c>
      <c r="L55" s="39">
        <f t="shared" si="3"/>
        <v>1254000</v>
      </c>
      <c r="M55" s="314"/>
      <c r="N55" s="314"/>
      <c r="O55" s="3"/>
      <c r="P55" s="3"/>
      <c r="Q55" s="3"/>
      <c r="R55" s="3"/>
      <c r="S55" s="3"/>
      <c r="T55" s="3"/>
    </row>
    <row r="56">
      <c r="A56" s="550" t="s">
        <v>71</v>
      </c>
      <c r="B56" s="551">
        <v>1363.0</v>
      </c>
      <c r="C56" s="552">
        <v>1363.0</v>
      </c>
      <c r="D56" s="553" t="str">
        <f>if(   iserror(offset(PADRON!B$2,match(C:C,PADRON!A$2:A376,0)-1,0,1,1) )  ,  ,    offset(PADRON!B$2,match(C:C,PADRON!A$2:A376,0)-1,0,1,1))</f>
        <v>IGLESIAS, CELIA</v>
      </c>
      <c r="E56" s="554">
        <v>42644.0</v>
      </c>
      <c r="F56" s="555"/>
      <c r="G56" s="23" t="s">
        <v>56</v>
      </c>
      <c r="H56" s="556">
        <f>IF( ISERROR( OFFSET(   'Cuadro tarifario'!D$2  , MATCH(CONCATENATE(                 IF(F56&gt;Mes,OFFSET(NroCT!B$17, MATCH($F56,NroCT!$A$18:$A376,0),0,1,1),Periodovigente)                                                                                                                     ,A56) ,'Cuadro tarifario'!A$2:A376,0) -1 , 0 , 1 , 1) )   , 0  ,   OFFSET(   'Cuadro tarifario'!D$2  , MATCH(CONCATENATE( IF(F56&gt;Mes,OFFSET(NroCT!B$17, MATCH($F56,NroCT!$A$18:$A376,0),0,1,1),Periodovigente) ,A56) ,'Cuadro tarifario'!A$2:A376,0) -1 , 0 , 1 , 1))</f>
        <v>11000</v>
      </c>
      <c r="I56" s="1">
        <f t="shared" si="6"/>
        <v>0</v>
      </c>
      <c r="J56" s="557">
        <f t="shared" si="2"/>
        <v>0</v>
      </c>
      <c r="K56" s="2">
        <f>if(  and(M56&gt;0,I56=0)          ,M56 ,                         If(  If( F56 ,  DAYS360(date(year(F56),month(F56),1),Mes)/30  ,  DAYS360(date(year(E56),month(E56),1),Mes)/30  )  &gt;  0 , If(F56,   DAYS360(date(year(F56),month(F56),1),Mes)/30  ,  DAYS360(date(year(E56),month(E56),1),Mes)/30) , 0)       )</f>
        <v>106</v>
      </c>
      <c r="L56" s="558">
        <f t="shared" si="3"/>
        <v>1166000</v>
      </c>
      <c r="M56" s="314"/>
      <c r="N56" s="314"/>
      <c r="O56" s="3"/>
      <c r="P56" s="3"/>
      <c r="Q56" s="3"/>
      <c r="R56" s="3"/>
      <c r="S56" s="3"/>
      <c r="T56" s="3"/>
    </row>
    <row r="57">
      <c r="A57" s="550" t="s">
        <v>71</v>
      </c>
      <c r="B57" s="551">
        <v>1365.0</v>
      </c>
      <c r="C57" s="552">
        <v>1365.0</v>
      </c>
      <c r="D57" s="553" t="str">
        <f>if(   iserror(offset(PADRON!B$2,match(C:C,PADRON!A$2:A376,0)-1,0,1,1) )  ,  ,    offset(PADRON!B$2,match(C:C,PADRON!A$2:A376,0)-1,0,1,1))</f>
        <v>JUILLERAT, CARLOS</v>
      </c>
      <c r="E57" s="554">
        <v>40909.0</v>
      </c>
      <c r="F57" s="564"/>
      <c r="G57" s="23" t="s">
        <v>56</v>
      </c>
      <c r="H57" s="556">
        <f>if( iserror( offset(   'Cuadro tarifario'!D$2  , match(concatenate(                 If(F57&gt;Periodovigente,Offset(NroCT!B$17, match($F57,NroCT!$A$18:$A376,0),0,1,1),Periodovigente)                                                                                                                     ,A57) ,'Cuadro tarifario'!A$2:A376,0) -1 , 0 , 1 , 1) )   , 0  ,   offset(   'Cuadro tarifario'!D$2  , match(concatenate( If(F57&gt;Periodovigente,Offset(NroCT!B$17, match($F57,NroCT!$A$18:$A376,0),0,1,1),Periodovigente) ,A57) ,'Cuadro tarifario'!A$2:A376,0) -1 , 0 , 1 , 1))</f>
        <v>11000</v>
      </c>
      <c r="I57" s="1">
        <f t="shared" si="6"/>
        <v>0</v>
      </c>
      <c r="J57" s="557">
        <f t="shared" si="2"/>
        <v>0</v>
      </c>
      <c r="K57" s="2">
        <f>If(  If(F57,   DAYS360(date(year(F57),month(F57),1),Mes)/30  ,  DAYS360(date(year(E57),month(E57),1),Mes)/30) &gt; 0 , If(F57,   DAYS360(date(year(F57),month(F57),1),Mes)/30  ,  DAYS360(date(year(E57),month(E57),1),Mes)/30) , 0)</f>
        <v>163</v>
      </c>
      <c r="L57" s="558">
        <f t="shared" si="3"/>
        <v>1793000</v>
      </c>
      <c r="M57" s="559"/>
      <c r="N57" s="559"/>
      <c r="O57" s="559"/>
      <c r="P57" s="559"/>
      <c r="Q57" s="559"/>
      <c r="R57" s="559"/>
      <c r="S57" s="559"/>
      <c r="T57" s="559"/>
    </row>
    <row r="58">
      <c r="A58" s="550" t="s">
        <v>71</v>
      </c>
      <c r="B58" s="551">
        <v>1373.0</v>
      </c>
      <c r="C58" s="552">
        <v>1373.0</v>
      </c>
      <c r="D58" s="553" t="str">
        <f>if(   iserror(offset(PADRON!B$2,match(C:C,PADRON!A$2:A376,0)-1,0,1,1) )  ,  ,    offset(PADRON!B$2,match(C:C,PADRON!A$2:A376,0)-1,0,1,1))</f>
        <v/>
      </c>
      <c r="E58" s="554">
        <v>41306.0</v>
      </c>
      <c r="F58" s="555"/>
      <c r="G58" s="23" t="s">
        <v>56</v>
      </c>
      <c r="H58" s="556">
        <f>if( iserror( offset(   'Cuadro tarifario'!D$2  , match(concatenate(                 If(F58&gt;Periodovigente,Offset(NroCT!B$17, match($F58,NroCT!$A$18:$A376,0),0,1,1),Periodovigente)                                                                                                                     ,A58) ,'Cuadro tarifario'!A$2:A376,0) -1 , 0 , 1 , 1) )   , 0  ,   offset(   'Cuadro tarifario'!D$2  , match(concatenate( If(F58&gt;Periodovigente,Offset(NroCT!B$17, match($F58,NroCT!$A$18:$A376,0),0,1,1),Periodovigente) ,A58) ,'Cuadro tarifario'!A$2:A376,0) -1 , 0 , 1 , 1))</f>
        <v>11000</v>
      </c>
      <c r="I58" s="1">
        <f t="shared" si="6"/>
        <v>0</v>
      </c>
      <c r="J58" s="557">
        <f t="shared" si="2"/>
        <v>0</v>
      </c>
      <c r="K58" s="2">
        <f>If(  If(F58,   DAYS360(date(year(F58),month(F58),1),Mes)/30  ,  DAYS360(date(year(E58),month(E58),1),Mes)/30) &gt; 0 , If(F58,   DAYS360(date(year(F58),month(F58),1),Mes)/30  ,  DAYS360(date(year(E58),month(E58),1),Mes)/30) , 0)</f>
        <v>150</v>
      </c>
      <c r="L58" s="558">
        <f t="shared" si="3"/>
        <v>1650000</v>
      </c>
      <c r="M58" s="559"/>
      <c r="N58" s="559"/>
      <c r="O58" s="559"/>
      <c r="P58" s="559"/>
      <c r="Q58" s="559"/>
      <c r="R58" s="559"/>
      <c r="S58" s="559"/>
      <c r="T58" s="559"/>
    </row>
    <row r="59">
      <c r="A59" s="575" t="s">
        <v>82</v>
      </c>
      <c r="B59" s="576" t="s">
        <v>162</v>
      </c>
      <c r="C59" s="552">
        <v>1373.0</v>
      </c>
      <c r="D59" s="553" t="str">
        <f>if(   iserror(offset(PADRON!B$2,match(C:C,PADRON!A$2:A376,0)-1,0,1,1) )  ,  ,    offset(PADRON!B$2,match(C:C,PADRON!A$2:A376,0)-1,0,1,1))</f>
        <v/>
      </c>
      <c r="E59" s="554">
        <v>41306.0</v>
      </c>
      <c r="F59" s="555"/>
      <c r="G59" s="23" t="s">
        <v>56</v>
      </c>
      <c r="H59" s="577">
        <f>if( iserror( offset(   'Cuadro tarifario'!D$2  , match(concatenate(                 If(F59&gt;Periodovigente,Offset(NroCT!B$17, match($F59,NroCT!$A$18:$A376,0),0,1,1),Periodovigente)                                                                                                                     ,A59) ,'Cuadro tarifario'!A$2:A376,0) -1 , 0 , 1 , 1) )   , 0  ,   offset(   'Cuadro tarifario'!D$2  , match(concatenate( If(F59&gt;Periodovigente,Offset(NroCT!B$17, match($F59,NroCT!$A$18:$A376,0),0,1,1),Periodovigente) ,A59) ,'Cuadro tarifario'!A$2:A376,0) -1 , 0 , 1 , 1))</f>
        <v>12000</v>
      </c>
      <c r="I59" s="1">
        <f t="shared" si="6"/>
        <v>0</v>
      </c>
      <c r="J59" s="1">
        <f t="shared" si="2"/>
        <v>0</v>
      </c>
      <c r="K59" s="2">
        <f>If(  If(F59,   DAYS360(date(year(F59),month(F59),1),Mes)/30  ,  DAYS360(date(year(E59),month(E59),1),Mes)/30) &gt; 0 , If(F59,   DAYS360(date(year(F59),month(F59),1),Mes)/30  ,  DAYS360(date(year(E59),month(E59),1),Mes)/30) , 0)</f>
        <v>150</v>
      </c>
      <c r="L59" s="2">
        <f t="shared" si="3"/>
        <v>1800000</v>
      </c>
      <c r="M59" s="559"/>
      <c r="N59" s="559"/>
      <c r="O59" s="559"/>
      <c r="P59" s="559"/>
      <c r="Q59" s="559"/>
      <c r="R59" s="559"/>
      <c r="S59" s="559"/>
      <c r="T59" s="559"/>
    </row>
    <row r="60">
      <c r="A60" s="550" t="s">
        <v>71</v>
      </c>
      <c r="B60" s="551">
        <v>1374.0</v>
      </c>
      <c r="C60" s="552">
        <v>1374.0</v>
      </c>
      <c r="D60" s="553" t="str">
        <f>if(   iserror(offset(PADRON!B$2,match(C:C,PADRON!A$2:A376,0)-1,0,1,1) )  ,  ,    offset(PADRON!B$2,match(C:C,PADRON!A$2:A376,0)-1,0,1,1))</f>
        <v>GORGA, ALFREDO</v>
      </c>
      <c r="E60" s="554">
        <v>42370.0</v>
      </c>
      <c r="F60" s="555"/>
      <c r="G60" s="23" t="s">
        <v>56</v>
      </c>
      <c r="H60" s="556">
        <f>IF( ISERROR( OFFSET(   'Cuadro tarifario'!D$2  , MATCH(CONCATENATE(                 IF(F60&gt;Mes,OFFSET(NroCT!B$17, MATCH($F60,NroCT!$A$18:$A376,0),0,1,1),Periodovigente)                                                                                                                     ,A60) ,'Cuadro tarifario'!A$2:A376,0) -1 , 0 , 1 , 1) )   , 0  ,   OFFSET(   'Cuadro tarifario'!D$2  , MATCH(CONCATENATE( IF(F60&gt;Mes,OFFSET(NroCT!B$17, MATCH($F60,NroCT!$A$18:$A376,0),0,1,1),Periodovigente) ,A60) ,'Cuadro tarifario'!A$2:A376,0) -1 , 0 , 1 , 1))</f>
        <v>11000</v>
      </c>
      <c r="I60" s="1">
        <f t="shared" si="6"/>
        <v>0</v>
      </c>
      <c r="J60" s="557">
        <f t="shared" si="2"/>
        <v>0</v>
      </c>
      <c r="K60" s="2">
        <f>if(  and(M60&gt;0,I60=0)          ,M60 ,                         If(  If( F60 ,  DAYS360(date(year(F60),month(F60),1),Mes)/30  ,  DAYS360(date(year(E60),month(E60),1),Mes)/30  )  &gt;  0 , If(F60,   DAYS360(date(year(F60),month(F60),1),Mes)/30  ,  DAYS360(date(year(E60),month(E60),1),Mes)/30) , 0)       )</f>
        <v>115</v>
      </c>
      <c r="L60" s="558">
        <f t="shared" si="3"/>
        <v>1265000</v>
      </c>
      <c r="M60" s="314"/>
      <c r="N60" s="314"/>
      <c r="O60" s="3"/>
      <c r="P60" s="3"/>
      <c r="Q60" s="3"/>
      <c r="R60" s="3"/>
      <c r="S60" s="3"/>
      <c r="T60" s="3"/>
    </row>
    <row r="61">
      <c r="A61" s="550" t="s">
        <v>71</v>
      </c>
      <c r="B61" s="551">
        <v>1380.0</v>
      </c>
      <c r="C61" s="552">
        <v>1380.0</v>
      </c>
      <c r="D61" s="553" t="str">
        <f>if(   iserror(offset(PADRON!B$2,match(C:C,PADRON!A$2:A376,0)-1,0,1,1) )  ,  ,    offset(PADRON!B$2,match(C:C,PADRON!A$2:A376,0)-1,0,1,1))</f>
        <v>DE CASTRO, LUCAS</v>
      </c>
      <c r="E61" s="554">
        <v>42125.0</v>
      </c>
      <c r="F61" s="555"/>
      <c r="G61" s="23" t="s">
        <v>56</v>
      </c>
      <c r="H61" s="556">
        <f>IF( ISERROR( OFFSET(   'Cuadro tarifario'!D$2  , MATCH(CONCATENATE(                 IF(F61&gt;Mes,OFFSET(NroCT!B$17, MATCH($F61,NroCT!$A$18:$A376,0),0,1,1),Periodovigente)                                                                                                                     ,A61) ,'Cuadro tarifario'!A$2:A376,0) -1 , 0 , 1 , 1) )   , 0  ,   OFFSET(   'Cuadro tarifario'!D$2  , MATCH(CONCATENATE( IF(F61&gt;Mes,OFFSET(NroCT!B$17, MATCH($F61,NroCT!$A$18:$A376,0),0,1,1),Periodovigente) ,A61) ,'Cuadro tarifario'!A$2:A376,0) -1 , 0 , 1 , 1))</f>
        <v>11000</v>
      </c>
      <c r="I61" s="1">
        <f t="shared" si="6"/>
        <v>0</v>
      </c>
      <c r="J61" s="557">
        <f t="shared" si="2"/>
        <v>0</v>
      </c>
      <c r="K61" s="2">
        <f>if(  and(M61&gt;0,I61=0)          ,M61 ,                         If(  If( F61 ,  DAYS360(date(year(F61),month(F61),1),Mes)/30  ,  DAYS360(date(year(E61),month(E61),1),Mes)/30  )  &gt;  0 , If(F61,   DAYS360(date(year(F61),month(F61),1),Mes)/30  ,  DAYS360(date(year(E61),month(E61),1),Mes)/30) , 0)       )</f>
        <v>123</v>
      </c>
      <c r="L61" s="558">
        <f t="shared" si="3"/>
        <v>1353000</v>
      </c>
      <c r="M61" s="314">
        <f>If( iserror(offset(SECUESTRADOS!D$1,match(B61,SECUESTRADOS!A$2:A376,0),0)) ,0 ,  offset(SECUESTRADOS!D$1,match(B61,SECUESTRADOS!A$2:A376,0),0)  )</f>
        <v>0</v>
      </c>
      <c r="N61" s="314"/>
      <c r="O61" s="3" t="b">
        <f t="shared" ref="O61:O62" si="7">if(I61,A61)</f>
        <v>0</v>
      </c>
      <c r="P61" s="3" t="str">
        <f t="shared" ref="P61:P62" si="8">if(and(A61=A60,B61=B60,C61=C60),"Repetido","")</f>
        <v/>
      </c>
      <c r="Q61" s="3"/>
      <c r="R61" s="3"/>
      <c r="S61" s="3"/>
      <c r="T61" s="3"/>
    </row>
    <row r="62">
      <c r="A62" s="560" t="s">
        <v>40</v>
      </c>
      <c r="B62" s="561" t="s">
        <v>64</v>
      </c>
      <c r="C62" s="552">
        <v>1380.0</v>
      </c>
      <c r="D62" s="553" t="str">
        <f>if(   iserror(offset(PADRON!B$2,match(C:C,PADRON!A$2:A376,0)-1,0,1,1) )  ,  ,    offset(PADRON!B$2,match(C:C,PADRON!A$2:A376,0)-1,0,1,1))</f>
        <v>DE CASTRO, LUCAS</v>
      </c>
      <c r="E62" s="555">
        <v>42125.0</v>
      </c>
      <c r="F62" s="555"/>
      <c r="G62" s="23" t="s">
        <v>56</v>
      </c>
      <c r="H62" s="556">
        <f>IF( ISERROR( OFFSET(   'Cuadro tarifario'!D$2  , MATCH(CONCATENATE(                 IF(F62&gt;Mes,OFFSET(NroCT!B$17, MATCH($F62,NroCT!$A$18:$A376,0),0,1,1),Periodovigente)                                                                                                                     ,A62) ,'Cuadro tarifario'!A$2:A376,0) -1 , 0 , 1 , 1) )   , 0  ,   OFFSET(   'Cuadro tarifario'!D$2  , MATCH(CONCATENATE( IF(F62&gt;Mes,OFFSET(NroCT!B$17, MATCH($F62,NroCT!$A$18:$A376,0),0,1,1),Periodovigente) ,A62) ,'Cuadro tarifario'!A$2:A376,0) -1 , 0 , 1 , 1))</f>
        <v>12000</v>
      </c>
      <c r="I62" s="1">
        <f t="shared" si="6"/>
        <v>0</v>
      </c>
      <c r="J62" s="557">
        <f t="shared" si="2"/>
        <v>0</v>
      </c>
      <c r="K62" s="2">
        <f>if(  and(M62&gt;0,I62=0)          ,M62 ,                         If(  If( F62 ,  DAYS360(date(year(F62),month(F62),1),Mes)/30  ,  DAYS360(date(year(E62),month(E62),1),Mes)/30  )  &gt;  0 , If(F62,   DAYS360(date(year(F62),month(F62),1),Mes)/30  ,  DAYS360(date(year(E62),month(E62),1),Mes)/30) , 0)       )</f>
        <v>123</v>
      </c>
      <c r="L62" s="558">
        <f t="shared" si="3"/>
        <v>1476000</v>
      </c>
      <c r="M62" s="314">
        <f>If( iserror(offset(SECUESTRADOS!D$1,match(B62,SECUESTRADOS!A$2:A376,0),0)) ,0 ,  offset(SECUESTRADOS!D$1,match(B62,SECUESTRADOS!A$2:A376,0),0)  )</f>
        <v>0</v>
      </c>
      <c r="N62" s="314"/>
      <c r="O62" s="3" t="b">
        <f t="shared" si="7"/>
        <v>0</v>
      </c>
      <c r="P62" s="3" t="str">
        <f t="shared" si="8"/>
        <v/>
      </c>
      <c r="Q62" s="3"/>
      <c r="R62" s="3"/>
      <c r="S62" s="3"/>
      <c r="T62" s="3"/>
    </row>
    <row r="63">
      <c r="A63" s="550" t="s">
        <v>71</v>
      </c>
      <c r="B63" s="551">
        <v>1383.0</v>
      </c>
      <c r="C63" s="552">
        <v>1383.0</v>
      </c>
      <c r="D63" s="553" t="str">
        <f>if(   iserror(offset(PADRON!B$2,match(C:C,PADRON!A$2:A376,0)-1,0,1,1) )  ,  ,    offset(PADRON!B$2,match(C:C,PADRON!A$2:A376,0)-1,0,1,1))</f>
        <v>GUILENEA, CARLOS</v>
      </c>
      <c r="E63" s="554">
        <v>41426.0</v>
      </c>
      <c r="F63" s="555"/>
      <c r="G63" s="23" t="s">
        <v>56</v>
      </c>
      <c r="H63" s="556">
        <f>if( iserror( offset(   'Cuadro tarifario'!D$2  , match(concatenate(                 If(F63&gt;Periodovigente,Offset(NroCT!B$17, match($F63,NroCT!$A$18:$A376,0),0,1,1),Periodovigente)                                                                                                                     ,A63) ,'Cuadro tarifario'!A$2:A376,0) -1 , 0 , 1 , 1) )   , 0  ,   offset(   'Cuadro tarifario'!D$2  , match(concatenate( If(F63&gt;Periodovigente,Offset(NroCT!B$17, match($F63,NroCT!$A$18:$A376,0),0,1,1),Periodovigente) ,A63) ,'Cuadro tarifario'!A$2:A376,0) -1 , 0 , 1 , 1))</f>
        <v>11000</v>
      </c>
      <c r="I63" s="1">
        <f t="shared" si="6"/>
        <v>0</v>
      </c>
      <c r="J63" s="557">
        <f t="shared" si="2"/>
        <v>0</v>
      </c>
      <c r="K63" s="2">
        <f>If(  If(F63,   DAYS360(date(year(F63),month(F63),1),Mes)/30  ,  DAYS360(date(year(E63),month(E63),1),Mes)/30) &gt; 0 , If(F63,   DAYS360(date(year(F63),month(F63),1),Mes)/30  ,  DAYS360(date(year(E63),month(E63),1),Mes)/30) , 0)</f>
        <v>146</v>
      </c>
      <c r="L63" s="558">
        <f t="shared" si="3"/>
        <v>1606000</v>
      </c>
      <c r="M63" s="559"/>
      <c r="N63" s="559"/>
      <c r="O63" s="559"/>
      <c r="P63" s="559"/>
      <c r="Q63" s="559"/>
      <c r="R63" s="559"/>
      <c r="S63" s="559"/>
      <c r="T63" s="559"/>
    </row>
    <row r="64">
      <c r="A64" s="550" t="s">
        <v>71</v>
      </c>
      <c r="B64" s="551">
        <v>1386.0</v>
      </c>
      <c r="C64" s="552">
        <v>1386.0</v>
      </c>
      <c r="D64" s="553" t="str">
        <f>if(   iserror(offset(PADRON!B$2,match(C:C,PADRON!A$2:A376,0)-1,0,1,1) )  ,  ,    offset(PADRON!B$2,match(C:C,PADRON!A$2:A376,0)-1,0,1,1))</f>
        <v>MARTINEZ, GASTON</v>
      </c>
      <c r="E64" s="554">
        <v>41974.0</v>
      </c>
      <c r="F64" s="555"/>
      <c r="G64" s="23" t="s">
        <v>56</v>
      </c>
      <c r="H64" s="556">
        <f>IF( ISERROR( OFFSET(   'Cuadro tarifario'!D$2  , MATCH(CONCATENATE(                 IF(F64&gt;Mes,OFFSET(NroCT!B$17, MATCH($F64,NroCT!$A$18:$A376,0),0,1,1),Periodovigente)                                                                                                                     ,A64) ,'Cuadro tarifario'!A$2:A376,0) -1 , 0 , 1 , 1) )   , 0  ,   OFFSET(   'Cuadro tarifario'!D$2  , MATCH(CONCATENATE( IF(F64&gt;Mes,OFFSET(NroCT!B$17, MATCH($F64,NroCT!$A$18:$A376,0),0,1,1),Periodovigente) ,A64) ,'Cuadro tarifario'!A$2:A376,0) -1 , 0 , 1 , 1))</f>
        <v>11000</v>
      </c>
      <c r="I64" s="1">
        <f t="shared" si="6"/>
        <v>0</v>
      </c>
      <c r="J64" s="557">
        <f t="shared" si="2"/>
        <v>0</v>
      </c>
      <c r="K64" s="2">
        <f>if(  and(M64&gt;0,I64=0)          ,M64 ,                         If(  If( F64 ,  DAYS360(date(year(F64),month(F64),1),Mes)/30  ,  DAYS360(date(year(E64),month(E64),1),Mes)/30  )  &gt;  0 , If(F64,   DAYS360(date(year(F64),month(F64),1),Mes)/30  ,  DAYS360(date(year(E64),month(E64),1),Mes)/30) , 0)       )</f>
        <v>128</v>
      </c>
      <c r="L64" s="558">
        <f t="shared" si="3"/>
        <v>1408000</v>
      </c>
      <c r="M64" s="314"/>
      <c r="N64" s="314"/>
      <c r="O64" s="3"/>
      <c r="P64" s="3"/>
      <c r="Q64" s="3"/>
      <c r="R64" s="3"/>
      <c r="S64" s="3"/>
      <c r="T64" s="3"/>
    </row>
    <row r="65">
      <c r="A65" s="550" t="s">
        <v>71</v>
      </c>
      <c r="B65" s="551">
        <v>1386.0</v>
      </c>
      <c r="C65" s="552">
        <v>1386.0</v>
      </c>
      <c r="D65" s="553" t="str">
        <f>if(   iserror(offset(PADRON!B$2,match(C:C,PADRON!A$2:A376,0)-1,0,1,1) )  ,  ,    offset(PADRON!B$2,match(C:C,PADRON!A$2:A376,0)-1,0,1,1))</f>
        <v>MARTINEZ, GASTON</v>
      </c>
      <c r="E65" s="554">
        <v>41974.0</v>
      </c>
      <c r="F65" s="555"/>
      <c r="G65" s="23" t="s">
        <v>56</v>
      </c>
      <c r="H65" s="556">
        <f>IF( ISERROR( OFFSET(   'Cuadro tarifario'!D$2  , MATCH(CONCATENATE(                 IF(F65&gt;Mes,OFFSET(NroCT!B$17, MATCH($F65,NroCT!$A$18:$A376,0),0,1,1),Periodovigente)                                                                                                                     ,A65) ,'Cuadro tarifario'!A$2:A376,0) -1 , 0 , 1 , 1) )   , 0  ,   OFFSET(   'Cuadro tarifario'!D$2  , MATCH(CONCATENATE( IF(F65&gt;Mes,OFFSET(NroCT!B$17, MATCH($F65,NroCT!$A$18:$A376,0),0,1,1),Periodovigente) ,A65) ,'Cuadro tarifario'!A$2:A376,0) -1 , 0 , 1 , 1))</f>
        <v>11000</v>
      </c>
      <c r="I65" s="1">
        <f t="shared" si="6"/>
        <v>0</v>
      </c>
      <c r="J65" s="557">
        <f t="shared" si="2"/>
        <v>0</v>
      </c>
      <c r="K65" s="2">
        <f>if(  and(M65&gt;0,I65=0)          ,M65 ,                         If(  If( F65 ,  DAYS360(date(year(F65),month(F65),1),Mes)/30  ,  DAYS360(date(year(E65),month(E65),1),Mes)/30  )  &gt;  0 , If(F65,   DAYS360(date(year(F65),month(F65),1),Mes)/30  ,  DAYS360(date(year(E65),month(E65),1),Mes)/30) , 0)       )</f>
        <v>128</v>
      </c>
      <c r="L65" s="558">
        <f t="shared" si="3"/>
        <v>1408000</v>
      </c>
      <c r="M65" s="314">
        <f>If( iserror(offset(SECUESTRADOS!D$1,match(B65,SECUESTRADOS!A$2:A376,0),0)) ,0 ,  offset(SECUESTRADOS!D$1,match(B65,SECUESTRADOS!A$2:A376,0),0)  )</f>
        <v>0</v>
      </c>
      <c r="N65" s="314"/>
      <c r="O65" s="3" t="b">
        <f>if(I65,A65)</f>
        <v>0</v>
      </c>
      <c r="P65" s="3" t="str">
        <f>if(and(A65=A64,B65=B64,C65=C64),"Repetido","")</f>
        <v>Repetido</v>
      </c>
      <c r="Q65" s="3"/>
      <c r="R65" s="3"/>
      <c r="S65" s="3"/>
      <c r="T65" s="3"/>
    </row>
    <row r="66">
      <c r="A66" s="550" t="s">
        <v>71</v>
      </c>
      <c r="B66" s="551">
        <v>1388.0</v>
      </c>
      <c r="C66" s="552">
        <v>1388.0</v>
      </c>
      <c r="D66" s="553" t="str">
        <f>if(   iserror(offset(PADRON!B$2,match(C:C,PADRON!A$2:A376,0)-1,0,1,1) )  ,  ,    offset(PADRON!B$2,match(C:C,PADRON!A$2:A376,0)-1,0,1,1))</f>
        <v>ARCE, LEANDRO MARTIN</v>
      </c>
      <c r="E66" s="554">
        <v>41244.0</v>
      </c>
      <c r="F66" s="564"/>
      <c r="G66" s="23" t="s">
        <v>56</v>
      </c>
      <c r="H66" s="556">
        <f>if( iserror( offset(   'Cuadro tarifario'!D$2  , match(concatenate(                 If(F66&gt;Periodovigente,Offset(NroCT!B$17, match($F66,NroCT!$A$18:$A376,0),0,1,1),Periodovigente)                                                                                                                     ,A66) ,'Cuadro tarifario'!A$2:A376,0) -1 , 0 , 1 , 1) )   , 0  ,   offset(   'Cuadro tarifario'!D$2  , match(concatenate( If(F66&gt;Periodovigente,Offset(NroCT!B$17, match($F66,NroCT!$A$18:$A376,0),0,1,1),Periodovigente) ,A66) ,'Cuadro tarifario'!A$2:A376,0) -1 , 0 , 1 , 1))</f>
        <v>11000</v>
      </c>
      <c r="I66" s="1">
        <f t="shared" si="6"/>
        <v>0</v>
      </c>
      <c r="J66" s="557">
        <f t="shared" si="2"/>
        <v>0</v>
      </c>
      <c r="K66" s="2">
        <f>If(  If(F66,   DAYS360(date(year(F66),month(F66),1),Mes)/30  ,  DAYS360(date(year(E66),month(E66),1),Mes)/30) &gt; 0 , If(F66,   DAYS360(date(year(F66),month(F66),1),Mes)/30  ,  DAYS360(date(year(E66),month(E66),1),Mes)/30) , 0)</f>
        <v>152</v>
      </c>
      <c r="L66" s="558">
        <f t="shared" si="3"/>
        <v>1672000</v>
      </c>
      <c r="M66" s="559"/>
      <c r="N66" s="559"/>
      <c r="O66" s="559"/>
      <c r="P66" s="559"/>
      <c r="Q66" s="559"/>
      <c r="R66" s="559"/>
      <c r="S66" s="559"/>
      <c r="T66" s="559"/>
    </row>
    <row r="67">
      <c r="A67" s="550" t="s">
        <v>71</v>
      </c>
      <c r="B67" s="551">
        <v>1389.0</v>
      </c>
      <c r="C67" s="552">
        <v>1389.0</v>
      </c>
      <c r="D67" s="553" t="str">
        <f>if(   iserror(offset(PADRON!B$2,match(C:C,PADRON!A$2:A376,0)-1,0,1,1) )  ,  ,    offset(PADRON!B$2,match(C:C,PADRON!A$2:A376,0)-1,0,1,1))</f>
        <v>REYNOSO, NATALIA</v>
      </c>
      <c r="E67" s="554">
        <v>41244.0</v>
      </c>
      <c r="F67" s="564"/>
      <c r="G67" s="23" t="s">
        <v>56</v>
      </c>
      <c r="H67" s="556">
        <f>if( iserror( offset(   'Cuadro tarifario'!D$2  , match(concatenate(                 If(F67&gt;Periodovigente,Offset(NroCT!B$17, match($F67,NroCT!$A$18:$A376,0),0,1,1),Periodovigente)                                                                                                                     ,A67) ,'Cuadro tarifario'!A$2:A376,0) -1 , 0 , 1 , 1) )   , 0  ,   offset(   'Cuadro tarifario'!D$2  , match(concatenate( If(F67&gt;Periodovigente,Offset(NroCT!B$17, match($F67,NroCT!$A$18:$A376,0),0,1,1),Periodovigente) ,A67) ,'Cuadro tarifario'!A$2:A376,0) -1 , 0 , 1 , 1))</f>
        <v>11000</v>
      </c>
      <c r="I67" s="1">
        <f t="shared" si="6"/>
        <v>0</v>
      </c>
      <c r="J67" s="557">
        <f t="shared" si="2"/>
        <v>0</v>
      </c>
      <c r="K67" s="2">
        <f>If(  If(F67,   DAYS360(date(year(F67),month(F67),1),Mes)/30  ,  DAYS360(date(year(E67),month(E67),1),Mes)/30) &gt; 0 , If(F67,   DAYS360(date(year(F67),month(F67),1),Mes)/30  ,  DAYS360(date(year(E67),month(E67),1),Mes)/30) , 0)</f>
        <v>152</v>
      </c>
      <c r="L67" s="558">
        <f t="shared" si="3"/>
        <v>1672000</v>
      </c>
      <c r="M67" s="559"/>
      <c r="N67" s="559"/>
      <c r="O67" s="559"/>
      <c r="P67" s="559"/>
      <c r="Q67" s="559"/>
      <c r="R67" s="559"/>
      <c r="S67" s="559"/>
      <c r="T67" s="559"/>
    </row>
    <row r="68">
      <c r="A68" s="550" t="s">
        <v>71</v>
      </c>
      <c r="B68" s="551">
        <v>1391.0</v>
      </c>
      <c r="C68" s="552">
        <v>1391.0</v>
      </c>
      <c r="D68" s="553" t="str">
        <f>if(   iserror(offset(PADRON!B$2,match(C:C,PADRON!A$2:A376,0)-1,0,1,1) )  ,  ,    offset(PADRON!B$2,match(C:C,PADRON!A$2:A376,0)-1,0,1,1))</f>
        <v>FERNANDEZ CASTILLO, EZEQUIEL</v>
      </c>
      <c r="E68" s="555">
        <v>41214.0</v>
      </c>
      <c r="F68" s="564"/>
      <c r="G68" s="23" t="s">
        <v>56</v>
      </c>
      <c r="H68" s="556">
        <f>if( iserror( offset(   'Cuadro tarifario'!D$2  , match(concatenate(                 If(F68&gt;Periodovigente,Offset(NroCT!B$17, match($F68,NroCT!$A$18:$A376,0),0,1,1),Periodovigente)                                                                                                                     ,A68) ,'Cuadro tarifario'!A$2:A376,0) -1 , 0 , 1 , 1) )   , 0  ,   offset(   'Cuadro tarifario'!D$2  , match(concatenate( If(F68&gt;Periodovigente,Offset(NroCT!B$17, match($F68,NroCT!$A$18:$A376,0),0,1,1),Periodovigente) ,A68) ,'Cuadro tarifario'!A$2:A376,0) -1 , 0 , 1 , 1))</f>
        <v>11000</v>
      </c>
      <c r="I68" s="1">
        <f t="shared" si="6"/>
        <v>0</v>
      </c>
      <c r="J68" s="557">
        <f t="shared" si="2"/>
        <v>0</v>
      </c>
      <c r="K68" s="2">
        <f>If(  If(F68,   DAYS360(date(year(F68),month(F68),1),Mes)/30  ,  DAYS360(date(year(E68),month(E68),1),Mes)/30) &gt; 0 , If(F68,   DAYS360(date(year(F68),month(F68),1),Mes)/30  ,  DAYS360(date(year(E68),month(E68),1),Mes)/30) , 0)</f>
        <v>153</v>
      </c>
      <c r="L68" s="558">
        <f t="shared" si="3"/>
        <v>1683000</v>
      </c>
      <c r="M68" s="559"/>
      <c r="N68" s="559"/>
      <c r="O68" s="559"/>
      <c r="P68" s="559"/>
      <c r="Q68" s="559"/>
      <c r="R68" s="559"/>
      <c r="S68" s="559"/>
      <c r="T68" s="559"/>
    </row>
    <row r="69">
      <c r="A69" s="550" t="s">
        <v>71</v>
      </c>
      <c r="B69" s="551">
        <v>1393.0</v>
      </c>
      <c r="C69" s="552">
        <v>1393.0</v>
      </c>
      <c r="D69" s="553" t="str">
        <f>if(   iserror(offset(PADRON!B$2,match(C:C,PADRON!A$2:A376,0)-1,0,1,1) )  ,  ,    offset(PADRON!B$2,match(C:C,PADRON!A$2:A376,0)-1,0,1,1))</f>
        <v>ROSSO, ALEJANDRO</v>
      </c>
      <c r="E69" s="554">
        <v>42036.0</v>
      </c>
      <c r="F69" s="555"/>
      <c r="G69" s="23" t="s">
        <v>56</v>
      </c>
      <c r="H69" s="556">
        <f>IF( ISERROR( OFFSET(   'Cuadro tarifario'!D$2  , MATCH(CONCATENATE(                 IF(F69&gt;Mes,OFFSET(NroCT!B$17, MATCH($F69,NroCT!$A$18:$A376,0),0,1,1),Periodovigente)                                                                                                                     ,A69) ,'Cuadro tarifario'!A$2:A376,0) -1 , 0 , 1 , 1) )   , 0  ,   OFFSET(   'Cuadro tarifario'!D$2  , MATCH(CONCATENATE( IF(F69&gt;Mes,OFFSET(NroCT!B$17, MATCH($F69,NroCT!$A$18:$A376,0),0,1,1),Periodovigente) ,A69) ,'Cuadro tarifario'!A$2:A376,0) -1 , 0 , 1 , 1))</f>
        <v>11000</v>
      </c>
      <c r="I69" s="1">
        <f t="shared" si="6"/>
        <v>0</v>
      </c>
      <c r="J69" s="557">
        <f t="shared" si="2"/>
        <v>0</v>
      </c>
      <c r="K69" s="2">
        <f>if(  and(M69&gt;0,I69=0)          ,M69 ,                         If(  If( F69 ,  DAYS360(date(year(F69),month(F69),1),Mes)/30  ,  DAYS360(date(year(E69),month(E69),1),Mes)/30  )  &gt;  0 , If(F69,   DAYS360(date(year(F69),month(F69),1),Mes)/30  ,  DAYS360(date(year(E69),month(E69),1),Mes)/30) , 0)       )</f>
        <v>126</v>
      </c>
      <c r="L69" s="558">
        <f t="shared" si="3"/>
        <v>1386000</v>
      </c>
      <c r="M69" s="314"/>
      <c r="N69" s="314"/>
      <c r="O69" s="3"/>
      <c r="P69" s="3"/>
      <c r="Q69" s="3"/>
      <c r="R69" s="3"/>
      <c r="S69" s="3"/>
      <c r="T69" s="3"/>
    </row>
    <row r="70">
      <c r="A70" s="550" t="s">
        <v>71</v>
      </c>
      <c r="B70" s="551">
        <v>1398.0</v>
      </c>
      <c r="C70" s="552">
        <v>1398.0</v>
      </c>
      <c r="D70" s="553" t="str">
        <f>if(   iserror(offset(PADRON!B$2,match(C:C,PADRON!A$2:A376,0)-1,0,1,1) )  ,  ,    offset(PADRON!B$2,match(C:C,PADRON!A$2:A376,0)-1,0,1,1))</f>
        <v>BARAVALLE, RAMON</v>
      </c>
      <c r="E70" s="554">
        <v>41244.0</v>
      </c>
      <c r="F70" s="564"/>
      <c r="G70" s="23" t="s">
        <v>56</v>
      </c>
      <c r="H70" s="556">
        <f>if( iserror( offset(   'Cuadro tarifario'!D$2  , match(concatenate(                 If(F70&gt;Periodovigente,Offset(NroCT!B$17, match($F70,NroCT!$A$18:$A376,0),0,1,1),Periodovigente)                                                                                                                     ,A70) ,'Cuadro tarifario'!A$2:A376,0) -1 , 0 , 1 , 1) )   , 0  ,   offset(   'Cuadro tarifario'!D$2  , match(concatenate( If(F70&gt;Periodovigente,Offset(NroCT!B$17, match($F70,NroCT!$A$18:$A376,0),0,1,1),Periodovigente) ,A70) ,'Cuadro tarifario'!A$2:A376,0) -1 , 0 , 1 , 1))</f>
        <v>11000</v>
      </c>
      <c r="I70" s="1">
        <f t="shared" si="6"/>
        <v>0</v>
      </c>
      <c r="J70" s="557">
        <f t="shared" si="2"/>
        <v>0</v>
      </c>
      <c r="K70" s="2">
        <f>If(  If(F70,   DAYS360(date(year(F70),month(F70),1),Mes)/30  ,  DAYS360(date(year(E70),month(E70),1),Mes)/30) &gt; 0 , If(F70,   DAYS360(date(year(F70),month(F70),1),Mes)/30  ,  DAYS360(date(year(E70),month(E70),1),Mes)/30) , 0)</f>
        <v>152</v>
      </c>
      <c r="L70" s="558">
        <f t="shared" si="3"/>
        <v>1672000</v>
      </c>
      <c r="M70" s="559"/>
      <c r="N70" s="559"/>
      <c r="O70" s="559"/>
      <c r="P70" s="559"/>
      <c r="Q70" s="559"/>
      <c r="R70" s="559"/>
      <c r="S70" s="559"/>
      <c r="T70" s="559"/>
    </row>
    <row r="71">
      <c r="A71" s="550" t="s">
        <v>71</v>
      </c>
      <c r="B71" s="551">
        <v>1399.0</v>
      </c>
      <c r="C71" s="552">
        <v>1399.0</v>
      </c>
      <c r="D71" s="553" t="str">
        <f>if(   iserror(offset(PADRON!B$2,match(C:C,PADRON!A$2:A376,0)-1,0,1,1) )  ,  ,    offset(PADRON!B$2,match(C:C,PADRON!A$2:A376,0)-1,0,1,1))</f>
        <v>BARAVALLE, JOSE LUIS</v>
      </c>
      <c r="E71" s="554">
        <v>41244.0</v>
      </c>
      <c r="F71" s="564"/>
      <c r="G71" s="23" t="s">
        <v>56</v>
      </c>
      <c r="H71" s="556">
        <f>if( iserror( offset(   'Cuadro tarifario'!D$2  , match(concatenate(                 If(F71&gt;Periodovigente,Offset(NroCT!B$17, match($F71,NroCT!$A$18:$A376,0),0,1,1),Periodovigente)                                                                                                                     ,A71) ,'Cuadro tarifario'!A$2:A376,0) -1 , 0 , 1 , 1) )   , 0  ,   offset(   'Cuadro tarifario'!D$2  , match(concatenate( If(F71&gt;Periodovigente,Offset(NroCT!B$17, match($F71,NroCT!$A$18:$A376,0),0,1,1),Periodovigente) ,A71) ,'Cuadro tarifario'!A$2:A376,0) -1 , 0 , 1 , 1))</f>
        <v>11000</v>
      </c>
      <c r="I71" s="1">
        <f t="shared" si="6"/>
        <v>0</v>
      </c>
      <c r="J71" s="557">
        <f t="shared" si="2"/>
        <v>0</v>
      </c>
      <c r="K71" s="2">
        <f>If(  If(F71,   DAYS360(date(year(F71),month(F71),1),Mes)/30  ,  DAYS360(date(year(E71),month(E71),1),Mes)/30) &gt; 0 , If(F71,   DAYS360(date(year(F71),month(F71),1),Mes)/30  ,  DAYS360(date(year(E71),month(E71),1),Mes)/30) , 0)</f>
        <v>152</v>
      </c>
      <c r="L71" s="558">
        <f t="shared" si="3"/>
        <v>1672000</v>
      </c>
      <c r="M71" s="559"/>
      <c r="N71" s="559"/>
      <c r="O71" s="559"/>
      <c r="P71" s="559"/>
      <c r="Q71" s="559"/>
      <c r="R71" s="559"/>
      <c r="S71" s="559"/>
      <c r="T71" s="559"/>
    </row>
    <row r="72">
      <c r="A72" s="550" t="s">
        <v>71</v>
      </c>
      <c r="B72" s="551">
        <v>1400.0</v>
      </c>
      <c r="C72" s="552">
        <v>1400.0</v>
      </c>
      <c r="D72" s="553" t="str">
        <f>if(   iserror(offset(PADRON!B$2,match(C:C,PADRON!A$2:A376,0)-1,0,1,1) )  ,  ,    offset(PADRON!B$2,match(C:C,PADRON!A$2:A376,0)-1,0,1,1))</f>
        <v>BARAVALLE, MARIA ESPERANZA</v>
      </c>
      <c r="E72" s="554">
        <v>41244.0</v>
      </c>
      <c r="F72" s="564"/>
      <c r="G72" s="23" t="s">
        <v>56</v>
      </c>
      <c r="H72" s="556">
        <f>if( iserror( offset(   'Cuadro tarifario'!D$2  , match(concatenate(                 If(F72&gt;Periodovigente,Offset(NroCT!B$17, match($F72,NroCT!$A$18:$A376,0),0,1,1),Periodovigente)                                                                                                                     ,A72) ,'Cuadro tarifario'!A$2:A376,0) -1 , 0 , 1 , 1) )   , 0  ,   offset(   'Cuadro tarifario'!D$2  , match(concatenate( If(F72&gt;Periodovigente,Offset(NroCT!B$17, match($F72,NroCT!$A$18:$A376,0),0,1,1),Periodovigente) ,A72) ,'Cuadro tarifario'!A$2:A376,0) -1 , 0 , 1 , 1))</f>
        <v>11000</v>
      </c>
      <c r="I72" s="1">
        <f t="shared" si="6"/>
        <v>0</v>
      </c>
      <c r="J72" s="557">
        <f t="shared" si="2"/>
        <v>0</v>
      </c>
      <c r="K72" s="2">
        <f>If(  If(F72,   DAYS360(date(year(F72),month(F72),1),Mes)/30  ,  DAYS360(date(year(E72),month(E72),1),Mes)/30) &gt; 0 , If(F72,   DAYS360(date(year(F72),month(F72),1),Mes)/30  ,  DAYS360(date(year(E72),month(E72),1),Mes)/30) , 0)</f>
        <v>152</v>
      </c>
      <c r="L72" s="558">
        <f t="shared" si="3"/>
        <v>1672000</v>
      </c>
      <c r="M72" s="559"/>
      <c r="N72" s="559"/>
      <c r="O72" s="559"/>
      <c r="P72" s="559"/>
      <c r="Q72" s="559"/>
      <c r="R72" s="559"/>
      <c r="S72" s="559"/>
      <c r="T72" s="559"/>
    </row>
    <row r="73">
      <c r="A73" s="550" t="s">
        <v>71</v>
      </c>
      <c r="B73" s="551">
        <v>1401.0</v>
      </c>
      <c r="C73" s="552">
        <v>1401.0</v>
      </c>
      <c r="D73" s="553" t="str">
        <f>if(   iserror(offset(PADRON!B$2,match(C:C,PADRON!A$2:A376,0)-1,0,1,1) )  ,  ,    offset(PADRON!B$2,match(C:C,PADRON!A$2:A376,0)-1,0,1,1))</f>
        <v>TELLECHEA, ANALIA</v>
      </c>
      <c r="E73" s="554">
        <v>41244.0</v>
      </c>
      <c r="F73" s="564"/>
      <c r="G73" s="23" t="s">
        <v>56</v>
      </c>
      <c r="H73" s="556">
        <f>if( iserror( offset(   'Cuadro tarifario'!D$2  , match(concatenate(                 If(F73&gt;Periodovigente,Offset(NroCT!B$17, match($F73,NroCT!$A$18:$A376,0),0,1,1),Periodovigente)                                                                                                                     ,A73) ,'Cuadro tarifario'!A$2:A376,0) -1 , 0 , 1 , 1) )   , 0  ,   offset(   'Cuadro tarifario'!D$2  , match(concatenate( If(F73&gt;Periodovigente,Offset(NroCT!B$17, match($F73,NroCT!$A$18:$A376,0),0,1,1),Periodovigente) ,A73) ,'Cuadro tarifario'!A$2:A376,0) -1 , 0 , 1 , 1))</f>
        <v>11000</v>
      </c>
      <c r="I73" s="1">
        <f t="shared" si="6"/>
        <v>0</v>
      </c>
      <c r="J73" s="557">
        <f t="shared" si="2"/>
        <v>0</v>
      </c>
      <c r="K73" s="2">
        <f>If(  If(F73,   DAYS360(date(year(F73),month(F73),1),Mes)/30  ,  DAYS360(date(year(E73),month(E73),1),Mes)/30) &gt; 0 , If(F73,   DAYS360(date(year(F73),month(F73),1),Mes)/30  ,  DAYS360(date(year(E73),month(E73),1),Mes)/30) , 0)</f>
        <v>152</v>
      </c>
      <c r="L73" s="558">
        <f t="shared" si="3"/>
        <v>1672000</v>
      </c>
      <c r="M73" s="559"/>
      <c r="N73" s="559"/>
      <c r="O73" s="559"/>
      <c r="P73" s="559"/>
      <c r="Q73" s="559"/>
      <c r="R73" s="559"/>
      <c r="S73" s="559"/>
      <c r="T73" s="559"/>
    </row>
    <row r="74">
      <c r="A74" s="550" t="s">
        <v>71</v>
      </c>
      <c r="B74" s="551">
        <v>1402.0</v>
      </c>
      <c r="C74" s="552">
        <v>1402.0</v>
      </c>
      <c r="D74" s="553" t="str">
        <f>if(   iserror(offset(PADRON!B$2,match(C:C,PADRON!A$2:A376,0)-1,0,1,1) )  ,  ,    offset(PADRON!B$2,match(C:C,PADRON!A$2:A376,0)-1,0,1,1))</f>
        <v>CERDEIRO, DIEGO</v>
      </c>
      <c r="E74" s="554">
        <v>41334.0</v>
      </c>
      <c r="F74" s="555"/>
      <c r="G74" s="23" t="s">
        <v>56</v>
      </c>
      <c r="H74" s="556">
        <f>if( iserror( offset(   'Cuadro tarifario'!D$2  , match(concatenate(                 If(F74&gt;Periodovigente,Offset(NroCT!B$17, match($F74,NroCT!$A$18:$A376,0),0,1,1),Periodovigente)                                                                                                                     ,A74) ,'Cuadro tarifario'!A$2:A376,0) -1 , 0 , 1 , 1) )   , 0  ,   offset(   'Cuadro tarifario'!D$2  , match(concatenate( If(F74&gt;Periodovigente,Offset(NroCT!B$17, match($F74,NroCT!$A$18:$A376,0),0,1,1),Periodovigente) ,A74) ,'Cuadro tarifario'!A$2:A376,0) -1 , 0 , 1 , 1))</f>
        <v>11000</v>
      </c>
      <c r="I74" s="1">
        <f t="shared" si="6"/>
        <v>0</v>
      </c>
      <c r="J74" s="557">
        <f t="shared" si="2"/>
        <v>0</v>
      </c>
      <c r="K74" s="2">
        <f>If(  If(F74,   DAYS360(date(year(F74),month(F74),1),Mes)/30  ,  DAYS360(date(year(E74),month(E74),1),Mes)/30) &gt; 0 , If(F74,   DAYS360(date(year(F74),month(F74),1),Mes)/30  ,  DAYS360(date(year(E74),month(E74),1),Mes)/30) , 0)</f>
        <v>149</v>
      </c>
      <c r="L74" s="558">
        <f t="shared" si="3"/>
        <v>1639000</v>
      </c>
      <c r="M74" s="559"/>
      <c r="N74" s="559"/>
      <c r="O74" s="559"/>
      <c r="P74" s="559"/>
      <c r="Q74" s="559"/>
      <c r="R74" s="559"/>
      <c r="S74" s="559"/>
      <c r="T74" s="559"/>
    </row>
    <row r="75">
      <c r="A75" s="550" t="s">
        <v>71</v>
      </c>
      <c r="B75" s="551">
        <v>1407.0</v>
      </c>
      <c r="C75" s="552">
        <v>1407.0</v>
      </c>
      <c r="D75" s="553" t="str">
        <f>if(   iserror(offset(PADRON!B$2,match(C:C,PADRON!A$2:A376,0)-1,0,1,1) )  ,  ,    offset(PADRON!B$2,match(C:C,PADRON!A$2:A376,0)-1,0,1,1))</f>
        <v>TOSCANI, AMILCAR</v>
      </c>
      <c r="E75" s="554">
        <v>41334.0</v>
      </c>
      <c r="F75" s="555"/>
      <c r="G75" s="23" t="s">
        <v>56</v>
      </c>
      <c r="H75" s="556">
        <f>if( iserror( offset(   'Cuadro tarifario'!D$2  , match(concatenate(                 If(F75&gt;Periodovigente,Offset(NroCT!B$17, match($F75,NroCT!$A$18:$A376,0),0,1,1),Periodovigente)                                                                                                                     ,A75) ,'Cuadro tarifario'!A$2:A376,0) -1 , 0 , 1 , 1) )   , 0  ,   offset(   'Cuadro tarifario'!D$2  , match(concatenate( If(F75&gt;Periodovigente,Offset(NroCT!B$17, match($F75,NroCT!$A$18:$A376,0),0,1,1),Periodovigente) ,A75) ,'Cuadro tarifario'!A$2:A376,0) -1 , 0 , 1 , 1))</f>
        <v>11000</v>
      </c>
      <c r="I75" s="1">
        <f t="shared" si="6"/>
        <v>0</v>
      </c>
      <c r="J75" s="557">
        <f t="shared" si="2"/>
        <v>0</v>
      </c>
      <c r="K75" s="2">
        <f>If(  If(F75,   DAYS360(date(year(F75),month(F75),1),Mes)/30  ,  DAYS360(date(year(E75),month(E75),1),Mes)/30) &gt; 0 , If(F75,   DAYS360(date(year(F75),month(F75),1),Mes)/30  ,  DAYS360(date(year(E75),month(E75),1),Mes)/30) , 0)</f>
        <v>149</v>
      </c>
      <c r="L75" s="558">
        <f t="shared" si="3"/>
        <v>1639000</v>
      </c>
      <c r="M75" s="559"/>
      <c r="N75" s="559"/>
      <c r="O75" s="559"/>
      <c r="P75" s="559"/>
      <c r="Q75" s="559"/>
      <c r="R75" s="559"/>
      <c r="S75" s="559"/>
      <c r="T75" s="559"/>
    </row>
    <row r="76">
      <c r="A76" s="550" t="s">
        <v>71</v>
      </c>
      <c r="B76" s="551">
        <v>1413.0</v>
      </c>
      <c r="C76" s="552">
        <v>1413.0</v>
      </c>
      <c r="D76" s="553" t="str">
        <f>if(   iserror(offset(PADRON!B$2,match(C:C,PADRON!A$2:A376,0)-1,0,1,1) )  ,  ,    offset(PADRON!B$2,match(C:C,PADRON!A$2:A376,0)-1,0,1,1))</f>
        <v>DIOTTO, PABLO</v>
      </c>
      <c r="E76" s="554">
        <v>41548.0</v>
      </c>
      <c r="F76" s="555"/>
      <c r="G76" s="23" t="s">
        <v>56</v>
      </c>
      <c r="H76" s="556">
        <f>if( iserror( offset(   'Cuadro tarifario'!D$2  , match(concatenate(                 If(F76&gt;Periodovigente,Offset(NroCT!B$17, match($F76,NroCT!$A$18:$A376,0),0,1,1),Periodovigente)                                                                                                                     ,A76) ,'Cuadro tarifario'!A$2:A376,0) -1 , 0 , 1 , 1) )   , 0  ,   offset(   'Cuadro tarifario'!D$2  , match(concatenate( If(F76&gt;Periodovigente,Offset(NroCT!B$17, match($F76,NroCT!$A$18:$A376,0),0,1,1),Periodovigente) ,A76) ,'Cuadro tarifario'!A$2:A376,0) -1 , 0 , 1 , 1))</f>
        <v>11000</v>
      </c>
      <c r="I76" s="1">
        <f t="shared" si="6"/>
        <v>0</v>
      </c>
      <c r="J76" s="557">
        <f t="shared" si="2"/>
        <v>0</v>
      </c>
      <c r="K76" s="2">
        <f>If(  If(F76,   DAYS360(date(year(F76),month(F76),1),Mes)/30  ,  DAYS360(date(year(E76),month(E76),1),Mes)/30) &gt; 0 , If(F76,   DAYS360(date(year(F76),month(F76),1),Mes)/30  ,  DAYS360(date(year(E76),month(E76),1),Mes)/30) , 0)</f>
        <v>142</v>
      </c>
      <c r="L76" s="558">
        <f t="shared" si="3"/>
        <v>1562000</v>
      </c>
      <c r="M76" s="559"/>
      <c r="N76" s="559"/>
      <c r="O76" s="559"/>
      <c r="P76" s="559"/>
      <c r="Q76" s="559"/>
      <c r="R76" s="559"/>
      <c r="S76" s="559"/>
      <c r="T76" s="559"/>
    </row>
    <row r="77">
      <c r="A77" s="589" t="s">
        <v>48</v>
      </c>
      <c r="B77" s="590" t="s">
        <v>321</v>
      </c>
      <c r="C77" s="552">
        <v>1413.0</v>
      </c>
      <c r="D77" s="553" t="str">
        <f>if(   iserror(offset(PADRON!B$2,match(C:C,PADRON!A$2:A376,0)-1,0,1,1) )  ,  ,    offset(PADRON!B$2,match(C:C,PADRON!A$2:A376,0)-1,0,1,1))</f>
        <v>DIOTTO, PABLO</v>
      </c>
      <c r="E77" s="554">
        <v>41548.0</v>
      </c>
      <c r="F77" s="555"/>
      <c r="G77" s="23" t="s">
        <v>56</v>
      </c>
      <c r="H77" s="556">
        <f>if( iserror( offset(   'Cuadro tarifario'!D$2  , match(concatenate(                 If(F77&gt;Periodovigente,Offset(NroCT!B$17, match($F77,NroCT!$A$18:$A376,0),0,1,1),Periodovigente)                                                                                                                     ,A77) ,'Cuadro tarifario'!A$2:A376,0) -1 , 0 , 1 , 1) )   , 0  ,   offset(   'Cuadro tarifario'!D$2  , match(concatenate( If(F77&gt;Periodovigente,Offset(NroCT!B$17, match($F77,NroCT!$A$18:$A376,0),0,1,1),Periodovigente) ,A77) ,'Cuadro tarifario'!A$2:A376,0) -1 , 0 , 1 , 1))</f>
        <v>12000</v>
      </c>
      <c r="I77" s="1">
        <f t="shared" si="6"/>
        <v>0</v>
      </c>
      <c r="J77" s="557">
        <f t="shared" si="2"/>
        <v>0</v>
      </c>
      <c r="K77" s="2">
        <f>If(  If(F77,   DAYS360(date(year(F77),month(F77),1),Mes)/30  ,  DAYS360(date(year(E77),month(E77),1),Mes)/30) &gt; 0 , If(F77,   DAYS360(date(year(F77),month(F77),1),Mes)/30  ,  DAYS360(date(year(E77),month(E77),1),Mes)/30) , 0)</f>
        <v>142</v>
      </c>
      <c r="L77" s="558">
        <f t="shared" si="3"/>
        <v>1704000</v>
      </c>
      <c r="M77" s="559"/>
      <c r="N77" s="559"/>
      <c r="O77" s="559"/>
      <c r="P77" s="559"/>
      <c r="Q77" s="559"/>
      <c r="R77" s="559"/>
      <c r="S77" s="559"/>
      <c r="T77" s="559"/>
    </row>
    <row r="78">
      <c r="A78" s="550" t="s">
        <v>71</v>
      </c>
      <c r="B78" s="551">
        <v>1416.0</v>
      </c>
      <c r="C78" s="552">
        <v>1416.0</v>
      </c>
      <c r="D78" s="553" t="str">
        <f>if(   iserror(offset(PADRON!B$2,match(C:C,PADRON!A$2:A376,0)-1,0,1,1) )  ,  ,    offset(PADRON!B$2,match(C:C,PADRON!A$2:A376,0)-1,0,1,1))</f>
        <v>ARRIEN DANIEL MARCELO</v>
      </c>
      <c r="E78" s="554">
        <v>41548.0</v>
      </c>
      <c r="F78" s="555"/>
      <c r="G78" s="23" t="s">
        <v>56</v>
      </c>
      <c r="H78" s="556">
        <f>if( iserror( offset(   'Cuadro tarifario'!D$2  , match(concatenate(                 If(F78&gt;Periodovigente,Offset(NroCT!B$17, match($F78,NroCT!$A$18:$A376,0),0,1,1),Periodovigente)                                                                                                                     ,A78) ,'Cuadro tarifario'!A$2:A376,0) -1 , 0 , 1 , 1) )   , 0  ,   offset(   'Cuadro tarifario'!D$2  , match(concatenate( If(F78&gt;Periodovigente,Offset(NroCT!B$17, match($F78,NroCT!$A$18:$A376,0),0,1,1),Periodovigente) ,A78) ,'Cuadro tarifario'!A$2:A376,0) -1 , 0 , 1 , 1))</f>
        <v>11000</v>
      </c>
      <c r="I78" s="1">
        <f t="shared" si="6"/>
        <v>0</v>
      </c>
      <c r="J78" s="557">
        <f t="shared" si="2"/>
        <v>0</v>
      </c>
      <c r="K78" s="2">
        <f>If(  If(F78,   DAYS360(date(year(F78),month(F78),1),Mes)/30  ,  DAYS360(date(year(E78),month(E78),1),Mes)/30) &gt; 0 , If(F78,   DAYS360(date(year(F78),month(F78),1),Mes)/30  ,  DAYS360(date(year(E78),month(E78),1),Mes)/30) , 0)</f>
        <v>142</v>
      </c>
      <c r="L78" s="558">
        <f t="shared" si="3"/>
        <v>1562000</v>
      </c>
      <c r="M78" s="559"/>
      <c r="N78" s="559"/>
      <c r="O78" s="559"/>
      <c r="P78" s="559"/>
      <c r="Q78" s="559"/>
      <c r="R78" s="559"/>
      <c r="S78" s="559"/>
      <c r="T78" s="559"/>
    </row>
    <row r="79">
      <c r="A79" s="550" t="s">
        <v>71</v>
      </c>
      <c r="B79" s="551">
        <v>1419.0</v>
      </c>
      <c r="C79" s="552">
        <v>1419.0</v>
      </c>
      <c r="D79" s="553" t="str">
        <f>if(   iserror(offset(PADRON!B$2,match(C:C,PADRON!A$2:A376,0)-1,0,1,1) )  ,  ,    offset(PADRON!B$2,match(C:C,PADRON!A$2:A376,0)-1,0,1,1))</f>
        <v>GARCIA, SANDRO DANIEL</v>
      </c>
      <c r="E79" s="554">
        <v>42309.0</v>
      </c>
      <c r="F79" s="555"/>
      <c r="G79" s="23" t="s">
        <v>56</v>
      </c>
      <c r="H79" s="556">
        <f>IF( ISERROR( OFFSET(   'Cuadro tarifario'!D$2  , MATCH(CONCATENATE(                 IF(F79&gt;Mes,OFFSET(NroCT!B$17, MATCH($F79,NroCT!$A$18:$A376,0),0,1,1),Periodovigente)                                                                                                                     ,A79) ,'Cuadro tarifario'!A$2:A376,0) -1 , 0 , 1 , 1) )   , 0  ,   OFFSET(   'Cuadro tarifario'!D$2  , MATCH(CONCATENATE( IF(F79&gt;Mes,OFFSET(NroCT!B$17, MATCH($F79,NroCT!$A$18:$A376,0),0,1,1),Periodovigente) ,A79) ,'Cuadro tarifario'!A$2:A376,0) -1 , 0 , 1 , 1))</f>
        <v>11000</v>
      </c>
      <c r="I79" s="1">
        <f t="shared" si="6"/>
        <v>0</v>
      </c>
      <c r="J79" s="557">
        <f t="shared" si="2"/>
        <v>0</v>
      </c>
      <c r="K79" s="2">
        <f>if(  and(M79&gt;0,I79=0)          ,M79 ,                         If(  If( F79 ,  DAYS360(date(year(F79),month(F79),1),Mes)/30  ,  DAYS360(date(year(E79),month(E79),1),Mes)/30  )  &gt;  0 , If(F79,   DAYS360(date(year(F79),month(F79),1),Mes)/30  ,  DAYS360(date(year(E79),month(E79),1),Mes)/30) , 0)       )</f>
        <v>117</v>
      </c>
      <c r="L79" s="558">
        <f t="shared" si="3"/>
        <v>1287000</v>
      </c>
      <c r="M79" s="314"/>
      <c r="N79" s="314"/>
      <c r="O79" s="3"/>
      <c r="P79" s="3"/>
      <c r="Q79" s="3"/>
      <c r="R79" s="3"/>
      <c r="S79" s="3"/>
      <c r="T79" s="3"/>
    </row>
    <row r="80">
      <c r="A80" s="578" t="s">
        <v>71</v>
      </c>
      <c r="B80" s="579">
        <v>1421.0</v>
      </c>
      <c r="C80" s="580">
        <v>1421.0</v>
      </c>
      <c r="D80" s="67" t="str">
        <f>if(   iserror(offset(PADRON!B$2,match(C:C,PADRON!A$2:A376,0)-1,0,1,1) )  ,  ,    offset(PADRON!B$2,match(C:C,PADRON!A$2:A376,0)-1,0,1,1))</f>
        <v>CARRASQUET, GASTON</v>
      </c>
      <c r="E80" s="585">
        <v>41395.0</v>
      </c>
      <c r="F80" s="586"/>
      <c r="G80" s="23" t="s">
        <v>56</v>
      </c>
      <c r="H80" s="587">
        <f>if( iserror( offset(   'Cuadro tarifario'!D$2  , match(concatenate(                 If(F80&gt;Periodovigente,Offset(NroCT!B$17, match($F80,NroCT!$A$18:$A376,0),0,1,1),Periodovigente)                                                                                                                     ,A80) ,'Cuadro tarifario'!A$2:A376,0) -1 , 0 , 1 , 1) )   , 0  ,   offset(   'Cuadro tarifario'!D$2  , match(concatenate( If(F80&gt;Periodovigente,Offset(NroCT!B$17, match($F80,NroCT!$A$18:$A376,0),0,1,1),Periodovigente) ,A80) ,'Cuadro tarifario'!A$2:A376,0) -1 , 0 , 1 , 1))</f>
        <v>11000</v>
      </c>
      <c r="I80" s="68">
        <f t="shared" si="6"/>
        <v>0</v>
      </c>
      <c r="J80" s="583">
        <f t="shared" si="2"/>
        <v>0</v>
      </c>
      <c r="K80" s="2">
        <f>If(  If(F80,   DAYS360(date(year(F80),month(F80),1),Mes)/30  ,  DAYS360(date(year(E80),month(E80),1),Mes)/30) &gt; 0 , If(F80,   DAYS360(date(year(F80),month(F80),1),Mes)/30  ,  DAYS360(date(year(E80),month(E80),1),Mes)/30) , 0)</f>
        <v>147</v>
      </c>
      <c r="L80" s="71">
        <f t="shared" si="3"/>
        <v>1617000</v>
      </c>
      <c r="M80" s="588"/>
      <c r="N80" s="588"/>
      <c r="O80" s="588"/>
      <c r="P80" s="588"/>
      <c r="Q80" s="588"/>
      <c r="R80" s="588"/>
      <c r="S80" s="588"/>
      <c r="T80" s="588"/>
    </row>
    <row r="81">
      <c r="A81" s="550" t="s">
        <v>71</v>
      </c>
      <c r="B81" s="551">
        <v>1426.0</v>
      </c>
      <c r="C81" s="552">
        <v>1426.0</v>
      </c>
      <c r="D81" s="34" t="str">
        <f>if(   iserror(offset(PADRON!B$2,match(C:C,PADRON!A$2:A376,0)-1,0,1,1) )  ,  ,    offset(PADRON!B$2,match(C:C,PADRON!A$2:A376,0)-1,0,1,1))</f>
        <v>GONZALES, ERNESTO</v>
      </c>
      <c r="E81" s="554">
        <v>41548.0</v>
      </c>
      <c r="F81" s="555"/>
      <c r="G81" s="23" t="s">
        <v>56</v>
      </c>
      <c r="H81" s="556">
        <f>if( iserror( offset(   'Cuadro tarifario'!D$2  , match(concatenate(                 If(F81&gt;Periodovigente,Offset(NroCT!B$17, match($F81,NroCT!$A$18:$A376,0),0,1,1),Periodovigente)                                                                                                                     ,A81) ,'Cuadro tarifario'!A$2:A376,0) -1 , 0 , 1 , 1) )   , 0  ,   offset(   'Cuadro tarifario'!D$2  , match(concatenate( If(F81&gt;Periodovigente,Offset(NroCT!B$17, match($F81,NroCT!$A$18:$A376,0),0,1,1),Periodovigente) ,A81) ,'Cuadro tarifario'!A$2:A376,0) -1 , 0 , 1 , 1))</f>
        <v>11000</v>
      </c>
      <c r="I81" s="36">
        <f t="shared" si="6"/>
        <v>0</v>
      </c>
      <c r="J81" s="557">
        <f t="shared" si="2"/>
        <v>0</v>
      </c>
      <c r="K81" s="2">
        <f>If(  If(F81,   DAYS360(date(year(F81),month(F81),1),Mes)/30  ,  DAYS360(date(year(E81),month(E81),1),Mes)/30) &gt; 0 , If(F81,   DAYS360(date(year(F81),month(F81),1),Mes)/30  ,  DAYS360(date(year(E81),month(E81),1),Mes)/30) , 0)</f>
        <v>142</v>
      </c>
      <c r="L81" s="39">
        <f t="shared" si="3"/>
        <v>1562000</v>
      </c>
      <c r="M81" s="559"/>
      <c r="N81" s="559"/>
      <c r="O81" s="559"/>
      <c r="P81" s="559"/>
      <c r="Q81" s="559"/>
      <c r="R81" s="559"/>
      <c r="S81" s="559"/>
      <c r="T81" s="559"/>
    </row>
    <row r="82">
      <c r="A82" s="550" t="s">
        <v>71</v>
      </c>
      <c r="B82" s="551">
        <v>1428.0</v>
      </c>
      <c r="C82" s="552">
        <v>1428.0</v>
      </c>
      <c r="D82" s="34" t="str">
        <f>if(   iserror(offset(PADRON!B$2,match(C:C,PADRON!A$2:A376,0)-1,0,1,1) )  ,  ,    offset(PADRON!B$2,match(C:C,PADRON!A$2:A376,0)-1,0,1,1))</f>
        <v>MIRIUKA SEBASTIAN</v>
      </c>
      <c r="E82" s="554">
        <v>42461.0</v>
      </c>
      <c r="F82" s="555"/>
      <c r="G82" s="23" t="s">
        <v>56</v>
      </c>
      <c r="H82" s="556">
        <f>IF( ISERROR( OFFSET(   'Cuadro tarifario'!D$2  , MATCH(CONCATENATE(                 IF(F82&gt;Mes,OFFSET(NroCT!B$17, MATCH($F82,NroCT!$A$18:$A376,0),0,1,1),Periodovigente)                                                                                                                     ,A82) ,'Cuadro tarifario'!A$2:A376,0) -1 , 0 , 1 , 1) )   , 0  ,   OFFSET(   'Cuadro tarifario'!D$2  , MATCH(CONCATENATE( IF(F82&gt;Mes,OFFSET(NroCT!B$17, MATCH($F82,NroCT!$A$18:$A376,0),0,1,1),Periodovigente) ,A82) ,'Cuadro tarifario'!A$2:A376,0) -1 , 0 , 1 , 1))</f>
        <v>11000</v>
      </c>
      <c r="I82" s="36">
        <f t="shared" si="6"/>
        <v>0</v>
      </c>
      <c r="J82" s="557">
        <f t="shared" si="2"/>
        <v>0</v>
      </c>
      <c r="K82" s="2">
        <f>if(  and(M82&gt;0,I82=0)          ,M82 ,                         If(  If( F82 ,  DAYS360(date(year(F82),month(F82),1),Mes)/30  ,  DAYS360(date(year(E82),month(E82),1),Mes)/30  )  &gt;  0 , If(F82,   DAYS360(date(year(F82),month(F82),1),Mes)/30  ,  DAYS360(date(year(E82),month(E82),1),Mes)/30) , 0)       )</f>
        <v>112</v>
      </c>
      <c r="L82" s="39">
        <f t="shared" si="3"/>
        <v>1232000</v>
      </c>
      <c r="M82" s="314"/>
      <c r="N82" s="314"/>
      <c r="O82" s="3"/>
      <c r="P82" s="3"/>
      <c r="Q82" s="3"/>
      <c r="R82" s="3"/>
      <c r="S82" s="3"/>
      <c r="T82" s="3"/>
    </row>
    <row r="83">
      <c r="A83" s="550" t="s">
        <v>71</v>
      </c>
      <c r="B83" s="551">
        <v>1429.0</v>
      </c>
      <c r="C83" s="552">
        <v>1429.0</v>
      </c>
      <c r="D83" s="34" t="str">
        <f>if(   iserror(offset(PADRON!B$2,match(C:C,PADRON!A$2:A376,0)-1,0,1,1) )  ,  ,    offset(PADRON!B$2,match(C:C,PADRON!A$2:A376,0)-1,0,1,1))</f>
        <v>CATALAN, MARCELO</v>
      </c>
      <c r="E83" s="554">
        <v>41609.0</v>
      </c>
      <c r="F83" s="555"/>
      <c r="G83" s="23" t="s">
        <v>56</v>
      </c>
      <c r="H83" s="556">
        <f>if( iserror( offset(   'Cuadro tarifario'!D$2  , match(concatenate(                 If(F83&gt;Periodovigente,Offset(NroCT!B$17, match($F83,NroCT!$A$18:$A376,0),0,1,1),Periodovigente)                                                                                                                     ,A83) ,'Cuadro tarifario'!A$2:A376,0) -1 , 0 , 1 , 1) )   , 0  ,   offset(   'Cuadro tarifario'!D$2  , match(concatenate( If(F83&gt;Periodovigente,Offset(NroCT!B$17, match($F83,NroCT!$A$18:$A376,0),0,1,1),Periodovigente) ,A83) ,'Cuadro tarifario'!A$2:A376,0) -1 , 0 , 1 , 1))</f>
        <v>11000</v>
      </c>
      <c r="I83" s="36">
        <f t="shared" si="6"/>
        <v>0</v>
      </c>
      <c r="J83" s="557">
        <f t="shared" si="2"/>
        <v>0</v>
      </c>
      <c r="K83" s="2">
        <f>If(  If(F83,   DAYS360(date(year(F83),month(F83),1),Mes)/30  ,  DAYS360(date(year(E83),month(E83),1),Mes)/30) &gt; 0 , If(F83,   DAYS360(date(year(F83),month(F83),1),Mes)/30  ,  DAYS360(date(year(E83),month(E83),1),Mes)/30) , 0)</f>
        <v>140</v>
      </c>
      <c r="L83" s="39">
        <f t="shared" si="3"/>
        <v>1540000</v>
      </c>
      <c r="M83" s="559"/>
      <c r="N83" s="559"/>
      <c r="O83" s="559"/>
      <c r="P83" s="559"/>
      <c r="Q83" s="559"/>
      <c r="R83" s="559"/>
      <c r="S83" s="559"/>
      <c r="T83" s="559"/>
    </row>
    <row r="84">
      <c r="A84" s="550" t="s">
        <v>71</v>
      </c>
      <c r="B84" s="551">
        <v>1432.0</v>
      </c>
      <c r="C84" s="552">
        <v>1432.0</v>
      </c>
      <c r="D84" s="34" t="str">
        <f>if(   iserror(offset(PADRON!B$2,match(C:C,PADRON!A$2:A376,0)-1,0,1,1) )  ,  ,    offset(PADRON!B$2,match(C:C,PADRON!A$2:A376,0)-1,0,1,1))</f>
        <v>GIMENEZ MARTIN</v>
      </c>
      <c r="E84" s="554">
        <v>42309.0</v>
      </c>
      <c r="F84" s="555"/>
      <c r="G84" s="23" t="s">
        <v>56</v>
      </c>
      <c r="H84" s="556">
        <f>IF( ISERROR( OFFSET(   'Cuadro tarifario'!D$2  , MATCH(CONCATENATE(                 IF(F84&gt;Mes,OFFSET(NroCT!B$17, MATCH($F84,NroCT!$A$18:$A376,0),0,1,1),Periodovigente)                                                                                                                     ,A84) ,'Cuadro tarifario'!A$2:A376,0) -1 , 0 , 1 , 1) )   , 0  ,   OFFSET(   'Cuadro tarifario'!D$2  , MATCH(CONCATENATE( IF(F84&gt;Mes,OFFSET(NroCT!B$17, MATCH($F84,NroCT!$A$18:$A376,0),0,1,1),Periodovigente) ,A84) ,'Cuadro tarifario'!A$2:A376,0) -1 , 0 , 1 , 1))</f>
        <v>11000</v>
      </c>
      <c r="I84" s="36">
        <f t="shared" si="6"/>
        <v>0</v>
      </c>
      <c r="J84" s="557">
        <f t="shared" si="2"/>
        <v>0</v>
      </c>
      <c r="K84" s="2">
        <f>if(  and(M84&gt;0,I84=0)          ,M84 ,                         If(  If( F84 ,  DAYS360(date(year(F84),month(F84),1),Mes)/30  ,  DAYS360(date(year(E84),month(E84),1),Mes)/30  )  &gt;  0 , If(F84,   DAYS360(date(year(F84),month(F84),1),Mes)/30  ,  DAYS360(date(year(E84),month(E84),1),Mes)/30) , 0)       )</f>
        <v>117</v>
      </c>
      <c r="L84" s="39">
        <f t="shared" si="3"/>
        <v>1287000</v>
      </c>
      <c r="M84" s="314"/>
      <c r="N84" s="314"/>
      <c r="O84" s="3"/>
      <c r="P84" s="3"/>
      <c r="Q84" s="3"/>
      <c r="R84" s="3"/>
      <c r="S84" s="3"/>
      <c r="T84" s="3"/>
    </row>
    <row r="85">
      <c r="A85" s="550" t="s">
        <v>71</v>
      </c>
      <c r="B85" s="551">
        <v>1435.0</v>
      </c>
      <c r="C85" s="552">
        <v>1435.0</v>
      </c>
      <c r="D85" s="553" t="str">
        <f>if(   iserror(offset(PADRON!B$2,match(C:C,PADRON!A$2:A376,0)-1,0,1,1) )  ,  ,    offset(PADRON!B$2,match(C:C,PADRON!A$2:A376,0)-1,0,1,1))</f>
        <v>RODRIGUEZ, MANUEL</v>
      </c>
      <c r="E85" s="554">
        <v>41852.0</v>
      </c>
      <c r="F85" s="555"/>
      <c r="G85" s="23" t="s">
        <v>56</v>
      </c>
      <c r="H85" s="556">
        <f>IF( ISERROR( OFFSET(   'Cuadro tarifario'!D$2  , MATCH(CONCATENATE(                 IF(F85&gt;Mes,OFFSET(NroCT!B$17, MATCH($F85,NroCT!$A$18:$A376,0),0,1,1),Periodovigente)                                                                                                                     ,A85) ,'Cuadro tarifario'!A$2:A376,0) -1 , 0 , 1 , 1) )   , 0  ,   OFFSET(   'Cuadro tarifario'!D$2  , MATCH(CONCATENATE( IF(F85&gt;Mes,OFFSET(NroCT!B$17, MATCH($F85,NroCT!$A$18:$A376,0),0,1,1),Periodovigente) ,A85) ,'Cuadro tarifario'!A$2:A376,0) -1 , 0 , 1 , 1))</f>
        <v>11000</v>
      </c>
      <c r="I85" s="1">
        <f t="shared" si="6"/>
        <v>0</v>
      </c>
      <c r="J85" s="557">
        <f t="shared" si="2"/>
        <v>0</v>
      </c>
      <c r="K85" s="2">
        <f>If(  If(F85,   DAYS360(date(year(F85),month(F85),1),Mes)/30  ,  DAYS360(date(year(E85),month(E85),1),Mes)/30) &gt; 0 , If(F85,   DAYS360(date(year(F85),month(F85),1),Mes)/30  ,  DAYS360(date(year(E85),month(E85),1),Mes)/30) , 0)</f>
        <v>132</v>
      </c>
      <c r="L85" s="558">
        <f t="shared" si="3"/>
        <v>1452000</v>
      </c>
      <c r="M85" s="559"/>
      <c r="N85" s="559"/>
      <c r="O85" s="559"/>
      <c r="P85" s="559"/>
      <c r="Q85" s="559"/>
      <c r="R85" s="559"/>
      <c r="S85" s="559"/>
      <c r="T85" s="559"/>
    </row>
    <row r="86">
      <c r="A86" s="550" t="s">
        <v>71</v>
      </c>
      <c r="B86" s="551">
        <v>1436.0</v>
      </c>
      <c r="C86" s="552">
        <v>1436.0</v>
      </c>
      <c r="D86" s="553" t="str">
        <f>if(   iserror(offset(PADRON!B$2,match(C:C,PADRON!A$2:A376,0)-1,0,1,1) )  ,  ,    offset(PADRON!B$2,match(C:C,PADRON!A$2:A376,0)-1,0,1,1))</f>
        <v>ESPOSITO, ADRIAN</v>
      </c>
      <c r="E86" s="554">
        <v>42430.0</v>
      </c>
      <c r="F86" s="555"/>
      <c r="G86" s="23" t="s">
        <v>56</v>
      </c>
      <c r="H86" s="556">
        <f>IF( ISERROR( OFFSET(   'Cuadro tarifario'!D$2  , MATCH(CONCATENATE(                 IF(F86&gt;Mes,OFFSET(NroCT!B$17, MATCH($F86,NroCT!$A$18:$A376,0),0,1,1),Periodovigente)                                                                                                                     ,A86) ,'Cuadro tarifario'!A$2:A376,0) -1 , 0 , 1 , 1) )   , 0  ,   OFFSET(   'Cuadro tarifario'!D$2  , MATCH(CONCATENATE( IF(F86&gt;Mes,OFFSET(NroCT!B$17, MATCH($F86,NroCT!$A$18:$A376,0),0,1,1),Periodovigente) ,A86) ,'Cuadro tarifario'!A$2:A376,0) -1 , 0 , 1 , 1))</f>
        <v>11000</v>
      </c>
      <c r="I86" s="1">
        <f t="shared" si="6"/>
        <v>0</v>
      </c>
      <c r="J86" s="557">
        <f t="shared" si="2"/>
        <v>0</v>
      </c>
      <c r="K86" s="2">
        <f>if(  and(M86&gt;0,I86=0)          ,M86 ,                         If(  If( F86 ,  DAYS360(date(year(F86),month(F86),1),Mes)/30  ,  DAYS360(date(year(E86),month(E86),1),Mes)/30  )  &gt;  0 , If(F86,   DAYS360(date(year(F86),month(F86),1),Mes)/30  ,  DAYS360(date(year(E86),month(E86),1),Mes)/30) , 0)       )</f>
        <v>113</v>
      </c>
      <c r="L86" s="558">
        <f t="shared" si="3"/>
        <v>1243000</v>
      </c>
      <c r="M86" s="314"/>
      <c r="N86" s="314"/>
      <c r="O86" s="3"/>
      <c r="P86" s="3"/>
      <c r="Q86" s="3"/>
      <c r="R86" s="3"/>
      <c r="S86" s="3"/>
      <c r="T86" s="3"/>
    </row>
    <row r="87">
      <c r="A87" s="550" t="s">
        <v>71</v>
      </c>
      <c r="B87" s="551">
        <v>1444.0</v>
      </c>
      <c r="C87" s="552">
        <v>1444.0</v>
      </c>
      <c r="D87" s="34" t="str">
        <f>if(   iserror(offset(PADRON!B$2,match(C:C,PADRON!A$2:A376,0)-1,0,1,1) )  ,  ,    offset(PADRON!B$2,match(C:C,PADRON!A$2:A376,0)-1,0,1,1))</f>
        <v>SUAREZ, SANTIAGO</v>
      </c>
      <c r="E87" s="554">
        <v>41548.0</v>
      </c>
      <c r="F87" s="555"/>
      <c r="G87" s="23" t="s">
        <v>56</v>
      </c>
      <c r="H87" s="556">
        <f>if( iserror( offset(   'Cuadro tarifario'!D$2  , match(concatenate(                 If(F87&gt;Periodovigente,Offset(NroCT!B$17, match($F87,NroCT!$A$18:$A376,0),0,1,1),Periodovigente)                                                                                                                     ,A87) ,'Cuadro tarifario'!A$2:A376,0) -1 , 0 , 1 , 1) )   , 0  ,   offset(   'Cuadro tarifario'!D$2  , match(concatenate( If(F87&gt;Periodovigente,Offset(NroCT!B$17, match($F87,NroCT!$A$18:$A376,0),0,1,1),Periodovigente) ,A87) ,'Cuadro tarifario'!A$2:A376,0) -1 , 0 , 1 , 1))</f>
        <v>11000</v>
      </c>
      <c r="I87" s="36">
        <f t="shared" si="6"/>
        <v>0</v>
      </c>
      <c r="J87" s="557">
        <f t="shared" si="2"/>
        <v>0</v>
      </c>
      <c r="K87" s="2">
        <f>If(  If(F87,   DAYS360(date(year(F87),month(F87),1),Mes)/30  ,  DAYS360(date(year(E87),month(E87),1),Mes)/30) &gt; 0 , If(F87,   DAYS360(date(year(F87),month(F87),1),Mes)/30  ,  DAYS360(date(year(E87),month(E87),1),Mes)/30) , 0)</f>
        <v>142</v>
      </c>
      <c r="L87" s="39">
        <f t="shared" si="3"/>
        <v>1562000</v>
      </c>
      <c r="M87" s="559"/>
      <c r="N87" s="559"/>
      <c r="O87" s="559"/>
      <c r="P87" s="559"/>
      <c r="Q87" s="559"/>
      <c r="R87" s="559"/>
      <c r="S87" s="559"/>
      <c r="T87" s="559"/>
    </row>
    <row r="88">
      <c r="A88" s="550" t="s">
        <v>71</v>
      </c>
      <c r="B88" s="551">
        <v>1445.0</v>
      </c>
      <c r="C88" s="552">
        <v>1445.0</v>
      </c>
      <c r="D88" s="34" t="str">
        <f>if(   iserror(offset(PADRON!B$2,match(C:C,PADRON!A$2:A376,0)-1,0,1,1) )  ,  ,    offset(PADRON!B$2,match(C:C,PADRON!A$2:A376,0)-1,0,1,1))</f>
        <v>HUALDE, ALBERTO</v>
      </c>
      <c r="E88" s="554">
        <v>42339.0</v>
      </c>
      <c r="F88" s="555"/>
      <c r="G88" s="23" t="s">
        <v>56</v>
      </c>
      <c r="H88" s="556">
        <f>IF( ISERROR( OFFSET(   'Cuadro tarifario'!D$2  , MATCH(CONCATENATE(                 IF(F88&gt;Mes,OFFSET(NroCT!B$17, MATCH($F88,NroCT!$A$18:$A376,0),0,1,1),Periodovigente)                                                                                                                     ,A88) ,'Cuadro tarifario'!A$2:A376,0) -1 , 0 , 1 , 1) )   , 0  ,   OFFSET(   'Cuadro tarifario'!D$2  , MATCH(CONCATENATE( IF(F88&gt;Mes,OFFSET(NroCT!B$17, MATCH($F88,NroCT!$A$18:$A376,0),0,1,1),Periodovigente) ,A88) ,'Cuadro tarifario'!A$2:A376,0) -1 , 0 , 1 , 1))</f>
        <v>11000</v>
      </c>
      <c r="I88" s="36">
        <f t="shared" si="6"/>
        <v>0</v>
      </c>
      <c r="J88" s="557">
        <f t="shared" si="2"/>
        <v>0</v>
      </c>
      <c r="K88" s="2">
        <f>if(  and(M88&gt;0,I88=0)          ,M88 ,                         If(  If( F88 ,  DAYS360(date(year(F88),month(F88),1),Mes)/30  ,  DAYS360(date(year(E88),month(E88),1),Mes)/30  )  &gt;  0 , If(F88,   DAYS360(date(year(F88),month(F88),1),Mes)/30  ,  DAYS360(date(year(E88),month(E88),1),Mes)/30) , 0)       )</f>
        <v>116</v>
      </c>
      <c r="L88" s="39">
        <f t="shared" si="3"/>
        <v>1276000</v>
      </c>
      <c r="M88" s="314"/>
      <c r="N88" s="314"/>
      <c r="O88" s="3"/>
      <c r="P88" s="3"/>
      <c r="Q88" s="3"/>
      <c r="R88" s="3"/>
      <c r="S88" s="3"/>
      <c r="T88" s="3"/>
    </row>
    <row r="89">
      <c r="A89" s="591" t="s">
        <v>42</v>
      </c>
      <c r="B89" s="592" t="s">
        <v>384</v>
      </c>
      <c r="C89" s="552">
        <v>1445.0</v>
      </c>
      <c r="D89" s="553" t="str">
        <f>if(   iserror(offset(PADRON!B$2,match(C:C,PADRON!A$2:A376,0)-1,0,1,1) )  ,  ,    offset(PADRON!B$2,match(C:C,PADRON!A$2:A376,0)-1,0,1,1))</f>
        <v>HUALDE, ALBERTO</v>
      </c>
      <c r="E89" s="554">
        <v>42339.0</v>
      </c>
      <c r="F89" s="555"/>
      <c r="G89" s="23" t="s">
        <v>56</v>
      </c>
      <c r="H89" s="556">
        <f>IF( ISERROR( OFFSET(   'Cuadro tarifario'!D$2  , MATCH(CONCATENATE(                 IF(F89&gt;Mes,OFFSET(NroCT!B$17, MATCH($F89,NroCT!$A$18:$A376,0),0,1,1),Periodovigente)                                                                                                                     ,A89) ,'Cuadro tarifario'!A$2:A376,0) -1 , 0 , 1 , 1) )   , 0  ,   OFFSET(   'Cuadro tarifario'!D$2  , MATCH(CONCATENATE( IF(F89&gt;Mes,OFFSET(NroCT!B$17, MATCH($F89,NroCT!$A$18:$A376,0),0,1,1),Periodovigente) ,A89) ,'Cuadro tarifario'!A$2:A376,0) -1 , 0 , 1 , 1))</f>
        <v>4000</v>
      </c>
      <c r="I89" s="1">
        <f t="shared" si="6"/>
        <v>0</v>
      </c>
      <c r="J89" s="557">
        <f t="shared" si="2"/>
        <v>0</v>
      </c>
      <c r="K89" s="2">
        <f>if(  and(M89&gt;0,I89=0)          ,M89 ,                         If(  If( F89 ,  DAYS360(date(year(F89),month(F89),1),Mes)/30  ,  DAYS360(date(year(E89),month(E89),1),Mes)/30  )  &gt;  0 , If(F89,   DAYS360(date(year(F89),month(F89),1),Mes)/30  ,  DAYS360(date(year(E89),month(E89),1),Mes)/30) , 0)       )</f>
        <v>116</v>
      </c>
      <c r="L89" s="558">
        <f t="shared" si="3"/>
        <v>464000</v>
      </c>
      <c r="M89" s="314"/>
      <c r="N89" s="314"/>
      <c r="O89" s="3"/>
      <c r="P89" s="3"/>
      <c r="Q89" s="3"/>
      <c r="R89" s="3"/>
      <c r="S89" s="3"/>
      <c r="T89" s="3"/>
    </row>
    <row r="90">
      <c r="A90" s="550" t="s">
        <v>71</v>
      </c>
      <c r="B90" s="551">
        <v>1459.0</v>
      </c>
      <c r="C90" s="552">
        <v>1459.0</v>
      </c>
      <c r="D90" s="553" t="str">
        <f>if(   iserror(offset(PADRON!B$2,match(C:C,PADRON!A$2:A376,0)-1,0,1,1) )  ,  ,    offset(PADRON!B$2,match(C:C,PADRON!A$2:A376,0)-1,0,1,1))</f>
        <v>DELAS, ARIEL</v>
      </c>
      <c r="E90" s="554">
        <v>41334.0</v>
      </c>
      <c r="F90" s="555"/>
      <c r="G90" s="23" t="s">
        <v>56</v>
      </c>
      <c r="H90" s="556">
        <f>if( iserror( offset(   'Cuadro tarifario'!D$2  , match(concatenate(                 If(F90&gt;Periodovigente,Offset(NroCT!B$17, match($F90,NroCT!$A$18:$A376,0),0,1,1),Periodovigente)                                                                                                                     ,A90) ,'Cuadro tarifario'!A$2:A376,0) -1 , 0 , 1 , 1) )   , 0  ,   offset(   'Cuadro tarifario'!D$2  , match(concatenate( If(F90&gt;Periodovigente,Offset(NroCT!B$17, match($F90,NroCT!$A$18:$A376,0),0,1,1),Periodovigente) ,A90) ,'Cuadro tarifario'!A$2:A376,0) -1 , 0 , 1 , 1))</f>
        <v>11000</v>
      </c>
      <c r="I90" s="1">
        <f t="shared" si="6"/>
        <v>0</v>
      </c>
      <c r="J90" s="557">
        <f t="shared" si="2"/>
        <v>0</v>
      </c>
      <c r="K90" s="2">
        <f>If(  If(F90,   DAYS360(date(year(F90),month(F90),1),Mes)/30  ,  DAYS360(date(year(E90),month(E90),1),Mes)/30) &gt; 0 , If(F90,   DAYS360(date(year(F90),month(F90),1),Mes)/30  ,  DAYS360(date(year(E90),month(E90),1),Mes)/30) , 0)</f>
        <v>149</v>
      </c>
      <c r="L90" s="558">
        <f t="shared" si="3"/>
        <v>1639000</v>
      </c>
      <c r="M90" s="559"/>
      <c r="N90" s="559"/>
      <c r="O90" s="559"/>
      <c r="P90" s="559"/>
      <c r="Q90" s="559"/>
      <c r="R90" s="559"/>
      <c r="S90" s="559"/>
      <c r="T90" s="559"/>
    </row>
    <row r="91" ht="15.0" customHeight="1">
      <c r="A91" s="550" t="s">
        <v>71</v>
      </c>
      <c r="B91" s="551">
        <v>1461.0</v>
      </c>
      <c r="C91" s="552">
        <v>1461.0</v>
      </c>
      <c r="D91" s="34" t="str">
        <f>if(   iserror(offset(PADRON!B$2,match(C:C,PADRON!A$2:A376,0)-1,0,1,1) )  ,  ,    offset(PADRON!B$2,match(C:C,PADRON!A$2:A376,0)-1,0,1,1))</f>
        <v>CUELLO, JULIO CESAR</v>
      </c>
      <c r="E91" s="554">
        <v>42370.0</v>
      </c>
      <c r="F91" s="555"/>
      <c r="G91" s="23" t="s">
        <v>56</v>
      </c>
      <c r="H91" s="556">
        <f>IF( ISERROR( OFFSET(   'Cuadro tarifario'!D$2  , MATCH(CONCATENATE(                 IF(F91&gt;Mes,OFFSET(NroCT!B$17, MATCH($F91,NroCT!$A$18:$A376,0),0,1,1),Periodovigente)                                                                                                                     ,A91) ,'Cuadro tarifario'!A$2:A376,0) -1 , 0 , 1 , 1) )   , 0  ,   OFFSET(   'Cuadro tarifario'!D$2  , MATCH(CONCATENATE( IF(F91&gt;Mes,OFFSET(NroCT!B$17, MATCH($F91,NroCT!$A$18:$A376,0),0,1,1),Periodovigente) ,A91) ,'Cuadro tarifario'!A$2:A376,0) -1 , 0 , 1 , 1))</f>
        <v>11000</v>
      </c>
      <c r="I91" s="36">
        <f t="shared" si="6"/>
        <v>0</v>
      </c>
      <c r="J91" s="557">
        <f t="shared" si="2"/>
        <v>0</v>
      </c>
      <c r="K91" s="2">
        <f>if(  and(M91&gt;0,I91=0)          ,M91 ,                         If(  If( F91 ,  DAYS360(date(year(F91),month(F91),1),Mes)/30  ,  DAYS360(date(year(E91),month(E91),1),Mes)/30  )  &gt;  0 , If(F91,   DAYS360(date(year(F91),month(F91),1),Mes)/30  ,  DAYS360(date(year(E91),month(E91),1),Mes)/30) , 0)       )</f>
        <v>115</v>
      </c>
      <c r="L91" s="39">
        <f t="shared" si="3"/>
        <v>1265000</v>
      </c>
      <c r="M91" s="314"/>
      <c r="N91" s="314"/>
      <c r="O91" s="3"/>
      <c r="P91" s="3"/>
      <c r="Q91" s="3"/>
      <c r="R91" s="3"/>
      <c r="S91" s="3"/>
      <c r="T91" s="3"/>
    </row>
    <row r="92" ht="15.0" customHeight="1">
      <c r="A92" s="589" t="s">
        <v>48</v>
      </c>
      <c r="B92" s="590" t="s">
        <v>402</v>
      </c>
      <c r="C92" s="552">
        <v>1461.0</v>
      </c>
      <c r="D92" s="34" t="str">
        <f>if(   iserror(offset(PADRON!B$2,match(C:C,PADRON!A$2:A376,0)-1,0,1,1) )  ,  ,    offset(PADRON!B$2,match(C:C,PADRON!A$2:A376,0)-1,0,1,1))</f>
        <v>CUELLO, JULIO CESAR</v>
      </c>
      <c r="E92" s="554">
        <v>42401.0</v>
      </c>
      <c r="F92" s="555"/>
      <c r="G92" s="23" t="s">
        <v>56</v>
      </c>
      <c r="H92" s="556">
        <f>IF( ISERROR( OFFSET(   'Cuadro tarifario'!D$2  , MATCH(CONCATENATE(                 IF(F92&gt;Mes,OFFSET(NroCT!B$17, MATCH($F92,NroCT!$A$18:$A376,0),0,1,1),Periodovigente)                                                                                                                     ,A92) ,'Cuadro tarifario'!A$2:A376,0) -1 , 0 , 1 , 1) )   , 0  ,   OFFSET(   'Cuadro tarifario'!D$2  , MATCH(CONCATENATE( IF(F92&gt;Mes,OFFSET(NroCT!B$17, MATCH($F92,NroCT!$A$18:$A376,0),0,1,1),Periodovigente) ,A92) ,'Cuadro tarifario'!A$2:A376,0) -1 , 0 , 1 , 1))</f>
        <v>12000</v>
      </c>
      <c r="I92" s="36">
        <f t="shared" si="6"/>
        <v>0</v>
      </c>
      <c r="J92" s="557">
        <f t="shared" si="2"/>
        <v>0</v>
      </c>
      <c r="K92" s="2">
        <f>if(  and(M92&gt;0,I92=0)          ,M92 ,                         If(  If( F92 ,  DAYS360(date(year(F92),month(F92),1),Mes)/30  ,  DAYS360(date(year(E92),month(E92),1),Mes)/30  )  &gt;  0 , If(F92,   DAYS360(date(year(F92),month(F92),1),Mes)/30  ,  DAYS360(date(year(E92),month(E92),1),Mes)/30) , 0)       )</f>
        <v>114</v>
      </c>
      <c r="L92" s="39">
        <f t="shared" si="3"/>
        <v>1368000</v>
      </c>
      <c r="M92" s="314"/>
      <c r="N92" s="314"/>
      <c r="O92" s="3"/>
      <c r="P92" s="3"/>
      <c r="Q92" s="3"/>
      <c r="R92" s="3"/>
      <c r="S92" s="3"/>
      <c r="T92" s="3"/>
    </row>
    <row r="93" ht="15.0" customHeight="1">
      <c r="A93" s="550" t="s">
        <v>71</v>
      </c>
      <c r="B93" s="551">
        <v>1463.0</v>
      </c>
      <c r="C93" s="552">
        <v>1463.0</v>
      </c>
      <c r="D93" s="34" t="str">
        <f>if(   iserror(offset(PADRON!B$2,match(C:C,PADRON!A$2:A376,0)-1,0,1,1) )  ,  ,    offset(PADRON!B$2,match(C:C,PADRON!A$2:A376,0)-1,0,1,1))</f>
        <v>FERNANDEZ,PEREIRA L</v>
      </c>
      <c r="E93" s="554">
        <v>41883.0</v>
      </c>
      <c r="F93" s="555"/>
      <c r="G93" s="23" t="s">
        <v>56</v>
      </c>
      <c r="H93" s="556">
        <f>IF( ISERROR( OFFSET(   'Cuadro tarifario'!D$2  , MATCH(CONCATENATE(                 IF(F93&gt;Mes,OFFSET(NroCT!B$17, MATCH($F93,NroCT!$A$18:$A376,0),0,1,1),Periodovigente)                                                                                                                     ,A93) ,'Cuadro tarifario'!A$2:A376,0) -1 , 0 , 1 , 1) )   , 0  ,   OFFSET(   'Cuadro tarifario'!D$2  , MATCH(CONCATENATE( IF(F93&gt;Mes,OFFSET(NroCT!B$17, MATCH($F93,NroCT!$A$18:$A376,0),0,1,1),Periodovigente) ,A93) ,'Cuadro tarifario'!A$2:A376,0) -1 , 0 , 1 , 1))</f>
        <v>11000</v>
      </c>
      <c r="I93" s="36">
        <f t="shared" si="6"/>
        <v>0</v>
      </c>
      <c r="J93" s="557">
        <f t="shared" si="2"/>
        <v>0</v>
      </c>
      <c r="K93" s="2">
        <f>If(  If(F93,   DAYS360(date(year(F93),month(F93),1),Mes)/30  ,  DAYS360(date(year(E93),month(E93),1),Mes)/30) &gt; 0 , If(F93,   DAYS360(date(year(F93),month(F93),1),Mes)/30  ,  DAYS360(date(year(E93),month(E93),1),Mes)/30) , 0)</f>
        <v>131</v>
      </c>
      <c r="L93" s="39">
        <f t="shared" si="3"/>
        <v>1441000</v>
      </c>
      <c r="M93" s="559"/>
      <c r="N93" s="559"/>
      <c r="O93" s="559"/>
      <c r="P93" s="559"/>
      <c r="Q93" s="559"/>
      <c r="R93" s="559"/>
      <c r="S93" s="559"/>
      <c r="T93" s="559"/>
    </row>
    <row r="94" ht="15.0" customHeight="1">
      <c r="A94" s="550" t="s">
        <v>71</v>
      </c>
      <c r="B94" s="551">
        <v>1467.0</v>
      </c>
      <c r="C94" s="552">
        <v>1467.0</v>
      </c>
      <c r="D94" s="34" t="str">
        <f>if(   iserror(offset(PADRON!B$2,match(C:C,PADRON!A$2:A376,0)-1,0,1,1) )  ,  ,    offset(PADRON!B$2,match(C:C,PADRON!A$2:A376,0)-1,0,1,1))</f>
        <v>GENTILETTI MARTIN</v>
      </c>
      <c r="E94" s="554">
        <v>41852.0</v>
      </c>
      <c r="F94" s="555"/>
      <c r="G94" s="23" t="s">
        <v>56</v>
      </c>
      <c r="H94" s="556">
        <f>IF( ISERROR( OFFSET(   'Cuadro tarifario'!D$2  , MATCH(CONCATENATE(                 IF(F94&gt;Mes,OFFSET(NroCT!B$17, MATCH($F94,NroCT!$A$18:$A376,0),0,1,1),Periodovigente)                                                                                                                     ,A94) ,'Cuadro tarifario'!A$2:A376,0) -1 , 0 , 1 , 1) )   , 0  ,   OFFSET(   'Cuadro tarifario'!D$2  , MATCH(CONCATENATE( IF(F94&gt;Mes,OFFSET(NroCT!B$17, MATCH($F94,NroCT!$A$18:$A376,0),0,1,1),Periodovigente) ,A94) ,'Cuadro tarifario'!A$2:A376,0) -1 , 0 , 1 , 1))</f>
        <v>11000</v>
      </c>
      <c r="I94" s="36">
        <f t="shared" si="6"/>
        <v>0</v>
      </c>
      <c r="J94" s="557">
        <f t="shared" si="2"/>
        <v>0</v>
      </c>
      <c r="K94" s="2">
        <f>If(  If(F94,   DAYS360(date(year(F94),month(F94),1),Mes)/30  ,  DAYS360(date(year(E94),month(E94),1),Mes)/30) &gt; 0 , If(F94,   DAYS360(date(year(F94),month(F94),1),Mes)/30  ,  DAYS360(date(year(E94),month(E94),1),Mes)/30) , 0)</f>
        <v>132</v>
      </c>
      <c r="L94" s="39">
        <f t="shared" si="3"/>
        <v>1452000</v>
      </c>
      <c r="M94" s="559"/>
      <c r="N94" s="559"/>
      <c r="O94" s="559"/>
      <c r="P94" s="559"/>
      <c r="Q94" s="559"/>
      <c r="R94" s="559"/>
      <c r="S94" s="559"/>
      <c r="T94" s="559"/>
    </row>
    <row r="95" ht="15.0" customHeight="1">
      <c r="A95" s="565" t="s">
        <v>71</v>
      </c>
      <c r="B95" s="566">
        <v>1470.0</v>
      </c>
      <c r="C95" s="567">
        <v>1470.0</v>
      </c>
      <c r="D95" s="44" t="str">
        <f>IF(   ISERROR(OFFSET(PADRON!B$2,MATCH(C:C,PADRON!A$2:A376,0)-1,0,1,1) )  ,  ,    OFFSET(PADRON!B$2,MATCH(C:C,PADRON!A$2:A376,0)-1,0,1,1))</f>
        <v>LESCANO FABIAN MARCELO</v>
      </c>
      <c r="E95" s="569">
        <v>41760.0</v>
      </c>
      <c r="F95" s="570"/>
      <c r="G95" s="23" t="s">
        <v>56</v>
      </c>
      <c r="H95" s="147">
        <f>IF( ISERROR( OFFSET(   'Cuadro tarifario'!D$2  , MATCH(CONCATENATE(                 IF(F95&gt;Mes,OFFSET(NroCT!B$17, MATCH($F95,NroCT!$A$18:$A376,0),0,1,1),Periodovigente)                                                                                                                     ,A95) ,'Cuadro tarifario'!A$2:A376,0) -1 , 0 , 1 , 1) )   , 0  ,   OFFSET(   'Cuadro tarifario'!D$2  , MATCH(CONCATENATE( IF(F95&gt;Mes,OFFSET(NroCT!B$17, MATCH($F95,NroCT!$A$18:$A376,0),0,1,1),Periodovigente) ,A95) ,'Cuadro tarifario'!A$2:A376,0) -1 , 0 , 1 , 1))</f>
        <v>11000</v>
      </c>
      <c r="I95" s="46">
        <f>INT(IF(F95,DAYS360(          DATE(YEAR(E95),MONTH(E95),1),         DATE(YEAR(F95)     ,      MONTH(F95),1 )    )            /30,0 ))</f>
        <v>0</v>
      </c>
      <c r="J95" s="572">
        <f t="shared" si="2"/>
        <v>0</v>
      </c>
      <c r="K95" s="2">
        <f>If(  If(F95,   DAYS360(date(year(F95),month(F95),1),Mes)/30  ,  DAYS360(date(year(E95),month(E95),1),Mes)/30) &gt; 0 , If(F95,   DAYS360(date(year(F95),month(F95),1),Mes)/30  ,  DAYS360(date(year(E95),month(E95),1),Mes)/30) , 0)</f>
        <v>135</v>
      </c>
      <c r="L95" s="593">
        <f t="shared" si="3"/>
        <v>1485000</v>
      </c>
      <c r="M95" s="559"/>
      <c r="N95" s="559"/>
      <c r="O95" s="559"/>
      <c r="P95" s="559"/>
      <c r="Q95" s="559"/>
      <c r="R95" s="559"/>
      <c r="S95" s="559"/>
      <c r="T95" s="559"/>
    </row>
    <row r="96" ht="15.0" customHeight="1">
      <c r="A96" s="550" t="s">
        <v>71</v>
      </c>
      <c r="B96" s="551">
        <v>1472.0</v>
      </c>
      <c r="C96" s="552">
        <v>1472.0</v>
      </c>
      <c r="D96" s="34" t="str">
        <f>if(   iserror(offset(PADRON!B$2,match(C:C,PADRON!A$2:A376,0)-1,0,1,1) )  ,  ,    offset(PADRON!B$2,match(C:C,PADRON!A$2:A376,0)-1,0,1,1))</f>
        <v>IGLESIAS, LAURA</v>
      </c>
      <c r="E96" s="554">
        <v>41760.0</v>
      </c>
      <c r="F96" s="555"/>
      <c r="G96" s="23" t="s">
        <v>56</v>
      </c>
      <c r="H96" s="556">
        <f>IF( ISERROR( OFFSET(   'Cuadro tarifario'!D$2  , MATCH(CONCATENATE(                 IF(F96&gt;Mes,OFFSET(NroCT!B$17, MATCH($F96,NroCT!$A$18:$A376,0),0,1,1),Periodovigente)                                                                                                                     ,A96) ,'Cuadro tarifario'!A$2:A376,0) -1 , 0 , 1 , 1) )   , 0  ,   OFFSET(   'Cuadro tarifario'!D$2  , MATCH(CONCATENATE( IF(F96&gt;Mes,OFFSET(NroCT!B$17, MATCH($F96,NroCT!$A$18:$A376,0),0,1,1),Periodovigente) ,A96) ,'Cuadro tarifario'!A$2:A376,0) -1 , 0 , 1 , 1))</f>
        <v>11000</v>
      </c>
      <c r="I96" s="36">
        <f>Int(If(F96,DAYS360(          date(Year(E96),Month(E96),1),         date(Year(F96)     ,      Month(F96),1 )    )            /30,0 ))</f>
        <v>0</v>
      </c>
      <c r="J96" s="557">
        <f t="shared" si="2"/>
        <v>0</v>
      </c>
      <c r="K96" s="2">
        <f>If(  If(F96,   DAYS360(date(year(F96),month(F96),1),Mes)/30  ,  DAYS360(date(year(E96),month(E96),1),Mes)/30) &gt; 0 , If(F96,   DAYS360(date(year(F96),month(F96),1),Mes)/30  ,  DAYS360(date(year(E96),month(E96),1),Mes)/30) , 0)</f>
        <v>135</v>
      </c>
      <c r="L96" s="39">
        <f t="shared" si="3"/>
        <v>1485000</v>
      </c>
      <c r="M96" s="559"/>
      <c r="N96" s="559"/>
      <c r="O96" s="559"/>
      <c r="P96" s="559"/>
      <c r="Q96" s="559"/>
      <c r="R96" s="559"/>
      <c r="S96" s="559"/>
      <c r="T96" s="559"/>
    </row>
    <row r="97" ht="15.0" customHeight="1">
      <c r="A97" s="565" t="s">
        <v>71</v>
      </c>
      <c r="B97" s="566">
        <v>1472.0</v>
      </c>
      <c r="C97" s="567">
        <v>1472.0</v>
      </c>
      <c r="D97" s="44" t="str">
        <f>IF(   ISERROR(OFFSET(PADRON!B$2,MATCH(C:C,PADRON!A$2:A376,0)-1,0,1,1) )  ,  ,    OFFSET(PADRON!B$2,MATCH(C:C,PADRON!A$2:A376,0)-1,0,1,1))</f>
        <v>IGLESIAS, LAURA</v>
      </c>
      <c r="E97" s="569">
        <v>41760.0</v>
      </c>
      <c r="F97" s="570"/>
      <c r="G97" s="23" t="s">
        <v>56</v>
      </c>
      <c r="H97" s="147">
        <f>IF( ISERROR( OFFSET(   'Cuadro tarifario'!D$2  , MATCH(CONCATENATE(                 IF(F97&gt;Mes,OFFSET(NroCT!B$17, MATCH($F97,NroCT!$A$18:$A376,0),0,1,1),Periodovigente)                                                                                                                     ,A97) ,'Cuadro tarifario'!A$2:A376,0) -1 , 0 , 1 , 1) )   , 0  ,   OFFSET(   'Cuadro tarifario'!D$2  , MATCH(CONCATENATE( IF(F97&gt;Mes,OFFSET(NroCT!B$17, MATCH($F97,NroCT!$A$18:$A376,0),0,1,1),Periodovigente) ,A97) ,'Cuadro tarifario'!A$2:A376,0) -1 , 0 , 1 , 1))</f>
        <v>11000</v>
      </c>
      <c r="I97" s="46">
        <f>INT(IF(F97,DAYS360(          DATE(YEAR(E97),MONTH(E97),1),         DATE(YEAR(F97)     ,      MONTH(F97),1 )    )            /30,0 ))</f>
        <v>0</v>
      </c>
      <c r="J97" s="572">
        <f t="shared" si="2"/>
        <v>0</v>
      </c>
      <c r="K97" s="2">
        <f>If(  If(F97,   DAYS360(date(year(F97),month(F97),1),Mes)/30  ,  DAYS360(date(year(E97),month(E97),1),Mes)/30) &gt; 0 , If(F97,   DAYS360(date(year(F97),month(F97),1),Mes)/30  ,  DAYS360(date(year(E97),month(E97),1),Mes)/30) , 0)</f>
        <v>135</v>
      </c>
      <c r="L97" s="593">
        <f t="shared" si="3"/>
        <v>1485000</v>
      </c>
      <c r="M97" s="559"/>
      <c r="N97" s="559"/>
      <c r="O97" s="559"/>
      <c r="P97" s="559"/>
      <c r="Q97" s="559"/>
      <c r="R97" s="559"/>
      <c r="S97" s="559"/>
      <c r="T97" s="559"/>
    </row>
    <row r="98" ht="15.0" customHeight="1">
      <c r="A98" s="550" t="s">
        <v>71</v>
      </c>
      <c r="B98" s="551">
        <v>1480.0</v>
      </c>
      <c r="C98" s="594">
        <v>1480.0</v>
      </c>
      <c r="D98" s="34" t="str">
        <f>if(   iserror(offset(PADRON!B$2,match(C:C,PADRON!A$2:A376,0)-1,0,1,1) )  ,  ,    offset(PADRON!B$2,match(C:C,PADRON!A$2:A376,0)-1,0,1,1))</f>
        <v>FIGUEIRAS, ALEJANDRO</v>
      </c>
      <c r="E98" s="554">
        <v>42370.0</v>
      </c>
      <c r="F98" s="555"/>
      <c r="G98" s="23" t="s">
        <v>56</v>
      </c>
      <c r="H98" s="556">
        <f>IF( ISERROR( OFFSET(   'Cuadro tarifario'!D$2  , MATCH(CONCATENATE(                 IF(F98&gt;Mes,OFFSET(NroCT!B$17, MATCH($F98,NroCT!$A$18:$A376,0),0,1,1),Periodovigente)                                                                                                                     ,A98) ,'Cuadro tarifario'!A$2:A376,0) -1 , 0 , 1 , 1) )   , 0  ,   OFFSET(   'Cuadro tarifario'!D$2  , MATCH(CONCATENATE( IF(F98&gt;Mes,OFFSET(NroCT!B$17, MATCH($F98,NroCT!$A$18:$A376,0),0,1,1),Periodovigente) ,A98) ,'Cuadro tarifario'!A$2:A376,0) -1 , 0 , 1 , 1))</f>
        <v>11000</v>
      </c>
      <c r="I98" s="36">
        <f t="shared" ref="I98:I136" si="9">Int(If(F98,DAYS360(          date(Year(E98),Month(E98),1),         date(Year(F98)     ,      Month(F98),1 )    )            /30,0 ))</f>
        <v>0</v>
      </c>
      <c r="J98" s="557">
        <f t="shared" si="2"/>
        <v>0</v>
      </c>
      <c r="K98" s="2">
        <f>if(  and(M98&gt;0,I98=0)          ,M98 ,                         If(  If( F98 ,  DAYS360(date(year(F98),month(F98),1),Mes)/30  ,  DAYS360(date(year(E98),month(E98),1),Mes)/30  )  &gt;  0 , If(F98,   DAYS360(date(year(F98),month(F98),1),Mes)/30  ,  DAYS360(date(year(E98),month(E98),1),Mes)/30) , 0)       )</f>
        <v>115</v>
      </c>
      <c r="L98" s="39">
        <f t="shared" si="3"/>
        <v>1265000</v>
      </c>
      <c r="M98" s="314"/>
      <c r="N98" s="314"/>
      <c r="O98" s="3"/>
      <c r="P98" s="3"/>
      <c r="Q98" s="3"/>
      <c r="R98" s="3"/>
      <c r="S98" s="3"/>
      <c r="T98" s="3"/>
    </row>
    <row r="99" ht="15.0" customHeight="1">
      <c r="A99" s="589" t="s">
        <v>48</v>
      </c>
      <c r="B99" s="590" t="s">
        <v>410</v>
      </c>
      <c r="C99" s="594">
        <v>1480.0</v>
      </c>
      <c r="D99" s="553" t="str">
        <f>if(   iserror(offset(PADRON!B$2,match(C:C,PADRON!A$2:A376,0)-1,0,1,1) )  ,  ,    offset(PADRON!B$2,match(C:C,PADRON!A$2:A376,0)-1,0,1,1))</f>
        <v>FIGUEIRAS, ALEJANDRO</v>
      </c>
      <c r="E99" s="554">
        <v>42370.0</v>
      </c>
      <c r="F99" s="555"/>
      <c r="G99" s="23" t="s">
        <v>56</v>
      </c>
      <c r="H99" s="556">
        <f>IF( ISERROR( OFFSET(   'Cuadro tarifario'!D$2  , MATCH(CONCATENATE(                 IF(F99&gt;Mes,OFFSET(NroCT!B$17, MATCH($F99,NroCT!$A$18:$A376,0),0,1,1),Periodovigente)                                                                                                                     ,A99) ,'Cuadro tarifario'!A$2:A376,0) -1 , 0 , 1 , 1) )   , 0  ,   OFFSET(   'Cuadro tarifario'!D$2  , MATCH(CONCATENATE( IF(F99&gt;Mes,OFFSET(NroCT!B$17, MATCH($F99,NroCT!$A$18:$A376,0),0,1,1),Periodovigente) ,A99) ,'Cuadro tarifario'!A$2:A376,0) -1 , 0 , 1 , 1))</f>
        <v>12000</v>
      </c>
      <c r="I99" s="1">
        <f t="shared" si="9"/>
        <v>0</v>
      </c>
      <c r="J99" s="557">
        <f t="shared" si="2"/>
        <v>0</v>
      </c>
      <c r="K99" s="2">
        <f>if(  and(M99&gt;0,I99=0)          ,M99 ,                         If(  If( F99 ,  DAYS360(date(year(F99),month(F99),1),Mes)/30  ,  DAYS360(date(year(E99),month(E99),1),Mes)/30  )  &gt;  0 , If(F99,   DAYS360(date(year(F99),month(F99),1),Mes)/30  ,  DAYS360(date(year(E99),month(E99),1),Mes)/30) , 0)       )</f>
        <v>115</v>
      </c>
      <c r="L99" s="558">
        <f t="shared" si="3"/>
        <v>1380000</v>
      </c>
      <c r="M99" s="314"/>
      <c r="N99" s="314"/>
      <c r="O99" s="3"/>
      <c r="P99" s="3"/>
      <c r="Q99" s="3"/>
      <c r="R99" s="3"/>
      <c r="S99" s="3"/>
      <c r="T99" s="3"/>
    </row>
    <row r="100" ht="15.0" customHeight="1">
      <c r="A100" s="550" t="s">
        <v>71</v>
      </c>
      <c r="B100" s="551">
        <v>1483.0</v>
      </c>
      <c r="C100" s="594">
        <v>1483.0</v>
      </c>
      <c r="D100" s="553" t="str">
        <f>if(   iserror(offset(PADRON!B$2,match(C:C,PADRON!A$2:A376,0)-1,0,1,1) )  ,  ,    offset(PADRON!B$2,match(C:C,PADRON!A$2:A376,0)-1,0,1,1))</f>
        <v>BAUMGAERTNER, STELLA</v>
      </c>
      <c r="E100" s="554">
        <v>42339.0</v>
      </c>
      <c r="F100" s="555"/>
      <c r="G100" s="23" t="s">
        <v>56</v>
      </c>
      <c r="H100" s="556">
        <f>IF( ISERROR( OFFSET(   'Cuadro tarifario'!D$2  , MATCH(CONCATENATE(                 IF(F100&gt;Mes,OFFSET(NroCT!B$17, MATCH($F100,NroCT!$A$18:$A376,0),0,1,1),Periodovigente)                                                                                                                     ,A100) ,'Cuadro tarifario'!A$2:A376,0) -1 , 0 , 1 , 1) )   , 0  ,   OFFSET(   'Cuadro tarifario'!D$2  , MATCH(CONCATENATE( IF(F100&gt;Mes,OFFSET(NroCT!B$17, MATCH($F100,NroCT!$A$18:$A376,0),0,1,1),Periodovigente) ,A100) ,'Cuadro tarifario'!A$2:A376,0) -1 , 0 , 1 , 1))</f>
        <v>11000</v>
      </c>
      <c r="I100" s="1">
        <f t="shared" si="9"/>
        <v>0</v>
      </c>
      <c r="J100" s="557">
        <f t="shared" si="2"/>
        <v>0</v>
      </c>
      <c r="K100" s="2">
        <f>if(  and(M100&gt;0,I100=0)          ,M100 ,                         If(  If( F100 ,  DAYS360(date(year(F100),month(F100),1),Mes)/30  ,  DAYS360(date(year(E100),month(E100),1),Mes)/30  )  &gt;  0 , If(F100,   DAYS360(date(year(F100),month(F100),1),Mes)/30  ,  DAYS360(date(year(E100),month(E100),1),Mes)/30) , 0)       )</f>
        <v>116</v>
      </c>
      <c r="L100" s="558">
        <f t="shared" si="3"/>
        <v>1276000</v>
      </c>
      <c r="M100" s="314"/>
      <c r="N100" s="314"/>
      <c r="O100" s="3"/>
      <c r="P100" s="3"/>
      <c r="Q100" s="3"/>
      <c r="R100" s="3"/>
      <c r="S100" s="3"/>
      <c r="T100" s="3"/>
    </row>
    <row r="101" ht="15.0" customHeight="1">
      <c r="A101" s="550" t="s">
        <v>71</v>
      </c>
      <c r="B101" s="551">
        <v>1484.0</v>
      </c>
      <c r="C101" s="594">
        <v>1484.0</v>
      </c>
      <c r="D101" s="553" t="str">
        <f>if(   iserror(offset(PADRON!B$2,match(C:C,PADRON!A$2:A376,0)-1,0,1,1) )  ,  ,    offset(PADRON!B$2,match(C:C,PADRON!A$2:A376,0)-1,0,1,1))</f>
        <v>GROETZNER, JULIETA</v>
      </c>
      <c r="E101" s="554">
        <v>41640.0</v>
      </c>
      <c r="F101" s="555"/>
      <c r="G101" s="23" t="s">
        <v>56</v>
      </c>
      <c r="H101" s="556">
        <f>if( iserror( offset(   'Cuadro tarifario'!D$2  , match(concatenate(                 If(F101&gt;Periodovigente,Offset(NroCT!B$17, match($F101,NroCT!$A$18:$A376,0),0,1,1),Periodovigente)                                                                                                                     ,A101) ,'Cuadro tarifario'!A$2:A376,0) -1 , 0 , 1 , 1) )   , 0  ,   offset(   'Cuadro tarifario'!D$2  , match(concatenate( If(F101&gt;Periodovigente,Offset(NroCT!B$17, match($F101,NroCT!$A$18:$A376,0),0,1,1),Periodovigente) ,A101) ,'Cuadro tarifario'!A$2:A376,0) -1 , 0 , 1 , 1))</f>
        <v>11000</v>
      </c>
      <c r="I101" s="1">
        <f t="shared" si="9"/>
        <v>0</v>
      </c>
      <c r="J101" s="557">
        <f t="shared" si="2"/>
        <v>0</v>
      </c>
      <c r="K101" s="2">
        <f>If(  If(F101,   DAYS360(date(year(F101),month(F101),1),Mes)/30  ,  DAYS360(date(year(E101),month(E101),1),Mes)/30) &gt; 0 , If(F101,   DAYS360(date(year(F101),month(F101),1),Mes)/30  ,  DAYS360(date(year(E101),month(E101),1),Mes)/30) , 0)</f>
        <v>139</v>
      </c>
      <c r="L101" s="558">
        <f t="shared" si="3"/>
        <v>1529000</v>
      </c>
      <c r="M101" s="559"/>
      <c r="N101" s="559"/>
      <c r="O101" s="559"/>
      <c r="P101" s="559"/>
      <c r="Q101" s="559"/>
      <c r="R101" s="559"/>
      <c r="S101" s="559"/>
      <c r="T101" s="559"/>
    </row>
    <row r="102" ht="15.0" customHeight="1">
      <c r="A102" s="550" t="s">
        <v>71</v>
      </c>
      <c r="B102" s="551">
        <v>1486.0</v>
      </c>
      <c r="C102" s="594">
        <v>1486.0</v>
      </c>
      <c r="D102" s="553" t="str">
        <f>if(   iserror(offset(PADRON!B$2,match(C:C,PADRON!A$2:A376,0)-1,0,1,1) )  ,  ,    offset(PADRON!B$2,match(C:C,PADRON!A$2:A376,0)-1,0,1,1))</f>
        <v>GALVANI JUAN</v>
      </c>
      <c r="E102" s="554">
        <v>42036.0</v>
      </c>
      <c r="F102" s="555"/>
      <c r="G102" s="23" t="s">
        <v>56</v>
      </c>
      <c r="H102" s="556">
        <f>IF( ISERROR( OFFSET(   'Cuadro tarifario'!D$2  , MATCH(CONCATENATE(                 IF(F102&gt;Mes,OFFSET(NroCT!B$17, MATCH($F102,NroCT!$A$18:$A376,0),0,1,1),Periodovigente)                                                                                                                     ,A102) ,'Cuadro tarifario'!A$2:A376,0) -1 , 0 , 1 , 1) )   , 0  ,   OFFSET(   'Cuadro tarifario'!D$2  , MATCH(CONCATENATE( IF(F102&gt;Mes,OFFSET(NroCT!B$17, MATCH($F102,NroCT!$A$18:$A376,0),0,1,1),Periodovigente) ,A102) ,'Cuadro tarifario'!A$2:A376,0) -1 , 0 , 1 , 1))</f>
        <v>11000</v>
      </c>
      <c r="I102" s="1">
        <f t="shared" si="9"/>
        <v>0</v>
      </c>
      <c r="J102" s="557">
        <f t="shared" si="2"/>
        <v>0</v>
      </c>
      <c r="K102" s="2">
        <f>if(  and(M102&gt;0,I102=0)          ,M102 ,                         If(  If( F102 ,  DAYS360(date(year(F102),month(F102),1),Mes)/30  ,  DAYS360(date(year(E102),month(E102),1),Mes)/30  )  &gt;  0 , If(F102,   DAYS360(date(year(F102),month(F102),1),Mes)/30  ,  DAYS360(date(year(E102),month(E102),1),Mes)/30) , 0)       )</f>
        <v>126</v>
      </c>
      <c r="L102" s="558">
        <f t="shared" si="3"/>
        <v>1386000</v>
      </c>
      <c r="M102" s="314"/>
      <c r="N102" s="314"/>
      <c r="O102" s="3"/>
      <c r="P102" s="3"/>
      <c r="Q102" s="3"/>
      <c r="R102" s="3"/>
      <c r="S102" s="3"/>
      <c r="T102" s="3"/>
    </row>
    <row r="103" ht="15.0" customHeight="1">
      <c r="A103" s="550" t="s">
        <v>71</v>
      </c>
      <c r="B103" s="551">
        <v>1487.0</v>
      </c>
      <c r="C103" s="594">
        <v>1487.0</v>
      </c>
      <c r="D103" s="553" t="str">
        <f>if(   iserror(offset(PADRON!B$2,match(C:C,PADRON!A$2:A376,0)-1,0,1,1) )  ,  ,    offset(PADRON!B$2,match(C:C,PADRON!A$2:A376,0)-1,0,1,1))</f>
        <v>DOMINGUEZ, IGNACIO</v>
      </c>
      <c r="E103" s="554">
        <v>42309.0</v>
      </c>
      <c r="F103" s="555"/>
      <c r="G103" s="23" t="s">
        <v>56</v>
      </c>
      <c r="H103" s="556">
        <f>IF( ISERROR( OFFSET(   'Cuadro tarifario'!D$2  , MATCH(CONCATENATE(                 IF(F103&gt;Mes,OFFSET(NroCT!B$17, MATCH($F103,NroCT!$A$18:$A376,0),0,1,1),Periodovigente)                                                                                                                     ,A103) ,'Cuadro tarifario'!A$2:A376,0) -1 , 0 , 1 , 1) )   , 0  ,   OFFSET(   'Cuadro tarifario'!D$2  , MATCH(CONCATENATE( IF(F103&gt;Mes,OFFSET(NroCT!B$17, MATCH($F103,NroCT!$A$18:$A376,0),0,1,1),Periodovigente) ,A103) ,'Cuadro tarifario'!A$2:A376,0) -1 , 0 , 1 , 1))</f>
        <v>11000</v>
      </c>
      <c r="I103" s="1">
        <f t="shared" si="9"/>
        <v>0</v>
      </c>
      <c r="J103" s="557">
        <f t="shared" si="2"/>
        <v>0</v>
      </c>
      <c r="K103" s="2">
        <f>if(  and(M103&gt;0,I103=0)          ,M103 ,                         If(  If( F103 ,  DAYS360(date(year(F103),month(F103),1),Mes)/30  ,  DAYS360(date(year(E103),month(E103),1),Mes)/30  )  &gt;  0 , If(F103,   DAYS360(date(year(F103),month(F103),1),Mes)/30  ,  DAYS360(date(year(E103),month(E103),1),Mes)/30) , 0)       )</f>
        <v>117</v>
      </c>
      <c r="L103" s="558">
        <f t="shared" si="3"/>
        <v>1287000</v>
      </c>
      <c r="M103" s="314"/>
      <c r="N103" s="314"/>
      <c r="O103" s="3"/>
      <c r="P103" s="3"/>
      <c r="Q103" s="3"/>
      <c r="R103" s="3"/>
      <c r="S103" s="3"/>
      <c r="T103" s="3"/>
    </row>
    <row r="104" ht="15.0" customHeight="1">
      <c r="A104" s="550" t="s">
        <v>71</v>
      </c>
      <c r="B104" s="551">
        <v>1489.0</v>
      </c>
      <c r="C104" s="594">
        <v>1489.0</v>
      </c>
      <c r="D104" s="553" t="str">
        <f>if(   iserror(offset(PADRON!B$2,match(C:C,PADRON!A$2:A376,0)-1,0,1,1) )  ,  ,    offset(PADRON!B$2,match(C:C,PADRON!A$2:A376,0)-1,0,1,1))</f>
        <v>AGUEDA JULIO CESAR</v>
      </c>
      <c r="E104" s="554">
        <v>42064.0</v>
      </c>
      <c r="F104" s="555"/>
      <c r="G104" s="23" t="s">
        <v>56</v>
      </c>
      <c r="H104" s="556">
        <f>IF( ISERROR( OFFSET(   'Cuadro tarifario'!D$2  , MATCH(CONCATENATE(                 IF(F104&gt;Mes,OFFSET(NroCT!B$17, MATCH($F104,NroCT!$A$18:$A376,0),0,1,1),Periodovigente)                                                                                                                     ,A104) ,'Cuadro tarifario'!A$2:A376,0) -1 , 0 , 1 , 1) )   , 0  ,   OFFSET(   'Cuadro tarifario'!D$2  , MATCH(CONCATENATE( IF(F104&gt;Mes,OFFSET(NroCT!B$17, MATCH($F104,NroCT!$A$18:$A376,0),0,1,1),Periodovigente) ,A104) ,'Cuadro tarifario'!A$2:A376,0) -1 , 0 , 1 , 1))</f>
        <v>11000</v>
      </c>
      <c r="I104" s="1">
        <f t="shared" si="9"/>
        <v>0</v>
      </c>
      <c r="J104" s="557">
        <f t="shared" si="2"/>
        <v>0</v>
      </c>
      <c r="K104" s="2">
        <f>if(  and(M104&gt;0,I104=0)          ,M104 ,                         If(  If( F104 ,  DAYS360(date(year(F104),month(F104),1),Mes)/30  ,  DAYS360(date(year(E104),month(E104),1),Mes)/30  )  &gt;  0 , If(F104,   DAYS360(date(year(F104),month(F104),1),Mes)/30  ,  DAYS360(date(year(E104),month(E104),1),Mes)/30) , 0)       )</f>
        <v>125</v>
      </c>
      <c r="L104" s="558">
        <f t="shared" si="3"/>
        <v>1375000</v>
      </c>
      <c r="M104" s="314">
        <f>If( iserror(offset(SECUESTRADOS!D$1,match(B104,SECUESTRADOS!A$2:A376,0),0)) ,0 ,  offset(SECUESTRADOS!D$1,match(B104,SECUESTRADOS!A$2:A376,0),0)  )</f>
        <v>0</v>
      </c>
      <c r="N104" s="314"/>
      <c r="O104" s="3" t="b">
        <f>if(I104,A104)</f>
        <v>0</v>
      </c>
      <c r="P104" s="3" t="str">
        <f>if(and(A104=A103,B104=B103,C104=C103),"Repetido","")</f>
        <v/>
      </c>
      <c r="Q104" s="3"/>
      <c r="R104" s="3"/>
      <c r="S104" s="3"/>
      <c r="T104" s="3"/>
    </row>
    <row r="105" ht="15.0" customHeight="1">
      <c r="A105" s="550" t="s">
        <v>71</v>
      </c>
      <c r="B105" s="551">
        <v>1490.0</v>
      </c>
      <c r="C105" s="594">
        <v>1490.0</v>
      </c>
      <c r="D105" s="553" t="str">
        <f>if(   iserror(offset(PADRON!B$2,match(C:C,PADRON!A$2:A376,0)-1,0,1,1) )  ,  ,    offset(PADRON!B$2,match(C:C,PADRON!A$2:A376,0)-1,0,1,1))</f>
        <v>CAPONERA, LAURA</v>
      </c>
      <c r="E105" s="554">
        <v>42339.0</v>
      </c>
      <c r="F105" s="555"/>
      <c r="G105" s="23" t="s">
        <v>56</v>
      </c>
      <c r="H105" s="556">
        <f>IF( ISERROR( OFFSET(   'Cuadro tarifario'!D$2  , MATCH(CONCATENATE(                 IF(F105&gt;Mes,OFFSET(NroCT!B$17, MATCH($F105,NroCT!$A$18:$A376,0),0,1,1),Periodovigente)                                                                                                                     ,A105) ,'Cuadro tarifario'!A$2:A376,0) -1 , 0 , 1 , 1) )   , 0  ,   OFFSET(   'Cuadro tarifario'!D$2  , MATCH(CONCATENATE( IF(F105&gt;Mes,OFFSET(NroCT!B$17, MATCH($F105,NroCT!$A$18:$A376,0),0,1,1),Periodovigente) ,A105) ,'Cuadro tarifario'!A$2:A376,0) -1 , 0 , 1 , 1))</f>
        <v>11000</v>
      </c>
      <c r="I105" s="1">
        <f t="shared" si="9"/>
        <v>0</v>
      </c>
      <c r="J105" s="557">
        <f t="shared" si="2"/>
        <v>0</v>
      </c>
      <c r="K105" s="2">
        <f>if(  and(M105&gt;0,I105=0)          ,M105 ,                         If(  If( F105 ,  DAYS360(date(year(F105),month(F105),1),Mes)/30  ,  DAYS360(date(year(E105),month(E105),1),Mes)/30  )  &gt;  0 , If(F105,   DAYS360(date(year(F105),month(F105),1),Mes)/30  ,  DAYS360(date(year(E105),month(E105),1),Mes)/30) , 0)       )</f>
        <v>116</v>
      </c>
      <c r="L105" s="558">
        <f t="shared" si="3"/>
        <v>1276000</v>
      </c>
      <c r="M105" s="314"/>
      <c r="N105" s="314"/>
      <c r="O105" s="3"/>
      <c r="P105" s="3"/>
      <c r="Q105" s="3"/>
      <c r="R105" s="3"/>
      <c r="S105" s="3"/>
      <c r="T105" s="3"/>
    </row>
    <row r="106" ht="15.0" customHeight="1">
      <c r="A106" s="550" t="s">
        <v>71</v>
      </c>
      <c r="B106" s="551">
        <v>1492.0</v>
      </c>
      <c r="C106" s="594">
        <v>1492.0</v>
      </c>
      <c r="D106" s="553" t="str">
        <f>if(   iserror(offset(PADRON!B$2,match(C:C,PADRON!A$2:A376,0)-1,0,1,1) )  ,  ,    offset(PADRON!B$2,match(C:C,PADRON!A$2:A376,0)-1,0,1,1))</f>
        <v>LINDE, VICTORIA</v>
      </c>
      <c r="E106" s="554">
        <v>42036.0</v>
      </c>
      <c r="F106" s="555"/>
      <c r="G106" s="23" t="s">
        <v>56</v>
      </c>
      <c r="H106" s="556">
        <f>IF( ISERROR( OFFSET(   'Cuadro tarifario'!D$2  , MATCH(CONCATENATE(                 IF(F106&gt;Mes,OFFSET(NroCT!B$17, MATCH($F106,NroCT!$A$18:$A376,0),0,1,1),Periodovigente)                                                                                                                     ,A106) ,'Cuadro tarifario'!A$2:A376,0) -1 , 0 , 1 , 1) )   , 0  ,   OFFSET(   'Cuadro tarifario'!D$2  , MATCH(CONCATENATE( IF(F106&gt;Mes,OFFSET(NroCT!B$17, MATCH($F106,NroCT!$A$18:$A376,0),0,1,1),Periodovigente) ,A106) ,'Cuadro tarifario'!A$2:A376,0) -1 , 0 , 1 , 1))</f>
        <v>11000</v>
      </c>
      <c r="I106" s="1">
        <f t="shared" si="9"/>
        <v>0</v>
      </c>
      <c r="J106" s="557">
        <f t="shared" si="2"/>
        <v>0</v>
      </c>
      <c r="K106" s="2">
        <f>if(  and(M106&gt;0,I106=0)          ,M106 ,                         If(  If( F106 ,  DAYS360(date(year(F106),month(F106),1),Mes)/30  ,  DAYS360(date(year(E106),month(E106),1),Mes)/30  )  &gt;  0 , If(F106,   DAYS360(date(year(F106),month(F106),1),Mes)/30  ,  DAYS360(date(year(E106),month(E106),1),Mes)/30) , 0)       )</f>
        <v>126</v>
      </c>
      <c r="L106" s="558">
        <f t="shared" si="3"/>
        <v>1386000</v>
      </c>
      <c r="M106" s="314"/>
      <c r="N106" s="314"/>
      <c r="O106" s="3"/>
      <c r="P106" s="3"/>
      <c r="Q106" s="3"/>
      <c r="R106" s="3"/>
      <c r="S106" s="3"/>
      <c r="T106" s="3"/>
    </row>
    <row r="107" ht="15.0" customHeight="1">
      <c r="A107" s="550" t="s">
        <v>71</v>
      </c>
      <c r="B107" s="551">
        <v>1493.0</v>
      </c>
      <c r="C107" s="594">
        <v>1493.0</v>
      </c>
      <c r="D107" s="553" t="str">
        <f>if(   iserror(offset(PADRON!B$2,match(C:C,PADRON!A$2:A376,0)-1,0,1,1) )  ,  ,    offset(PADRON!B$2,match(C:C,PADRON!A$2:A376,0)-1,0,1,1))</f>
        <v>MUSARRA, MARCELO</v>
      </c>
      <c r="E107" s="554">
        <v>42036.0</v>
      </c>
      <c r="F107" s="555"/>
      <c r="G107" s="23" t="s">
        <v>56</v>
      </c>
      <c r="H107" s="556">
        <f>IF( ISERROR( OFFSET(   'Cuadro tarifario'!D$2  , MATCH(CONCATENATE(                 IF(F107&gt;Mes,OFFSET(NroCT!B$17, MATCH($F107,NroCT!$A$18:$A376,0),0,1,1),Periodovigente)                                                                                                                     ,A107) ,'Cuadro tarifario'!A$2:A376,0) -1 , 0 , 1 , 1) )   , 0  ,   OFFSET(   'Cuadro tarifario'!D$2  , MATCH(CONCATENATE( IF(F107&gt;Mes,OFFSET(NroCT!B$17, MATCH($F107,NroCT!$A$18:$A376,0),0,1,1),Periodovigente) ,A107) ,'Cuadro tarifario'!A$2:A376,0) -1 , 0 , 1 , 1))</f>
        <v>11000</v>
      </c>
      <c r="I107" s="1">
        <f t="shared" si="9"/>
        <v>0</v>
      </c>
      <c r="J107" s="557">
        <f t="shared" si="2"/>
        <v>0</v>
      </c>
      <c r="K107" s="2">
        <f>if(  and(M107&gt;0,I107=0)          ,M107 ,                         If(  If( F107 ,  DAYS360(date(year(F107),month(F107),1),Mes)/30  ,  DAYS360(date(year(E107),month(E107),1),Mes)/30  )  &gt;  0 , If(F107,   DAYS360(date(year(F107),month(F107),1),Mes)/30  ,  DAYS360(date(year(E107),month(E107),1),Mes)/30) , 0)       )</f>
        <v>126</v>
      </c>
      <c r="L107" s="558">
        <f t="shared" si="3"/>
        <v>1386000</v>
      </c>
      <c r="M107" s="314"/>
      <c r="N107" s="314"/>
      <c r="O107" s="3"/>
      <c r="P107" s="3"/>
      <c r="Q107" s="3"/>
      <c r="R107" s="3"/>
      <c r="S107" s="3"/>
      <c r="T107" s="3"/>
    </row>
    <row r="108" ht="15.0" customHeight="1">
      <c r="A108" s="550" t="s">
        <v>71</v>
      </c>
      <c r="B108" s="551">
        <v>1496.0</v>
      </c>
      <c r="C108" s="594">
        <v>1496.0</v>
      </c>
      <c r="D108" s="553" t="str">
        <f>if(   iserror(offset(PADRON!B$2,match(C:C,PADRON!A$2:A376,0)-1,0,1,1) )  ,  ,    offset(PADRON!B$2,match(C:C,PADRON!A$2:A376,0)-1,0,1,1))</f>
        <v>GARIBALDI, AGUSTINA</v>
      </c>
      <c r="E108" s="554">
        <v>41883.0</v>
      </c>
      <c r="F108" s="555"/>
      <c r="G108" s="23" t="s">
        <v>56</v>
      </c>
      <c r="H108" s="556">
        <f>IF( ISERROR( OFFSET(   'Cuadro tarifario'!D$2  , MATCH(CONCATENATE(                 IF(F108&gt;Mes,OFFSET(NroCT!B$17, MATCH($F108,NroCT!$A$18:$A376,0),0,1,1),Periodovigente)                                                                                                                     ,A108) ,'Cuadro tarifario'!A$2:A376,0) -1 , 0 , 1 , 1) )   , 0  ,   OFFSET(   'Cuadro tarifario'!D$2  , MATCH(CONCATENATE( IF(F108&gt;Mes,OFFSET(NroCT!B$17, MATCH($F108,NroCT!$A$18:$A376,0),0,1,1),Periodovigente) ,A108) ,'Cuadro tarifario'!A$2:A376,0) -1 , 0 , 1 , 1))</f>
        <v>11000</v>
      </c>
      <c r="I108" s="1">
        <f t="shared" si="9"/>
        <v>0</v>
      </c>
      <c r="J108" s="557">
        <f t="shared" si="2"/>
        <v>0</v>
      </c>
      <c r="K108" s="2">
        <f>If(  If(F108,   DAYS360(date(year(F108),month(F108),1),Mes)/30  ,  DAYS360(date(year(E108),month(E108),1),Mes)/30) &gt; 0 , If(F108,   DAYS360(date(year(F108),month(F108),1),Mes)/30  ,  DAYS360(date(year(E108),month(E108),1),Mes)/30) , 0)</f>
        <v>131</v>
      </c>
      <c r="L108" s="558">
        <f t="shared" si="3"/>
        <v>1441000</v>
      </c>
      <c r="M108" s="559"/>
      <c r="N108" s="559"/>
      <c r="O108" s="559"/>
      <c r="P108" s="559"/>
      <c r="Q108" s="559"/>
      <c r="R108" s="559"/>
      <c r="S108" s="559"/>
      <c r="T108" s="559"/>
    </row>
    <row r="109" ht="15.0" customHeight="1">
      <c r="A109" s="550" t="s">
        <v>71</v>
      </c>
      <c r="B109" s="551">
        <v>1500.0</v>
      </c>
      <c r="C109" s="594">
        <v>1500.0</v>
      </c>
      <c r="D109" s="553" t="str">
        <f>if(   iserror(offset(PADRON!B$2,match(C:C,PADRON!A$2:A376,0)-1,0,1,1) )  ,  ,    offset(PADRON!B$2,match(C:C,PADRON!A$2:A376,0)-1,0,1,1))</f>
        <v>MORESCO ESTEBAN</v>
      </c>
      <c r="E109" s="554">
        <v>42064.0</v>
      </c>
      <c r="F109" s="555"/>
      <c r="G109" s="23" t="s">
        <v>56</v>
      </c>
      <c r="H109" s="556">
        <f>IF( ISERROR( OFFSET(   'Cuadro tarifario'!D$2  , MATCH(CONCATENATE(                 IF(F109&gt;Mes,OFFSET(NroCT!B$17, MATCH($F109,NroCT!$A$18:$A376,0),0,1,1),Periodovigente)                                                                                                                     ,A109) ,'Cuadro tarifario'!A$2:A376,0) -1 , 0 , 1 , 1) )   , 0  ,   OFFSET(   'Cuadro tarifario'!D$2  , MATCH(CONCATENATE( IF(F109&gt;Mes,OFFSET(NroCT!B$17, MATCH($F109,NroCT!$A$18:$A376,0),0,1,1),Periodovigente) ,A109) ,'Cuadro tarifario'!A$2:A376,0) -1 , 0 , 1 , 1))</f>
        <v>11000</v>
      </c>
      <c r="I109" s="1">
        <f t="shared" si="9"/>
        <v>0</v>
      </c>
      <c r="J109" s="557">
        <f t="shared" si="2"/>
        <v>0</v>
      </c>
      <c r="K109" s="2">
        <f>if(  and(M109&gt;0,I109=0)          ,M109 ,                         If(  If( F109 ,  DAYS360(date(year(F109),month(F109),1),Mes)/30  ,  DAYS360(date(year(E109),month(E109),1),Mes)/30  )  &gt;  0 , If(F109,   DAYS360(date(year(F109),month(F109),1),Mes)/30  ,  DAYS360(date(year(E109),month(E109),1),Mes)/30) , 0)       )</f>
        <v>125</v>
      </c>
      <c r="L109" s="558">
        <f t="shared" si="3"/>
        <v>1375000</v>
      </c>
      <c r="M109" s="314">
        <f>If( iserror(offset(SECUESTRADOS!D$1,match(B109,SECUESTRADOS!A$2:A376,0),0)) ,0 ,  offset(SECUESTRADOS!D$1,match(B109,SECUESTRADOS!A$2:A376,0),0)  )</f>
        <v>0</v>
      </c>
      <c r="N109" s="314"/>
      <c r="O109" s="3" t="b">
        <f>if(I109,A109)</f>
        <v>0</v>
      </c>
      <c r="P109" s="3" t="str">
        <f>if(and(A109=A108,B109=B108,C109=C108),"Repetido","")</f>
        <v/>
      </c>
      <c r="Q109" s="3"/>
      <c r="R109" s="3"/>
      <c r="S109" s="3"/>
      <c r="T109" s="3"/>
    </row>
    <row r="110" ht="15.0" customHeight="1">
      <c r="A110" s="562" t="s">
        <v>274</v>
      </c>
      <c r="B110" s="551" t="s">
        <v>5056</v>
      </c>
      <c r="C110" s="594">
        <v>1512.0</v>
      </c>
      <c r="D110" s="553" t="str">
        <f>if(   iserror(offset(PADRON!B$2,match(C:C,PADRON!A$2:A376,0)-1,0,1,1) )  ,  ,    offset(PADRON!B$2,match(C:C,PADRON!A$2:A376,0)-1,0,1,1))</f>
        <v>FONSECA, FERMIN</v>
      </c>
      <c r="E110" s="554">
        <v>41852.0</v>
      </c>
      <c r="F110" s="555"/>
      <c r="G110" s="23" t="s">
        <v>56</v>
      </c>
      <c r="H110" s="556">
        <f>IF( ISERROR( OFFSET(   'Cuadro tarifario'!D$2  , MATCH(CONCATENATE(                 IF(F110&gt;Mes,OFFSET(NroCT!B$17, MATCH($F110,NroCT!$A$18:$A376,0),0,1,1),Periodovigente)                                                                                                                     ,A110) ,'Cuadro tarifario'!A$2:A376,0) -1 , 0 , 1 , 1) )   , 0  ,   OFFSET(   'Cuadro tarifario'!D$2  , MATCH(CONCATENATE( IF(F110&gt;Mes,OFFSET(NroCT!B$17, MATCH($F110,NroCT!$A$18:$A376,0),0,1,1),Periodovigente) ,A110) ,'Cuadro tarifario'!A$2:A376,0) -1 , 0 , 1 , 1))</f>
        <v>3600</v>
      </c>
      <c r="I110" s="1">
        <f t="shared" si="9"/>
        <v>0</v>
      </c>
      <c r="J110" s="557">
        <f t="shared" si="2"/>
        <v>0</v>
      </c>
      <c r="K110" s="2">
        <f>If(  If(F110,   DAYS360(date(year(F110),month(F110),1),Mes)/30  ,  DAYS360(date(year(E110),month(E110),1),Mes)/30) &gt; 0 , If(F110,   DAYS360(date(year(F110),month(F110),1),Mes)/30  ,  DAYS360(date(year(E110),month(E110),1),Mes)/30) , 0)</f>
        <v>132</v>
      </c>
      <c r="L110" s="558">
        <f t="shared" si="3"/>
        <v>475200</v>
      </c>
      <c r="M110" s="559"/>
      <c r="N110" s="559"/>
      <c r="O110" s="559"/>
      <c r="P110" s="559"/>
      <c r="Q110" s="559"/>
      <c r="R110" s="559"/>
      <c r="S110" s="559"/>
      <c r="T110" s="559"/>
    </row>
    <row r="111" ht="15.0" customHeight="1">
      <c r="A111" s="550" t="s">
        <v>71</v>
      </c>
      <c r="B111" s="551">
        <v>1512.0</v>
      </c>
      <c r="C111" s="594">
        <v>1512.0</v>
      </c>
      <c r="D111" s="553" t="str">
        <f>if(   iserror(offset(PADRON!B$2,match(C:C,PADRON!A$2:A376,0)-1,0,1,1) )  ,  ,    offset(PADRON!B$2,match(C:C,PADRON!A$2:A376,0)-1,0,1,1))</f>
        <v>FONSECA, FERMIN</v>
      </c>
      <c r="E111" s="554">
        <v>42005.0</v>
      </c>
      <c r="F111" s="555"/>
      <c r="G111" s="23" t="s">
        <v>56</v>
      </c>
      <c r="H111" s="556">
        <f>IF( ISERROR( OFFSET(   'Cuadro tarifario'!D$2  , MATCH(CONCATENATE(                 IF(F111&gt;Mes,OFFSET(NroCT!B$17, MATCH($F111,NroCT!$A$18:$A376,0),0,1,1),Periodovigente)                                                                                                                     ,A111) ,'Cuadro tarifario'!A$2:A376,0) -1 , 0 , 1 , 1) )   , 0  ,   OFFSET(   'Cuadro tarifario'!D$2  , MATCH(CONCATENATE( IF(F111&gt;Mes,OFFSET(NroCT!B$17, MATCH($F111,NroCT!$A$18:$A376,0),0,1,1),Periodovigente) ,A111) ,'Cuadro tarifario'!A$2:A376,0) -1 , 0 , 1 , 1))</f>
        <v>11000</v>
      </c>
      <c r="I111" s="1">
        <f t="shared" si="9"/>
        <v>0</v>
      </c>
      <c r="J111" s="557">
        <f t="shared" si="2"/>
        <v>0</v>
      </c>
      <c r="K111" s="2">
        <f>if(  and(M111&gt;0,I111=0)          ,M111 ,                         If(  If( F111 ,  DAYS360(date(year(F111),month(F111),1),Mes)/30  ,  DAYS360(date(year(E111),month(E111),1),Mes)/30  )  &gt;  0 , If(F111,   DAYS360(date(year(F111),month(F111),1),Mes)/30  ,  DAYS360(date(year(E111),month(E111),1),Mes)/30) , 0)       )</f>
        <v>127</v>
      </c>
      <c r="L111" s="558">
        <f t="shared" si="3"/>
        <v>1397000</v>
      </c>
      <c r="M111" s="314"/>
      <c r="N111" s="314"/>
      <c r="O111" s="3"/>
      <c r="P111" s="3"/>
      <c r="Q111" s="3"/>
      <c r="R111" s="3"/>
      <c r="S111" s="3"/>
      <c r="T111" s="3"/>
    </row>
    <row r="112" ht="15.0" customHeight="1">
      <c r="A112" s="550" t="s">
        <v>71</v>
      </c>
      <c r="B112" s="551">
        <v>1514.0</v>
      </c>
      <c r="C112" s="594">
        <v>1514.0</v>
      </c>
      <c r="D112" s="34" t="str">
        <f>if(   iserror(offset(PADRON!B$2,match(C:C,PADRON!A$2:A376,0)-1,0,1,1) )  ,  ,    offset(PADRON!B$2,match(C:C,PADRON!A$2:A376,0)-1,0,1,1))</f>
        <v>ALVAREZ WALTER</v>
      </c>
      <c r="E112" s="554">
        <v>42461.0</v>
      </c>
      <c r="F112" s="555"/>
      <c r="G112" s="23" t="s">
        <v>56</v>
      </c>
      <c r="H112" s="556">
        <f>IF( ISERROR( OFFSET(   'Cuadro tarifario'!D$2  , MATCH(CONCATENATE(                 IF(F112&gt;Mes,OFFSET(NroCT!B$17, MATCH($F112,NroCT!$A$18:$A376,0),0,1,1),Periodovigente)                                                                                                                     ,A112) ,'Cuadro tarifario'!A$2:A376,0) -1 , 0 , 1 , 1) )   , 0  ,   OFFSET(   'Cuadro tarifario'!D$2  , MATCH(CONCATENATE( IF(F112&gt;Mes,OFFSET(NroCT!B$17, MATCH($F112,NroCT!$A$18:$A376,0),0,1,1),Periodovigente) ,A112) ,'Cuadro tarifario'!A$2:A376,0) -1 , 0 , 1 , 1))</f>
        <v>11000</v>
      </c>
      <c r="I112" s="36">
        <f t="shared" si="9"/>
        <v>0</v>
      </c>
      <c r="J112" s="557">
        <f t="shared" si="2"/>
        <v>0</v>
      </c>
      <c r="K112" s="2">
        <f>if(  and(M112&gt;0,I112=0)          ,M112 ,                         If(  If( F112 ,  DAYS360(date(year(F112),month(F112),1),Mes)/30  ,  DAYS360(date(year(E112),month(E112),1),Mes)/30  )  &gt;  0 , If(F112,   DAYS360(date(year(F112),month(F112),1),Mes)/30  ,  DAYS360(date(year(E112),month(E112),1),Mes)/30) , 0)       )</f>
        <v>112</v>
      </c>
      <c r="L112" s="39">
        <f t="shared" si="3"/>
        <v>1232000</v>
      </c>
      <c r="M112" s="314"/>
      <c r="N112" s="314"/>
      <c r="O112" s="3"/>
      <c r="P112" s="3"/>
      <c r="Q112" s="3"/>
      <c r="R112" s="3"/>
      <c r="S112" s="3"/>
      <c r="T112" s="3"/>
    </row>
    <row r="113" ht="15.0" customHeight="1">
      <c r="A113" s="550" t="s">
        <v>71</v>
      </c>
      <c r="B113" s="551">
        <v>1515.0</v>
      </c>
      <c r="C113" s="594">
        <v>1515.0</v>
      </c>
      <c r="D113" s="34" t="str">
        <f>if(   iserror(offset(PADRON!B$2,match(C:C,PADRON!A$2:A376,0)-1,0,1,1) )  ,  ,    offset(PADRON!B$2,match(C:C,PADRON!A$2:A376,0)-1,0,1,1))</f>
        <v>RICO, LILIANA</v>
      </c>
      <c r="E113" s="554">
        <v>42461.0</v>
      </c>
      <c r="F113" s="555"/>
      <c r="G113" s="23" t="s">
        <v>56</v>
      </c>
      <c r="H113" s="556">
        <f>IF( ISERROR( OFFSET(   'Cuadro tarifario'!D$2  , MATCH(CONCATENATE(                 IF(F113&gt;Mes,OFFSET(NroCT!B$17, MATCH($F113,NroCT!$A$18:$A376,0),0,1,1),Periodovigente)                                                                                                                     ,A113) ,'Cuadro tarifario'!A$2:A376,0) -1 , 0 , 1 , 1) )   , 0  ,   OFFSET(   'Cuadro tarifario'!D$2  , MATCH(CONCATENATE( IF(F113&gt;Mes,OFFSET(NroCT!B$17, MATCH($F113,NroCT!$A$18:$A376,0),0,1,1),Periodovigente) ,A113) ,'Cuadro tarifario'!A$2:A376,0) -1 , 0 , 1 , 1))</f>
        <v>11000</v>
      </c>
      <c r="I113" s="36">
        <f t="shared" si="9"/>
        <v>0</v>
      </c>
      <c r="J113" s="557">
        <f t="shared" si="2"/>
        <v>0</v>
      </c>
      <c r="K113" s="2">
        <f>if(  and(M113&gt;0,I113=0)          ,M113 ,                         If(  If( F113 ,  DAYS360(date(year(F113),month(F113),1),Mes)/30  ,  DAYS360(date(year(E113),month(E113),1),Mes)/30  )  &gt;  0 , If(F113,   DAYS360(date(year(F113),month(F113),1),Mes)/30  ,  DAYS360(date(year(E113),month(E113),1),Mes)/30) , 0)       )</f>
        <v>112</v>
      </c>
      <c r="L113" s="39">
        <f t="shared" si="3"/>
        <v>1232000</v>
      </c>
      <c r="M113" s="314"/>
      <c r="N113" s="314"/>
      <c r="O113" s="3"/>
      <c r="P113" s="3"/>
      <c r="Q113" s="3"/>
      <c r="R113" s="3"/>
      <c r="S113" s="3"/>
      <c r="T113" s="3"/>
    </row>
    <row r="114" ht="15.0" customHeight="1">
      <c r="A114" s="550" t="s">
        <v>71</v>
      </c>
      <c r="B114" s="551">
        <v>1519.0</v>
      </c>
      <c r="C114" s="594">
        <v>1519.0</v>
      </c>
      <c r="D114" s="34" t="str">
        <f>if(   iserror(offset(PADRON!B$2,match(C:C,PADRON!A$2:A376,0)-1,0,1,1) )  ,  ,    offset(PADRON!B$2,match(C:C,PADRON!A$2:A376,0)-1,0,1,1))</f>
        <v>PASTORE, MARIANO</v>
      </c>
      <c r="E114" s="554">
        <v>42036.0</v>
      </c>
      <c r="F114" s="555"/>
      <c r="G114" s="23" t="s">
        <v>56</v>
      </c>
      <c r="H114" s="556">
        <f>IF( ISERROR( OFFSET(   'Cuadro tarifario'!D$2  , MATCH(CONCATENATE(                 IF(F114&gt;Mes,OFFSET(NroCT!B$17, MATCH($F114,NroCT!$A$18:$A376,0),0,1,1),Periodovigente)                                                                                                                     ,A114) ,'Cuadro tarifario'!A$2:A376,0) -1 , 0 , 1 , 1) )   , 0  ,   OFFSET(   'Cuadro tarifario'!D$2  , MATCH(CONCATENATE( IF(F114&gt;Mes,OFFSET(NroCT!B$17, MATCH($F114,NroCT!$A$18:$A376,0),0,1,1),Periodovigente) ,A114) ,'Cuadro tarifario'!A$2:A376,0) -1 , 0 , 1 , 1))</f>
        <v>11000</v>
      </c>
      <c r="I114" s="36">
        <f t="shared" si="9"/>
        <v>0</v>
      </c>
      <c r="J114" s="557">
        <f t="shared" si="2"/>
        <v>0</v>
      </c>
      <c r="K114" s="2">
        <f>if(  and(M114&gt;0,I114=0)          ,M114 ,                         If(  If( F114 ,  DAYS360(date(year(F114),month(F114),1),Mes)/30  ,  DAYS360(date(year(E114),month(E114),1),Mes)/30  )  &gt;  0 , If(F114,   DAYS360(date(year(F114),month(F114),1),Mes)/30  ,  DAYS360(date(year(E114),month(E114),1),Mes)/30) , 0)       )</f>
        <v>126</v>
      </c>
      <c r="L114" s="39">
        <f t="shared" si="3"/>
        <v>1386000</v>
      </c>
      <c r="M114" s="314"/>
      <c r="N114" s="314"/>
      <c r="O114" s="3"/>
      <c r="P114" s="3"/>
      <c r="Q114" s="3"/>
      <c r="R114" s="3"/>
      <c r="S114" s="3"/>
      <c r="T114" s="3"/>
    </row>
    <row r="115" ht="15.0" customHeight="1">
      <c r="A115" s="550" t="s">
        <v>71</v>
      </c>
      <c r="B115" s="551">
        <v>1520.0</v>
      </c>
      <c r="C115" s="594">
        <v>1520.0</v>
      </c>
      <c r="D115" s="595" t="str">
        <f>if(   iserror(offset(PADRON!B$2,match(C:C,PADRON!A$2:A376,0)-1,0,1,1) )  ,  ,    offset(PADRON!B$2,match(C:C,PADRON!A$2:A376,0)-1,0,1,1))</f>
        <v>RECONDO, IGNACIO</v>
      </c>
      <c r="E115" s="555">
        <v>42036.0</v>
      </c>
      <c r="F115" s="555"/>
      <c r="G115" s="23" t="s">
        <v>56</v>
      </c>
      <c r="H115" s="556">
        <f>IF( ISERROR( OFFSET(   'Cuadro tarifario'!D$2  , MATCH(CONCATENATE(                 IF(F115&gt;Mes,OFFSET(NroCT!B$17, MATCH($F115,NroCT!$A$18:$A376,0),0,1,1),Periodovigente)                                                                                                                     ,A115) ,'Cuadro tarifario'!A$2:A376,0) -1 , 0 , 1 , 1) )   , 0  ,   OFFSET(   'Cuadro tarifario'!D$2  , MATCH(CONCATENATE( IF(F115&gt;Mes,OFFSET(NroCT!B$17, MATCH($F115,NroCT!$A$18:$A376,0),0,1,1),Periodovigente) ,A115) ,'Cuadro tarifario'!A$2:A376,0) -1 , 0 , 1 , 1))</f>
        <v>11000</v>
      </c>
      <c r="I115" s="596">
        <f t="shared" si="9"/>
        <v>0</v>
      </c>
      <c r="J115" s="557">
        <f t="shared" si="2"/>
        <v>0</v>
      </c>
      <c r="K115" s="2">
        <f>if(  and(M115&gt;0,I115=0)          ,M115 ,                         If(  If( F115 ,  DAYS360(date(year(F115),month(F115),1),Mes)/30  ,  DAYS360(date(year(E115),month(E115),1),Mes)/30  )  &gt;  0 , If(F115,   DAYS360(date(year(F115),month(F115),1),Mes)/30  ,  DAYS360(date(year(E115),month(E115),1),Mes)/30) , 0)       )</f>
        <v>126</v>
      </c>
      <c r="L115" s="597">
        <f t="shared" si="3"/>
        <v>1386000</v>
      </c>
      <c r="M115" s="314"/>
      <c r="N115" s="314"/>
      <c r="O115" s="3"/>
      <c r="P115" s="3"/>
      <c r="Q115" s="3"/>
      <c r="R115" s="3"/>
      <c r="S115" s="3"/>
      <c r="T115" s="3"/>
    </row>
    <row r="116" ht="15.0" customHeight="1">
      <c r="A116" s="550" t="s">
        <v>71</v>
      </c>
      <c r="B116" s="551">
        <v>1521.0</v>
      </c>
      <c r="C116" s="594">
        <v>1521.0</v>
      </c>
      <c r="D116" s="595" t="str">
        <f>if(   iserror(offset(PADRON!B$2,match(C:C,PADRON!A$2:A376,0)-1,0,1,1) )  ,  ,    offset(PADRON!B$2,match(C:C,PADRON!A$2:A376,0)-1,0,1,1))</f>
        <v>YANIVELLO SEBASTIAN</v>
      </c>
      <c r="E116" s="555">
        <v>42309.0</v>
      </c>
      <c r="F116" s="555"/>
      <c r="G116" s="23" t="s">
        <v>56</v>
      </c>
      <c r="H116" s="556">
        <f>IF( ISERROR( OFFSET(   'Cuadro tarifario'!D$2  , MATCH(CONCATENATE(                 IF(F116&gt;Mes,OFFSET(NroCT!B$17, MATCH($F116,NroCT!$A$18:$A376,0),0,1,1),Periodovigente)                                                                                                                     ,A116) ,'Cuadro tarifario'!A$2:A376,0) -1 , 0 , 1 , 1) )   , 0  ,   OFFSET(   'Cuadro tarifario'!D$2  , MATCH(CONCATENATE( IF(F116&gt;Mes,OFFSET(NroCT!B$17, MATCH($F116,NroCT!$A$18:$A376,0),0,1,1),Periodovigente) ,A116) ,'Cuadro tarifario'!A$2:A376,0) -1 , 0 , 1 , 1))</f>
        <v>11000</v>
      </c>
      <c r="I116" s="596">
        <f t="shared" si="9"/>
        <v>0</v>
      </c>
      <c r="J116" s="557">
        <f t="shared" si="2"/>
        <v>0</v>
      </c>
      <c r="K116" s="2">
        <f>if(  and(M116&gt;0,I116=0)          ,M116 ,                         If(  If( F116 ,  DAYS360(date(year(F116),month(F116),1),Mes)/30  ,  DAYS360(date(year(E116),month(E116),1),Mes)/30  )  &gt;  0 , If(F116,   DAYS360(date(year(F116),month(F116),1),Mes)/30  ,  DAYS360(date(year(E116),month(E116),1),Mes)/30) , 0)       )</f>
        <v>117</v>
      </c>
      <c r="L116" s="597">
        <f t="shared" si="3"/>
        <v>1287000</v>
      </c>
      <c r="M116" s="314"/>
      <c r="N116" s="314"/>
      <c r="O116" s="3"/>
      <c r="P116" s="3"/>
      <c r="Q116" s="3"/>
      <c r="R116" s="3"/>
      <c r="S116" s="3"/>
      <c r="T116" s="3"/>
    </row>
    <row r="117" ht="15.0" customHeight="1">
      <c r="A117" s="550" t="s">
        <v>71</v>
      </c>
      <c r="B117" s="551">
        <v>1524.0</v>
      </c>
      <c r="C117" s="594">
        <v>1524.0</v>
      </c>
      <c r="D117" s="553" t="str">
        <f>if(   iserror(offset(PADRON!B$2,match(C:C,PADRON!A$2:A376,0)-1,0,1,1) )  ,  ,    offset(PADRON!B$2,match(C:C,PADRON!A$2:A376,0)-1,0,1,1))</f>
        <v>COUSILLAS, RUBEN DANIEL</v>
      </c>
      <c r="E117" s="554">
        <v>42339.0</v>
      </c>
      <c r="F117" s="555"/>
      <c r="G117" s="23" t="s">
        <v>56</v>
      </c>
      <c r="H117" s="556">
        <f>IF( ISERROR( OFFSET(   'Cuadro tarifario'!D$2  , MATCH(CONCATENATE(                 IF(F117&gt;Mes,OFFSET(NroCT!B$17, MATCH($F117,NroCT!$A$18:$A376,0),0,1,1),Periodovigente)                                                                                                                     ,A117) ,'Cuadro tarifario'!A$2:A376,0) -1 , 0 , 1 , 1) )   , 0  ,   OFFSET(   'Cuadro tarifario'!D$2  , MATCH(CONCATENATE( IF(F117&gt;Mes,OFFSET(NroCT!B$17, MATCH($F117,NroCT!$A$18:$A376,0),0,1,1),Periodovigente) ,A117) ,'Cuadro tarifario'!A$2:A376,0) -1 , 0 , 1 , 1))</f>
        <v>11000</v>
      </c>
      <c r="I117" s="1">
        <f t="shared" si="9"/>
        <v>0</v>
      </c>
      <c r="J117" s="557">
        <f t="shared" si="2"/>
        <v>0</v>
      </c>
      <c r="K117" s="2">
        <f>if(  and(M117&gt;0,I117=0)          ,M117 ,                         If(  If( F117 ,  DAYS360(date(year(F117),month(F117),1),Mes)/30  ,  DAYS360(date(year(E117),month(E117),1),Mes)/30  )  &gt;  0 , If(F117,   DAYS360(date(year(F117),month(F117),1),Mes)/30  ,  DAYS360(date(year(E117),month(E117),1),Mes)/30) , 0)       )</f>
        <v>116</v>
      </c>
      <c r="L117" s="558">
        <f t="shared" si="3"/>
        <v>1276000</v>
      </c>
      <c r="M117" s="314"/>
      <c r="N117" s="314"/>
      <c r="O117" s="3"/>
      <c r="P117" s="3"/>
      <c r="Q117" s="3"/>
      <c r="R117" s="3"/>
      <c r="S117" s="3"/>
      <c r="T117" s="3"/>
    </row>
    <row r="118" ht="15.0" customHeight="1">
      <c r="A118" s="550" t="s">
        <v>40</v>
      </c>
      <c r="B118" s="551" t="s">
        <v>5057</v>
      </c>
      <c r="C118" s="594">
        <v>1524.0</v>
      </c>
      <c r="D118" s="553" t="str">
        <f>if(   iserror(offset(PADRON!B$2,match(C:C,PADRON!A$2:A376,0)-1,0,1,1) )  ,  ,    offset(PADRON!B$2,match(C:C,PADRON!A$2:A376,0)-1,0,1,1))</f>
        <v>COUSILLAS, RUBEN DANIEL</v>
      </c>
      <c r="E118" s="554">
        <v>42339.0</v>
      </c>
      <c r="F118" s="555"/>
      <c r="G118" s="23" t="s">
        <v>56</v>
      </c>
      <c r="H118" s="556">
        <f>IF( ISERROR( OFFSET(   'Cuadro tarifario'!D$2  , MATCH(CONCATENATE(                 IF(F118&gt;Mes,OFFSET(NroCT!B$17, MATCH($F118,NroCT!$A$18:$A376,0),0,1,1),Periodovigente)                                                                                                                     ,A118) ,'Cuadro tarifario'!A$2:A376,0) -1 , 0 , 1 , 1) )   , 0  ,   OFFSET(   'Cuadro tarifario'!D$2  , MATCH(CONCATENATE( IF(F118&gt;Mes,OFFSET(NroCT!B$17, MATCH($F118,NroCT!$A$18:$A376,0),0,1,1),Periodovigente) ,A118) ,'Cuadro tarifario'!A$2:A376,0) -1 , 0 , 1 , 1))</f>
        <v>12000</v>
      </c>
      <c r="I118" s="1">
        <f t="shared" si="9"/>
        <v>0</v>
      </c>
      <c r="J118" s="557">
        <f t="shared" si="2"/>
        <v>0</v>
      </c>
      <c r="K118" s="2">
        <f>if(  and(M118&gt;0,I118=0)          ,M118 ,                         If(  If( F118 ,  DAYS360(date(year(F118),month(F118),1),Mes)/30  ,  DAYS360(date(year(E118),month(E118),1),Mes)/30  )  &gt;  0 , If(F118,   DAYS360(date(year(F118),month(F118),1),Mes)/30  ,  DAYS360(date(year(E118),month(E118),1),Mes)/30) , 0)       )</f>
        <v>116</v>
      </c>
      <c r="L118" s="558">
        <f t="shared" si="3"/>
        <v>1392000</v>
      </c>
      <c r="M118" s="314"/>
      <c r="N118" s="314"/>
      <c r="O118" s="3"/>
      <c r="P118" s="3"/>
      <c r="Q118" s="3"/>
      <c r="R118" s="3"/>
      <c r="S118" s="3"/>
      <c r="T118" s="3"/>
    </row>
    <row r="119" ht="15.0" customHeight="1">
      <c r="A119" s="550" t="s">
        <v>42</v>
      </c>
      <c r="B119" s="551" t="s">
        <v>301</v>
      </c>
      <c r="C119" s="594">
        <v>1524.0</v>
      </c>
      <c r="D119" s="553" t="str">
        <f>if(   iserror(offset(PADRON!B$2,match(C:C,PADRON!A$2:A376,0)-1,0,1,1) )  ,  ,    offset(PADRON!B$2,match(C:C,PADRON!A$2:A376,0)-1,0,1,1))</f>
        <v>COUSILLAS, RUBEN DANIEL</v>
      </c>
      <c r="E119" s="554">
        <v>42339.0</v>
      </c>
      <c r="F119" s="555"/>
      <c r="G119" s="23" t="s">
        <v>56</v>
      </c>
      <c r="H119" s="556">
        <f>IF( ISERROR( OFFSET(   'Cuadro tarifario'!D$2  , MATCH(CONCATENATE(                 IF(F119&gt;Mes,OFFSET(NroCT!B$17, MATCH($F119,NroCT!$A$18:$A376,0),0,1,1),Periodovigente)                                                                                                                     ,A119) ,'Cuadro tarifario'!A$2:A376,0) -1 , 0 , 1 , 1) )   , 0  ,   OFFSET(   'Cuadro tarifario'!D$2  , MATCH(CONCATENATE( IF(F119&gt;Mes,OFFSET(NroCT!B$17, MATCH($F119,NroCT!$A$18:$A376,0),0,1,1),Periodovigente) ,A119) ,'Cuadro tarifario'!A$2:A376,0) -1 , 0 , 1 , 1))</f>
        <v>4000</v>
      </c>
      <c r="I119" s="1">
        <f t="shared" si="9"/>
        <v>0</v>
      </c>
      <c r="J119" s="557">
        <f t="shared" si="2"/>
        <v>0</v>
      </c>
      <c r="K119" s="2">
        <f>if(  and(M119&gt;0,I119=0)          ,M119 ,                         If(  If( F119 ,  DAYS360(date(year(F119),month(F119),1),Mes)/30  ,  DAYS360(date(year(E119),month(E119),1),Mes)/30  )  &gt;  0 , If(F119,   DAYS360(date(year(F119),month(F119),1),Mes)/30  ,  DAYS360(date(year(E119),month(E119),1),Mes)/30) , 0)       )</f>
        <v>116</v>
      </c>
      <c r="L119" s="558">
        <f t="shared" si="3"/>
        <v>464000</v>
      </c>
      <c r="M119" s="314"/>
      <c r="N119" s="314"/>
      <c r="O119" s="3"/>
      <c r="P119" s="3"/>
      <c r="Q119" s="3"/>
      <c r="R119" s="3"/>
      <c r="S119" s="3"/>
      <c r="T119" s="3"/>
    </row>
    <row r="120" ht="15.0" customHeight="1">
      <c r="A120" s="550" t="s">
        <v>71</v>
      </c>
      <c r="B120" s="551">
        <v>1528.0</v>
      </c>
      <c r="C120" s="594">
        <v>1528.0</v>
      </c>
      <c r="D120" s="553" t="str">
        <f>if(   iserror(offset(PADRON!B$2,match(C:C,PADRON!A$2:A376,0)-1,0,1,1) )  ,  ,    offset(PADRON!B$2,match(C:C,PADRON!A$2:A376,0)-1,0,1,1))</f>
        <v>BALDASSARRE, PABLO</v>
      </c>
      <c r="E120" s="554">
        <v>42095.0</v>
      </c>
      <c r="F120" s="555"/>
      <c r="G120" s="23" t="s">
        <v>56</v>
      </c>
      <c r="H120" s="556">
        <f>IF( ISERROR( OFFSET(   'Cuadro tarifario'!D$2  , MATCH(CONCATENATE(                 IF(F120&gt;Mes,OFFSET(NroCT!B$17, MATCH($F120,NroCT!$A$18:$A376,0),0,1,1),Periodovigente)                                                                                                                     ,A120) ,'Cuadro tarifario'!A$2:A376,0) -1 , 0 , 1 , 1) )   , 0  ,   OFFSET(   'Cuadro tarifario'!D$2  , MATCH(CONCATENATE( IF(F120&gt;Mes,OFFSET(NroCT!B$17, MATCH($F120,NroCT!$A$18:$A376,0),0,1,1),Periodovigente) ,A120) ,'Cuadro tarifario'!A$2:A376,0) -1 , 0 , 1 , 1))</f>
        <v>11000</v>
      </c>
      <c r="I120" s="1">
        <f t="shared" si="9"/>
        <v>0</v>
      </c>
      <c r="J120" s="557">
        <f t="shared" si="2"/>
        <v>0</v>
      </c>
      <c r="K120" s="2">
        <f>if(  and(M120&gt;0,I120=0)          ,M120 ,                         If(  If( F120 ,  DAYS360(date(year(F120),month(F120),1),Mes)/30  ,  DAYS360(date(year(E120),month(E120),1),Mes)/30  )  &gt;  0 , If(F120,   DAYS360(date(year(F120),month(F120),1),Mes)/30  ,  DAYS360(date(year(E120),month(E120),1),Mes)/30) , 0)       )</f>
        <v>124</v>
      </c>
      <c r="L120" s="558">
        <f t="shared" si="3"/>
        <v>1364000</v>
      </c>
      <c r="M120" s="314">
        <f>If( iserror(offset(SECUESTRADOS!D$1,match(B120,SECUESTRADOS!A$2:A376,0),0)) ,0 ,  offset(SECUESTRADOS!D$1,match(B120,SECUESTRADOS!A$2:A376,0),0)  )</f>
        <v>0</v>
      </c>
      <c r="N120" s="314"/>
      <c r="O120" s="3" t="b">
        <f>if(I120,A120)</f>
        <v>0</v>
      </c>
      <c r="P120" s="3" t="str">
        <f>if(and(A120=A119,B120=B119,C120=C119),"Repetido","")</f>
        <v/>
      </c>
      <c r="Q120" s="3"/>
      <c r="R120" s="3"/>
      <c r="S120" s="3"/>
      <c r="T120" s="3"/>
    </row>
    <row r="121" ht="15.0" customHeight="1">
      <c r="A121" s="550" t="s">
        <v>71</v>
      </c>
      <c r="B121" s="551">
        <v>1529.0</v>
      </c>
      <c r="C121" s="594">
        <v>1529.0</v>
      </c>
      <c r="D121" s="553" t="str">
        <f>if(   iserror(offset(PADRON!B$2,match(C:C,PADRON!A$2:A376,0)-1,0,1,1) )  ,  ,    offset(PADRON!B$2,match(C:C,PADRON!A$2:A376,0)-1,0,1,1))</f>
        <v>ARRI JAVIER</v>
      </c>
      <c r="E121" s="554">
        <v>42583.0</v>
      </c>
      <c r="F121" s="555"/>
      <c r="G121" s="23" t="s">
        <v>56</v>
      </c>
      <c r="H121" s="556">
        <f>IF( ISERROR( OFFSET(   'Cuadro tarifario'!D$2  , MATCH(CONCATENATE(                 IF(F121&gt;Mes,OFFSET(NroCT!B$17, MATCH($F121,NroCT!$A$18:$A376,0),0,1,1),Periodovigente)                                                                                                                     ,A121) ,'Cuadro tarifario'!A$2:A376,0) -1 , 0 , 1 , 1) )   , 0  ,   OFFSET(   'Cuadro tarifario'!D$2  , MATCH(CONCATENATE( IF(F121&gt;Mes,OFFSET(NroCT!B$17, MATCH($F121,NroCT!$A$18:$A376,0),0,1,1),Periodovigente) ,A121) ,'Cuadro tarifario'!A$2:A376,0) -1 , 0 , 1 , 1))</f>
        <v>11000</v>
      </c>
      <c r="I121" s="1">
        <f t="shared" si="9"/>
        <v>0</v>
      </c>
      <c r="J121" s="557">
        <f t="shared" si="2"/>
        <v>0</v>
      </c>
      <c r="K121" s="2">
        <f>if(  and(M121&gt;0,I121=0)          ,M121 ,                         If(  If( F121 ,  DAYS360(date(year(F121),month(F121),1),Mes)/30  ,  DAYS360(date(year(E121),month(E121),1),Mes)/30  )  &gt;  0 , If(F121,   DAYS360(date(year(F121),month(F121),1),Mes)/30  ,  DAYS360(date(year(E121),month(E121),1),Mes)/30) , 0)       )</f>
        <v>108</v>
      </c>
      <c r="L121" s="558">
        <f t="shared" si="3"/>
        <v>1188000</v>
      </c>
      <c r="M121" s="314"/>
      <c r="N121" s="314"/>
      <c r="O121" s="3"/>
      <c r="P121" s="3"/>
      <c r="Q121" s="3"/>
      <c r="R121" s="3"/>
      <c r="S121" s="3"/>
      <c r="T121" s="3"/>
    </row>
    <row r="122" ht="15.0" customHeight="1">
      <c r="A122" s="550" t="s">
        <v>71</v>
      </c>
      <c r="B122" s="551">
        <v>1531.0</v>
      </c>
      <c r="C122" s="594">
        <v>1531.0</v>
      </c>
      <c r="D122" s="553" t="str">
        <f>if(   iserror(offset(PADRON!B$2,match(C:C,PADRON!A$2:A376,0)-1,0,1,1) )  ,  ,    offset(PADRON!B$2,match(C:C,PADRON!A$2:A376,0)-1,0,1,1))</f>
        <v>SCHILLACI MAURO</v>
      </c>
      <c r="E122" s="554">
        <v>42278.0</v>
      </c>
      <c r="F122" s="555"/>
      <c r="G122" s="23" t="s">
        <v>56</v>
      </c>
      <c r="H122" s="556">
        <f>IF( ISERROR( OFFSET(   'Cuadro tarifario'!D$2  , MATCH(CONCATENATE(                 IF(F122&gt;Mes,OFFSET(NroCT!B$17, MATCH($F122,NroCT!$A$18:$A376,0),0,1,1),Periodovigente)                                                                                                                     ,A122) ,'Cuadro tarifario'!A$2:A376,0) -1 , 0 , 1 , 1) )   , 0  ,   OFFSET(   'Cuadro tarifario'!D$2  , MATCH(CONCATENATE( IF(F122&gt;Mes,OFFSET(NroCT!B$17, MATCH($F122,NroCT!$A$18:$A376,0),0,1,1),Periodovigente) ,A122) ,'Cuadro tarifario'!A$2:A376,0) -1 , 0 , 1 , 1))</f>
        <v>11000</v>
      </c>
      <c r="I122" s="1">
        <f t="shared" si="9"/>
        <v>0</v>
      </c>
      <c r="J122" s="557">
        <f t="shared" si="2"/>
        <v>0</v>
      </c>
      <c r="K122" s="2">
        <f>if(  and(M122&gt;0,I122=0)          ,M122 ,                         If(  If( F122 ,  DAYS360(date(year(F122),month(F122),1),Mes)/30  ,  DAYS360(date(year(E122),month(E122),1),Mes)/30  )  &gt;  0 , If(F122,   DAYS360(date(year(F122),month(F122),1),Mes)/30  ,  DAYS360(date(year(E122),month(E122),1),Mes)/30) , 0)       )</f>
        <v>118</v>
      </c>
      <c r="L122" s="558">
        <f t="shared" si="3"/>
        <v>1298000</v>
      </c>
      <c r="M122" s="314">
        <f>If( iserror(offset(SECUESTRADOS!D$1,match(B122,SECUESTRADOS!A$2:A376,0),0)) ,0 ,  offset(SECUESTRADOS!D$1,match(B122,SECUESTRADOS!A$2:A376,0),0)  )</f>
        <v>0</v>
      </c>
      <c r="N122" s="314"/>
      <c r="O122" s="3" t="b">
        <f t="shared" ref="O122:O124" si="10">if(I122,A122)</f>
        <v>0</v>
      </c>
      <c r="P122" s="3" t="str">
        <f>if(and(A122=#REF!,B122=#REF!,C122=#REF!),"Repetido","")</f>
        <v>#REF!</v>
      </c>
      <c r="Q122" s="3"/>
      <c r="R122" s="3"/>
      <c r="S122" s="3"/>
      <c r="T122" s="3"/>
    </row>
    <row r="123" ht="15.0" customHeight="1">
      <c r="A123" s="550" t="s">
        <v>71</v>
      </c>
      <c r="B123" s="551">
        <v>1532.0</v>
      </c>
      <c r="C123" s="594">
        <v>1532.0</v>
      </c>
      <c r="D123" s="553" t="str">
        <f>if(   iserror(offset(PADRON!B$2,match(C:C,PADRON!A$2:A376,0)-1,0,1,1) )  ,  ,    offset(PADRON!B$2,match(C:C,PADRON!A$2:A376,0)-1,0,1,1))</f>
        <v>RUSSO MARISOL</v>
      </c>
      <c r="E123" s="554">
        <v>42278.0</v>
      </c>
      <c r="F123" s="555"/>
      <c r="G123" s="23" t="s">
        <v>56</v>
      </c>
      <c r="H123" s="556">
        <f>IF( ISERROR( OFFSET(   'Cuadro tarifario'!D$2  , MATCH(CONCATENATE(                 IF(F123&gt;Mes,OFFSET(NroCT!B$17, MATCH($F123,NroCT!$A$18:$A376,0),0,1,1),Periodovigente)                                                                                                                     ,A123) ,'Cuadro tarifario'!A$2:A376,0) -1 , 0 , 1 , 1) )   , 0  ,   OFFSET(   'Cuadro tarifario'!D$2  , MATCH(CONCATENATE( IF(F123&gt;Mes,OFFSET(NroCT!B$17, MATCH($F123,NroCT!$A$18:$A376,0),0,1,1),Periodovigente) ,A123) ,'Cuadro tarifario'!A$2:A376,0) -1 , 0 , 1 , 1))</f>
        <v>11000</v>
      </c>
      <c r="I123" s="1">
        <f t="shared" si="9"/>
        <v>0</v>
      </c>
      <c r="J123" s="557">
        <f t="shared" si="2"/>
        <v>0</v>
      </c>
      <c r="K123" s="2">
        <f>if(  and(M123&gt;0,I123=0)          ,M123 ,                         If(  If( F123 ,  DAYS360(date(year(F123),month(F123),1),Mes)/30  ,  DAYS360(date(year(E123),month(E123),1),Mes)/30  )  &gt;  0 , If(F123,   DAYS360(date(year(F123),month(F123),1),Mes)/30  ,  DAYS360(date(year(E123),month(E123),1),Mes)/30) , 0)       )</f>
        <v>118</v>
      </c>
      <c r="L123" s="558">
        <f t="shared" si="3"/>
        <v>1298000</v>
      </c>
      <c r="M123" s="314">
        <f>If( iserror(offset(SECUESTRADOS!D$1,match(B123,SECUESTRADOS!A$2:A376,0),0)) ,0 ,  offset(SECUESTRADOS!D$1,match(B123,SECUESTRADOS!A$2:A376,0),0)  )</f>
        <v>0</v>
      </c>
      <c r="N123" s="314"/>
      <c r="O123" s="3" t="b">
        <f t="shared" si="10"/>
        <v>0</v>
      </c>
      <c r="P123" s="3" t="str">
        <f t="shared" ref="P123:P124" si="11">if(and(A123=A122,B123=B122,C123=C122),"Repetido","")</f>
        <v/>
      </c>
      <c r="Q123" s="3"/>
      <c r="R123" s="3"/>
      <c r="S123" s="3"/>
      <c r="T123" s="3"/>
    </row>
    <row r="124" ht="15.0" customHeight="1">
      <c r="A124" s="550" t="s">
        <v>71</v>
      </c>
      <c r="B124" s="551">
        <v>1533.0</v>
      </c>
      <c r="C124" s="594">
        <v>1533.0</v>
      </c>
      <c r="D124" s="553" t="str">
        <f>if(   iserror(offset(PADRON!B$2,match(C:C,PADRON!A$2:A376,0)-1,0,1,1) )  ,  ,    offset(PADRON!B$2,match(C:C,PADRON!A$2:A376,0)-1,0,1,1))</f>
        <v>RIOS EZEQUIEL</v>
      </c>
      <c r="E124" s="554">
        <v>42095.0</v>
      </c>
      <c r="F124" s="555"/>
      <c r="G124" s="23" t="s">
        <v>56</v>
      </c>
      <c r="H124" s="556">
        <f>IF( ISERROR( OFFSET(   'Cuadro tarifario'!D$2  , MATCH(CONCATENATE(                 IF(F124&gt;Mes,OFFSET(NroCT!B$17, MATCH($F124,NroCT!$A$18:$A376,0),0,1,1),Periodovigente)                                                                                                                     ,A124) ,'Cuadro tarifario'!A$2:A376,0) -1 , 0 , 1 , 1) )   , 0  ,   OFFSET(   'Cuadro tarifario'!D$2  , MATCH(CONCATENATE( IF(F124&gt;Mes,OFFSET(NroCT!B$17, MATCH($F124,NroCT!$A$18:$A376,0),0,1,1),Periodovigente) ,A124) ,'Cuadro tarifario'!A$2:A376,0) -1 , 0 , 1 , 1))</f>
        <v>11000</v>
      </c>
      <c r="I124" s="1">
        <f t="shared" si="9"/>
        <v>0</v>
      </c>
      <c r="J124" s="557">
        <f t="shared" si="2"/>
        <v>0</v>
      </c>
      <c r="K124" s="2">
        <f>if(  and(M124&gt;0,I124=0)          ,M124 ,                         If(  If( F124 ,  DAYS360(date(year(F124),month(F124),1),Mes)/30  ,  DAYS360(date(year(E124),month(E124),1),Mes)/30  )  &gt;  0 , If(F124,   DAYS360(date(year(F124),month(F124),1),Mes)/30  ,  DAYS360(date(year(E124),month(E124),1),Mes)/30) , 0)       )</f>
        <v>124</v>
      </c>
      <c r="L124" s="558">
        <f t="shared" si="3"/>
        <v>1364000</v>
      </c>
      <c r="M124" s="314">
        <f>If( iserror(offset(SECUESTRADOS!D$1,match(B124,SECUESTRADOS!A$2:A376,0),0)) ,0 ,  offset(SECUESTRADOS!D$1,match(B124,SECUESTRADOS!A$2:A376,0),0)  )</f>
        <v>0</v>
      </c>
      <c r="N124" s="314"/>
      <c r="O124" s="3" t="b">
        <f t="shared" si="10"/>
        <v>0</v>
      </c>
      <c r="P124" s="3" t="str">
        <f t="shared" si="11"/>
        <v/>
      </c>
      <c r="Q124" s="3"/>
      <c r="R124" s="3"/>
      <c r="S124" s="3"/>
      <c r="T124" s="3"/>
    </row>
    <row r="125" ht="15.0" customHeight="1">
      <c r="A125" s="550" t="s">
        <v>71</v>
      </c>
      <c r="B125" s="551">
        <v>1534.0</v>
      </c>
      <c r="C125" s="594">
        <v>1534.0</v>
      </c>
      <c r="D125" s="553" t="str">
        <f>if(   iserror(offset(PADRON!B$2,match(C:C,PADRON!A$2:A376,0)-1,0,1,1) )  ,  ,    offset(PADRON!B$2,match(C:C,PADRON!A$2:A376,0)-1,0,1,1))</f>
        <v>LINDE, CARLOS</v>
      </c>
      <c r="E125" s="554">
        <v>42005.0</v>
      </c>
      <c r="F125" s="555"/>
      <c r="G125" s="23" t="s">
        <v>56</v>
      </c>
      <c r="H125" s="556">
        <f>IF( ISERROR( OFFSET(   'Cuadro tarifario'!D$2  , MATCH(CONCATENATE(                 IF(F125&gt;Mes,OFFSET(NroCT!B$17, MATCH($F125,NroCT!$A$18:$A376,0),0,1,1),Periodovigente)                                                                                                                     ,A125) ,'Cuadro tarifario'!A$2:A376,0) -1 , 0 , 1 , 1) )   , 0  ,   OFFSET(   'Cuadro tarifario'!D$2  , MATCH(CONCATENATE( IF(F125&gt;Mes,OFFSET(NroCT!B$17, MATCH($F125,NroCT!$A$18:$A376,0),0,1,1),Periodovigente) ,A125) ,'Cuadro tarifario'!A$2:A376,0) -1 , 0 , 1 , 1))</f>
        <v>11000</v>
      </c>
      <c r="I125" s="1">
        <f t="shared" si="9"/>
        <v>0</v>
      </c>
      <c r="J125" s="557">
        <f t="shared" si="2"/>
        <v>0</v>
      </c>
      <c r="K125" s="2">
        <f>if(  and(M125&gt;0,I125=0)          ,M125 ,                         If(  If( F125 ,  DAYS360(date(year(F125),month(F125),1),Mes)/30  ,  DAYS360(date(year(E125),month(E125),1),Mes)/30  )  &gt;  0 , If(F125,   DAYS360(date(year(F125),month(F125),1),Mes)/30  ,  DAYS360(date(year(E125),month(E125),1),Mes)/30) , 0)       )</f>
        <v>127</v>
      </c>
      <c r="L125" s="558">
        <f t="shared" si="3"/>
        <v>1397000</v>
      </c>
      <c r="M125" s="314"/>
      <c r="N125" s="314"/>
      <c r="O125" s="3"/>
      <c r="P125" s="3"/>
      <c r="Q125" s="3"/>
      <c r="R125" s="3"/>
      <c r="S125" s="3"/>
      <c r="T125" s="3"/>
    </row>
    <row r="126" ht="15.0" customHeight="1">
      <c r="A126" s="550" t="s">
        <v>71</v>
      </c>
      <c r="B126" s="551">
        <v>1535.0</v>
      </c>
      <c r="C126" s="594">
        <v>1535.0</v>
      </c>
      <c r="D126" s="553" t="str">
        <f>if(   iserror(offset(PADRON!B$2,match(C:C,PADRON!A$2:A376,0)-1,0,1,1) )  ,  ,    offset(PADRON!B$2,match(C:C,PADRON!A$2:A376,0)-1,0,1,1))</f>
        <v>JULIANO CARMEN</v>
      </c>
      <c r="E126" s="554">
        <v>42005.0</v>
      </c>
      <c r="F126" s="555"/>
      <c r="G126" s="23" t="s">
        <v>56</v>
      </c>
      <c r="H126" s="556">
        <f>IF( ISERROR( OFFSET(   'Cuadro tarifario'!D$2  , MATCH(CONCATENATE(                 IF(F126&gt;Mes,OFFSET(NroCT!B$17, MATCH($F126,NroCT!$A$18:$A376,0),0,1,1),Periodovigente)                                                                                                                     ,A126) ,'Cuadro tarifario'!A$2:A376,0) -1 , 0 , 1 , 1) )   , 0  ,   OFFSET(   'Cuadro tarifario'!D$2  , MATCH(CONCATENATE( IF(F126&gt;Mes,OFFSET(NroCT!B$17, MATCH($F126,NroCT!$A$18:$A376,0),0,1,1),Periodovigente) ,A126) ,'Cuadro tarifario'!A$2:A376,0) -1 , 0 , 1 , 1))</f>
        <v>11000</v>
      </c>
      <c r="I126" s="1">
        <f t="shared" si="9"/>
        <v>0</v>
      </c>
      <c r="J126" s="557">
        <f t="shared" si="2"/>
        <v>0</v>
      </c>
      <c r="K126" s="2">
        <f>if(  and(M126&gt;0,I126=0)          ,M126 ,                         If(  If( F126 ,  DAYS360(date(year(F126),month(F126),1),Mes)/30  ,  DAYS360(date(year(E126),month(E126),1),Mes)/30  )  &gt;  0 , If(F126,   DAYS360(date(year(F126),month(F126),1),Mes)/30  ,  DAYS360(date(year(E126),month(E126),1),Mes)/30) , 0)       )</f>
        <v>127</v>
      </c>
      <c r="L126" s="558">
        <f t="shared" si="3"/>
        <v>1397000</v>
      </c>
      <c r="M126" s="314"/>
      <c r="N126" s="314"/>
      <c r="O126" s="3"/>
      <c r="P126" s="3"/>
      <c r="Q126" s="3"/>
      <c r="R126" s="3"/>
      <c r="S126" s="3"/>
      <c r="T126" s="3"/>
    </row>
    <row r="127" ht="15.0" customHeight="1">
      <c r="A127" s="550" t="s">
        <v>71</v>
      </c>
      <c r="B127" s="551">
        <v>1537.0</v>
      </c>
      <c r="C127" s="594">
        <v>1537.0</v>
      </c>
      <c r="D127" s="553" t="str">
        <f>if(   iserror(offset(PADRON!B$2,match(C:C,PADRON!A$2:A376,0)-1,0,1,1) )  ,  ,    offset(PADRON!B$2,match(C:C,PADRON!A$2:A376,0)-1,0,1,1))</f>
        <v>SOSA, HECTOR RUBEN</v>
      </c>
      <c r="E127" s="554">
        <v>42186.0</v>
      </c>
      <c r="F127" s="555"/>
      <c r="G127" s="23" t="s">
        <v>56</v>
      </c>
      <c r="H127" s="556">
        <f>IF( ISERROR( OFFSET(   'Cuadro tarifario'!D$2  , MATCH(CONCATENATE(                 IF(F127&gt;Mes,OFFSET(NroCT!B$17, MATCH($F127,NroCT!$A$18:$A376,0),0,1,1),Periodovigente)                                                                                                                     ,A127) ,'Cuadro tarifario'!A$2:A376,0) -1 , 0 , 1 , 1) )   , 0  ,   OFFSET(   'Cuadro tarifario'!D$2  , MATCH(CONCATENATE( IF(F127&gt;Mes,OFFSET(NroCT!B$17, MATCH($F127,NroCT!$A$18:$A376,0),0,1,1),Periodovigente) ,A127) ,'Cuadro tarifario'!A$2:A376,0) -1 , 0 , 1 , 1))</f>
        <v>11000</v>
      </c>
      <c r="I127" s="1">
        <f t="shared" si="9"/>
        <v>0</v>
      </c>
      <c r="J127" s="557">
        <f t="shared" si="2"/>
        <v>0</v>
      </c>
      <c r="K127" s="2">
        <f>if(  and(M127&gt;0,I127=0)          ,M127 ,                         If(  If( F127 ,  DAYS360(date(year(F127),month(F127),1),Mes)/30  ,  DAYS360(date(year(E127),month(E127),1),Mes)/30  )  &gt;  0 , If(F127,   DAYS360(date(year(F127),month(F127),1),Mes)/30  ,  DAYS360(date(year(E127),month(E127),1),Mes)/30) , 0)       )</f>
        <v>121</v>
      </c>
      <c r="L127" s="558">
        <f t="shared" si="3"/>
        <v>1331000</v>
      </c>
      <c r="M127" s="314">
        <f>If( iserror(offset(SECUESTRADOS!D$1,match(B127,SECUESTRADOS!A$2:A376,0),0)) ,0 ,  offset(SECUESTRADOS!D$1,match(B127,SECUESTRADOS!A$2:A376,0),0)  )</f>
        <v>0</v>
      </c>
      <c r="N127" s="314"/>
      <c r="O127" s="3" t="b">
        <f t="shared" ref="O127:O129" si="12">if(I127,A127)</f>
        <v>0</v>
      </c>
      <c r="P127" s="3" t="str">
        <f t="shared" ref="P127:P129" si="13">if(and(A127=A126,B127=B126,C127=C126),"Repetido","")</f>
        <v/>
      </c>
      <c r="Q127" s="3"/>
      <c r="R127" s="3"/>
      <c r="S127" s="3"/>
      <c r="T127" s="3"/>
    </row>
    <row r="128" ht="15.0" customHeight="1">
      <c r="A128" s="550" t="s">
        <v>71</v>
      </c>
      <c r="B128" s="551">
        <v>1539.0</v>
      </c>
      <c r="C128" s="594">
        <v>1539.0</v>
      </c>
      <c r="D128" s="553" t="str">
        <f>if(   iserror(offset(PADRON!B$2,match(C:C,PADRON!A$2:A376,0)-1,0,1,1) )  ,  ,    offset(PADRON!B$2,match(C:C,PADRON!A$2:A376,0)-1,0,1,1))</f>
        <v>DEL RIO, HUGO HORACIO</v>
      </c>
      <c r="E128" s="554">
        <v>42248.0</v>
      </c>
      <c r="F128" s="555"/>
      <c r="G128" s="23" t="s">
        <v>56</v>
      </c>
      <c r="H128" s="556">
        <f>IF( ISERROR( OFFSET(   'Cuadro tarifario'!D$2  , MATCH(CONCATENATE(                 IF(F128&gt;Mes,OFFSET(NroCT!B$17, MATCH($F128,NroCT!$A$18:$A376,0),0,1,1),Periodovigente)                                                                                                                     ,A128) ,'Cuadro tarifario'!A$2:A376,0) -1 , 0 , 1 , 1) )   , 0  ,   OFFSET(   'Cuadro tarifario'!D$2  , MATCH(CONCATENATE( IF(F128&gt;Mes,OFFSET(NroCT!B$17, MATCH($F128,NroCT!$A$18:$A376,0),0,1,1),Periodovigente) ,A128) ,'Cuadro tarifario'!A$2:A376,0) -1 , 0 , 1 , 1))</f>
        <v>11000</v>
      </c>
      <c r="I128" s="1">
        <f t="shared" si="9"/>
        <v>0</v>
      </c>
      <c r="J128" s="557">
        <f t="shared" si="2"/>
        <v>0</v>
      </c>
      <c r="K128" s="2">
        <f>if(  and(M128&gt;0,I128=0)          ,M128 ,                         If(  If( F128 ,  DAYS360(date(year(F128),month(F128),1),Mes)/30  ,  DAYS360(date(year(E128),month(E128),1),Mes)/30  )  &gt;  0 , If(F128,   DAYS360(date(year(F128),month(F128),1),Mes)/30  ,  DAYS360(date(year(E128),month(E128),1),Mes)/30) , 0)       )</f>
        <v>119</v>
      </c>
      <c r="L128" s="558">
        <f t="shared" si="3"/>
        <v>1309000</v>
      </c>
      <c r="M128" s="314">
        <f>If( iserror(offset(SECUESTRADOS!D$1,match(B128,SECUESTRADOS!A$2:A376,0),0)) ,0 ,  offset(SECUESTRADOS!D$1,match(B128,SECUESTRADOS!A$2:A376,0),0)  )</f>
        <v>0</v>
      </c>
      <c r="N128" s="314"/>
      <c r="O128" s="3" t="b">
        <f t="shared" si="12"/>
        <v>0</v>
      </c>
      <c r="P128" s="3" t="str">
        <f t="shared" si="13"/>
        <v/>
      </c>
      <c r="Q128" s="3"/>
      <c r="R128" s="3"/>
      <c r="S128" s="3"/>
      <c r="T128" s="3"/>
    </row>
    <row r="129" ht="15.0" customHeight="1">
      <c r="A129" s="550" t="s">
        <v>82</v>
      </c>
      <c r="B129" s="551" t="s">
        <v>4303</v>
      </c>
      <c r="C129" s="594">
        <v>1539.0</v>
      </c>
      <c r="D129" s="553" t="str">
        <f>if(   iserror(offset(PADRON!B$2,match(C:C,PADRON!A$2:A376,0)-1,0,1,1) )  ,  ,    offset(PADRON!B$2,match(C:C,PADRON!A$2:A376,0)-1,0,1,1))</f>
        <v>DEL RIO, HUGO HORACIO</v>
      </c>
      <c r="E129" s="554">
        <v>42248.0</v>
      </c>
      <c r="F129" s="555"/>
      <c r="G129" s="23" t="s">
        <v>56</v>
      </c>
      <c r="H129" s="577">
        <f>IF( ISERROR( OFFSET(   'Cuadro tarifario'!D$2  , MATCH(CONCATENATE(                 IF(F129&gt;Mes,OFFSET(NroCT!B$17, MATCH($F129,NroCT!$A$18:$A376,0),0,1,1),Periodovigente)                                                                                                                     ,A129) ,'Cuadro tarifario'!A$2:A376,0) -1 , 0 , 1 , 1) )   , 0  ,   OFFSET(   'Cuadro tarifario'!D$2  , MATCH(CONCATENATE( IF(F129&gt;Mes,OFFSET(NroCT!B$17, MATCH($F129,NroCT!$A$18:$A376,0),0,1,1),Periodovigente) ,A129) ,'Cuadro tarifario'!A$2:A376,0) -1 , 0 , 1 , 1))</f>
        <v>12000</v>
      </c>
      <c r="I129" s="1">
        <f t="shared" si="9"/>
        <v>0</v>
      </c>
      <c r="J129" s="1">
        <f t="shared" si="2"/>
        <v>0</v>
      </c>
      <c r="K129" s="2">
        <f>if(  and(M129&gt;0,I129=0)          ,M129 ,                         If(  If( F129 ,  DAYS360(date(year(F129),month(F129),1),Mes)/30  ,  DAYS360(date(year(E129),month(E129),1),Mes)/30  )  &gt;  0 , If(F129,   DAYS360(date(year(F129),month(F129),1),Mes)/30  ,  DAYS360(date(year(E129),month(E129),1),Mes)/30) , 0)       )</f>
        <v>119</v>
      </c>
      <c r="L129" s="2">
        <f t="shared" si="3"/>
        <v>1428000</v>
      </c>
      <c r="M129" s="314">
        <f>If( iserror(offset(SECUESTRADOS!D$1,match(B129,SECUESTRADOS!A$2:A376,0),0)) ,0 ,  offset(SECUESTRADOS!D$1,match(B129,SECUESTRADOS!A$2:A376,0),0)  )</f>
        <v>0</v>
      </c>
      <c r="N129" s="314"/>
      <c r="O129" s="3" t="b">
        <f t="shared" si="12"/>
        <v>0</v>
      </c>
      <c r="P129" s="3" t="str">
        <f t="shared" si="13"/>
        <v/>
      </c>
      <c r="Q129" s="3"/>
      <c r="R129" s="3"/>
      <c r="S129" s="3"/>
      <c r="T129" s="3"/>
    </row>
    <row r="130" ht="15.0" customHeight="1">
      <c r="A130" s="550" t="s">
        <v>71</v>
      </c>
      <c r="B130" s="551">
        <v>1540.0</v>
      </c>
      <c r="C130" s="594">
        <v>1540.0</v>
      </c>
      <c r="D130" s="553" t="str">
        <f>if(   iserror(offset(PADRON!B$2,match(C:C,PADRON!A$2:A376,0)-1,0,1,1) )  ,  ,    offset(PADRON!B$2,match(C:C,PADRON!A$2:A376,0)-1,0,1,1))</f>
        <v>COMINI, GIANNI</v>
      </c>
      <c r="E130" s="554">
        <v>42430.0</v>
      </c>
      <c r="F130" s="555"/>
      <c r="G130" s="23" t="s">
        <v>56</v>
      </c>
      <c r="H130" s="556">
        <f>IF( ISERROR( OFFSET(   'Cuadro tarifario'!D$2  , MATCH(CONCATENATE(                 IF(F130&gt;Mes,OFFSET(NroCT!B$17, MATCH($F130,NroCT!$A$18:$A376,0),0,1,1),Periodovigente)                                                                                                                     ,A130) ,'Cuadro tarifario'!A$2:A376,0) -1 , 0 , 1 , 1) )   , 0  ,   OFFSET(   'Cuadro tarifario'!D$2  , MATCH(CONCATENATE( IF(F130&gt;Mes,OFFSET(NroCT!B$17, MATCH($F130,NroCT!$A$18:$A376,0),0,1,1),Periodovigente) ,A130) ,'Cuadro tarifario'!A$2:A376,0) -1 , 0 , 1 , 1))</f>
        <v>11000</v>
      </c>
      <c r="I130" s="1">
        <f t="shared" si="9"/>
        <v>0</v>
      </c>
      <c r="J130" s="557">
        <f t="shared" si="2"/>
        <v>0</v>
      </c>
      <c r="K130" s="2">
        <f>if(  and(M130&gt;0,I130=0)          ,M130 ,                         If(  If( F130 ,  DAYS360(date(year(F130),month(F130),1),Mes)/30  ,  DAYS360(date(year(E130),month(E130),1),Mes)/30  )  &gt;  0 , If(F130,   DAYS360(date(year(F130),month(F130),1),Mes)/30  ,  DAYS360(date(year(E130),month(E130),1),Mes)/30) , 0)       )</f>
        <v>113</v>
      </c>
      <c r="L130" s="558">
        <f t="shared" si="3"/>
        <v>1243000</v>
      </c>
      <c r="M130" s="314"/>
      <c r="N130" s="314"/>
      <c r="O130" s="3"/>
      <c r="P130" s="3"/>
      <c r="Q130" s="3"/>
      <c r="R130" s="3"/>
      <c r="S130" s="3"/>
      <c r="T130" s="3"/>
    </row>
    <row r="131" ht="15.0" customHeight="1">
      <c r="A131" s="550" t="s">
        <v>71</v>
      </c>
      <c r="B131" s="551">
        <v>1541.0</v>
      </c>
      <c r="C131" s="594">
        <v>1541.0</v>
      </c>
      <c r="D131" s="553" t="str">
        <f>if(   iserror(offset(PADRON!B$2,match(C:C,PADRON!A$2:A376,0)-1,0,1,1) )  ,  ,    offset(PADRON!B$2,match(C:C,PADRON!A$2:A376,0)-1,0,1,1))</f>
        <v>BARZABAL, JULIAN</v>
      </c>
      <c r="E131" s="554">
        <v>42309.0</v>
      </c>
      <c r="F131" s="555"/>
      <c r="G131" s="23" t="s">
        <v>56</v>
      </c>
      <c r="H131" s="556">
        <f>IF( ISERROR( OFFSET(   'Cuadro tarifario'!D$2  , MATCH(CONCATENATE(                 IF(F131&gt;Mes,OFFSET(NroCT!B$17, MATCH($F131,NroCT!$A$18:$A376,0),0,1,1),Periodovigente)                                                                                                                     ,A131) ,'Cuadro tarifario'!A$2:A376,0) -1 , 0 , 1 , 1) )   , 0  ,   OFFSET(   'Cuadro tarifario'!D$2  , MATCH(CONCATENATE( IF(F131&gt;Mes,OFFSET(NroCT!B$17, MATCH($F131,NroCT!$A$18:$A376,0),0,1,1),Periodovigente) ,A131) ,'Cuadro tarifario'!A$2:A376,0) -1 , 0 , 1 , 1))</f>
        <v>11000</v>
      </c>
      <c r="I131" s="1">
        <f t="shared" si="9"/>
        <v>0</v>
      </c>
      <c r="J131" s="557">
        <f t="shared" si="2"/>
        <v>0</v>
      </c>
      <c r="K131" s="2">
        <f>if(  and(M131&gt;0,I131=0)          ,M131 ,                         If(  If( F131 ,  DAYS360(date(year(F131),month(F131),1),Mes)/30  ,  DAYS360(date(year(E131),month(E131),1),Mes)/30  )  &gt;  0 , If(F131,   DAYS360(date(year(F131),month(F131),1),Mes)/30  ,  DAYS360(date(year(E131),month(E131),1),Mes)/30) , 0)       )</f>
        <v>117</v>
      </c>
      <c r="L131" s="558">
        <f t="shared" si="3"/>
        <v>1287000</v>
      </c>
      <c r="M131" s="314"/>
      <c r="N131" s="314"/>
      <c r="O131" s="3"/>
      <c r="P131" s="3"/>
      <c r="Q131" s="3"/>
      <c r="R131" s="3"/>
      <c r="S131" s="3"/>
      <c r="T131" s="3"/>
    </row>
    <row r="132" ht="15.0" customHeight="1">
      <c r="A132" s="550" t="s">
        <v>71</v>
      </c>
      <c r="B132" s="551">
        <v>1544.0</v>
      </c>
      <c r="C132" s="594">
        <v>1544.0</v>
      </c>
      <c r="D132" s="553" t="str">
        <f>if(   iserror(offset(PADRON!B$2,match(C:C,PADRON!A$2:A376,0)-1,0,1,1) )  ,  ,    offset(PADRON!B$2,match(C:C,PADRON!A$2:A376,0)-1,0,1,1))</f>
        <v>FRANCO, FERNANDO</v>
      </c>
      <c r="E132" s="554">
        <v>42186.0</v>
      </c>
      <c r="F132" s="555"/>
      <c r="G132" s="23" t="s">
        <v>56</v>
      </c>
      <c r="H132" s="556">
        <f>IF( ISERROR( OFFSET(   'Cuadro tarifario'!D$2  , MATCH(CONCATENATE(                 IF(F132&gt;Mes,OFFSET(NroCT!B$17, MATCH($F132,NroCT!$A$18:$A376,0),0,1,1),Periodovigente)                                                                                                                     ,A132) ,'Cuadro tarifario'!A$2:A376,0) -1 , 0 , 1 , 1) )   , 0  ,   OFFSET(   'Cuadro tarifario'!D$2  , MATCH(CONCATENATE( IF(F132&gt;Mes,OFFSET(NroCT!B$17, MATCH($F132,NroCT!$A$18:$A376,0),0,1,1),Periodovigente) ,A132) ,'Cuadro tarifario'!A$2:A376,0) -1 , 0 , 1 , 1))</f>
        <v>11000</v>
      </c>
      <c r="I132" s="1">
        <f t="shared" si="9"/>
        <v>0</v>
      </c>
      <c r="J132" s="557">
        <f t="shared" si="2"/>
        <v>0</v>
      </c>
      <c r="K132" s="2">
        <f>if(  and(M132&gt;0,I132=0)          ,M132 ,                         If(  If( F132 ,  DAYS360(date(year(F132),month(F132),1),Mes)/30  ,  DAYS360(date(year(E132),month(E132),1),Mes)/30  )  &gt;  0 , If(F132,   DAYS360(date(year(F132),month(F132),1),Mes)/30  ,  DAYS360(date(year(E132),month(E132),1),Mes)/30) , 0)       )</f>
        <v>121</v>
      </c>
      <c r="L132" s="558">
        <f t="shared" si="3"/>
        <v>1331000</v>
      </c>
      <c r="M132" s="314">
        <f>If( iserror(offset(SECUESTRADOS!D$1,match(B132,SECUESTRADOS!A$2:A376,0),0)) ,0 ,  offset(SECUESTRADOS!D$1,match(B132,SECUESTRADOS!A$2:A376,0),0)  )</f>
        <v>0</v>
      </c>
      <c r="N132" s="314"/>
      <c r="O132" s="3" t="b">
        <f>if(I132,A132)</f>
        <v>0</v>
      </c>
      <c r="P132" s="3" t="str">
        <f>if(and(A132=A131,B132=B131,C132=C131),"Repetido","")</f>
        <v/>
      </c>
      <c r="Q132" s="3"/>
      <c r="R132" s="3"/>
      <c r="S132" s="3"/>
      <c r="T132" s="3"/>
    </row>
    <row r="133" ht="15.0" customHeight="1">
      <c r="A133" s="550" t="s">
        <v>71</v>
      </c>
      <c r="B133" s="551">
        <v>1549.0</v>
      </c>
      <c r="C133" s="594">
        <v>1549.0</v>
      </c>
      <c r="D133" s="34" t="str">
        <f>if(   iserror(offset(PADRON!B$2,match(C:C,PADRON!A$2:A376,0)-1,0,1,1) )  ,  ,    offset(PADRON!B$2,match(C:C,PADRON!A$2:A376,0)-1,0,1,1))</f>
        <v>CANDOTTI, ALEJANDRO</v>
      </c>
      <c r="E133" s="554">
        <v>42401.0</v>
      </c>
      <c r="F133" s="555"/>
      <c r="G133" s="23" t="s">
        <v>56</v>
      </c>
      <c r="H133" s="556">
        <f>IF( ISERROR( OFFSET(   'Cuadro tarifario'!D$2  , MATCH(CONCATENATE(                 IF(F133&gt;Mes,OFFSET(NroCT!B$17, MATCH($F133,NroCT!$A$18:$A376,0),0,1,1),Periodovigente)                                                                                                                     ,A133) ,'Cuadro tarifario'!A$2:A376,0) -1 , 0 , 1 , 1) )   , 0  ,   OFFSET(   'Cuadro tarifario'!D$2  , MATCH(CONCATENATE( IF(F133&gt;Mes,OFFSET(NroCT!B$17, MATCH($F133,NroCT!$A$18:$A376,0),0,1,1),Periodovigente) ,A133) ,'Cuadro tarifario'!A$2:A376,0) -1 , 0 , 1 , 1))</f>
        <v>11000</v>
      </c>
      <c r="I133" s="36">
        <f t="shared" si="9"/>
        <v>0</v>
      </c>
      <c r="J133" s="557">
        <f t="shared" si="2"/>
        <v>0</v>
      </c>
      <c r="K133" s="2">
        <f>if(  and(M133&gt;0,I133=0)          ,M133 ,                         If(  If( F133 ,  DAYS360(date(year(F133),month(F133),1),Mes)/30  ,  DAYS360(date(year(E133),month(E133),1),Mes)/30  )  &gt;  0 , If(F133,   DAYS360(date(year(F133),month(F133),1),Mes)/30  ,  DAYS360(date(year(E133),month(E133),1),Mes)/30) , 0)       )</f>
        <v>114</v>
      </c>
      <c r="L133" s="39">
        <f t="shared" si="3"/>
        <v>1254000</v>
      </c>
      <c r="M133" s="314"/>
      <c r="N133" s="314"/>
      <c r="O133" s="3"/>
      <c r="P133" s="3"/>
      <c r="Q133" s="3"/>
      <c r="R133" s="3"/>
      <c r="S133" s="3"/>
      <c r="T133" s="3"/>
    </row>
    <row r="134" ht="15.0" customHeight="1">
      <c r="A134" s="550" t="s">
        <v>71</v>
      </c>
      <c r="B134" s="551">
        <v>1550.0</v>
      </c>
      <c r="C134" s="594">
        <v>1550.0</v>
      </c>
      <c r="D134" s="34" t="str">
        <f>if(   iserror(offset(PADRON!B$2,match(C:C,PADRON!A$2:A376,0)-1,0,1,1) )  ,  ,    offset(PADRON!B$2,match(C:C,PADRON!A$2:A376,0)-1,0,1,1))</f>
        <v>GIL CONNERS, NESTOR</v>
      </c>
      <c r="E134" s="554">
        <v>42186.0</v>
      </c>
      <c r="F134" s="555"/>
      <c r="G134" s="23" t="s">
        <v>56</v>
      </c>
      <c r="H134" s="556">
        <f>IF( ISERROR( OFFSET(   'Cuadro tarifario'!D$2  , MATCH(CONCATENATE(                 IF(F134&gt;Mes,OFFSET(NroCT!B$17, MATCH($F134,NroCT!$A$18:$A376,0),0,1,1),Periodovigente)                                                                                                                     ,A134) ,'Cuadro tarifario'!A$2:A376,0) -1 , 0 , 1 , 1) )   , 0  ,   OFFSET(   'Cuadro tarifario'!D$2  , MATCH(CONCATENATE( IF(F134&gt;Mes,OFFSET(NroCT!B$17, MATCH($F134,NroCT!$A$18:$A376,0),0,1,1),Periodovigente) ,A134) ,'Cuadro tarifario'!A$2:A376,0) -1 , 0 , 1 , 1))</f>
        <v>11000</v>
      </c>
      <c r="I134" s="36">
        <f t="shared" si="9"/>
        <v>0</v>
      </c>
      <c r="J134" s="557">
        <f t="shared" si="2"/>
        <v>0</v>
      </c>
      <c r="K134" s="2">
        <f>if(  and(M134&gt;0,I134=0)          ,M134 ,                         If(  If( F134 ,  DAYS360(date(year(F134),month(F134),1),Mes)/30  ,  DAYS360(date(year(E134),month(E134),1),Mes)/30  )  &gt;  0 , If(F134,   DAYS360(date(year(F134),month(F134),1),Mes)/30  ,  DAYS360(date(year(E134),month(E134),1),Mes)/30) , 0)       )</f>
        <v>121</v>
      </c>
      <c r="L134" s="39">
        <f t="shared" si="3"/>
        <v>1331000</v>
      </c>
      <c r="M134" s="314">
        <f>If( iserror(offset(SECUESTRADOS!D$1,match(B134,SECUESTRADOS!A$2:A376,0),0)) ,0 ,  offset(SECUESTRADOS!D$1,match(B134,SECUESTRADOS!A$2:A376,0),0)  )</f>
        <v>0</v>
      </c>
      <c r="N134" s="314"/>
      <c r="O134" s="3" t="b">
        <f t="shared" ref="O134:O135" si="14">if(I134,A134)</f>
        <v>0</v>
      </c>
      <c r="P134" s="3" t="str">
        <f t="shared" ref="P134:P135" si="15">if(and(A134=A133,B134=B133,C134=C133),"Repetido","")</f>
        <v/>
      </c>
      <c r="Q134" s="3"/>
      <c r="R134" s="3"/>
      <c r="S134" s="3"/>
      <c r="T134" s="3"/>
    </row>
    <row r="135" ht="15.0" customHeight="1">
      <c r="A135" s="550" t="s">
        <v>71</v>
      </c>
      <c r="B135" s="551">
        <v>1555.0</v>
      </c>
      <c r="C135" s="594">
        <v>1555.0</v>
      </c>
      <c r="D135" s="34" t="str">
        <f>if(   iserror(offset(PADRON!B$2,match(C:C,PADRON!A$2:A376,0)-1,0,1,1) )  ,  ,    offset(PADRON!B$2,match(C:C,PADRON!A$2:A376,0)-1,0,1,1))</f>
        <v>VIDELA ARIEL</v>
      </c>
      <c r="E135" s="554">
        <v>42217.0</v>
      </c>
      <c r="F135" s="555"/>
      <c r="G135" s="23" t="s">
        <v>56</v>
      </c>
      <c r="H135" s="556">
        <f>IF( ISERROR( OFFSET(   'Cuadro tarifario'!D$2  , MATCH(CONCATENATE(                 IF(F135&gt;Mes,OFFSET(NroCT!B$17, MATCH($F135,NroCT!$A$18:$A376,0),0,1,1),Periodovigente)                                                                                                                     ,A135) ,'Cuadro tarifario'!A$2:A376,0) -1 , 0 , 1 , 1) )   , 0  ,   OFFSET(   'Cuadro tarifario'!D$2  , MATCH(CONCATENATE( IF(F135&gt;Mes,OFFSET(NroCT!B$17, MATCH($F135,NroCT!$A$18:$A376,0),0,1,1),Periodovigente) ,A135) ,'Cuadro tarifario'!A$2:A376,0) -1 , 0 , 1 , 1))</f>
        <v>11000</v>
      </c>
      <c r="I135" s="36">
        <f t="shared" si="9"/>
        <v>0</v>
      </c>
      <c r="J135" s="557">
        <f t="shared" si="2"/>
        <v>0</v>
      </c>
      <c r="K135" s="2">
        <f>if(  and(M135&gt;0,I135=0)          ,M135 ,                         If(  If( F135 ,  DAYS360(date(year(F135),month(F135),1),Mes)/30  ,  DAYS360(date(year(E135),month(E135),1),Mes)/30  )  &gt;  0 , If(F135,   DAYS360(date(year(F135),month(F135),1),Mes)/30  ,  DAYS360(date(year(E135),month(E135),1),Mes)/30) , 0)       )</f>
        <v>120</v>
      </c>
      <c r="L135" s="39">
        <f t="shared" si="3"/>
        <v>1320000</v>
      </c>
      <c r="M135" s="314">
        <f>If( iserror(offset(SECUESTRADOS!D$1,match(B135,SECUESTRADOS!A$2:A376,0),0)) ,0 ,  offset(SECUESTRADOS!D$1,match(B135,SECUESTRADOS!A$2:A376,0),0)  )</f>
        <v>0</v>
      </c>
      <c r="N135" s="314"/>
      <c r="O135" s="3" t="b">
        <f t="shared" si="14"/>
        <v>0</v>
      </c>
      <c r="P135" s="3" t="str">
        <f t="shared" si="15"/>
        <v/>
      </c>
      <c r="Q135" s="3"/>
      <c r="R135" s="3"/>
      <c r="S135" s="3"/>
      <c r="T135" s="3"/>
    </row>
    <row r="136" ht="15.0" customHeight="1">
      <c r="A136" s="550" t="s">
        <v>71</v>
      </c>
      <c r="B136" s="551">
        <v>1558.0</v>
      </c>
      <c r="C136" s="594">
        <v>1558.0</v>
      </c>
      <c r="D136" s="34" t="str">
        <f>if(   iserror(offset(PADRON!B$2,match(C:C,PADRON!A$2:A376,0)-1,0,1,1) )  ,  ,    offset(PADRON!B$2,match(C:C,PADRON!A$2:A376,0)-1,0,1,1))</f>
        <v>RODRIGUEZ, EMILIANO</v>
      </c>
      <c r="E136" s="554">
        <v>42491.0</v>
      </c>
      <c r="F136" s="555"/>
      <c r="G136" s="23" t="s">
        <v>56</v>
      </c>
      <c r="H136" s="556">
        <f>IF( ISERROR( OFFSET(   'Cuadro tarifario'!D$2  , MATCH(CONCATENATE(                 IF(F136&gt;Mes,OFFSET(NroCT!B$17, MATCH($F136,NroCT!$A$18:$A376,0),0,1,1),Periodovigente)                                                                                                                     ,A136) ,'Cuadro tarifario'!A$2:A376,0) -1 , 0 , 1 , 1) )   , 0  ,   OFFSET(   'Cuadro tarifario'!D$2  , MATCH(CONCATENATE( IF(F136&gt;Mes,OFFSET(NroCT!B$17, MATCH($F136,NroCT!$A$18:$A376,0),0,1,1),Periodovigente) ,A136) ,'Cuadro tarifario'!A$2:A376,0) -1 , 0 , 1 , 1))</f>
        <v>11000</v>
      </c>
      <c r="I136" s="36">
        <f t="shared" si="9"/>
        <v>0</v>
      </c>
      <c r="J136" s="557">
        <f t="shared" si="2"/>
        <v>0</v>
      </c>
      <c r="K136" s="2">
        <f>if(  and(M136&gt;0,I136=0)          ,M136 ,                         If(  If( F136 ,  DAYS360(date(year(F136),month(F136),1),Mes)/30  ,  DAYS360(date(year(E136),month(E136),1),Mes)/30  )  &gt;  0 , If(F136,   DAYS360(date(year(F136),month(F136),1),Mes)/30  ,  DAYS360(date(year(E136),month(E136),1),Mes)/30) , 0)       )</f>
        <v>111</v>
      </c>
      <c r="L136" s="39">
        <f t="shared" si="3"/>
        <v>1221000</v>
      </c>
      <c r="M136" s="314"/>
      <c r="N136" s="314"/>
      <c r="O136" s="3"/>
      <c r="P136" s="3"/>
      <c r="Q136" s="3"/>
      <c r="R136" s="3"/>
      <c r="S136" s="3"/>
      <c r="T136" s="3"/>
    </row>
    <row r="137" ht="15.0" customHeight="1">
      <c r="A137" s="565" t="s">
        <v>71</v>
      </c>
      <c r="B137" s="566">
        <v>1563.0</v>
      </c>
      <c r="C137" s="598">
        <v>1563.0</v>
      </c>
      <c r="D137" s="44" t="str">
        <f>IF(   ISERROR(OFFSET(PADRON!B$2,MATCH(C:C,PADRON!A$2:A376,0)-1,0,1,1) )  ,  ,    OFFSET(PADRON!B$2,MATCH(C:C,PADRON!A$2:A376,0)-1,0,1,1))</f>
        <v>CORBETTO, GERMÁN</v>
      </c>
      <c r="E137" s="599">
        <v>42614.0</v>
      </c>
      <c r="F137" s="600"/>
      <c r="G137" s="23" t="s">
        <v>56</v>
      </c>
      <c r="H137" s="147">
        <f>IF( ISERROR( OFFSET(   'Cuadro tarifario'!D$2  , MATCH(CONCATENATE(                 IF(F137&gt;Mes,OFFSET(NroCT!B$17, MATCH($F137,NroCT!$A$18:$A376,0),0,1,1),Periodovigente)                                                                                                                     ,A137) ,'Cuadro tarifario'!A$2:A376,0) -1 , 0 , 1 , 1) )   , 0  ,   OFFSET(   'Cuadro tarifario'!D$2  , MATCH(CONCATENATE( IF(F137&gt;Mes,OFFSET(NroCT!B$17, MATCH($F137,NroCT!$A$18:$A376,0),0,1,1),Periodovigente) ,A137) ,'Cuadro tarifario'!A$2:A376,0) -1 , 0 , 1 , 1))</f>
        <v>11000</v>
      </c>
      <c r="I137" s="46">
        <f>INT(IF(F137,DAYS360(          DATE(YEAR(E137),MONTH(E137),1),         DATE(YEAR(F137)     ,      MONTH(F137),1 )    )            /30,0 ))</f>
        <v>0</v>
      </c>
      <c r="J137" s="572">
        <f t="shared" si="2"/>
        <v>0</v>
      </c>
      <c r="K137" s="601">
        <f>IF(  AND(M137&gt;0,I137=0)          ,M137 ,                         IF(  IF( F137 ,  DAYS360(DATE(YEAR(F137),MONTH(F137),1),Mes)/30  ,  DAYS360(DATE(YEAR(E137),MONTH(E137),1),Mes)/30  )  &gt;  0 , IF(F137,   DAYS360(DATE(YEAR(F137),MONTH(F137),1),Mes)/30  ,  DAYS360(DATE(YEAR(E137),MONTH(E137),1),Mes)/30) , 0)       )</f>
        <v>107</v>
      </c>
      <c r="L137" s="49">
        <f>IF(ISERROR(K:K*H:H)   ,  0   ,   K:K*H:H)</f>
        <v>1177000</v>
      </c>
      <c r="M137" s="314"/>
      <c r="N137" s="314"/>
      <c r="O137" s="3"/>
      <c r="P137" s="3"/>
      <c r="Q137" s="3"/>
      <c r="R137" s="3"/>
      <c r="S137" s="3"/>
      <c r="T137" s="3"/>
    </row>
    <row r="138" ht="15.0" customHeight="1">
      <c r="A138" s="550" t="s">
        <v>71</v>
      </c>
      <c r="B138" s="551">
        <v>1566.0</v>
      </c>
      <c r="C138" s="594">
        <v>1566.0</v>
      </c>
      <c r="D138" s="34" t="str">
        <f>if(   iserror(offset(PADRON!B$2,match(C:C,PADRON!A$2:A376,0)-1,0,1,1) )  ,  ,    offset(PADRON!B$2,match(C:C,PADRON!A$2:A376,0)-1,0,1,1))</f>
        <v>FORTE, ULISES</v>
      </c>
      <c r="E138" s="555">
        <v>42461.0</v>
      </c>
      <c r="F138" s="555"/>
      <c r="G138" s="23" t="s">
        <v>56</v>
      </c>
      <c r="H138" s="556">
        <f>IF( ISERROR( OFFSET(   'Cuadro tarifario'!D$2  , MATCH(CONCATENATE(                 IF(F138&gt;Mes,OFFSET(NroCT!B$17, MATCH($F138,NroCT!$A$18:$A376,0),0,1,1),Periodovigente)                                                                                                                     ,A138) ,'Cuadro tarifario'!A$2:A376,0) -1 , 0 , 1 , 1) )   , 0  ,   OFFSET(   'Cuadro tarifario'!D$2  , MATCH(CONCATENATE( IF(F138&gt;Mes,OFFSET(NroCT!B$17, MATCH($F138,NroCT!$A$18:$A376,0),0,1,1),Periodovigente) ,A138) ,'Cuadro tarifario'!A$2:A376,0) -1 , 0 , 1 , 1))</f>
        <v>11000</v>
      </c>
      <c r="I138" s="36">
        <f t="shared" ref="I138:I147" si="16">Int(If(F138,DAYS360(          date(Year(E138),Month(E138),1),         date(Year(F138)     ,      Month(F138),1 )    )            /30,0 ))</f>
        <v>0</v>
      </c>
      <c r="J138" s="557">
        <f t="shared" si="2"/>
        <v>0</v>
      </c>
      <c r="K138" s="2">
        <f>if(  and(M138&gt;0,I138=0)          ,M138 ,                         If(  If( F138 ,  DAYS360(date(year(F138),month(F138),1),Mes)/30  ,  DAYS360(date(year(E138),month(E138),1),Mes)/30  )  &gt;  0 , If(F138,   DAYS360(date(year(F138),month(F138),1),Mes)/30  ,  DAYS360(date(year(E138),month(E138),1),Mes)/30) , 0)       )</f>
        <v>112</v>
      </c>
      <c r="L138" s="39">
        <f t="shared" ref="L138:L147" si="17">If(Iserror(K:K*H:H)   ,  0   ,   K:K*H:H)</f>
        <v>1232000</v>
      </c>
      <c r="M138" s="314"/>
      <c r="N138" s="314"/>
      <c r="O138" s="3"/>
      <c r="P138" s="3"/>
      <c r="Q138" s="3"/>
      <c r="R138" s="3"/>
      <c r="S138" s="3"/>
      <c r="T138" s="3"/>
    </row>
    <row r="139" ht="15.0" customHeight="1">
      <c r="A139" s="550" t="s">
        <v>40</v>
      </c>
      <c r="B139" s="551" t="s">
        <v>421</v>
      </c>
      <c r="C139" s="594">
        <v>1566.0</v>
      </c>
      <c r="D139" s="34" t="str">
        <f>if(   iserror(offset(PADRON!B$2,match(C:C,PADRON!A$2:A376,0)-1,0,1,1) )  ,  ,    offset(PADRON!B$2,match(C:C,PADRON!A$2:A376,0)-1,0,1,1))</f>
        <v>FORTE, ULISES</v>
      </c>
      <c r="E139" s="554">
        <v>42461.0</v>
      </c>
      <c r="F139" s="555"/>
      <c r="G139" s="23" t="s">
        <v>56</v>
      </c>
      <c r="H139" s="556">
        <f>IF( ISERROR( OFFSET(   'Cuadro tarifario'!D$2  , MATCH(CONCATENATE(                 IF(F139&gt;Mes,OFFSET(NroCT!B$17, MATCH($F139,NroCT!$A$18:$A376,0),0,1,1),Periodovigente)                                                                                                                     ,A139) ,'Cuadro tarifario'!A$2:A376,0) -1 , 0 , 1 , 1) )   , 0  ,   OFFSET(   'Cuadro tarifario'!D$2  , MATCH(CONCATENATE( IF(F139&gt;Mes,OFFSET(NroCT!B$17, MATCH($F139,NroCT!$A$18:$A376,0),0,1,1),Periodovigente) ,A139) ,'Cuadro tarifario'!A$2:A376,0) -1 , 0 , 1 , 1))</f>
        <v>12000</v>
      </c>
      <c r="I139" s="36">
        <f t="shared" si="16"/>
        <v>0</v>
      </c>
      <c r="J139" s="557">
        <f t="shared" si="2"/>
        <v>0</v>
      </c>
      <c r="K139" s="2">
        <f>if(  and(M139&gt;0,I139=0)          ,M139 ,                         If(  If( F139 ,  DAYS360(date(year(F139),month(F139),1),Mes)/30  ,  DAYS360(date(year(E139),month(E139),1),Mes)/30  )  &gt;  0 , If(F139,   DAYS360(date(year(F139),month(F139),1),Mes)/30  ,  DAYS360(date(year(E139),month(E139),1),Mes)/30) , 0)       )</f>
        <v>112</v>
      </c>
      <c r="L139" s="39">
        <f t="shared" si="17"/>
        <v>1344000</v>
      </c>
      <c r="M139" s="314"/>
      <c r="N139" s="314"/>
      <c r="O139" s="3"/>
      <c r="P139" s="3"/>
      <c r="Q139" s="3"/>
      <c r="R139" s="3"/>
      <c r="S139" s="3"/>
      <c r="T139" s="3"/>
    </row>
    <row r="140" ht="15.0" customHeight="1">
      <c r="A140" s="550" t="s">
        <v>71</v>
      </c>
      <c r="B140" s="551">
        <v>1570.0</v>
      </c>
      <c r="C140" s="594">
        <v>1570.0</v>
      </c>
      <c r="D140" s="34" t="str">
        <f>if(   iserror(offset(PADRON!B$2,match(C:C,PADRON!A$2:A376,0)-1,0,1,1) )  ,  ,    offset(PADRON!B$2,match(C:C,PADRON!A$2:A376,0)-1,0,1,1))</f>
        <v>TORRES MATIAS</v>
      </c>
      <c r="E140" s="554">
        <v>42401.0</v>
      </c>
      <c r="F140" s="555"/>
      <c r="G140" s="23" t="s">
        <v>56</v>
      </c>
      <c r="H140" s="556">
        <f>IF( ISERROR( OFFSET(   'Cuadro tarifario'!D$2  , MATCH(CONCATENATE(                 IF(F140&gt;Mes,OFFSET(NroCT!B$17, MATCH($F140,NroCT!$A$18:$A376,0),0,1,1),Periodovigente)                                                                                                                     ,A140) ,'Cuadro tarifario'!A$2:A376,0) -1 , 0 , 1 , 1) )   , 0  ,   OFFSET(   'Cuadro tarifario'!D$2  , MATCH(CONCATENATE( IF(F140&gt;Mes,OFFSET(NroCT!B$17, MATCH($F140,NroCT!$A$18:$A376,0),0,1,1),Periodovigente) ,A140) ,'Cuadro tarifario'!A$2:A376,0) -1 , 0 , 1 , 1))</f>
        <v>11000</v>
      </c>
      <c r="I140" s="36">
        <f t="shared" si="16"/>
        <v>0</v>
      </c>
      <c r="J140" s="557">
        <f t="shared" si="2"/>
        <v>0</v>
      </c>
      <c r="K140" s="2">
        <f>if(  and(M140&gt;0,I140=0)          ,M140 ,                         If(  If( F140 ,  DAYS360(date(year(F140),month(F140),1),Mes)/30  ,  DAYS360(date(year(E140),month(E140),1),Mes)/30  )  &gt;  0 , If(F140,   DAYS360(date(year(F140),month(F140),1),Mes)/30  ,  DAYS360(date(year(E140),month(E140),1),Mes)/30) , 0)       )</f>
        <v>114</v>
      </c>
      <c r="L140" s="39">
        <f t="shared" si="17"/>
        <v>1254000</v>
      </c>
      <c r="M140" s="314"/>
      <c r="N140" s="314"/>
      <c r="O140" s="3"/>
      <c r="P140" s="3"/>
      <c r="Q140" s="3"/>
      <c r="R140" s="3"/>
      <c r="S140" s="3"/>
      <c r="T140" s="3"/>
    </row>
    <row r="141" ht="15.0" customHeight="1">
      <c r="A141" s="602" t="s">
        <v>71</v>
      </c>
      <c r="B141" s="603">
        <v>1576.0</v>
      </c>
      <c r="C141" s="604">
        <v>1576.0</v>
      </c>
      <c r="D141" s="44" t="str">
        <f>if(   iserror(offset(PADRON!B$2,match(C:C,PADRON!A$2:A376,0)-1,0,1,1) )  ,  ,    offset(PADRON!B$2,match(C:C,PADRON!A$2:A376,0)-1,0,1,1))</f>
        <v>ZUVI DAMIAN ALBERTO</v>
      </c>
      <c r="E141" s="599">
        <v>42370.0</v>
      </c>
      <c r="F141" s="600"/>
      <c r="G141" s="23" t="s">
        <v>56</v>
      </c>
      <c r="H141" s="556">
        <f>IF( ISERROR( OFFSET(   'Cuadro tarifario'!D$2  , MATCH(CONCATENATE(                 IF(F141&gt;Mes,OFFSET(NroCT!B$17, MATCH($F141,NroCT!$A$18:$A376,0),0,1,1),Periodovigente)                                                                                                                     ,A141) ,'Cuadro tarifario'!A$2:A376,0) -1 , 0 , 1 , 1) )   , 0  ,   OFFSET(   'Cuadro tarifario'!D$2  , MATCH(CONCATENATE( IF(F141&gt;Mes,OFFSET(NroCT!B$17, MATCH($F141,NroCT!$A$18:$A376,0),0,1,1),Periodovigente) ,A141) ,'Cuadro tarifario'!A$2:A376,0) -1 , 0 , 1 , 1))</f>
        <v>11000</v>
      </c>
      <c r="I141" s="46">
        <f t="shared" si="16"/>
        <v>0</v>
      </c>
      <c r="J141" s="605">
        <f t="shared" si="2"/>
        <v>0</v>
      </c>
      <c r="K141" s="601">
        <f>if(  and(M141&gt;0,I141=0)          ,M141 ,                         If(  If( F141 ,  DAYS360(date(year(F141),month(F141),1),Mes)/30  ,  DAYS360(date(year(E141),month(E141),1),Mes)/30  )  &gt;  0 , If(F141,   DAYS360(date(year(F141),month(F141),1),Mes)/30  ,  DAYS360(date(year(E141),month(E141),1),Mes)/30) , 0)       )</f>
        <v>115</v>
      </c>
      <c r="L141" s="77">
        <f t="shared" si="17"/>
        <v>1265000</v>
      </c>
      <c r="M141" s="314"/>
      <c r="N141" s="314"/>
      <c r="O141" s="3"/>
      <c r="P141" s="3"/>
      <c r="Q141" s="3"/>
      <c r="R141" s="3"/>
      <c r="S141" s="3"/>
      <c r="T141" s="3"/>
    </row>
    <row r="142" ht="15.0" customHeight="1">
      <c r="A142" s="51" t="s">
        <v>48</v>
      </c>
      <c r="B142" s="51" t="s">
        <v>4915</v>
      </c>
      <c r="C142" s="19">
        <v>1043.0</v>
      </c>
      <c r="D142" s="34" t="str">
        <f>if(   iserror(offset(PADRON!B$2,match(C:C,PADRON!A$2:A376,0)-1,0,1,1) )  ,  ,    offset(PADRON!B$2,match(C:C,PADRON!A$2:A376,0)-1,0,1,1))</f>
        <v>ETCHEVESE, HORACIO</v>
      </c>
      <c r="E142" s="22">
        <v>43313.0</v>
      </c>
      <c r="F142" s="22"/>
      <c r="G142" s="23" t="s">
        <v>56</v>
      </c>
      <c r="H142" s="35">
        <f>IF( ISERROR( OFFSET(   'Cuadro tarifario'!D$2  , MATCH(CONCATENATE(                 IF(F142&gt;Mes,OFFSET(NroCT!B$17, MATCH($F142,NroCT!$A$18:$A376,0),0,1,1),Periodovigente)                                                                                                                     ,A142) ,'Cuadro tarifario'!A$2:A376,0) -1 , 0 , 1 , 1) )   , 0  ,   OFFSET(   'Cuadro tarifario'!D$2  , MATCH(CONCATENATE( IF(F142&gt;Mes,OFFSET(NroCT!B$17, MATCH($F142,NroCT!$A$18:$A376,0),0,1,1),Periodovigente) ,A142) ,'Cuadro tarifario'!A$2:A376,0) -1 , 0 , 1 , 1))</f>
        <v>12000</v>
      </c>
      <c r="I142" s="36">
        <f t="shared" si="16"/>
        <v>0</v>
      </c>
      <c r="J142" s="37">
        <f t="shared" si="2"/>
        <v>0</v>
      </c>
      <c r="K142" s="38">
        <f>if(  and(N142&gt;0,I142=0)          ,N142 ,                         If(  If( F142 ,  DAYS360(date(year(F142),month(F142),1),Mes)/30  ,  DAYS360(date(year(E142),month(E142),1),Mes)/30  )  &gt;  0 , If(F142,   DAYS360(date(year(F142),month(F142),1),Mes)/30  ,  DAYS360(date(year(E142),month(E142),1),Mes)/30) , 0)       )</f>
        <v>84</v>
      </c>
      <c r="L142" s="39">
        <f t="shared" si="17"/>
        <v>1008000</v>
      </c>
      <c r="M142" s="40"/>
      <c r="N142" s="29">
        <f>IF( ISERROR(OFFSET(SECUESTRADOS!D$1,MATCH(B142,SECUESTRADOS!A$2:A376,0),0)) ,0 ,  OFFSET(SECUESTRADOS!D$1,MATCH(B142,SECUESTRADOS!A$2:A376,0),0)  )</f>
        <v>0</v>
      </c>
      <c r="O142" s="30"/>
      <c r="P142" s="17" t="b">
        <f>IF(I142,A142)</f>
        <v>0</v>
      </c>
      <c r="Q142" s="17" t="str">
        <f>IF(AND(A142=#REF!,B142=#REF!,C142=#REF!),"Repetido","")</f>
        <v>#REF!</v>
      </c>
      <c r="R142" s="31"/>
      <c r="S142" s="31"/>
      <c r="T142" s="31"/>
    </row>
    <row r="143" ht="15.0" customHeight="1">
      <c r="A143" s="606" t="s">
        <v>71</v>
      </c>
      <c r="B143" s="607">
        <v>1582.0</v>
      </c>
      <c r="C143" s="608">
        <v>1582.0</v>
      </c>
      <c r="D143" s="609" t="str">
        <f>if(   iserror(offset(PADRON!B$2,match(C:C,PADRON!A$2:A376,0)-1,0,1,1) )  ,  ,    offset(PADRON!B$2,match(C:C,PADRON!A$2:A376,0)-1,0,1,1))</f>
        <v>ZURITA SEBASTIAN</v>
      </c>
      <c r="E143" s="610">
        <v>42614.0</v>
      </c>
      <c r="F143" s="610"/>
      <c r="G143" s="23" t="s">
        <v>56</v>
      </c>
      <c r="H143" s="556">
        <f>IF( ISERROR( OFFSET(   'Cuadro tarifario'!D$2  , MATCH(CONCATENATE(                 IF(F143&gt;Mes,OFFSET(NroCT!B$17, MATCH($F143,NroCT!$A$18:$A376,0),0,1,1),Periodovigente)                                                                                                                     ,A143) ,'Cuadro tarifario'!A$2:A376,0) -1 , 0 , 1 , 1) )   , 0  ,   OFFSET(   'Cuadro tarifario'!D$2  , MATCH(CONCATENATE( IF(F143&gt;Mes,OFFSET(NroCT!B$17, MATCH($F143,NroCT!$A$18:$A376,0),0,1,1),Periodovigente) ,A143) ,'Cuadro tarifario'!A$2:A376,0) -1 , 0 , 1 , 1))</f>
        <v>11000</v>
      </c>
      <c r="I143" s="611">
        <f t="shared" si="16"/>
        <v>0</v>
      </c>
      <c r="J143" s="612">
        <f t="shared" si="2"/>
        <v>0</v>
      </c>
      <c r="K143" s="613">
        <f>if(  and(M143&gt;0,I143=0)          ,M143 ,                         If(  If( F143 ,  DAYS360(date(year(F143),month(F143),1),Mes)/30  ,  DAYS360(date(year(E143),month(E143),1),Mes)/30  )  &gt;  0 , If(F143,   DAYS360(date(year(F143),month(F143),1),Mes)/30  ,  DAYS360(date(year(E143),month(E143),1),Mes)/30) , 0)       )</f>
        <v>107</v>
      </c>
      <c r="L143" s="614">
        <f t="shared" si="17"/>
        <v>1177000</v>
      </c>
      <c r="M143" s="314"/>
      <c r="N143" s="314"/>
      <c r="O143" s="3"/>
      <c r="P143" s="3"/>
      <c r="Q143" s="3"/>
      <c r="R143" s="3"/>
      <c r="S143" s="3"/>
      <c r="T143" s="3"/>
    </row>
    <row r="144" ht="15.0" customHeight="1">
      <c r="A144" s="74" t="s">
        <v>71</v>
      </c>
      <c r="B144" s="74">
        <v>1593.0</v>
      </c>
      <c r="C144" s="615">
        <v>1593.0</v>
      </c>
      <c r="D144" s="44" t="str">
        <f>if(   iserror(offset(PADRON!B$2,match(C:C,PADRON!A$2:A376,0)-1,0,1,1) )  ,  ,    offset(PADRON!B$2,match(C:C,PADRON!A$2:A376,0)-1,0,1,1))</f>
        <v>SOUTO, JOSE LUIS</v>
      </c>
      <c r="E144" s="45">
        <v>42614.0</v>
      </c>
      <c r="F144" s="45"/>
      <c r="G144" s="23" t="s">
        <v>56</v>
      </c>
      <c r="H144" s="556">
        <f>IF( ISERROR( OFFSET(   'Cuadro tarifario'!D$2  , MATCH(CONCATENATE(                 IF(F144&gt;Mes,OFFSET(NroCT!B$17, MATCH($F144,NroCT!$A$18:$A376,0),0,1,1),Periodovigente)                                                                                                                     ,A144) ,'Cuadro tarifario'!A$2:A376,0) -1 , 0 , 1 , 1) )   , 0  ,   OFFSET(   'Cuadro tarifario'!D$2  , MATCH(CONCATENATE( IF(F144&gt;Mes,OFFSET(NroCT!B$17, MATCH($F144,NroCT!$A$18:$A376,0),0,1,1),Periodovigente) ,A144) ,'Cuadro tarifario'!A$2:A376,0) -1 , 0 , 1 , 1))</f>
        <v>11000</v>
      </c>
      <c r="I144" s="46">
        <f t="shared" si="16"/>
        <v>0</v>
      </c>
      <c r="J144" s="76">
        <f t="shared" si="2"/>
        <v>0</v>
      </c>
      <c r="K144" s="48">
        <f>if(  and(M144&gt;0,I144=0)          ,M144 ,                         If(  If( F144 ,  DAYS360(date(year(F144),month(F144),1),Mes)/30  ,  DAYS360(date(year(E144),month(E144),1),Mes)/30  )  &gt;  0 , If(F144,   DAYS360(date(year(F144),month(F144),1),Mes)/30  ,  DAYS360(date(year(E144),month(E144),1),Mes)/30) , 0)       )</f>
        <v>107</v>
      </c>
      <c r="L144" s="77">
        <f t="shared" si="17"/>
        <v>1177000</v>
      </c>
      <c r="M144" s="314"/>
      <c r="N144" s="314"/>
      <c r="O144" s="3"/>
      <c r="P144" s="3"/>
      <c r="Q144" s="3"/>
      <c r="R144" s="3"/>
      <c r="S144" s="3"/>
      <c r="T144" s="3"/>
    </row>
    <row r="145" ht="15.0" customHeight="1">
      <c r="A145" s="74" t="s">
        <v>71</v>
      </c>
      <c r="B145" s="74">
        <v>1598.0</v>
      </c>
      <c r="C145" s="615">
        <v>1598.0</v>
      </c>
      <c r="D145" s="44" t="str">
        <f>if(   iserror(offset(PADRON!B$2,match(C:C,PADRON!A$2:A376,0)-1,0,1,1) )  ,  ,    offset(PADRON!B$2,match(C:C,PADRON!A$2:A376,0)-1,0,1,1))</f>
        <v>PACHAME</v>
      </c>
      <c r="E145" s="45">
        <v>42614.0</v>
      </c>
      <c r="F145" s="45"/>
      <c r="G145" s="23" t="s">
        <v>56</v>
      </c>
      <c r="H145" s="556">
        <f>IF( ISERROR( OFFSET(   'Cuadro tarifario'!D$2  , MATCH(CONCATENATE(                 IF(F145&gt;Mes,OFFSET(NroCT!B$17, MATCH($F145,NroCT!$A$18:$A376,0),0,1,1),Periodovigente)                                                                                                                     ,A145) ,'Cuadro tarifario'!A$2:A376,0) -1 , 0 , 1 , 1) )   , 0  ,   OFFSET(   'Cuadro tarifario'!D$2  , MATCH(CONCATENATE( IF(F145&gt;Mes,OFFSET(NroCT!B$17, MATCH($F145,NroCT!$A$18:$A376,0),0,1,1),Periodovigente) ,A145) ,'Cuadro tarifario'!A$2:A376,0) -1 , 0 , 1 , 1))</f>
        <v>11000</v>
      </c>
      <c r="I145" s="46">
        <f t="shared" si="16"/>
        <v>0</v>
      </c>
      <c r="J145" s="76">
        <f t="shared" si="2"/>
        <v>0</v>
      </c>
      <c r="K145" s="48">
        <f>if(  and(M145&gt;0,I145=0)          ,M145 ,                         If(  If( F145 ,  DAYS360(date(year(F145),month(F145),1),Mes)/30  ,  DAYS360(date(year(E145),month(E145),1),Mes)/30  )  &gt;  0 , If(F145,   DAYS360(date(year(F145),month(F145),1),Mes)/30  ,  DAYS360(date(year(E145),month(E145),1),Mes)/30) , 0)       )</f>
        <v>107</v>
      </c>
      <c r="L145" s="77">
        <f t="shared" si="17"/>
        <v>1177000</v>
      </c>
      <c r="M145" s="314"/>
      <c r="N145" s="314"/>
      <c r="O145" s="3"/>
      <c r="P145" s="3"/>
      <c r="Q145" s="3"/>
      <c r="R145" s="3"/>
      <c r="S145" s="3"/>
      <c r="T145" s="3"/>
    </row>
    <row r="146" ht="15.0" customHeight="1">
      <c r="A146" s="74" t="s">
        <v>71</v>
      </c>
      <c r="B146" s="74">
        <v>1599.0</v>
      </c>
      <c r="C146" s="615">
        <v>1599.0</v>
      </c>
      <c r="D146" s="44" t="str">
        <f>if(   iserror(offset(PADRON!B$2,match(C:C,PADRON!A$2:A376,0)-1,0,1,1) )  ,  ,    offset(PADRON!B$2,match(C:C,PADRON!A$2:A376,0)-1,0,1,1))</f>
        <v>COSENTINO, JUAN SEBASTIAN</v>
      </c>
      <c r="E146" s="45">
        <v>42522.0</v>
      </c>
      <c r="F146" s="45"/>
      <c r="G146" s="23" t="s">
        <v>56</v>
      </c>
      <c r="H146" s="556">
        <f>IF( ISERROR( OFFSET(   'Cuadro tarifario'!D$2  , MATCH(CONCATENATE(                 IF(F146&gt;Mes,OFFSET(NroCT!B$17, MATCH($F146,NroCT!$A$18:$A376,0),0,1,1),Periodovigente)                                                                                                                     ,A146) ,'Cuadro tarifario'!A$2:A376,0) -1 , 0 , 1 , 1) )   , 0  ,   OFFSET(   'Cuadro tarifario'!D$2  , MATCH(CONCATENATE( IF(F146&gt;Mes,OFFSET(NroCT!B$17, MATCH($F146,NroCT!$A$18:$A376,0),0,1,1),Periodovigente) ,A146) ,'Cuadro tarifario'!A$2:A376,0) -1 , 0 , 1 , 1))</f>
        <v>11000</v>
      </c>
      <c r="I146" s="46">
        <f t="shared" si="16"/>
        <v>0</v>
      </c>
      <c r="J146" s="76">
        <f t="shared" si="2"/>
        <v>0</v>
      </c>
      <c r="K146" s="48">
        <f>if(  and(M146&gt;0,I146=0)          ,M146 ,                         If(  If( F146 ,  DAYS360(date(year(F146),month(F146),1),Mes)/30  ,  DAYS360(date(year(E146),month(E146),1),Mes)/30  )  &gt;  0 , If(F146,   DAYS360(date(year(F146),month(F146),1),Mes)/30  ,  DAYS360(date(year(E146),month(E146),1),Mes)/30) , 0)       )</f>
        <v>110</v>
      </c>
      <c r="L146" s="77">
        <f t="shared" si="17"/>
        <v>1210000</v>
      </c>
      <c r="M146" s="314"/>
      <c r="N146" s="314"/>
      <c r="O146" s="3"/>
      <c r="P146" s="3"/>
      <c r="Q146" s="3"/>
      <c r="R146" s="3"/>
      <c r="S146" s="3"/>
      <c r="T146" s="3"/>
    </row>
    <row r="147" ht="15.0" customHeight="1">
      <c r="A147" s="550" t="s">
        <v>71</v>
      </c>
      <c r="B147" s="551">
        <v>1260.0</v>
      </c>
      <c r="C147" s="552">
        <v>1260.0</v>
      </c>
      <c r="D147" s="553" t="str">
        <f>if(   iserror(offset(PADRON!B$2,match(C:C,PADRON!A$2:A376,0)-1,0,1,1) )  ,  ,    offset(PADRON!B$2,match(C:C,PADRON!A$2:A376,0)-1,0,1,1))</f>
        <v>HOREISBERGUER, ALEJANDRO</v>
      </c>
      <c r="E147" s="554">
        <v>42826.0</v>
      </c>
      <c r="F147" s="555"/>
      <c r="G147" s="23" t="s">
        <v>56</v>
      </c>
      <c r="H147" s="556">
        <f>IF( ISERROR( OFFSET(   'Cuadro tarifario'!D$2  , MATCH(CONCATENATE(                 IF(F147&gt;Mes,OFFSET(NroCT!B$17, MATCH($F147,NroCT!$A$18:$A376,0),0,1,1),Periodovigente)                                                                                                                     ,A147) ,'Cuadro tarifario'!A$2:A376,0) -1 , 0 , 1 , 1) )   , 0  ,   OFFSET(   'Cuadro tarifario'!D$2  , MATCH(CONCATENATE( IF(F147&gt;Mes,OFFSET(NroCT!B$17, MATCH($F147,NroCT!$A$18:$A376,0),0,1,1),Periodovigente) ,A147) ,'Cuadro tarifario'!A$2:A376,0) -1 , 0 , 1 , 1))</f>
        <v>11000</v>
      </c>
      <c r="I147" s="1">
        <f t="shared" si="16"/>
        <v>0</v>
      </c>
      <c r="J147" s="557">
        <f t="shared" si="2"/>
        <v>0</v>
      </c>
      <c r="K147" s="2">
        <f>if(  and(M147&gt;0,I147=0)          ,M147 ,                         If(  If( F147 ,  DAYS360(date(year(F147),month(F147),1),Mes)/30  ,  DAYS360(date(year(E147),month(E147),1),Mes)/30  )  &gt;  0 , If(F147,   DAYS360(date(year(F147),month(F147),1),Mes)/30  ,  DAYS360(date(year(E147),month(E147),1),Mes)/30) , 0)       )</f>
        <v>100</v>
      </c>
      <c r="L147" s="558">
        <f t="shared" si="17"/>
        <v>1100000</v>
      </c>
      <c r="M147" s="173">
        <f>IF( ISERROR(OFFSET(SECUESTRADOS!D$1,MATCH(B147,SECUESTRADOS!A$2:A376,0),0)) ,0 ,  OFFSET(SECUESTRADOS!D$1,MATCH(B147,SECUESTRADOS!A$2:A376,0),0)  )</f>
        <v>0</v>
      </c>
      <c r="N147" s="130"/>
      <c r="O147" s="31" t="b">
        <f t="shared" ref="O147:O148" si="18">IF(I147,A147)</f>
        <v>0</v>
      </c>
      <c r="P147" s="31" t="str">
        <f t="shared" ref="P147:P148" si="19">IF(AND(A147=A146,B147=B146,C147=C146),"Repetido","")</f>
        <v/>
      </c>
      <c r="Q147" s="31"/>
      <c r="R147" s="31"/>
      <c r="S147" s="31"/>
      <c r="T147" s="31"/>
    </row>
    <row r="148" ht="15.0" customHeight="1">
      <c r="A148" s="155" t="s">
        <v>38</v>
      </c>
      <c r="B148" s="154">
        <v>1260.0</v>
      </c>
      <c r="C148" s="567">
        <v>1260.0</v>
      </c>
      <c r="D148" s="144" t="str">
        <f>IF(   ISERROR(OFFSET(PADRON!B$2,MATCH(C:C,PADRON!A$2:A376,0)-1,0,1,1) )  ,  ,    OFFSET(PADRON!B$2,MATCH(C:C,PADRON!A$2:A376,0)-1,0,1,1))</f>
        <v>HOREISBERGUER, ALEJANDRO</v>
      </c>
      <c r="E148" s="616">
        <v>43040.0</v>
      </c>
      <c r="F148" s="617"/>
      <c r="G148" s="23" t="s">
        <v>56</v>
      </c>
      <c r="H148" s="147">
        <f>IF( ISERROR( OFFSET(   'Cuadro tarifario'!D$2  , MATCH(CONCATENATE(                 IF(F148&gt;Mes,OFFSET(NroCT!B$17, MATCH($F148,NroCT!$A$18:$A376,0),0,1,1),Periodovigente)                                                                                                                     ,A148) ,'Cuadro tarifario'!A$2:A376,0) -1 , 0 , 1 , 1) )   , 0  ,   OFFSET(   'Cuadro tarifario'!D$2  , MATCH(CONCATENATE( IF(F148&gt;Mes,OFFSET(NroCT!B$17, MATCH($F148,NroCT!$A$18:$A376,0),0,1,1),Periodovigente) ,A148) ,'Cuadro tarifario'!A$2:A376,0) -1 , 0 , 1 , 1))</f>
        <v>9000</v>
      </c>
      <c r="I148" s="148">
        <f>INT(IF(F148,DAYS360(          DATE(YEAR(E148),MONTH(E148),1),         DATE(YEAR(F148)     ,      MONTH(F148),1 )    )            /30,0 ))</f>
        <v>0</v>
      </c>
      <c r="J148" s="147">
        <f t="shared" si="2"/>
        <v>0</v>
      </c>
      <c r="K148" s="149">
        <f>IF(  AND(M148&gt;0,I148=0)          ,M148 ,                         IF(  IF( F148 ,  DAYS360(DATE(YEAR(F148),MONTH(F148),1),Mes)/30  ,  DAYS360(DATE(YEAR(E148),MONTH(E148),1),Mes)/30  )  &gt;  0 , IF(F148,   DAYS360(DATE(YEAR(F148),MONTH(F148),1),Mes)/30  ,  DAYS360(DATE(YEAR(E148),MONTH(E148),1),Mes)/30) , 0)       )</f>
        <v>93</v>
      </c>
      <c r="L148" s="150">
        <f>IF(ISERROR(K:K*H:H)   ,  0   ,   K:K*H:H)</f>
        <v>837000</v>
      </c>
      <c r="M148" s="173">
        <f>IF( ISERROR(OFFSET(SECUESTRADOS!D$1,MATCH(B148,SECUESTRADOS!A$2:A376,0),0)) ,0 ,  OFFSET(SECUESTRADOS!D$1,MATCH(B148,SECUESTRADOS!A$2:A376,0),0)  )</f>
        <v>0</v>
      </c>
      <c r="N148" s="130"/>
      <c r="O148" s="31" t="b">
        <f t="shared" si="18"/>
        <v>0</v>
      </c>
      <c r="P148" s="31" t="str">
        <f t="shared" si="19"/>
        <v/>
      </c>
      <c r="Q148" s="31"/>
      <c r="R148" s="31"/>
      <c r="S148" s="31"/>
      <c r="T148" s="31"/>
    </row>
    <row r="149" ht="15.0" customHeight="1">
      <c r="A149" s="550" t="s">
        <v>71</v>
      </c>
      <c r="B149" s="551">
        <v>1138.0</v>
      </c>
      <c r="C149" s="552">
        <v>1138.0</v>
      </c>
      <c r="D149" s="553" t="str">
        <f>if(   iserror(offset(PADRON!B$2,match(C:C,PADRON!A$2:A376,0)-1,0,1,1) )  ,  ,    offset(PADRON!B$2,match(C:C,PADRON!A$2:A376,0)-1,0,1,1))</f>
        <v>NEGRUZZI, ALEJANDRO</v>
      </c>
      <c r="E149" s="555">
        <v>43101.0</v>
      </c>
      <c r="F149" s="555"/>
      <c r="G149" s="23" t="s">
        <v>56</v>
      </c>
      <c r="H149" s="556">
        <f>IF( ISERROR( OFFSET(   'Cuadro tarifario'!D$2  , MATCH(CONCATENATE(                 IF(F149&gt;Mes,OFFSET(NroCT!B$17, MATCH($F149,NroCT!$A$18:$A376,0),0,1,1),Periodovigente)                                                                                                                     ,A149) ,'Cuadro tarifario'!A$2:A376,0) -1 , 0 , 1 , 1) )   , 0  ,   OFFSET(   'Cuadro tarifario'!D$2  , MATCH(CONCATENATE( IF(F149&gt;Mes,OFFSET(NroCT!B$17, MATCH($F149,NroCT!$A$18:$A376,0),0,1,1),Periodovigente) ,A149) ,'Cuadro tarifario'!A$2:A376,0) -1 , 0 , 1 , 1))</f>
        <v>11000</v>
      </c>
      <c r="I149" s="1">
        <f>Int(If(F149,DAYS360(          date(Year(E149),Month(E149),1),         date(Year(F149)     ,      Month(F149),1 )    )            /30,0 ))</f>
        <v>0</v>
      </c>
      <c r="J149" s="557">
        <f t="shared" si="2"/>
        <v>0</v>
      </c>
      <c r="K149" s="2">
        <f>if(  and(M149&gt;0,I149=0)          ,M149 ,                         If(  If( F149 ,  DAYS360(date(year(F149),month(F149),1),Mes)/30  ,  DAYS360(date(year(E149),month(E149),1),Mes)/30  )  &gt;  0 , If(F149,   DAYS360(date(year(F149),month(F149),1),Mes)/30  ,  DAYS360(date(year(E149),month(E149),1),Mes)/30) , 0)       )</f>
        <v>91</v>
      </c>
      <c r="L149" s="558">
        <f>If(Iserror(K:K*H:H)   ,  0   ,   K:K*H:H)</f>
        <v>1001000</v>
      </c>
      <c r="M149" s="173"/>
      <c r="N149" s="130"/>
      <c r="O149" s="31"/>
      <c r="P149" s="31"/>
      <c r="Q149" s="31"/>
      <c r="R149" s="31"/>
      <c r="S149" s="31"/>
      <c r="T149" s="31"/>
    </row>
    <row r="150" ht="15.0" customHeight="1">
      <c r="A150" s="155" t="s">
        <v>38</v>
      </c>
      <c r="B150" s="154">
        <v>1138.0</v>
      </c>
      <c r="C150" s="567">
        <v>1138.0</v>
      </c>
      <c r="D150" s="144" t="str">
        <f>IF(   ISERROR(OFFSET(PADRON!B$2,MATCH(C:C,PADRON!A$2:A376,0)-1,0,1,1) )  ,  ,    OFFSET(PADRON!B$2,MATCH(C:C,PADRON!A$2:A376,0)-1,0,1,1))</f>
        <v>NEGRUZZI, ALEJANDRO</v>
      </c>
      <c r="E150" s="616">
        <v>43132.0</v>
      </c>
      <c r="F150" s="145"/>
      <c r="G150" s="23" t="s">
        <v>56</v>
      </c>
      <c r="H150" s="147">
        <f>IF( ISERROR( OFFSET(   'Cuadro tarifario'!D$2  , MATCH(CONCATENATE(                 IF(F150&gt;Mes,OFFSET(NroCT!B$17, MATCH($F150,NroCT!$A$18:$A376,0),0,1,1),Periodovigente)                                                                                                                     ,A150) ,'Cuadro tarifario'!A$2:A376,0) -1 , 0 , 1 , 1) )   , 0  ,   OFFSET(   'Cuadro tarifario'!D$2  , MATCH(CONCATENATE( IF(F150&gt;Mes,OFFSET(NroCT!B$17, MATCH($F150,NroCT!$A$18:$A376,0),0,1,1),Periodovigente) ,A150) ,'Cuadro tarifario'!A$2:A376,0) -1 , 0 , 1 , 1))</f>
        <v>9000</v>
      </c>
      <c r="I150" s="148">
        <f t="shared" ref="I150:I151" si="20">INT(IF(F150,DAYS360(          DATE(YEAR(E150),MONTH(E150),1),         DATE(YEAR(F150)     ,      MONTH(F150),1 )    )            /30,0 ))</f>
        <v>0</v>
      </c>
      <c r="J150" s="147">
        <f t="shared" si="2"/>
        <v>0</v>
      </c>
      <c r="K150" s="149">
        <f>IF(  AND(M150&gt;0,I150=0)          ,M150 ,                         IF(  IF( F150 ,  DAYS360(DATE(YEAR(F150),MONTH(F150),1),Mes)/30  ,  DAYS360(DATE(YEAR(E150),MONTH(E150),1),Mes)/30  )  &gt;  0 , IF(F150,   DAYS360(DATE(YEAR(F150),MONTH(F150),1),Mes)/30  ,  DAYS360(DATE(YEAR(E150),MONTH(E150),1),Mes)/30) , 0)       )</f>
        <v>90</v>
      </c>
      <c r="L150" s="150">
        <f t="shared" ref="L150:L151" si="21">IF(ISERROR(K:K*H:H)   ,  0   ,   K:K*H:H)</f>
        <v>810000</v>
      </c>
      <c r="M150" s="173"/>
      <c r="N150" s="130"/>
      <c r="O150" s="31"/>
      <c r="P150" s="31"/>
      <c r="Q150" s="31"/>
      <c r="R150" s="31"/>
      <c r="S150" s="31"/>
      <c r="T150" s="31"/>
    </row>
    <row r="151" ht="15.0" customHeight="1">
      <c r="A151" s="618" t="s">
        <v>48</v>
      </c>
      <c r="B151" s="619" t="s">
        <v>374</v>
      </c>
      <c r="C151" s="567">
        <v>1364.0</v>
      </c>
      <c r="D151" s="568" t="str">
        <f>IF(   ISERROR(OFFSET(PADRON!B$2,MATCH(C:C,PADRON!A$2:A376,0)-1,0,1,1) )  ,  ,    OFFSET(PADRON!B$2,MATCH(C:C,PADRON!A$2:A376,0)-1,0,1,1))</f>
        <v>GOMEZ, GERARDO</v>
      </c>
      <c r="E151" s="599">
        <v>43040.0</v>
      </c>
      <c r="F151" s="600"/>
      <c r="G151" s="23" t="s">
        <v>56</v>
      </c>
      <c r="H151" s="147">
        <f>IF( ISERROR( OFFSET(   'Cuadro tarifario'!D$2  , MATCH(CONCATENATE(                 IF(F151&gt;Mes,OFFSET(NroCT!B$17, MATCH($F151,NroCT!$A$18:$A376,0),0,1,1),Periodovigente)                                                                                                                     ,A151) ,'Cuadro tarifario'!A$2:A376,0) -1 , 0 , 1 , 1) )   , 0  ,   OFFSET(   'Cuadro tarifario'!D$2  , MATCH(CONCATENATE( IF(F151&gt;Mes,OFFSET(NroCT!B$17, MATCH($F151,NroCT!$A$18:$A376,0),0,1,1),Periodovigente) ,A151) ,'Cuadro tarifario'!A$2:A376,0) -1 , 0 , 1 , 1))</f>
        <v>12000</v>
      </c>
      <c r="I151" s="571">
        <f t="shared" si="20"/>
        <v>0</v>
      </c>
      <c r="J151" s="572">
        <f t="shared" si="2"/>
        <v>0</v>
      </c>
      <c r="K151" s="601">
        <f>IF(  AND(M151&gt;0,I151=0)          ,M151 ,                         IF(  IF( F151 ,  DAYS360(DATE(YEAR(F151),MONTH(F151),1),Mes)/30  ,  DAYS360(DATE(YEAR(E151),MONTH(E151),1),Mes)/30  )  &gt;  0 , IF(F151,   DAYS360(DATE(YEAR(F151),MONTH(F151),1),Mes)/30  ,  DAYS360(DATE(YEAR(E151),MONTH(E151),1),Mes)/30) , 0)       )</f>
        <v>93</v>
      </c>
      <c r="L151" s="620">
        <f t="shared" si="21"/>
        <v>1116000</v>
      </c>
      <c r="M151" s="173"/>
      <c r="N151" s="130"/>
      <c r="O151" s="31"/>
      <c r="P151" s="31"/>
      <c r="Q151" s="31"/>
      <c r="R151" s="31"/>
      <c r="S151" s="31"/>
      <c r="T151" s="31"/>
    </row>
    <row r="152" ht="15.0" customHeight="1">
      <c r="A152" s="550" t="s">
        <v>71</v>
      </c>
      <c r="B152" s="551">
        <v>1381.0</v>
      </c>
      <c r="C152" s="552">
        <v>1381.0</v>
      </c>
      <c r="D152" s="553" t="str">
        <f>if(   iserror(offset(PADRON!B$2,match(C:C,PADRON!A$2:A376,0)-1,0,1,1) )  ,  ,    offset(PADRON!B$2,match(C:C,PADRON!A$2:A376,0)-1,0,1,1))</f>
        <v>ARNAU, JUAN ARIEL</v>
      </c>
      <c r="E152" s="554">
        <v>43009.0</v>
      </c>
      <c r="F152" s="555"/>
      <c r="G152" s="23" t="s">
        <v>56</v>
      </c>
      <c r="H152" s="556">
        <f>IF( ISERROR( OFFSET(   'Cuadro tarifario'!D$2  , MATCH(CONCATENATE(                 IF(F152&gt;Mes,OFFSET(NroCT!B$17, MATCH($F152,NroCT!$A$18:$A376,0),0,1,1),Periodovigente)                                                                                                                     ,A152) ,'Cuadro tarifario'!A$2:A376,0) -1 , 0 , 1 , 1) )   , 0  ,   OFFSET(   'Cuadro tarifario'!D$2  , MATCH(CONCATENATE( IF(F152&gt;Mes,OFFSET(NroCT!B$17, MATCH($F152,NroCT!$A$18:$A376,0),0,1,1),Periodovigente) ,A152) ,'Cuadro tarifario'!A$2:A376,0) -1 , 0 , 1 , 1))</f>
        <v>11000</v>
      </c>
      <c r="I152" s="1">
        <f>Int(If(F152,DAYS360(          date(Year(E152),Month(E152),1),         date(Year(F152)     ,      Month(F152),1 )    )            /30,0 ))</f>
        <v>0</v>
      </c>
      <c r="J152" s="557">
        <f t="shared" si="2"/>
        <v>0</v>
      </c>
      <c r="K152" s="2">
        <f>if(  and(M152&gt;0,I152=0)          ,M152 ,                         If(  If( F152 ,  DAYS360(date(year(F152),month(F152),1),Mes)/30  ,  DAYS360(date(year(E152),month(E152),1),Mes)/30  )  &gt;  0 , If(F152,   DAYS360(date(year(F152),month(F152),1),Mes)/30  ,  DAYS360(date(year(E152),month(E152),1),Mes)/30) , 0)       )</f>
        <v>94</v>
      </c>
      <c r="L152" s="558">
        <f>If(Iserror(K:K*H:H)   ,  0   ,   K:K*H:H)</f>
        <v>1034000</v>
      </c>
      <c r="M152" s="173"/>
      <c r="N152" s="130"/>
      <c r="O152" s="31"/>
      <c r="P152" s="31"/>
      <c r="Q152" s="31"/>
      <c r="R152" s="31"/>
      <c r="S152" s="31"/>
      <c r="T152" s="31"/>
    </row>
    <row r="153" ht="15.0" customHeight="1">
      <c r="A153" s="155" t="s">
        <v>38</v>
      </c>
      <c r="B153" s="154">
        <v>1381.0</v>
      </c>
      <c r="C153" s="567">
        <v>1381.0</v>
      </c>
      <c r="D153" s="144" t="str">
        <f>IF(   ISERROR(OFFSET(PADRON!B$2,MATCH(C:C,PADRON!A$2:A376,0)-1,0,1,1) )  ,  ,    OFFSET(PADRON!B$2,MATCH(C:C,PADRON!A$2:A376,0)-1,0,1,1))</f>
        <v>ARNAU, JUAN ARIEL</v>
      </c>
      <c r="E153" s="616">
        <v>43040.0</v>
      </c>
      <c r="F153" s="617"/>
      <c r="G153" s="23" t="s">
        <v>56</v>
      </c>
      <c r="H153" s="147">
        <f>IF( ISERROR( OFFSET(   'Cuadro tarifario'!D$2  , MATCH(CONCATENATE(                 IF(F153&gt;Mes,OFFSET(NroCT!B$17, MATCH($F153,NroCT!$A$18:$A376,0),0,1,1),Periodovigente)                                                                                                                     ,A153) ,'Cuadro tarifario'!A$2:A376,0) -1 , 0 , 1 , 1) )   , 0  ,   OFFSET(   'Cuadro tarifario'!D$2  , MATCH(CONCATENATE( IF(F153&gt;Mes,OFFSET(NroCT!B$17, MATCH($F153,NroCT!$A$18:$A376,0),0,1,1),Periodovigente) ,A153) ,'Cuadro tarifario'!A$2:A376,0) -1 , 0 , 1 , 1))</f>
        <v>9000</v>
      </c>
      <c r="I153" s="148">
        <f>INT(IF(F153,DAYS360(          DATE(YEAR(E153),MONTH(E153),1),         DATE(YEAR(F153)     ,      MONTH(F153),1 )    )            /30,0 ))</f>
        <v>0</v>
      </c>
      <c r="J153" s="147">
        <f t="shared" si="2"/>
        <v>0</v>
      </c>
      <c r="K153" s="149">
        <f>IF(  AND(M153&gt;0,I153=0)          ,M153 ,                         IF(  IF( F153 ,  DAYS360(DATE(YEAR(F153),MONTH(F153),1),Mes)/30  ,  DAYS360(DATE(YEAR(E153),MONTH(E153),1),Mes)/30  )  &gt;  0 , IF(F153,   DAYS360(DATE(YEAR(F153),MONTH(F153),1),Mes)/30  ,  DAYS360(DATE(YEAR(E153),MONTH(E153),1),Mes)/30) , 0)       )</f>
        <v>93</v>
      </c>
      <c r="L153" s="150">
        <f>IF(ISERROR(K:K*H:H)   ,  0   ,   K:K*H:H)</f>
        <v>837000</v>
      </c>
      <c r="M153" s="173"/>
      <c r="N153" s="130"/>
      <c r="O153" s="31"/>
      <c r="P153" s="31"/>
      <c r="Q153" s="31"/>
      <c r="R153" s="31"/>
      <c r="S153" s="31"/>
      <c r="T153" s="31"/>
    </row>
    <row r="154" ht="15.0" customHeight="1">
      <c r="A154" s="550" t="s">
        <v>71</v>
      </c>
      <c r="B154" s="551">
        <v>1410.0</v>
      </c>
      <c r="C154" s="552">
        <v>1410.0</v>
      </c>
      <c r="D154" s="595" t="str">
        <f>if(   iserror(offset(PADRON!B$2,match(C:C,PADRON!A$2:A376,0)-1,0,1,1) )  ,  ,    offset(PADRON!B$2,match(C:C,PADRON!A$2:A376,0)-1,0,1,1))</f>
        <v>CASALI,DIEGO</v>
      </c>
      <c r="E154" s="555">
        <v>42795.0</v>
      </c>
      <c r="F154" s="555"/>
      <c r="G154" s="23" t="s">
        <v>56</v>
      </c>
      <c r="H154" s="556">
        <f>IF( ISERROR( OFFSET(   'Cuadro tarifario'!D$2  , MATCH(CONCATENATE(                 IF(F154&gt;Mes,OFFSET(NroCT!B$17, MATCH($F154,NroCT!$A$18:$A376,0),0,1,1),Periodovigente)                                                                                                                     ,A154) ,'Cuadro tarifario'!A$2:A376,0) -1 , 0 , 1 , 1) )   , 0  ,   OFFSET(   'Cuadro tarifario'!D$2  , MATCH(CONCATENATE( IF(F154&gt;Mes,OFFSET(NroCT!B$17, MATCH($F154,NroCT!$A$18:$A376,0),0,1,1),Periodovigente) ,A154) ,'Cuadro tarifario'!A$2:A376,0) -1 , 0 , 1 , 1))</f>
        <v>11000</v>
      </c>
      <c r="I154" s="596">
        <f>Int(If(F154,DAYS360(          date(Year(E154),Month(E154),1),         date(Year(F154)     ,      Month(F154),1 )    )            /30,0 ))</f>
        <v>0</v>
      </c>
      <c r="J154" s="557">
        <f t="shared" si="2"/>
        <v>0</v>
      </c>
      <c r="K154" s="2">
        <f>if(  and(M154&gt;0,I154=0)          ,M154 ,                         If(  If( F154 ,  DAYS360(date(year(F154),month(F154),1),Mes)/30  ,  DAYS360(date(year(E154),month(E154),1),Mes)/30  )  &gt;  0 , If(F154,   DAYS360(date(year(F154),month(F154),1),Mes)/30  ,  DAYS360(date(year(E154),month(E154),1),Mes)/30) , 0)       )</f>
        <v>101</v>
      </c>
      <c r="L154" s="597">
        <f>If(Iserror(K:K*H:H)   ,  0   ,   K:K*H:H)</f>
        <v>1111000</v>
      </c>
      <c r="M154" s="173"/>
      <c r="N154" s="130"/>
      <c r="O154" s="31"/>
      <c r="P154" s="31"/>
      <c r="Q154" s="31"/>
      <c r="R154" s="31"/>
      <c r="S154" s="31"/>
      <c r="T154" s="31"/>
    </row>
    <row r="155" ht="15.0" customHeight="1">
      <c r="A155" s="155" t="s">
        <v>38</v>
      </c>
      <c r="B155" s="154">
        <v>1410.0</v>
      </c>
      <c r="C155" s="567">
        <v>1410.0</v>
      </c>
      <c r="D155" s="20" t="str">
        <f>IF(   ISERROR(OFFSET(PADRON!B$2,MATCH(C:C,PADRON!A$2:A376,0)-1,0,1,1) )  ,  ,    OFFSET(PADRON!B$2,MATCH(C:C,PADRON!A$2:A376,0)-1,0,1,1))</f>
        <v>CASALI,DIEGO</v>
      </c>
      <c r="E155" s="616">
        <v>43040.0</v>
      </c>
      <c r="F155" s="617"/>
      <c r="G155" s="23" t="s">
        <v>56</v>
      </c>
      <c r="H155" s="147">
        <f>IF( ISERROR( OFFSET(   'Cuadro tarifario'!D$2  , MATCH(CONCATENATE(                 IF(F155&gt;Mes,OFFSET(NroCT!B$17, MATCH($F155,NroCT!$A$18:$A376,0),0,1,1),Periodovigente)                                                                                                                     ,A155) ,'Cuadro tarifario'!A$2:A376,0) -1 , 0 , 1 , 1) )   , 0  ,   OFFSET(   'Cuadro tarifario'!D$2  , MATCH(CONCATENATE( IF(F155&gt;Mes,OFFSET(NroCT!B$17, MATCH($F155,NroCT!$A$18:$A376,0),0,1,1),Periodovigente) ,A155) ,'Cuadro tarifario'!A$2:A376,0) -1 , 0 , 1 , 1))</f>
        <v>9000</v>
      </c>
      <c r="I155" s="25">
        <f>INT(IF(F155,DAYS360(          DATE(YEAR(E155),MONTH(E155),1),         DATE(YEAR(F155)     ,      MONTH(F155),1 )    )            /30,0 ))</f>
        <v>0</v>
      </c>
      <c r="J155" s="147">
        <f t="shared" si="2"/>
        <v>0</v>
      </c>
      <c r="K155" s="149">
        <f>IF(  AND(M155&gt;0,I155=0)          ,M155 ,                         IF(  IF( F155 ,  DAYS360(DATE(YEAR(F155),MONTH(F155),1),Mes)/30  ,  DAYS360(DATE(YEAR(E155),MONTH(E155),1),Mes)/30  )  &gt;  0 , IF(F155,   DAYS360(DATE(YEAR(F155),MONTH(F155),1),Mes)/30  ,  DAYS360(DATE(YEAR(E155),MONTH(E155),1),Mes)/30) , 0)       )</f>
        <v>93</v>
      </c>
      <c r="L155" s="27">
        <f>IF(ISERROR(K:K*H:H)   ,  0   ,   K:K*H:H)</f>
        <v>837000</v>
      </c>
      <c r="M155" s="173"/>
      <c r="N155" s="130"/>
      <c r="O155" s="31"/>
      <c r="P155" s="31"/>
      <c r="Q155" s="31"/>
      <c r="R155" s="31"/>
      <c r="S155" s="31"/>
      <c r="T155" s="31"/>
    </row>
    <row r="156" ht="15.0" customHeight="1">
      <c r="A156" s="54" t="s">
        <v>71</v>
      </c>
      <c r="B156" s="54">
        <v>1455.0</v>
      </c>
      <c r="C156" s="574">
        <v>1455.0</v>
      </c>
      <c r="D156" s="34" t="str">
        <f>if(   iserror(offset(PADRON!B$2,match(C:C,PADRON!A$2:A376,0)-1,0,1,1) )  ,  ,    offset(PADRON!B$2,match(C:C,PADRON!A$2:A376,0)-1,0,1,1))</f>
        <v>GAVIO, ANIBAL</v>
      </c>
      <c r="E156" s="22">
        <v>42948.0</v>
      </c>
      <c r="F156" s="22"/>
      <c r="G156" s="23" t="s">
        <v>56</v>
      </c>
      <c r="H156" s="556">
        <f>IF( ISERROR( OFFSET(   'Cuadro tarifario'!D$2  , MATCH(CONCATENATE(                 IF(F156&gt;Mes,OFFSET(NroCT!B$17, MATCH($F156,NroCT!$A$18:$A376,0),0,1,1),Periodovigente)                                                                                                                     ,A156) ,'Cuadro tarifario'!A$2:A376,0) -1 , 0 , 1 , 1) )   , 0  ,   OFFSET(   'Cuadro tarifario'!D$2  , MATCH(CONCATENATE( IF(F156&gt;Mes,OFFSET(NroCT!B$17, MATCH($F156,NroCT!$A$18:$A376,0),0,1,1),Periodovigente) ,A156) ,'Cuadro tarifario'!A$2:A376,0) -1 , 0 , 1 , 1))</f>
        <v>11000</v>
      </c>
      <c r="I156" s="36">
        <f>Int(If(F156,DAYS360(          date(Year(E156),Month(E156),1),         date(Year(F156)     ,      Month(F156),1 )    )            /30,0 ))</f>
        <v>0</v>
      </c>
      <c r="J156" s="37">
        <f t="shared" si="2"/>
        <v>0</v>
      </c>
      <c r="K156" s="38">
        <f>if(  and(M156&gt;0,I156=0)          ,M156 ,                         If(  If( F156 ,  DAYS360(date(year(F156),month(F156),1),Mes)/30  ,  DAYS360(date(year(E156),month(E156),1),Mes)/30  )  &gt;  0 , If(F156,   DAYS360(date(year(F156),month(F156),1),Mes)/30  ,  DAYS360(date(year(E156),month(E156),1),Mes)/30) , 0)       )</f>
        <v>96</v>
      </c>
      <c r="L156" s="39">
        <f>If(Iserror(K:K*H:H)   ,  0   ,   K:K*H:H)</f>
        <v>1056000</v>
      </c>
      <c r="M156" s="173"/>
      <c r="N156" s="130"/>
      <c r="O156" s="31"/>
      <c r="P156" s="31"/>
      <c r="Q156" s="31"/>
      <c r="R156" s="31"/>
      <c r="S156" s="31"/>
      <c r="T156" s="31"/>
    </row>
    <row r="157" ht="15.0" customHeight="1">
      <c r="A157" s="18" t="s">
        <v>38</v>
      </c>
      <c r="B157" s="99">
        <v>1455.0</v>
      </c>
      <c r="C157" s="94">
        <v>1455.0</v>
      </c>
      <c r="D157" s="57" t="str">
        <f>IF(   ISERROR(OFFSET(PADRON!B$2,MATCH(C:C,PADRON!A$2:A376,0)-1,0,1,1) )  ,  ,    OFFSET(PADRON!B$2,MATCH(C:C,PADRON!A$2:A376,0)-1,0,1,1))</f>
        <v>GAVIO, ANIBAL</v>
      </c>
      <c r="E157" s="58">
        <v>43040.0</v>
      </c>
      <c r="F157" s="621"/>
      <c r="G157" s="23" t="s">
        <v>56</v>
      </c>
      <c r="H157" s="147">
        <f>IF( ISERROR( OFFSET(   'Cuadro tarifario'!D$2  , MATCH(CONCATENATE(                 IF(F157&gt;Mes,OFFSET(NroCT!B$17, MATCH($F157,NroCT!$A$18:$A376,0),0,1,1),Periodovigente)                                                                                                                     ,A157) ,'Cuadro tarifario'!A$2:A376,0) -1 , 0 , 1 , 1) )   , 0  ,   OFFSET(   'Cuadro tarifario'!D$2  , MATCH(CONCATENATE( IF(F157&gt;Mes,OFFSET(NroCT!B$17, MATCH($F157,NroCT!$A$18:$A376,0),0,1,1),Periodovigente) ,A157) ,'Cuadro tarifario'!A$2:A376,0) -1 , 0 , 1 , 1))</f>
        <v>9000</v>
      </c>
      <c r="I157" s="61">
        <f>INT(IF(F157,DAYS360(          DATE(YEAR(E157),MONTH(E157),1),         DATE(YEAR(F157)     ,      MONTH(F157),1 )    )            /30,0 ))</f>
        <v>0</v>
      </c>
      <c r="J157" s="60">
        <f t="shared" si="2"/>
        <v>0</v>
      </c>
      <c r="K157" s="62">
        <f>IF(  AND(M157&gt;0,I157=0)          ,M157 ,                         IF(  IF( F157 ,  DAYS360(DATE(YEAR(F157),MONTH(F157),1),Mes)/30  ,  DAYS360(DATE(YEAR(E157),MONTH(E157),1),Mes)/30  )  &gt;  0 , IF(F157,   DAYS360(DATE(YEAR(F157),MONTH(F157),1),Mes)/30  ,  DAYS360(DATE(YEAR(E157),MONTH(E157),1),Mes)/30) , 0)       )</f>
        <v>93</v>
      </c>
      <c r="L157" s="63">
        <f>IF(ISERROR(K:K*H:H)   ,  0   ,   K:K*H:H)</f>
        <v>837000</v>
      </c>
      <c r="M157" s="173"/>
      <c r="N157" s="130"/>
      <c r="O157" s="31"/>
      <c r="P157" s="31"/>
      <c r="Q157" s="31"/>
      <c r="R157" s="31"/>
      <c r="S157" s="31"/>
      <c r="T157" s="31"/>
    </row>
    <row r="158" ht="15.0" customHeight="1">
      <c r="A158" s="42" t="s">
        <v>50</v>
      </c>
      <c r="B158" s="42" t="s">
        <v>184</v>
      </c>
      <c r="C158" s="574">
        <v>1461.0</v>
      </c>
      <c r="D158" s="34" t="str">
        <f>if(   iserror(offset(PADRON!B$2,match(C:C,PADRON!A$2:A376,0)-1,0,1,1) )  ,  ,    offset(PADRON!B$2,match(C:C,PADRON!A$2:A376,0)-1,0,1,1))</f>
        <v>CUELLO, JULIO CESAR</v>
      </c>
      <c r="E158" s="22">
        <v>42705.0</v>
      </c>
      <c r="F158" s="22"/>
      <c r="G158" s="23" t="s">
        <v>56</v>
      </c>
      <c r="H158" s="556">
        <f>IF( ISERROR( OFFSET(   'Cuadro tarifario'!D$2  , MATCH(CONCATENATE(                 IF(F158&gt;Mes,OFFSET(NroCT!B$17, MATCH($F158,NroCT!$A$18:$A376,0),0,1,1),Periodovigente)                                                                                                                     ,A158) ,'Cuadro tarifario'!A$2:A376,0) -1 , 0 , 1 , 1) )   , 0  ,   OFFSET(   'Cuadro tarifario'!D$2  , MATCH(CONCATENATE( IF(F158&gt;Mes,OFFSET(NroCT!B$17, MATCH($F158,NroCT!$A$18:$A376,0),0,1,1),Periodovigente) ,A158) ,'Cuadro tarifario'!A$2:A376,0) -1 , 0 , 1 , 1))</f>
        <v>3600</v>
      </c>
      <c r="I158" s="36">
        <f t="shared" ref="I158:I159" si="22">Int(If(F158,DAYS360(          date(Year(E158),Month(E158),1),         date(Year(F158)     ,      Month(F158),1 )    )            /30,0 ))</f>
        <v>0</v>
      </c>
      <c r="J158" s="37">
        <f t="shared" si="2"/>
        <v>0</v>
      </c>
      <c r="K158" s="38">
        <f>if(  and(M158&gt;0,I158=0)          ,M158 ,                         If(  If( F158 ,  DAYS360(date(year(F158),month(F158),1),Mes)/30  ,  DAYS360(date(year(E158),month(E158),1),Mes)/30  )  &gt;  0 , If(F158,   DAYS360(date(year(F158),month(F158),1),Mes)/30  ,  DAYS360(date(year(E158),month(E158),1),Mes)/30) , 0)       )</f>
        <v>104</v>
      </c>
      <c r="L158" s="39">
        <f t="shared" ref="L158:L159" si="23">If(Iserror(K:K*H:H)   ,  0   ,   K:K*H:H)</f>
        <v>374400</v>
      </c>
      <c r="M158" s="173"/>
      <c r="N158" s="130"/>
      <c r="O158" s="31"/>
      <c r="P158" s="31"/>
      <c r="Q158" s="31"/>
      <c r="R158" s="31"/>
      <c r="S158" s="31"/>
      <c r="T158" s="31"/>
    </row>
    <row r="159" ht="15.0" customHeight="1">
      <c r="A159" s="54" t="s">
        <v>71</v>
      </c>
      <c r="B159" s="622">
        <v>1548.0</v>
      </c>
      <c r="C159" s="623">
        <v>1548.0</v>
      </c>
      <c r="D159" s="595" t="str">
        <f>if(   iserror(offset(PADRON!B$2,match(C:C,PADRON!A$2:A376,0)-1,0,1,1) )  ,  ,    offset(PADRON!B$2,match(C:C,PADRON!A$2:A376,0)-1,0,1,1))</f>
        <v>SAMPAOLI, FERNANDO</v>
      </c>
      <c r="E159" s="624">
        <v>43009.0</v>
      </c>
      <c r="F159" s="624"/>
      <c r="G159" s="23" t="s">
        <v>56</v>
      </c>
      <c r="H159" s="625">
        <f>IF( ISERROR( OFFSET(   'Cuadro tarifario'!D$2  , MATCH(CONCATENATE(                 IF(F159&gt;Mes,OFFSET(NroCT!B$17, MATCH($F159,NroCT!$A$18:$A376,0),0,1,1),Periodovigente)                                                                                                                     ,A159) ,'Cuadro tarifario'!A$2:A376,0) -1 , 0 , 1 , 1) )   , 0  ,   OFFSET(   'Cuadro tarifario'!D$2  , MATCH(CONCATENATE( IF(F159&gt;Mes,OFFSET(NroCT!B$17, MATCH($F159,NroCT!$A$18:$A376,0),0,1,1),Periodovigente) ,A159) ,'Cuadro tarifario'!A$2:A376,0) -1 , 0 , 1 , 1))</f>
        <v>11000</v>
      </c>
      <c r="I159" s="596">
        <f t="shared" si="22"/>
        <v>0</v>
      </c>
      <c r="J159" s="626">
        <f t="shared" si="2"/>
        <v>0</v>
      </c>
      <c r="K159" s="627">
        <f>if(  and(M159&gt;0,I159=0)          ,M159 ,                         If(  If( F159 ,  DAYS360(date(year(F159),month(F159),1),Mes)/30  ,  DAYS360(date(year(E159),month(E159),1),Mes)/30  )  &gt;  0 , If(F159,   DAYS360(date(year(F159),month(F159),1),Mes)/30  ,  DAYS360(date(year(E159),month(E159),1),Mes)/30) , 0)       )</f>
        <v>94</v>
      </c>
      <c r="L159" s="597">
        <f t="shared" si="23"/>
        <v>1034000</v>
      </c>
      <c r="M159" s="173"/>
      <c r="N159" s="130"/>
      <c r="O159" s="31"/>
      <c r="P159" s="31"/>
      <c r="Q159" s="31"/>
      <c r="R159" s="31"/>
      <c r="S159" s="31"/>
      <c r="T159" s="31"/>
    </row>
    <row r="160" ht="15.0" customHeight="1">
      <c r="A160" s="18" t="s">
        <v>38</v>
      </c>
      <c r="B160" s="17">
        <v>1548.0</v>
      </c>
      <c r="C160" s="628">
        <v>1548.0</v>
      </c>
      <c r="D160" s="57" t="str">
        <f>IF(   ISERROR(OFFSET(PADRON!B$2,MATCH(C:C,PADRON!A$2:A376,0)-1,0,1,1) )  ,  ,    OFFSET(PADRON!B$2,MATCH(C:C,PADRON!A$2:A376,0)-1,0,1,1))</f>
        <v>SAMPAOLI, FERNANDO</v>
      </c>
      <c r="E160" s="21">
        <v>43040.0</v>
      </c>
      <c r="F160" s="629"/>
      <c r="G160" s="23" t="s">
        <v>56</v>
      </c>
      <c r="H160" s="60">
        <f>IF( ISERROR( OFFSET(   'Cuadro tarifario'!D$2  , MATCH(CONCATENATE(                 IF(F160&gt;Mes,OFFSET(NroCT!B$17, MATCH($F160,NroCT!$A$18:$A376,0),0,1,1),Periodovigente)                                                                                                                     ,A160) ,'Cuadro tarifario'!A$2:A376,0) -1 , 0 , 1 , 1) )   , 0  ,   OFFSET(   'Cuadro tarifario'!D$2  , MATCH(CONCATENATE( IF(F160&gt;Mes,OFFSET(NroCT!B$17, MATCH($F160,NroCT!$A$18:$A376,0),0,1,1),Periodovigente) ,A160) ,'Cuadro tarifario'!A$2:A376,0) -1 , 0 , 1 , 1))</f>
        <v>9000</v>
      </c>
      <c r="I160" s="61">
        <f>INT(IF(F160,DAYS360(          DATE(YEAR(E160),MONTH(E160),1),         DATE(YEAR(F160)     ,      MONTH(F160),1 )    )            /30,0 ))</f>
        <v>0</v>
      </c>
      <c r="J160" s="60">
        <f t="shared" si="2"/>
        <v>0</v>
      </c>
      <c r="K160" s="62">
        <f>IF(  AND(M160&gt;0,I160=0)          ,M160 ,                         IF(  IF( F160 ,  DAYS360(DATE(YEAR(F160),MONTH(F160),1),Mes)/30  ,  DAYS360(DATE(YEAR(E160),MONTH(E160),1),Mes)/30  )  &gt;  0 , IF(F160,   DAYS360(DATE(YEAR(F160),MONTH(F160),1),Mes)/30  ,  DAYS360(DATE(YEAR(E160),MONTH(E160),1),Mes)/30) , 0)       )</f>
        <v>93</v>
      </c>
      <c r="L160" s="63">
        <f>IF(ISERROR(K:K*H:H)   ,  0   ,   K:K*H:H)</f>
        <v>837000</v>
      </c>
      <c r="M160" s="173"/>
      <c r="N160" s="130"/>
      <c r="O160" s="31"/>
      <c r="P160" s="31"/>
      <c r="Q160" s="31"/>
      <c r="R160" s="31"/>
      <c r="S160" s="31"/>
      <c r="T160" s="31"/>
    </row>
    <row r="161" ht="15.0" customHeight="1">
      <c r="A161" s="550" t="s">
        <v>71</v>
      </c>
      <c r="B161" s="551">
        <v>1564.0</v>
      </c>
      <c r="C161" s="594">
        <v>1564.0</v>
      </c>
      <c r="D161" s="553" t="str">
        <f>if(   iserror(offset(PADRON!B$2,match(C:C,PADRON!A$2:A376,0)-1,0,1,1) )  ,  ,    offset(PADRON!B$2,match(C:C,PADRON!A$2:A376,0)-1,0,1,1))</f>
        <v>REYES, HECTOR FABIÁN</v>
      </c>
      <c r="E161" s="555">
        <v>43040.0</v>
      </c>
      <c r="F161" s="555"/>
      <c r="G161" s="23" t="s">
        <v>56</v>
      </c>
      <c r="H161" s="556">
        <f>IF( ISERROR( OFFSET(   'Cuadro tarifario'!D$2  , MATCH(CONCATENATE(                 IF(F161&gt;Mes,OFFSET(NroCT!B$17, MATCH($F161,NroCT!$A$18:$A376,0),0,1,1),Periodovigente)                                                                                                                     ,A161) ,'Cuadro tarifario'!A$2:A376,0) -1 , 0 , 1 , 1) )   , 0  ,   OFFSET(   'Cuadro tarifario'!D$2  , MATCH(CONCATENATE( IF(F161&gt;Mes,OFFSET(NroCT!B$17, MATCH($F161,NroCT!$A$18:$A376,0),0,1,1),Periodovigente) ,A161) ,'Cuadro tarifario'!A$2:A376,0) -1 , 0 , 1 , 1))</f>
        <v>11000</v>
      </c>
      <c r="I161" s="1">
        <f>Int(If(F161,DAYS360(          date(Year(E161),Month(E161),1),         date(Year(F161)     ,      Month(F161),1 )    )            /30,0 ))</f>
        <v>0</v>
      </c>
      <c r="J161" s="557">
        <f t="shared" si="2"/>
        <v>0</v>
      </c>
      <c r="K161" s="2">
        <f>if(  and(M161&gt;0,I161=0)          ,M161 ,                         If(  If( F161 ,  DAYS360(date(year(F161),month(F161),1),Mes)/30  ,  DAYS360(date(year(E161),month(E161),1),Mes)/30  )  &gt;  0 , If(F161,   DAYS360(date(year(F161),month(F161),1),Mes)/30  ,  DAYS360(date(year(E161),month(E161),1),Mes)/30) , 0)       )</f>
        <v>93</v>
      </c>
      <c r="L161" s="558">
        <f>If(Iserror(K:K*H:H)   ,  0   ,   K:K*H:H)</f>
        <v>1023000</v>
      </c>
      <c r="M161" s="173"/>
      <c r="N161" s="130"/>
      <c r="O161" s="31"/>
      <c r="P161" s="31"/>
      <c r="Q161" s="31"/>
      <c r="R161" s="31"/>
      <c r="S161" s="31"/>
      <c r="T161" s="31"/>
    </row>
    <row r="162" ht="15.0" customHeight="1">
      <c r="A162" s="18" t="s">
        <v>38</v>
      </c>
      <c r="B162" s="99">
        <v>1564.0</v>
      </c>
      <c r="C162" s="94">
        <v>1564.0</v>
      </c>
      <c r="D162" s="57" t="str">
        <f>IF(   ISERROR(OFFSET(PADRON!B$2,MATCH(C:C,PADRON!A$2:A376,0)-1,0,1,1) )  ,  ,    OFFSET(PADRON!B$2,MATCH(C:C,PADRON!A$2:A376,0)-1,0,1,1))</f>
        <v>REYES, HECTOR FABIÁN</v>
      </c>
      <c r="E162" s="58">
        <v>43040.0</v>
      </c>
      <c r="F162" s="621"/>
      <c r="G162" s="23" t="s">
        <v>56</v>
      </c>
      <c r="H162" s="60">
        <f>IF( ISERROR( OFFSET(   'Cuadro tarifario'!D$2  , MATCH(CONCATENATE(                 IF(F162&gt;Mes,OFFSET(NroCT!B$17, MATCH($F162,NroCT!$A$18:$A376,0),0,1,1),Periodovigente)                                                                                                                     ,A162) ,'Cuadro tarifario'!A$2:A376,0) -1 , 0 , 1 , 1) )   , 0  ,   OFFSET(   'Cuadro tarifario'!D$2  , MATCH(CONCATENATE( IF(F162&gt;Mes,OFFSET(NroCT!B$17, MATCH($F162,NroCT!$A$18:$A376,0),0,1,1),Periodovigente) ,A162) ,'Cuadro tarifario'!A$2:A376,0) -1 , 0 , 1 , 1))</f>
        <v>9000</v>
      </c>
      <c r="I162" s="61">
        <f>INT(IF(F162,DAYS360(          DATE(YEAR(E162),MONTH(E162),1),         DATE(YEAR(F162)     ,      MONTH(F162),1 )    )            /30,0 ))</f>
        <v>0</v>
      </c>
      <c r="J162" s="60">
        <f t="shared" si="2"/>
        <v>0</v>
      </c>
      <c r="K162" s="62">
        <f>IF(  AND(M162&gt;0,I162=0)          ,M162 ,                         IF(  IF( F162 ,  DAYS360(DATE(YEAR(F162),MONTH(F162),1),Mes)/30  ,  DAYS360(DATE(YEAR(E162),MONTH(E162),1),Mes)/30  )  &gt;  0 , IF(F162,   DAYS360(DATE(YEAR(F162),MONTH(F162),1),Mes)/30  ,  DAYS360(DATE(YEAR(E162),MONTH(E162),1),Mes)/30) , 0)       )</f>
        <v>93</v>
      </c>
      <c r="L162" s="63">
        <f>IF(ISERROR(K:K*H:H)   ,  0   ,   K:K*H:H)</f>
        <v>837000</v>
      </c>
      <c r="M162" s="173"/>
      <c r="N162" s="130"/>
      <c r="O162" s="31"/>
      <c r="P162" s="31"/>
      <c r="Q162" s="31"/>
      <c r="R162" s="31"/>
      <c r="S162" s="31"/>
      <c r="T162" s="31"/>
    </row>
    <row r="163" ht="15.0" customHeight="1">
      <c r="A163" s="74" t="s">
        <v>71</v>
      </c>
      <c r="B163" s="603">
        <v>1575.0</v>
      </c>
      <c r="C163" s="604">
        <v>1575.0</v>
      </c>
      <c r="D163" s="568" t="str">
        <f>if(   iserror(offset(PADRON!B$2,match(C:C,PADRON!A$2:A376,0)-1,0,1,1) )  ,  ,    offset(PADRON!B$2,match(C:C,PADRON!A$2:A376,0)-1,0,1,1))</f>
        <v>CAMPOS, SERGIO ARIEL</v>
      </c>
      <c r="E163" s="630">
        <v>42856.0</v>
      </c>
      <c r="F163" s="600"/>
      <c r="G163" s="23" t="s">
        <v>56</v>
      </c>
      <c r="H163" s="556">
        <f>IF( ISERROR( OFFSET(   'Cuadro tarifario'!D$2  , MATCH(CONCATENATE(                 IF(F163&gt;Mes,OFFSET(NroCT!B$17, MATCH($F163,NroCT!$A$18:$A376,0),0,1,1),Periodovigente)                                                                                                                     ,A163) ,'Cuadro tarifario'!A$2:A376,0) -1 , 0 , 1 , 1) )   , 0  ,   OFFSET(   'Cuadro tarifario'!D$2  , MATCH(CONCATENATE( IF(F163&gt;Mes,OFFSET(NroCT!B$17, MATCH($F163,NroCT!$A$18:$A376,0),0,1,1),Periodovigente) ,A163) ,'Cuadro tarifario'!A$2:A376,0) -1 , 0 , 1 , 1))</f>
        <v>11000</v>
      </c>
      <c r="I163" s="571">
        <f>Int(If(F163,DAYS360(          date(Year(E163),Month(E163),1),         date(Year(F163)     ,      Month(F163),1 )    )            /30,0 ))</f>
        <v>0</v>
      </c>
      <c r="J163" s="605">
        <f t="shared" si="2"/>
        <v>0</v>
      </c>
      <c r="K163" s="601">
        <f>if(  and(M163&gt;0,I163=0)          ,M163 ,                         If(  If( F163 ,  DAYS360(date(year(F163),month(F163),1),Mes)/30  ,  DAYS360(date(year(E163),month(E163),1),Mes)/30  )  &gt;  0 , If(F163,   DAYS360(date(year(F163),month(F163),1),Mes)/30  ,  DAYS360(date(year(E163),month(E163),1),Mes)/30) , 0)       )</f>
        <v>99</v>
      </c>
      <c r="L163" s="631">
        <f>If(Iserror(K:K*H:H)   ,  0   ,   K:K*H:H)</f>
        <v>1089000</v>
      </c>
      <c r="M163" s="173"/>
      <c r="N163" s="130"/>
      <c r="O163" s="31"/>
      <c r="P163" s="31"/>
      <c r="Q163" s="31"/>
      <c r="R163" s="31"/>
      <c r="S163" s="31"/>
      <c r="T163" s="31"/>
    </row>
    <row r="164" ht="15.0" customHeight="1">
      <c r="A164" s="18" t="s">
        <v>38</v>
      </c>
      <c r="B164" s="154">
        <v>1575.0</v>
      </c>
      <c r="C164" s="567">
        <v>1575.0</v>
      </c>
      <c r="D164" s="144" t="str">
        <f>IF(   ISERROR(OFFSET(PADRON!B$2,MATCH(C:C,PADRON!A$2:A376,0)-1,0,1,1) )  ,  ,    OFFSET(PADRON!B$2,MATCH(C:C,PADRON!A$2:A376,0)-1,0,1,1))</f>
        <v>CAMPOS, SERGIO ARIEL</v>
      </c>
      <c r="E164" s="58">
        <v>43040.0</v>
      </c>
      <c r="F164" s="617"/>
      <c r="G164" s="23" t="s">
        <v>56</v>
      </c>
      <c r="H164" s="147">
        <f>IF( ISERROR( OFFSET(   'Cuadro tarifario'!D$2  , MATCH(CONCATENATE(                 IF(F164&gt;Mes,OFFSET(NroCT!B$17, MATCH($F164,NroCT!$A$18:$A376,0),0,1,1),Periodovigente)                                                                                                                     ,A164) ,'Cuadro tarifario'!A$2:A376,0) -1 , 0 , 1 , 1) )   , 0  ,   OFFSET(   'Cuadro tarifario'!D$2  , MATCH(CONCATENATE( IF(F164&gt;Mes,OFFSET(NroCT!B$17, MATCH($F164,NroCT!$A$18:$A376,0),0,1,1),Periodovigente) ,A164) ,'Cuadro tarifario'!A$2:A376,0) -1 , 0 , 1 , 1))</f>
        <v>9000</v>
      </c>
      <c r="I164" s="148">
        <f>INT(IF(F164,DAYS360(          DATE(YEAR(E164),MONTH(E164),1),         DATE(YEAR(F164)     ,      MONTH(F164),1 )    )            /30,0 ))</f>
        <v>0</v>
      </c>
      <c r="J164" s="147">
        <f t="shared" si="2"/>
        <v>0</v>
      </c>
      <c r="K164" s="149">
        <f>IF(  AND(M164&gt;0,I164=0)          ,M164 ,                         IF(  IF( F164 ,  DAYS360(DATE(YEAR(F164),MONTH(F164),1),Mes)/30  ,  DAYS360(DATE(YEAR(E164),MONTH(E164),1),Mes)/30  )  &gt;  0 , IF(F164,   DAYS360(DATE(YEAR(F164),MONTH(F164),1),Mes)/30  ,  DAYS360(DATE(YEAR(E164),MONTH(E164),1),Mes)/30) , 0)       )</f>
        <v>93</v>
      </c>
      <c r="L164" s="150">
        <f>IF(ISERROR(K:K*H:H)   ,  0   ,   K:K*H:H)</f>
        <v>837000</v>
      </c>
      <c r="M164" s="173"/>
      <c r="N164" s="130"/>
      <c r="O164" s="31"/>
      <c r="P164" s="31"/>
      <c r="Q164" s="31"/>
      <c r="R164" s="31"/>
      <c r="S164" s="31"/>
      <c r="T164" s="31"/>
    </row>
    <row r="165" ht="15.0" customHeight="1">
      <c r="A165" s="74" t="s">
        <v>71</v>
      </c>
      <c r="B165" s="603">
        <v>1585.0</v>
      </c>
      <c r="C165" s="604">
        <v>1585.0</v>
      </c>
      <c r="D165" s="568" t="str">
        <f>if(   iserror(offset(PADRON!B$2,match(C:C,PADRON!A$2:A376,0)-1,0,1,1) )  ,  ,    offset(PADRON!B$2,match(C:C,PADRON!A$2:A376,0)-1,0,1,1))</f>
        <v>CALVO, SEBASTIAN</v>
      </c>
      <c r="E165" s="630">
        <v>42795.0</v>
      </c>
      <c r="F165" s="600"/>
      <c r="G165" s="23" t="s">
        <v>56</v>
      </c>
      <c r="H165" s="556">
        <f>IF( ISERROR( OFFSET(   'Cuadro tarifario'!D$2  , MATCH(CONCATENATE(                 IF(F165&gt;Mes,OFFSET(NroCT!B$17, MATCH($F165,NroCT!$A$18:$A376,0),0,1,1),Periodovigente)                                                                                                                     ,A165) ,'Cuadro tarifario'!A$2:A376,0) -1 , 0 , 1 , 1) )   , 0  ,   OFFSET(   'Cuadro tarifario'!D$2  , MATCH(CONCATENATE( IF(F165&gt;Mes,OFFSET(NroCT!B$17, MATCH($F165,NroCT!$A$18:$A376,0),0,1,1),Periodovigente) ,A165) ,'Cuadro tarifario'!A$2:A376,0) -1 , 0 , 1 , 1))</f>
        <v>11000</v>
      </c>
      <c r="I165" s="571">
        <f>Int(If(F165,DAYS360(          date(Year(E165),Month(E165),1),         date(Year(F165)     ,      Month(F165),1 )    )            /30,0 ))</f>
        <v>0</v>
      </c>
      <c r="J165" s="605">
        <f t="shared" si="2"/>
        <v>0</v>
      </c>
      <c r="K165" s="601">
        <f>if(  and(M165&gt;0,I165=0)          ,M165 ,                         If(  If( F165 ,  DAYS360(date(year(F165),month(F165),1),Mes)/30  ,  DAYS360(date(year(E165),month(E165),1),Mes)/30  )  &gt;  0 , If(F165,   DAYS360(date(year(F165),month(F165),1),Mes)/30  ,  DAYS360(date(year(E165),month(E165),1),Mes)/30) , 0)       )</f>
        <v>101</v>
      </c>
      <c r="L165" s="631">
        <f>If(Iserror(K:K*H:H)   ,  0   ,   K:K*H:H)</f>
        <v>1111000</v>
      </c>
      <c r="M165" s="173"/>
      <c r="N165" s="130"/>
      <c r="O165" s="31"/>
      <c r="P165" s="31"/>
      <c r="Q165" s="31"/>
      <c r="R165" s="31"/>
      <c r="S165" s="31"/>
      <c r="T165" s="31"/>
    </row>
    <row r="166" ht="15.0" customHeight="1">
      <c r="A166" s="18" t="s">
        <v>38</v>
      </c>
      <c r="B166" s="154">
        <v>1585.0</v>
      </c>
      <c r="C166" s="567">
        <v>1585.0</v>
      </c>
      <c r="D166" s="144" t="str">
        <f>IF(   ISERROR(OFFSET(PADRON!B$2,MATCH(C:C,PADRON!A$2:A376,0)-1,0,1,1) )  ,  ,    OFFSET(PADRON!B$2,MATCH(C:C,PADRON!A$2:A376,0)-1,0,1,1))</f>
        <v>CALVO, SEBASTIAN</v>
      </c>
      <c r="E166" s="58">
        <v>43040.0</v>
      </c>
      <c r="F166" s="617"/>
      <c r="G166" s="23" t="s">
        <v>56</v>
      </c>
      <c r="H166" s="147">
        <f>IF( ISERROR( OFFSET(   'Cuadro tarifario'!D$2  , MATCH(CONCATENATE(                 IF(F166&gt;Mes,OFFSET(NroCT!B$17, MATCH($F166,NroCT!$A$18:$A376,0),0,1,1),Periodovigente)                                                                                                                     ,A166) ,'Cuadro tarifario'!A$2:A376,0) -1 , 0 , 1 , 1) )   , 0  ,   OFFSET(   'Cuadro tarifario'!D$2  , MATCH(CONCATENATE( IF(F166&gt;Mes,OFFSET(NroCT!B$17, MATCH($F166,NroCT!$A$18:$A376,0),0,1,1),Periodovigente) ,A166) ,'Cuadro tarifario'!A$2:A376,0) -1 , 0 , 1 , 1))</f>
        <v>9000</v>
      </c>
      <c r="I166" s="148">
        <f>INT(IF(F166,DAYS360(          DATE(YEAR(E166),MONTH(E166),1),         DATE(YEAR(F166)     ,      MONTH(F166),1 )    )            /30,0 ))</f>
        <v>0</v>
      </c>
      <c r="J166" s="147">
        <f t="shared" si="2"/>
        <v>0</v>
      </c>
      <c r="K166" s="149">
        <f>IF(  AND(M166&gt;0,I166=0)          ,M166 ,                         IF(  IF( F166 ,  DAYS360(DATE(YEAR(F166),MONTH(F166),1),Mes)/30  ,  DAYS360(DATE(YEAR(E166),MONTH(E166),1),Mes)/30  )  &gt;  0 , IF(F166,   DAYS360(DATE(YEAR(F166),MONTH(F166),1),Mes)/30  ,  DAYS360(DATE(YEAR(E166),MONTH(E166),1),Mes)/30) , 0)       )</f>
        <v>93</v>
      </c>
      <c r="L166" s="150">
        <f>IF(ISERROR(K:K*H:H)   ,  0   ,   K:K*H:H)</f>
        <v>837000</v>
      </c>
      <c r="M166" s="173"/>
      <c r="N166" s="130"/>
      <c r="O166" s="31"/>
      <c r="P166" s="31"/>
      <c r="Q166" s="31"/>
      <c r="R166" s="31"/>
      <c r="S166" s="31"/>
      <c r="T166" s="31"/>
    </row>
    <row r="167" ht="15.0" customHeight="1">
      <c r="A167" s="74" t="s">
        <v>71</v>
      </c>
      <c r="B167" s="603">
        <v>1601.0</v>
      </c>
      <c r="C167" s="604">
        <v>1601.0</v>
      </c>
      <c r="D167" s="568" t="str">
        <f>if(   iserror(offset(PADRON!B$2,match(C:C,PADRON!A$2:A376,0)-1,0,1,1) )  ,  ,    offset(PADRON!B$2,match(C:C,PADRON!A$2:A376,0)-1,0,1,1))</f>
        <v>BRACCO, MARCOS</v>
      </c>
      <c r="E167" s="630">
        <v>43009.0</v>
      </c>
      <c r="F167" s="600"/>
      <c r="G167" s="23" t="s">
        <v>56</v>
      </c>
      <c r="H167" s="556">
        <f>IF( ISERROR( OFFSET(   'Cuadro tarifario'!D$2  , MATCH(CONCATENATE(                 IF(F167&gt;Mes,OFFSET(NroCT!B$17, MATCH($F167,NroCT!$A$18:$A376,0),0,1,1),Periodovigente)                                                                                                                     ,A167) ,'Cuadro tarifario'!A$2:A376,0) -1 , 0 , 1 , 1) )   , 0  ,   OFFSET(   'Cuadro tarifario'!D$2  , MATCH(CONCATENATE( IF(F167&gt;Mes,OFFSET(NroCT!B$17, MATCH($F167,NroCT!$A$18:$A376,0),0,1,1),Periodovigente) ,A167) ,'Cuadro tarifario'!A$2:A376,0) -1 , 0 , 1 , 1))</f>
        <v>11000</v>
      </c>
      <c r="I167" s="571">
        <f>Int(If(F167,DAYS360(          date(Year(E167),Month(E167),1),         date(Year(F167)     ,      Month(F167),1 )    )            /30,0 ))</f>
        <v>0</v>
      </c>
      <c r="J167" s="605">
        <f t="shared" si="2"/>
        <v>0</v>
      </c>
      <c r="K167" s="601">
        <f>if(  and(M167&gt;0,I167=0)          ,M167 ,                         If(  If( F167 ,  DAYS360(date(year(F167),month(F167),1),Mes)/30  ,  DAYS360(date(year(E167),month(E167),1),Mes)/30  )  &gt;  0 , If(F167,   DAYS360(date(year(F167),month(F167),1),Mes)/30  ,  DAYS360(date(year(E167),month(E167),1),Mes)/30) , 0)       )</f>
        <v>94</v>
      </c>
      <c r="L167" s="631">
        <f>If(Iserror(K:K*H:H)   ,  0   ,   K:K*H:H)</f>
        <v>1034000</v>
      </c>
      <c r="M167" s="173"/>
      <c r="N167" s="130"/>
      <c r="O167" s="31"/>
      <c r="P167" s="31"/>
      <c r="Q167" s="31"/>
      <c r="R167" s="31"/>
      <c r="S167" s="31"/>
      <c r="T167" s="31"/>
    </row>
    <row r="168" ht="15.0" customHeight="1">
      <c r="A168" s="18" t="s">
        <v>38</v>
      </c>
      <c r="B168" s="154">
        <v>1601.0</v>
      </c>
      <c r="C168" s="567">
        <v>1601.0</v>
      </c>
      <c r="D168" s="144" t="str">
        <f>IF(   ISERROR(OFFSET(PADRON!B$2,MATCH(C:C,PADRON!A$2:A376,0)-1,0,1,1) )  ,  ,    OFFSET(PADRON!B$2,MATCH(C:C,PADRON!A$2:A376,0)-1,0,1,1))</f>
        <v>BRACCO, MARCOS</v>
      </c>
      <c r="E168" s="58">
        <v>43040.0</v>
      </c>
      <c r="F168" s="617"/>
      <c r="G168" s="23" t="s">
        <v>56</v>
      </c>
      <c r="H168" s="147">
        <f>IF( ISERROR( OFFSET(   'Cuadro tarifario'!D$2  , MATCH(CONCATENATE(                 IF(F168&gt;Mes,OFFSET(NroCT!B$17, MATCH($F168,NroCT!$A$18:$A376,0),0,1,1),Periodovigente)                                                                                                                     ,A168) ,'Cuadro tarifario'!A$2:A376,0) -1 , 0 , 1 , 1) )   , 0  ,   OFFSET(   'Cuadro tarifario'!D$2  , MATCH(CONCATENATE( IF(F168&gt;Mes,OFFSET(NroCT!B$17, MATCH($F168,NroCT!$A$18:$A376,0),0,1,1),Periodovigente) ,A168) ,'Cuadro tarifario'!A$2:A376,0) -1 , 0 , 1 , 1))</f>
        <v>9000</v>
      </c>
      <c r="I168" s="148">
        <f t="shared" ref="I168:I177" si="24">INT(IF(F168,DAYS360(          DATE(YEAR(E168),MONTH(E168),1),         DATE(YEAR(F168)     ,      MONTH(F168),1 )    )            /30,0 ))</f>
        <v>0</v>
      </c>
      <c r="J168" s="147">
        <f t="shared" si="2"/>
        <v>0</v>
      </c>
      <c r="K168" s="149">
        <f>IF(  AND(M168&gt;0,I168=0)          ,M168 ,                         IF(  IF( F168 ,  DAYS360(DATE(YEAR(F168),MONTH(F168),1),Mes)/30  ,  DAYS360(DATE(YEAR(E168),MONTH(E168),1),Mes)/30  )  &gt;  0 , IF(F168,   DAYS360(DATE(YEAR(F168),MONTH(F168),1),Mes)/30  ,  DAYS360(DATE(YEAR(E168),MONTH(E168),1),Mes)/30) , 0)       )</f>
        <v>93</v>
      </c>
      <c r="L168" s="150">
        <f t="shared" ref="L168:L177" si="25">IF(ISERROR(K:K*H:H)   ,  0   ,   K:K*H:H)</f>
        <v>837000</v>
      </c>
      <c r="M168" s="173"/>
      <c r="N168" s="130"/>
      <c r="O168" s="31"/>
      <c r="P168" s="31"/>
      <c r="Q168" s="31"/>
      <c r="R168" s="31"/>
      <c r="S168" s="31"/>
      <c r="T168" s="31"/>
    </row>
    <row r="169" ht="15.0" customHeight="1">
      <c r="A169" s="74" t="s">
        <v>71</v>
      </c>
      <c r="B169" s="603">
        <v>1624.0</v>
      </c>
      <c r="C169" s="604">
        <v>1624.0</v>
      </c>
      <c r="D169" s="144" t="str">
        <f>IF(   ISERROR(OFFSET(PADRON!B$2,MATCH(C:C,PADRON!A$2:A376,0)-1,0,1,1) )  ,  ,    OFFSET(PADRON!B$2,MATCH(C:C,PADRON!A$2:A376,0)-1,0,1,1))</f>
        <v>DIAS, PAULO</v>
      </c>
      <c r="E169" s="630">
        <v>43040.0</v>
      </c>
      <c r="F169" s="600"/>
      <c r="G169" s="23" t="s">
        <v>56</v>
      </c>
      <c r="H169" s="632">
        <f>IF( ISERROR( OFFSET(   'Cuadro tarifario'!D$2  , MATCH(CONCATENATE(                 IF(F169&gt;Mes,OFFSET(NroCT!B$17, MATCH($F169,NroCT!$A$18:$A376,0),0,1,1),Periodovigente)                                                                                                                     ,A169) ,'Cuadro tarifario'!A$2:A376,0) -1 , 0 , 1 , 1) )   , 0  ,   OFFSET(   'Cuadro tarifario'!D$2  , MATCH(CONCATENATE( IF(F169&gt;Mes,OFFSET(NroCT!B$17, MATCH($F169,NroCT!$A$18:$A376,0),0,1,1),Periodovigente) ,A169) ,'Cuadro tarifario'!A$2:A376,0) -1 , 0 , 1 , 1))</f>
        <v>11000</v>
      </c>
      <c r="I169" s="633">
        <f t="shared" si="24"/>
        <v>0</v>
      </c>
      <c r="J169" s="612">
        <f t="shared" si="2"/>
        <v>0</v>
      </c>
      <c r="K169" s="613">
        <f>IF(  AND(M169&gt;0,I169=0)          ,M169 ,                         IF(  IF( F169 ,  DAYS360(DATE(YEAR(F169),MONTH(F169),1),Mes)/30  ,  DAYS360(DATE(YEAR(E169),MONTH(E169),1),Mes)/30  )  &gt;  0 , IF(F169,   DAYS360(DATE(YEAR(F169),MONTH(F169),1),Mes)/30  ,  DAYS360(DATE(YEAR(E169),MONTH(E169),1),Mes)/30) , 0)       )</f>
        <v>93</v>
      </c>
      <c r="L169" s="634">
        <f t="shared" si="25"/>
        <v>1023000</v>
      </c>
      <c r="M169" s="173"/>
      <c r="N169" s="130"/>
      <c r="O169" s="31"/>
      <c r="P169" s="31"/>
      <c r="Q169" s="31"/>
      <c r="R169" s="31"/>
      <c r="S169" s="31"/>
      <c r="T169" s="31"/>
    </row>
    <row r="170" ht="15.0" customHeight="1">
      <c r="A170" s="18" t="s">
        <v>38</v>
      </c>
      <c r="B170" s="154">
        <v>1624.0</v>
      </c>
      <c r="C170" s="567">
        <v>1624.0</v>
      </c>
      <c r="D170" s="144" t="str">
        <f>IF(   ISERROR(OFFSET(PADRON!B$2,MATCH(C:C,PADRON!A$2:A376,0)-1,0,1,1) )  ,  ,    OFFSET(PADRON!B$2,MATCH(C:C,PADRON!A$2:A376,0)-1,0,1,1))</f>
        <v>DIAS, PAULO</v>
      </c>
      <c r="E170" s="58">
        <v>43040.0</v>
      </c>
      <c r="F170" s="617"/>
      <c r="G170" s="23" t="s">
        <v>56</v>
      </c>
      <c r="H170" s="147">
        <f>IF( ISERROR( OFFSET(   'Cuadro tarifario'!D$2  , MATCH(CONCATENATE(                 IF(F170&gt;Mes,OFFSET(NroCT!B$17, MATCH($F170,NroCT!$A$18:$A376,0),0,1,1),Periodovigente)                                                                                                                     ,A170) ,'Cuadro tarifario'!A$2:A376,0) -1 , 0 , 1 , 1) )   , 0  ,   OFFSET(   'Cuadro tarifario'!D$2  , MATCH(CONCATENATE( IF(F170&gt;Mes,OFFSET(NroCT!B$17, MATCH($F170,NroCT!$A$18:$A376,0),0,1,1),Periodovigente) ,A170) ,'Cuadro tarifario'!A$2:A376,0) -1 , 0 , 1 , 1))</f>
        <v>9000</v>
      </c>
      <c r="I170" s="635">
        <f t="shared" si="24"/>
        <v>0</v>
      </c>
      <c r="J170" s="636">
        <f t="shared" si="2"/>
        <v>0</v>
      </c>
      <c r="K170" s="637">
        <f>IF(  AND(M170&gt;0,I170=0)          ,M170 ,                         IF(  IF( F170 ,  DAYS360(DATE(YEAR(F170),MONTH(F170),1),Mes)/30  ,  DAYS360(DATE(YEAR(E170),MONTH(E170),1),Mes)/30  )  &gt;  0 , IF(F170,   DAYS360(DATE(YEAR(F170),MONTH(F170),1),Mes)/30  ,  DAYS360(DATE(YEAR(E170),MONTH(E170),1),Mes)/30) , 0)       )</f>
        <v>93</v>
      </c>
      <c r="L170" s="638">
        <f t="shared" si="25"/>
        <v>837000</v>
      </c>
      <c r="M170" s="173"/>
      <c r="N170" s="130"/>
      <c r="O170" s="31"/>
      <c r="P170" s="31"/>
      <c r="Q170" s="31"/>
      <c r="R170" s="31"/>
      <c r="S170" s="31"/>
      <c r="T170" s="31"/>
    </row>
    <row r="171" ht="15.0" customHeight="1">
      <c r="A171" s="74" t="s">
        <v>71</v>
      </c>
      <c r="B171" s="603">
        <v>1644.0</v>
      </c>
      <c r="C171" s="604">
        <v>1644.0</v>
      </c>
      <c r="D171" s="144" t="str">
        <f>IF(   ISERROR(OFFSET(PADRON!B$2,MATCH(C:C,PADRON!A$2:A376,0)-1,0,1,1) )  ,  ,    OFFSET(PADRON!B$2,MATCH(C:C,PADRON!A$2:A376,0)-1,0,1,1))</f>
        <v>MALLO HUERGO, FEDERICO</v>
      </c>
      <c r="E171" s="630">
        <v>42948.0</v>
      </c>
      <c r="F171" s="600"/>
      <c r="G171" s="23" t="s">
        <v>56</v>
      </c>
      <c r="H171" s="147">
        <f>IF( ISERROR( OFFSET(   'Cuadro tarifario'!D$2  , MATCH(CONCATENATE(                 IF(F171&gt;Mes,OFFSET(NroCT!B$17, MATCH($F171,NroCT!$A$18:$A376,0),0,1,1),Periodovigente)                                                                                                                     ,A171) ,'Cuadro tarifario'!A$2:A376,0) -1 , 0 , 1 , 1) )   , 0  ,   OFFSET(   'Cuadro tarifario'!D$2  , MATCH(CONCATENATE( IF(F171&gt;Mes,OFFSET(NroCT!B$17, MATCH($F171,NroCT!$A$18:$A376,0),0,1,1),Periodovigente) ,A171) ,'Cuadro tarifario'!A$2:A376,0) -1 , 0 , 1 , 1))</f>
        <v>11000</v>
      </c>
      <c r="I171" s="633">
        <f t="shared" si="24"/>
        <v>0</v>
      </c>
      <c r="J171" s="639">
        <f t="shared" si="2"/>
        <v>0</v>
      </c>
      <c r="K171" s="613">
        <f>IF(  AND(M171&gt;0,I171=0)          ,M171 ,                         IF(  IF( F171 ,  DAYS360(DATE(YEAR(F171),MONTH(F171),1),Mes)/30  ,  DAYS360(DATE(YEAR(E171),MONTH(E171),1),Mes)/30  )  &gt;  0 , IF(F171,   DAYS360(DATE(YEAR(F171),MONTH(F171),1),Mes)/30  ,  DAYS360(DATE(YEAR(E171),MONTH(E171),1),Mes)/30) , 0)       )</f>
        <v>96</v>
      </c>
      <c r="L171" s="640">
        <f t="shared" si="25"/>
        <v>1056000</v>
      </c>
      <c r="M171" s="173"/>
      <c r="N171" s="130"/>
      <c r="O171" s="31"/>
      <c r="P171" s="31"/>
      <c r="Q171" s="31"/>
      <c r="R171" s="31"/>
      <c r="S171" s="31"/>
      <c r="T171" s="31"/>
    </row>
    <row r="172" ht="15.0" customHeight="1">
      <c r="A172" s="18" t="s">
        <v>38</v>
      </c>
      <c r="B172" s="154">
        <v>1644.0</v>
      </c>
      <c r="C172" s="567">
        <v>1644.0</v>
      </c>
      <c r="D172" s="144" t="str">
        <f>IF(   ISERROR(OFFSET(PADRON!B$2,MATCH(C:C,PADRON!A$2:A376,0)-1,0,1,1) )  ,  ,    OFFSET(PADRON!B$2,MATCH(C:C,PADRON!A$2:A376,0)-1,0,1,1))</f>
        <v>MALLO HUERGO, FEDERICO</v>
      </c>
      <c r="E172" s="58">
        <v>43040.0</v>
      </c>
      <c r="F172" s="617"/>
      <c r="G172" s="23" t="s">
        <v>56</v>
      </c>
      <c r="H172" s="147">
        <f>IF( ISERROR( OFFSET(   'Cuadro tarifario'!D$2  , MATCH(CONCATENATE(                 IF(F172&gt;Mes,OFFSET(NroCT!B$17, MATCH($F172,NroCT!$A$18:$A376,0),0,1,1),Periodovigente)                                                                                                                     ,A172) ,'Cuadro tarifario'!A$2:A376,0) -1 , 0 , 1 , 1) )   , 0  ,   OFFSET(   'Cuadro tarifario'!D$2  , MATCH(CONCATENATE( IF(F172&gt;Mes,OFFSET(NroCT!B$17, MATCH($F172,NroCT!$A$18:$A376,0),0,1,1),Periodovigente) ,A172) ,'Cuadro tarifario'!A$2:A376,0) -1 , 0 , 1 , 1))</f>
        <v>9000</v>
      </c>
      <c r="I172" s="635">
        <f t="shared" si="24"/>
        <v>0</v>
      </c>
      <c r="J172" s="636">
        <f t="shared" si="2"/>
        <v>0</v>
      </c>
      <c r="K172" s="637">
        <f>IF(  AND(M172&gt;0,I172=0)          ,M172 ,                         IF(  IF( F172 ,  DAYS360(DATE(YEAR(F172),MONTH(F172),1),Mes)/30  ,  DAYS360(DATE(YEAR(E172),MONTH(E172),1),Mes)/30  )  &gt;  0 , IF(F172,   DAYS360(DATE(YEAR(F172),MONTH(F172),1),Mes)/30  ,  DAYS360(DATE(YEAR(E172),MONTH(E172),1),Mes)/30) , 0)       )</f>
        <v>93</v>
      </c>
      <c r="L172" s="638">
        <f t="shared" si="25"/>
        <v>837000</v>
      </c>
      <c r="M172" s="173"/>
      <c r="N172" s="130"/>
      <c r="O172" s="31"/>
      <c r="P172" s="31"/>
      <c r="Q172" s="31"/>
      <c r="R172" s="31"/>
      <c r="S172" s="31"/>
      <c r="T172" s="31"/>
    </row>
    <row r="173" ht="15.0" customHeight="1">
      <c r="A173" s="74" t="s">
        <v>71</v>
      </c>
      <c r="B173" s="74">
        <v>1630.0</v>
      </c>
      <c r="C173" s="615">
        <v>1630.0</v>
      </c>
      <c r="D173" s="20" t="str">
        <f>IF(   ISERROR(OFFSET(PADRON!B$2,MATCH(C:C,PADRON!A$2:A376,0)-1,0,1,1) )  ,  ,    OFFSET(PADRON!B$2,MATCH(C:C,PADRON!A$2:A376,0)-1,0,1,1))</f>
        <v>BRANDOLINO , PABLO</v>
      </c>
      <c r="E173" s="45">
        <v>42917.0</v>
      </c>
      <c r="F173" s="45"/>
      <c r="G173" s="23" t="s">
        <v>56</v>
      </c>
      <c r="H173" s="24">
        <f>IF( ISERROR( OFFSET(   'Cuadro tarifario'!D$2  , MATCH(CONCATENATE(                 IF(F173&gt;Mes,OFFSET(NroCT!B$17, MATCH($F173,NroCT!$A$18:$A376,0),0,1,1),Periodovigente)                                                                                                                     ,A173) ,'Cuadro tarifario'!A$2:A376,0) -1 , 0 , 1 , 1) )   , 0  ,   OFFSET(   'Cuadro tarifario'!D$2  , MATCH(CONCATENATE( IF(F173&gt;Mes,OFFSET(NroCT!B$17, MATCH($F173,NroCT!$A$18:$A376,0),0,1,1),Periodovigente) ,A173) ,'Cuadro tarifario'!A$2:A376,0) -1 , 0 , 1 , 1))</f>
        <v>11000</v>
      </c>
      <c r="I173" s="85">
        <f t="shared" si="24"/>
        <v>0</v>
      </c>
      <c r="J173" s="101">
        <f t="shared" si="2"/>
        <v>0</v>
      </c>
      <c r="K173" s="87">
        <f>IF(  AND(M173&gt;0,I173=0)          ,M173 ,                         IF(  IF( F173 ,  DAYS360(DATE(YEAR(F173),MONTH(F173),1),Mes)/30  ,  DAYS360(DATE(YEAR(E173),MONTH(E173),1),Mes)/30  )  &gt;  0 , IF(F173,   DAYS360(DATE(YEAR(F173),MONTH(F173),1),Mes)/30  ,  DAYS360(DATE(YEAR(E173),MONTH(E173),1),Mes)/30) , 0)       )</f>
        <v>97</v>
      </c>
      <c r="L173" s="102">
        <f t="shared" si="25"/>
        <v>1067000</v>
      </c>
      <c r="M173" s="29">
        <f>IF( ISERROR(OFFSET(SECUESTRADOS!D$1,MATCH(B173,SECUESTRADOS!A$2:A376,0),0)) ,0 ,  OFFSET(SECUESTRADOS!D$1,MATCH(B173,SECUESTRADOS!A$2:A376,0),0)  )</f>
        <v>0</v>
      </c>
      <c r="N173" s="30"/>
      <c r="O173" s="17" t="b">
        <f t="shared" ref="O173:O177" si="26">IF(I173,A173)</f>
        <v>0</v>
      </c>
      <c r="P173" s="17" t="str">
        <f t="shared" ref="P173:P177" si="27">IF(AND(A173=A172,B173=B172,C173=C172),"Repetido","")</f>
        <v/>
      </c>
      <c r="Q173" s="31"/>
      <c r="R173" s="31"/>
      <c r="S173" s="31"/>
      <c r="T173" s="31"/>
    </row>
    <row r="174" ht="15.0" customHeight="1">
      <c r="A174" s="18" t="s">
        <v>38</v>
      </c>
      <c r="B174" s="17">
        <v>1630.0</v>
      </c>
      <c r="C174" s="628">
        <v>1630.0</v>
      </c>
      <c r="D174" s="20" t="str">
        <f>IF(   ISERROR(OFFSET(PADRON!B$2,MATCH(C:C,PADRON!A$2:A376,0)-1,0,1,1) )  ,  ,    OFFSET(PADRON!B$2,MATCH(C:C,PADRON!A$2:A376,0)-1,0,1,1))</f>
        <v>BRANDOLINO , PABLO</v>
      </c>
      <c r="E174" s="21">
        <v>43040.0</v>
      </c>
      <c r="F174" s="629"/>
      <c r="G174" s="23" t="s">
        <v>56</v>
      </c>
      <c r="H174" s="24">
        <f>IF( ISERROR( OFFSET(   'Cuadro tarifario'!D$2  , MATCH(CONCATENATE(                 IF(F174&gt;Mes,OFFSET(NroCT!B$17, MATCH($F174,NroCT!$A$18:$A376,0),0,1,1),Periodovigente)                                                                                                                     ,A174) ,'Cuadro tarifario'!A$2:A376,0) -1 , 0 , 1 , 1) )   , 0  ,   OFFSET(   'Cuadro tarifario'!D$2  , MATCH(CONCATENATE( IF(F174&gt;Mes,OFFSET(NroCT!B$17, MATCH($F174,NroCT!$A$18:$A376,0),0,1,1),Periodovigente) ,A174) ,'Cuadro tarifario'!A$2:A376,0) -1 , 0 , 1 , 1))</f>
        <v>9000</v>
      </c>
      <c r="I174" s="106">
        <f t="shared" si="24"/>
        <v>0</v>
      </c>
      <c r="J174" s="107">
        <f t="shared" si="2"/>
        <v>0</v>
      </c>
      <c r="K174" s="108">
        <f>IF(  AND(M174&gt;0,I174=0)          ,M174 ,                         IF(  IF( F174 ,  DAYS360(DATE(YEAR(F174),MONTH(F174),1),Mes)/30  ,  DAYS360(DATE(YEAR(E174),MONTH(E174),1),Mes)/30  )  &gt;  0 , IF(F174,   DAYS360(DATE(YEAR(F174),MONTH(F174),1),Mes)/30  ,  DAYS360(DATE(YEAR(E174),MONTH(E174),1),Mes)/30) , 0)       )</f>
        <v>93</v>
      </c>
      <c r="L174" s="109">
        <f t="shared" si="25"/>
        <v>837000</v>
      </c>
      <c r="M174" s="29">
        <f>IF( ISERROR(OFFSET(SECUESTRADOS!D$1,MATCH(B174,SECUESTRADOS!A$2:A376,0),0)) ,0 ,  OFFSET(SECUESTRADOS!D$1,MATCH(B174,SECUESTRADOS!A$2:A376,0),0)  )</f>
        <v>0</v>
      </c>
      <c r="N174" s="30"/>
      <c r="O174" s="17" t="b">
        <f t="shared" si="26"/>
        <v>0</v>
      </c>
      <c r="P174" s="17" t="str">
        <f t="shared" si="27"/>
        <v/>
      </c>
      <c r="Q174" s="31"/>
      <c r="R174" s="31"/>
      <c r="S174" s="31"/>
      <c r="T174" s="31"/>
    </row>
    <row r="175" ht="15.0" customHeight="1">
      <c r="A175" s="74" t="s">
        <v>48</v>
      </c>
      <c r="B175" s="74" t="s">
        <v>4914</v>
      </c>
      <c r="C175" s="615">
        <v>1630.0</v>
      </c>
      <c r="D175" s="20" t="str">
        <f>IF(   ISERROR(OFFSET(PADRON!B$2,MATCH(C:C,PADRON!A$2:A376,0)-1,0,1,1) )  ,  ,    OFFSET(PADRON!B$2,MATCH(C:C,PADRON!A$2:A376,0)-1,0,1,1))</f>
        <v>BRANDOLINO , PABLO</v>
      </c>
      <c r="E175" s="45">
        <v>42948.0</v>
      </c>
      <c r="F175" s="45"/>
      <c r="G175" s="23" t="s">
        <v>56</v>
      </c>
      <c r="H175" s="24">
        <f>IF( ISERROR( OFFSET(   'Cuadro tarifario'!D$2  , MATCH(CONCATENATE(                 IF(F175&gt;Mes,OFFSET(NroCT!B$17, MATCH($F175,NroCT!$A$18:$A376,0),0,1,1),Periodovigente)                                                                                                                     ,A175) ,'Cuadro tarifario'!A$2:A376,0) -1 , 0 , 1 , 1) )   , 0  ,   OFFSET(   'Cuadro tarifario'!D$2  , MATCH(CONCATENATE( IF(F175&gt;Mes,OFFSET(NroCT!B$17, MATCH($F175,NroCT!$A$18:$A376,0),0,1,1),Periodovigente) ,A175) ,'Cuadro tarifario'!A$2:A376,0) -1 , 0 , 1 , 1))</f>
        <v>12000</v>
      </c>
      <c r="I175" s="85">
        <f t="shared" si="24"/>
        <v>0</v>
      </c>
      <c r="J175" s="101">
        <f t="shared" si="2"/>
        <v>0</v>
      </c>
      <c r="K175" s="87">
        <f>IF(  AND(M175&gt;0,I175=0)          ,M175 ,                         IF(  IF( F175 ,  DAYS360(DATE(YEAR(F175),MONTH(F175),1),Mes)/30  ,  DAYS360(DATE(YEAR(E175),MONTH(E175),1),Mes)/30  )  &gt;  0 , IF(F175,   DAYS360(DATE(YEAR(F175),MONTH(F175),1),Mes)/30  ,  DAYS360(DATE(YEAR(E175),MONTH(E175),1),Mes)/30) , 0)       )</f>
        <v>96</v>
      </c>
      <c r="L175" s="102">
        <f t="shared" si="25"/>
        <v>1152000</v>
      </c>
      <c r="M175" s="29">
        <f>IF( ISERROR(OFFSET(SECUESTRADOS!D$1,MATCH(B175,SECUESTRADOS!A$2:A376,0),0)) ,0 ,  OFFSET(SECUESTRADOS!D$1,MATCH(B175,SECUESTRADOS!A$2:A376,0),0)  )</f>
        <v>0</v>
      </c>
      <c r="N175" s="30"/>
      <c r="O175" s="17" t="b">
        <f t="shared" si="26"/>
        <v>0</v>
      </c>
      <c r="P175" s="17" t="str">
        <f t="shared" si="27"/>
        <v/>
      </c>
      <c r="Q175" s="31"/>
      <c r="R175" s="31"/>
      <c r="S175" s="31"/>
      <c r="T175" s="31"/>
    </row>
    <row r="176" ht="15.0" customHeight="1">
      <c r="A176" s="74" t="s">
        <v>71</v>
      </c>
      <c r="B176" s="74">
        <v>1641.0</v>
      </c>
      <c r="C176" s="615">
        <v>1641.0</v>
      </c>
      <c r="D176" s="20" t="str">
        <f>IF(   ISERROR(OFFSET(PADRON!B$2,MATCH(C:C,PADRON!A$2:A376,0)-1,0,1,1) )  ,  ,    OFFSET(PADRON!B$2,MATCH(C:C,PADRON!A$2:A376,0)-1,0,1,1))</f>
        <v/>
      </c>
      <c r="E176" s="45">
        <v>43132.0</v>
      </c>
      <c r="F176" s="45"/>
      <c r="G176" s="23" t="s">
        <v>56</v>
      </c>
      <c r="H176" s="24">
        <f>IF( ISERROR( OFFSET(   'Cuadro tarifario'!D$2  , MATCH(CONCATENATE(                 IF(F176&gt;Mes,OFFSET(NroCT!B$17, MATCH($F176,NroCT!$A$18:$A376,0),0,1,1),Periodovigente)                                                                                                                     ,A176) ,'Cuadro tarifario'!A$2:A376,0) -1 , 0 , 1 , 1) )   , 0  ,   OFFSET(   'Cuadro tarifario'!D$2  , MATCH(CONCATENATE( IF(F176&gt;Mes,OFFSET(NroCT!B$17, MATCH($F176,NroCT!$A$18:$A376,0),0,1,1),Periodovigente) ,A176) ,'Cuadro tarifario'!A$2:A376,0) -1 , 0 , 1 , 1))</f>
        <v>11000</v>
      </c>
      <c r="I176" s="85">
        <f t="shared" si="24"/>
        <v>0</v>
      </c>
      <c r="J176" s="101">
        <f t="shared" si="2"/>
        <v>0</v>
      </c>
      <c r="K176" s="87">
        <f>IF(  AND(M176&gt;0,I176=0)          ,M176 ,                         IF(  IF( F176 ,  DAYS360(DATE(YEAR(F176),MONTH(F176),1),Mes)/30  ,  DAYS360(DATE(YEAR(E176),MONTH(E176),1),Mes)/30  )  &gt;  0 , IF(F176,   DAYS360(DATE(YEAR(F176),MONTH(F176),1),Mes)/30  ,  DAYS360(DATE(YEAR(E176),MONTH(E176),1),Mes)/30) , 0)       )</f>
        <v>90</v>
      </c>
      <c r="L176" s="102">
        <f t="shared" si="25"/>
        <v>990000</v>
      </c>
      <c r="M176" s="29">
        <f>IF( ISERROR(OFFSET(SECUESTRADOS!D$1,MATCH(B176,SECUESTRADOS!A$2:A376,0),0)) ,0 ,  OFFSET(SECUESTRADOS!D$1,MATCH(B176,SECUESTRADOS!A$2:A376,0),0)  )</f>
        <v>0</v>
      </c>
      <c r="N176" s="30"/>
      <c r="O176" s="17" t="b">
        <f t="shared" si="26"/>
        <v>0</v>
      </c>
      <c r="P176" s="17" t="str">
        <f t="shared" si="27"/>
        <v/>
      </c>
      <c r="Q176" s="31"/>
      <c r="R176" s="31"/>
      <c r="S176" s="31"/>
      <c r="T176" s="31"/>
    </row>
    <row r="177" ht="15.0" customHeight="1">
      <c r="A177" s="18" t="s">
        <v>38</v>
      </c>
      <c r="B177" s="17">
        <v>1641.0</v>
      </c>
      <c r="C177" s="628">
        <v>1641.0</v>
      </c>
      <c r="D177" s="20" t="str">
        <f>IF(   ISERROR(OFFSET(PADRON!B$2,MATCH(C:C,PADRON!A$2:A376,0)-1,0,1,1) )  ,  ,    OFFSET(PADRON!B$2,MATCH(C:C,PADRON!A$2:A376,0)-1,0,1,1))</f>
        <v/>
      </c>
      <c r="E177" s="21">
        <v>43132.0</v>
      </c>
      <c r="F177" s="21"/>
      <c r="G177" s="23" t="s">
        <v>56</v>
      </c>
      <c r="H177" s="24">
        <f>IF( ISERROR( OFFSET(   'Cuadro tarifario'!D$2  , MATCH(CONCATENATE(                 IF(F177&gt;Mes,OFFSET(NroCT!B$17, MATCH($F177,NroCT!$A$18:$A376,0),0,1,1),Periodovigente)                                                                                                                     ,A177) ,'Cuadro tarifario'!A$2:A376,0) -1 , 0 , 1 , 1) )   , 0  ,   OFFSET(   'Cuadro tarifario'!D$2  , MATCH(CONCATENATE( IF(F177&gt;Mes,OFFSET(NroCT!B$17, MATCH($F177,NroCT!$A$18:$A376,0),0,1,1),Periodovigente) ,A177) ,'Cuadro tarifario'!A$2:A376,0) -1 , 0 , 1 , 1))</f>
        <v>9000</v>
      </c>
      <c r="I177" s="106">
        <f t="shared" si="24"/>
        <v>0</v>
      </c>
      <c r="J177" s="107">
        <f t="shared" si="2"/>
        <v>0</v>
      </c>
      <c r="K177" s="108">
        <f>IF(  AND(M177&gt;0,I177=0)          ,M177 ,                         IF(  IF( F177 ,  DAYS360(DATE(YEAR(F177),MONTH(F177),1),Mes)/30  ,  DAYS360(DATE(YEAR(E177),MONTH(E177),1),Mes)/30  )  &gt;  0 , IF(F177,   DAYS360(DATE(YEAR(F177),MONTH(F177),1),Mes)/30  ,  DAYS360(DATE(YEAR(E177),MONTH(E177),1),Mes)/30) , 0)       )</f>
        <v>90</v>
      </c>
      <c r="L177" s="109">
        <f t="shared" si="25"/>
        <v>810000</v>
      </c>
      <c r="M177" s="29">
        <f>IF( ISERROR(OFFSET(SECUESTRADOS!D$1,MATCH(B177,SECUESTRADOS!A$2:A376,0),0)) ,0 ,  OFFSET(SECUESTRADOS!D$1,MATCH(B177,SECUESTRADOS!A$2:A376,0),0)  )</f>
        <v>0</v>
      </c>
      <c r="N177" s="30"/>
      <c r="O177" s="17" t="b">
        <f t="shared" si="26"/>
        <v>0</v>
      </c>
      <c r="P177" s="17" t="str">
        <f t="shared" si="27"/>
        <v/>
      </c>
      <c r="Q177" s="31"/>
      <c r="R177" s="31"/>
      <c r="S177" s="31"/>
      <c r="T177" s="31"/>
    </row>
    <row r="178" ht="15.0" customHeight="1">
      <c r="A178" s="54" t="s">
        <v>71</v>
      </c>
      <c r="B178" s="54">
        <v>801.0</v>
      </c>
      <c r="C178" s="574">
        <v>801.0</v>
      </c>
      <c r="D178" s="34" t="str">
        <f>if(   iserror(offset(PADRON!B$2,match(C:C,PADRON!A$2:A376,0)-1,0,1,1) )  ,  ,    offset(PADRON!B$2,match(C:C,PADRON!A$2:A376,0)-1,0,1,1))</f>
        <v>DE SANTI, FERNANDO</v>
      </c>
      <c r="E178" s="22">
        <v>42795.0</v>
      </c>
      <c r="F178" s="22"/>
      <c r="G178" s="23" t="s">
        <v>56</v>
      </c>
      <c r="H178" s="35">
        <f>IF( ISERROR( OFFSET(   'Cuadro tarifario'!D$2  , MATCH(CONCATENATE(                 IF(F178&gt;Mes,OFFSET(NroCT!B$17, MATCH($F178,NroCT!$A$18:$A376,0),0,1,1),Periodovigente)                                                                                                                     ,A178) ,'Cuadro tarifario'!A$2:A376,0) -1 , 0 , 1 , 1) )   , 0  ,   OFFSET(   'Cuadro tarifario'!D$2  , MATCH(CONCATENATE( IF(F178&gt;Mes,OFFSET(NroCT!B$17, MATCH($F178,NroCT!$A$18:$A376,0),0,1,1),Periodovigente) ,A178) ,'Cuadro tarifario'!A$2:A376,0) -1 , 0 , 1 , 1))</f>
        <v>11000</v>
      </c>
      <c r="I178" s="36">
        <f>Int(If(F178,DAYS360(          date(Year(E178),Month(E178),1),         date(Year(F178)     ,      Month(F178),1 )    )            /30,0 ))</f>
        <v>0</v>
      </c>
      <c r="J178" s="37">
        <f t="shared" si="2"/>
        <v>0</v>
      </c>
      <c r="K178" s="38">
        <f>if(  and(M178&gt;0,I178=0)          ,M178 ,                         If(  If( F178 ,  DAYS360(date(year(F178),month(F178),1),Mes)/30  ,  DAYS360(date(year(E178),month(E178),1),Mes)/30  )  &gt;  0 , If(F178,   DAYS360(date(year(F178),month(F178),1),Mes)/30  ,  DAYS360(date(year(E178),month(E178),1),Mes)/30) , 0)       )</f>
        <v>101</v>
      </c>
      <c r="L178" s="39">
        <f>If(Iserror(K:K*H:H)   ,  0   ,   K:K*H:H)</f>
        <v>1111000</v>
      </c>
      <c r="M178" s="173"/>
      <c r="N178" s="130"/>
      <c r="O178" s="31"/>
      <c r="P178" s="31"/>
      <c r="Q178" s="31"/>
      <c r="R178" s="31"/>
      <c r="S178" s="31"/>
      <c r="T178" s="31"/>
    </row>
    <row r="179" ht="15.0" customHeight="1">
      <c r="A179" s="18" t="s">
        <v>38</v>
      </c>
      <c r="B179" s="17">
        <v>801.0</v>
      </c>
      <c r="C179" s="628">
        <v>801.0</v>
      </c>
      <c r="D179" s="20" t="str">
        <f>IF(   ISERROR(OFFSET(PADRON!B$2,MATCH(C:C,PADRON!A$2:A376,0)-1,0,1,1) )  ,  ,    OFFSET(PADRON!B$2,MATCH(C:C,PADRON!A$2:A376,0)-1,0,1,1))</f>
        <v>DE SANTI, FERNANDO</v>
      </c>
      <c r="E179" s="21">
        <v>43040.0</v>
      </c>
      <c r="F179" s="629"/>
      <c r="G179" s="23" t="s">
        <v>56</v>
      </c>
      <c r="H179" s="24">
        <f>IF( ISERROR( OFFSET(   'Cuadro tarifario'!D$2  , MATCH(CONCATENATE(                 IF(F179&gt;Mes,OFFSET(NroCT!B$17, MATCH($F179,NroCT!$A$18:$A376,0),0,1,1),Periodovigente)                                                                                                                     ,A179) ,'Cuadro tarifario'!A$2:A376,0) -1 , 0 , 1 , 1) )   , 0  ,   OFFSET(   'Cuadro tarifario'!D$2  , MATCH(CONCATENATE( IF(F179&gt;Mes,OFFSET(NroCT!B$17, MATCH($F179,NroCT!$A$18:$A376,0),0,1,1),Periodovigente) ,A179) ,'Cuadro tarifario'!A$2:A376,0) -1 , 0 , 1 , 1))</f>
        <v>9000</v>
      </c>
      <c r="I179" s="25">
        <f>INT(IF(F179,DAYS360(          DATE(YEAR(E179),MONTH(E179),1),         DATE(YEAR(F179)     ,      MONTH(F179),1 )    )            /30,0 ))</f>
        <v>0</v>
      </c>
      <c r="J179" s="24">
        <f t="shared" si="2"/>
        <v>0</v>
      </c>
      <c r="K179" s="26">
        <f>IF(  AND(M179&gt;0,I179=0)          ,M179 ,                         IF(  IF( F179 ,  DAYS360(DATE(YEAR(F179),MONTH(F179),1),Mes)/30  ,  DAYS360(DATE(YEAR(E179),MONTH(E179),1),Mes)/30  )  &gt;  0 , IF(F179,   DAYS360(DATE(YEAR(F179),MONTH(F179),1),Mes)/30  ,  DAYS360(DATE(YEAR(E179),MONTH(E179),1),Mes)/30) , 0)       )</f>
        <v>93</v>
      </c>
      <c r="L179" s="27">
        <f>IF(ISERROR(K:K*H:H)   ,  0   ,   K:K*H:H)</f>
        <v>837000</v>
      </c>
      <c r="M179" s="173"/>
      <c r="N179" s="130"/>
      <c r="O179" s="31"/>
      <c r="P179" s="31"/>
      <c r="Q179" s="31"/>
      <c r="R179" s="31"/>
      <c r="S179" s="31"/>
      <c r="T179" s="31"/>
    </row>
    <row r="180" ht="15.0" customHeight="1">
      <c r="A180" s="54" t="s">
        <v>71</v>
      </c>
      <c r="B180" s="54">
        <v>1290.0</v>
      </c>
      <c r="C180" s="574">
        <v>1290.0</v>
      </c>
      <c r="D180" s="34" t="str">
        <f>if(   iserror(offset(PADRON!B$2,match(C:C,PADRON!A$2:A376,0)-1,0,1,1) )  ,  ,    offset(PADRON!B$2,match(C:C,PADRON!A$2:A376,0)-1,0,1,1))</f>
        <v>CALVELO, FEDERICO</v>
      </c>
      <c r="E180" s="22">
        <v>43132.0</v>
      </c>
      <c r="F180" s="22"/>
      <c r="G180" s="23" t="s">
        <v>56</v>
      </c>
      <c r="H180" s="35">
        <f>IF( ISERROR( OFFSET(   'Cuadro tarifario'!D$2  , MATCH(CONCATENATE(                 IF(F180&gt;Mes,OFFSET(NroCT!B$17, MATCH($F180,NroCT!$A$18:$A376,0),0,1,1),Periodovigente)                                                                                                                     ,A180) ,'Cuadro tarifario'!A$2:A376,0) -1 , 0 , 1 , 1) )   , 0  ,   OFFSET(   'Cuadro tarifario'!D$2  , MATCH(CONCATENATE( IF(F180&gt;Mes,OFFSET(NroCT!B$17, MATCH($F180,NroCT!$A$18:$A376,0),0,1,1),Periodovigente) ,A180) ,'Cuadro tarifario'!A$2:A376,0) -1 , 0 , 1 , 1))</f>
        <v>11000</v>
      </c>
      <c r="I180" s="36">
        <f>Int(If(F180,DAYS360(          date(Year(E180),Month(E180),1),         date(Year(F180)     ,      Month(F180),1 )    )            /30,0 ))</f>
        <v>0</v>
      </c>
      <c r="J180" s="37">
        <f t="shared" si="2"/>
        <v>0</v>
      </c>
      <c r="K180" s="38">
        <f>if(  and(M180&gt;0,I180=0)          ,M180 ,                         If(  If( F180 ,  DAYS360(date(year(F180),month(F180),1),Mes)/30  ,  DAYS360(date(year(E180),month(E180),1),Mes)/30  )  &gt;  0 , If(F180,   DAYS360(date(year(F180),month(F180),1),Mes)/30  ,  DAYS360(date(year(E180),month(E180),1),Mes)/30) , 0)       )</f>
        <v>90</v>
      </c>
      <c r="L180" s="39">
        <f>If(Iserror(K:K*H:H)   ,  0   ,   K:K*H:H)</f>
        <v>990000</v>
      </c>
      <c r="M180" s="173"/>
      <c r="N180" s="130"/>
      <c r="O180" s="31"/>
      <c r="P180" s="31"/>
      <c r="Q180" s="31"/>
      <c r="R180" s="31"/>
      <c r="S180" s="31"/>
      <c r="T180" s="31"/>
    </row>
    <row r="181" ht="15.0" customHeight="1">
      <c r="A181" s="18" t="s">
        <v>38</v>
      </c>
      <c r="B181" s="17">
        <v>1290.0</v>
      </c>
      <c r="C181" s="628">
        <v>1290.0</v>
      </c>
      <c r="D181" s="20" t="str">
        <f>IF(   ISERROR(OFFSET(PADRON!B$2,MATCH(C:C,PADRON!A$2:A376,0)-1,0,1,1) )  ,  ,    OFFSET(PADRON!B$2,MATCH(C:C,PADRON!A$2:A376,0)-1,0,1,1))</f>
        <v>CALVELO, FEDERICO</v>
      </c>
      <c r="E181" s="21">
        <v>43132.0</v>
      </c>
      <c r="F181" s="21"/>
      <c r="G181" s="23" t="s">
        <v>56</v>
      </c>
      <c r="H181" s="24">
        <f>IF( ISERROR( OFFSET(   'Cuadro tarifario'!D$2  , MATCH(CONCATENATE(                 IF(F181&gt;Mes,OFFSET(NroCT!B$17, MATCH($F181,NroCT!$A$18:$A376,0),0,1,1),Periodovigente)                                                                                                                     ,A181) ,'Cuadro tarifario'!A$2:A376,0) -1 , 0 , 1 , 1) )   , 0  ,   OFFSET(   'Cuadro tarifario'!D$2  , MATCH(CONCATENATE( IF(F181&gt;Mes,OFFSET(NroCT!B$17, MATCH($F181,NroCT!$A$18:$A376,0),0,1,1),Periodovigente) ,A181) ,'Cuadro tarifario'!A$2:A376,0) -1 , 0 , 1 , 1))</f>
        <v>9000</v>
      </c>
      <c r="I181" s="25">
        <f>INT(IF(F181,DAYS360(          DATE(YEAR(E181),MONTH(E181),1),         DATE(YEAR(F181)     ,      MONTH(F181),1 )    )            /30,0 ))</f>
        <v>0</v>
      </c>
      <c r="J181" s="24">
        <f t="shared" si="2"/>
        <v>0</v>
      </c>
      <c r="K181" s="26">
        <f>IF(  AND(M181&gt;0,I181=0)          ,M181 ,                         IF(  IF( F181 ,  DAYS360(DATE(YEAR(F181),MONTH(F181),1),Mes)/30  ,  DAYS360(DATE(YEAR(E181),MONTH(E181),1),Mes)/30  )  &gt;  0 , IF(F181,   DAYS360(DATE(YEAR(F181),MONTH(F181),1),Mes)/30  ,  DAYS360(DATE(YEAR(E181),MONTH(E181),1),Mes)/30) , 0)       )</f>
        <v>90</v>
      </c>
      <c r="L181" s="27">
        <f>IF(ISERROR(K:K*H:H)   ,  0   ,   K:K*H:H)</f>
        <v>810000</v>
      </c>
      <c r="M181" s="173"/>
      <c r="N181" s="130"/>
      <c r="O181" s="31"/>
      <c r="P181" s="31"/>
      <c r="Q181" s="31"/>
      <c r="R181" s="31"/>
      <c r="S181" s="31"/>
      <c r="T181" s="31"/>
    </row>
    <row r="182" ht="15.0" customHeight="1">
      <c r="A182" s="33" t="s">
        <v>40</v>
      </c>
      <c r="B182" s="33" t="s">
        <v>116</v>
      </c>
      <c r="C182" s="574">
        <v>1290.0</v>
      </c>
      <c r="D182" s="34" t="str">
        <f>if(   iserror(offset(PADRON!B$2,match(C:C,PADRON!A$2:A376,0)-1,0,1,1) )  ,  ,    offset(PADRON!B$2,match(C:C,PADRON!A$2:A376,0)-1,0,1,1))</f>
        <v>CALVELO, FEDERICO</v>
      </c>
      <c r="E182" s="22">
        <v>43132.0</v>
      </c>
      <c r="F182" s="22"/>
      <c r="G182" s="23" t="s">
        <v>56</v>
      </c>
      <c r="H182" s="35">
        <f>IF( ISERROR( OFFSET(   'Cuadro tarifario'!D$2  , MATCH(CONCATENATE(                 IF(F182&gt;Mes,OFFSET(NroCT!B$17, MATCH($F182,NroCT!$A$18:$A376,0),0,1,1),Periodovigente)                                                                                                                     ,A182) ,'Cuadro tarifario'!A$2:A376,0) -1 , 0 , 1 , 1) )   , 0  ,   OFFSET(   'Cuadro tarifario'!D$2  , MATCH(CONCATENATE( IF(F182&gt;Mes,OFFSET(NroCT!B$17, MATCH($F182,NroCT!$A$18:$A376,0),0,1,1),Periodovigente) ,A182) ,'Cuadro tarifario'!A$2:A376,0) -1 , 0 , 1 , 1))</f>
        <v>12000</v>
      </c>
      <c r="I182" s="36">
        <f t="shared" ref="I182:I184" si="28">Int(If(F182,DAYS360(          date(Year(E182),Month(E182),1),         date(Year(F182)     ,      Month(F182),1 )    )            /30,0 ))</f>
        <v>0</v>
      </c>
      <c r="J182" s="37">
        <f t="shared" si="2"/>
        <v>0</v>
      </c>
      <c r="K182" s="38">
        <f>if(  and(M182&gt;0,I182=0)          ,M182 ,                         If(  If( F182 ,  DAYS360(date(year(F182),month(F182),1),Mes)/30  ,  DAYS360(date(year(E182),month(E182),1),Mes)/30  )  &gt;  0 , If(F182,   DAYS360(date(year(F182),month(F182),1),Mes)/30  ,  DAYS360(date(year(E182),month(E182),1),Mes)/30) , 0)       )</f>
        <v>90</v>
      </c>
      <c r="L182" s="39">
        <f t="shared" ref="L182:L184" si="29">If(Iserror(K:K*H:H)   ,  0   ,   K:K*H:H)</f>
        <v>1080000</v>
      </c>
      <c r="M182" s="173"/>
      <c r="N182" s="130"/>
      <c r="O182" s="31"/>
      <c r="P182" s="31"/>
      <c r="Q182" s="31"/>
      <c r="R182" s="31"/>
      <c r="S182" s="31"/>
      <c r="T182" s="31"/>
    </row>
    <row r="183" ht="15.0" customHeight="1">
      <c r="A183" s="41" t="s">
        <v>42</v>
      </c>
      <c r="B183" s="41" t="s">
        <v>4983</v>
      </c>
      <c r="C183" s="574">
        <v>1290.0</v>
      </c>
      <c r="D183" s="34" t="str">
        <f>if(   iserror(offset(PADRON!B$2,match(C:C,PADRON!A$2:A376,0)-1,0,1,1) )  ,  ,    offset(PADRON!B$2,match(C:C,PADRON!A$2:A376,0)-1,0,1,1))</f>
        <v>CALVELO, FEDERICO</v>
      </c>
      <c r="E183" s="22">
        <v>42705.0</v>
      </c>
      <c r="F183" s="22"/>
      <c r="G183" s="23" t="s">
        <v>56</v>
      </c>
      <c r="H183" s="35">
        <f>IF( ISERROR( OFFSET(   'Cuadro tarifario'!D$2  , MATCH(CONCATENATE(                 IF(F183&gt;Mes,OFFSET(NroCT!B$17, MATCH($F183,NroCT!$A$18:$A376,0),0,1,1),Periodovigente)                                                                                                                     ,A183) ,'Cuadro tarifario'!A$2:A376,0) -1 , 0 , 1 , 1) )   , 0  ,   OFFSET(   'Cuadro tarifario'!D$2  , MATCH(CONCATENATE( IF(F183&gt;Mes,OFFSET(NroCT!B$17, MATCH($F183,NroCT!$A$18:$A376,0),0,1,1),Periodovigente) ,A183) ,'Cuadro tarifario'!A$2:A376,0) -1 , 0 , 1 , 1))</f>
        <v>4000</v>
      </c>
      <c r="I183" s="36">
        <f t="shared" si="28"/>
        <v>0</v>
      </c>
      <c r="J183" s="37">
        <f t="shared" si="2"/>
        <v>0</v>
      </c>
      <c r="K183" s="38">
        <f>if(  and(M183&gt;0,I183=0)          ,M183 ,                         If(  If( F183 ,  DAYS360(date(year(F183),month(F183),1),Mes)/30  ,  DAYS360(date(year(E183),month(E183),1),Mes)/30  )  &gt;  0 , If(F183,   DAYS360(date(year(F183),month(F183),1),Mes)/30  ,  DAYS360(date(year(E183),month(E183),1),Mes)/30) , 0)       )</f>
        <v>104</v>
      </c>
      <c r="L183" s="39">
        <f t="shared" si="29"/>
        <v>416000</v>
      </c>
      <c r="M183" s="173"/>
      <c r="N183" s="130"/>
      <c r="O183" s="31"/>
      <c r="P183" s="31"/>
      <c r="Q183" s="31"/>
      <c r="R183" s="31"/>
      <c r="S183" s="31"/>
      <c r="T183" s="31"/>
    </row>
    <row r="184" ht="15.0" customHeight="1">
      <c r="A184" s="54" t="s">
        <v>71</v>
      </c>
      <c r="B184" s="54">
        <v>1351.0</v>
      </c>
      <c r="C184" s="574">
        <v>1351.0</v>
      </c>
      <c r="D184" s="34" t="str">
        <f>if(   iserror(offset(PADRON!B$2,match(C:C,PADRON!A$2:A376,0)-1,0,1,1) )  ,  ,    offset(PADRON!B$2,match(C:C,PADRON!A$2:A376,0)-1,0,1,1))</f>
        <v>NIEVAS, MAURICIO</v>
      </c>
      <c r="E184" s="22">
        <v>42795.0</v>
      </c>
      <c r="F184" s="22"/>
      <c r="G184" s="23" t="s">
        <v>56</v>
      </c>
      <c r="H184" s="35">
        <f>IF( ISERROR( OFFSET(   'Cuadro tarifario'!D$2  , MATCH(CONCATENATE(                 IF(F184&gt;Mes,OFFSET(NroCT!B$17, MATCH($F184,NroCT!$A$18:$A376,0),0,1,1),Periodovigente)                                                                                                                     ,A184) ,'Cuadro tarifario'!A$2:A376,0) -1 , 0 , 1 , 1) )   , 0  ,   OFFSET(   'Cuadro tarifario'!D$2  , MATCH(CONCATENATE( IF(F184&gt;Mes,OFFSET(NroCT!B$17, MATCH($F184,NroCT!$A$18:$A376,0),0,1,1),Periodovigente) ,A184) ,'Cuadro tarifario'!A$2:A376,0) -1 , 0 , 1 , 1))</f>
        <v>11000</v>
      </c>
      <c r="I184" s="36">
        <f t="shared" si="28"/>
        <v>0</v>
      </c>
      <c r="J184" s="37">
        <f t="shared" si="2"/>
        <v>0</v>
      </c>
      <c r="K184" s="38">
        <f>if(  and(M184&gt;0,I184=0)          ,M184 ,                         If(  If( F184 ,  DAYS360(date(year(F184),month(F184),1),Mes)/30  ,  DAYS360(date(year(E184),month(E184),1),Mes)/30  )  &gt;  0 , If(F184,   DAYS360(date(year(F184),month(F184),1),Mes)/30  ,  DAYS360(date(year(E184),month(E184),1),Mes)/30) , 0)       )</f>
        <v>101</v>
      </c>
      <c r="L184" s="39">
        <f t="shared" si="29"/>
        <v>1111000</v>
      </c>
      <c r="M184" s="173"/>
      <c r="N184" s="130"/>
      <c r="O184" s="31"/>
      <c r="P184" s="31"/>
      <c r="Q184" s="31"/>
      <c r="R184" s="31"/>
      <c r="S184" s="31"/>
      <c r="T184" s="31"/>
    </row>
    <row r="185" ht="15.0" customHeight="1">
      <c r="A185" s="18" t="s">
        <v>38</v>
      </c>
      <c r="B185" s="17">
        <v>1351.0</v>
      </c>
      <c r="C185" s="628">
        <v>1351.0</v>
      </c>
      <c r="D185" s="20" t="str">
        <f>IF(   ISERROR(OFFSET(PADRON!B$2,MATCH(C:C,PADRON!A$2:A376,0)-1,0,1,1) )  ,  ,    OFFSET(PADRON!B$2,MATCH(C:C,PADRON!A$2:A376,0)-1,0,1,1))</f>
        <v>NIEVAS, MAURICIO</v>
      </c>
      <c r="E185" s="21">
        <v>43040.0</v>
      </c>
      <c r="F185" s="629"/>
      <c r="G185" s="23" t="s">
        <v>56</v>
      </c>
      <c r="H185" s="24">
        <f>IF( ISERROR( OFFSET(   'Cuadro tarifario'!D$2  , MATCH(CONCATENATE(                 IF(F185&gt;Mes,OFFSET(NroCT!B$17, MATCH($F185,NroCT!$A$18:$A376,0),0,1,1),Periodovigente)                                                                                                                     ,A185) ,'Cuadro tarifario'!A$2:A376,0) -1 , 0 , 1 , 1) )   , 0  ,   OFFSET(   'Cuadro tarifario'!D$2  , MATCH(CONCATENATE( IF(F185&gt;Mes,OFFSET(NroCT!B$17, MATCH($F185,NroCT!$A$18:$A376,0),0,1,1),Periodovigente) ,A185) ,'Cuadro tarifario'!A$2:A376,0) -1 , 0 , 1 , 1))</f>
        <v>9000</v>
      </c>
      <c r="I185" s="25">
        <f>INT(IF(F185,DAYS360(          DATE(YEAR(E185),MONTH(E185),1),         DATE(YEAR(F185)     ,      MONTH(F185),1 )    )            /30,0 ))</f>
        <v>0</v>
      </c>
      <c r="J185" s="24">
        <f t="shared" si="2"/>
        <v>0</v>
      </c>
      <c r="K185" s="26">
        <f>IF(  AND(M185&gt;0,I185=0)          ,M185 ,                         IF(  IF( F185 ,  DAYS360(DATE(YEAR(F185),MONTH(F185),1),Mes)/30  ,  DAYS360(DATE(YEAR(E185),MONTH(E185),1),Mes)/30  )  &gt;  0 , IF(F185,   DAYS360(DATE(YEAR(F185),MONTH(F185),1),Mes)/30  ,  DAYS360(DATE(YEAR(E185),MONTH(E185),1),Mes)/30) , 0)       )</f>
        <v>93</v>
      </c>
      <c r="L185" s="27">
        <f>IF(ISERROR(K:K*H:H)   ,  0   ,   K:K*H:H)</f>
        <v>837000</v>
      </c>
      <c r="M185" s="173"/>
      <c r="N185" s="130"/>
      <c r="O185" s="31"/>
      <c r="P185" s="31"/>
      <c r="Q185" s="31"/>
      <c r="R185" s="31"/>
      <c r="S185" s="31"/>
      <c r="T185" s="31"/>
    </row>
    <row r="186" ht="15.0" customHeight="1">
      <c r="A186" s="54" t="s">
        <v>71</v>
      </c>
      <c r="B186" s="54">
        <v>1371.0</v>
      </c>
      <c r="C186" s="574">
        <v>1371.0</v>
      </c>
      <c r="D186" s="34" t="str">
        <f>if(   iserror(offset(PADRON!B$2,match(C:C,PADRON!A$2:A376,0)-1,0,1,1) )  ,  ,    offset(PADRON!B$2,match(C:C,PADRON!A$2:A376,0)-1,0,1,1))</f>
        <v>MAZZINI, HORACIO</v>
      </c>
      <c r="E186" s="22">
        <v>42948.0</v>
      </c>
      <c r="F186" s="22"/>
      <c r="G186" s="23" t="s">
        <v>56</v>
      </c>
      <c r="H186" s="35">
        <f>IF( ISERROR( OFFSET(   'Cuadro tarifario'!D$2  , MATCH(CONCATENATE(                 IF(F186&gt;Mes,OFFSET(NroCT!B$17, MATCH($F186,NroCT!$A$18:$A376,0),0,1,1),Periodovigente)                                                                                                                     ,A186) ,'Cuadro tarifario'!A$2:A376,0) -1 , 0 , 1 , 1) )   , 0  ,   OFFSET(   'Cuadro tarifario'!D$2  , MATCH(CONCATENATE( IF(F186&gt;Mes,OFFSET(NroCT!B$17, MATCH($F186,NroCT!$A$18:$A376,0),0,1,1),Periodovigente) ,A186) ,'Cuadro tarifario'!A$2:A376,0) -1 , 0 , 1 , 1))</f>
        <v>11000</v>
      </c>
      <c r="I186" s="36">
        <f>Int(If(F186,DAYS360(          date(Year(E186),Month(E186),1),         date(Year(F186)     ,      Month(F186),1 )    )            /30,0 ))</f>
        <v>0</v>
      </c>
      <c r="J186" s="37">
        <f t="shared" si="2"/>
        <v>0</v>
      </c>
      <c r="K186" s="38">
        <f>if(  and(M186&gt;0,I186=0)          ,M186 ,                         If(  If( F186 ,  DAYS360(date(year(F186),month(F186),1),Mes)/30  ,  DAYS360(date(year(E186),month(E186),1),Mes)/30  )  &gt;  0 , If(F186,   DAYS360(date(year(F186),month(F186),1),Mes)/30  ,  DAYS360(date(year(E186),month(E186),1),Mes)/30) , 0)       )</f>
        <v>96</v>
      </c>
      <c r="L186" s="39">
        <f>If(Iserror(K:K*H:H)   ,  0   ,   K:K*H:H)</f>
        <v>1056000</v>
      </c>
      <c r="M186" s="173"/>
      <c r="N186" s="130"/>
      <c r="O186" s="31"/>
      <c r="P186" s="31"/>
      <c r="Q186" s="31"/>
      <c r="R186" s="31"/>
      <c r="S186" s="31"/>
      <c r="T186" s="31"/>
    </row>
    <row r="187" ht="15.0" customHeight="1">
      <c r="A187" s="18" t="s">
        <v>38</v>
      </c>
      <c r="B187" s="17">
        <v>1371.0</v>
      </c>
      <c r="C187" s="628">
        <v>1371.0</v>
      </c>
      <c r="D187" s="20" t="str">
        <f>IF(   ISERROR(OFFSET(PADRON!B$2,MATCH(C:C,PADRON!A$2:A376,0)-1,0,1,1) )  ,  ,    OFFSET(PADRON!B$2,MATCH(C:C,PADRON!A$2:A376,0)-1,0,1,1))</f>
        <v>MAZZINI, HORACIO</v>
      </c>
      <c r="E187" s="21">
        <v>43040.0</v>
      </c>
      <c r="F187" s="629"/>
      <c r="G187" s="23" t="s">
        <v>56</v>
      </c>
      <c r="H187" s="24">
        <f>IF( ISERROR( OFFSET(   'Cuadro tarifario'!D$2  , MATCH(CONCATENATE(                 IF(F187&gt;Mes,OFFSET(NroCT!B$17, MATCH($F187,NroCT!$A$18:$A376,0),0,1,1),Periodovigente)                                                                                                                     ,A187) ,'Cuadro tarifario'!A$2:A376,0) -1 , 0 , 1 , 1) )   , 0  ,   OFFSET(   'Cuadro tarifario'!D$2  , MATCH(CONCATENATE( IF(F187&gt;Mes,OFFSET(NroCT!B$17, MATCH($F187,NroCT!$A$18:$A376,0),0,1,1),Periodovigente) ,A187) ,'Cuadro tarifario'!A$2:A376,0) -1 , 0 , 1 , 1))</f>
        <v>9000</v>
      </c>
      <c r="I187" s="25">
        <f>INT(IF(F187,DAYS360(          DATE(YEAR(E187),MONTH(E187),1),         DATE(YEAR(F187)     ,      MONTH(F187),1 )    )            /30,0 ))</f>
        <v>0</v>
      </c>
      <c r="J187" s="24">
        <f t="shared" si="2"/>
        <v>0</v>
      </c>
      <c r="K187" s="26">
        <f>IF(  AND(M187&gt;0,I187=0)          ,M187 ,                         IF(  IF( F187 ,  DAYS360(DATE(YEAR(F187),MONTH(F187),1),Mes)/30  ,  DAYS360(DATE(YEAR(E187),MONTH(E187),1),Mes)/30  )  &gt;  0 , IF(F187,   DAYS360(DATE(YEAR(F187),MONTH(F187),1),Mes)/30  ,  DAYS360(DATE(YEAR(E187),MONTH(E187),1),Mes)/30) , 0)       )</f>
        <v>93</v>
      </c>
      <c r="L187" s="27">
        <f>IF(ISERROR(K:K*H:H)   ,  0   ,   K:K*H:H)</f>
        <v>837000</v>
      </c>
      <c r="M187" s="173"/>
      <c r="N187" s="130"/>
      <c r="O187" s="31"/>
      <c r="P187" s="31"/>
      <c r="Q187" s="31"/>
      <c r="R187" s="31"/>
      <c r="S187" s="31"/>
      <c r="T187" s="31"/>
    </row>
    <row r="188" ht="15.0" customHeight="1">
      <c r="A188" s="79" t="s">
        <v>82</v>
      </c>
      <c r="B188" s="79" t="s">
        <v>4310</v>
      </c>
      <c r="C188" s="574">
        <v>1371.0</v>
      </c>
      <c r="D188" s="34" t="str">
        <f>if(   iserror(offset(PADRON!B$2,match(C:C,PADRON!A$2:A376,0)-1,0,1,1) )  ,  ,    offset(PADRON!B$2,match(C:C,PADRON!A$2:A376,0)-1,0,1,1))</f>
        <v>MAZZINI, HORACIO</v>
      </c>
      <c r="E188" s="22">
        <v>42948.0</v>
      </c>
      <c r="F188" s="22"/>
      <c r="G188" s="23" t="s">
        <v>56</v>
      </c>
      <c r="H188" s="80">
        <f>IF( ISERROR( OFFSET(   'Cuadro tarifario'!D$2  , MATCH(CONCATENATE(                 IF(F188&gt;Mes,OFFSET(NroCT!B$17, MATCH($F188,NroCT!$A$18:$A376,0),0,1,1),Periodovigente)                                                                                                                     ,A188) ,'Cuadro tarifario'!A$2:A376,0) -1 , 0 , 1 , 1) )   , 0  ,   OFFSET(   'Cuadro tarifario'!D$2  , MATCH(CONCATENATE( IF(F188&gt;Mes,OFFSET(NroCT!B$17, MATCH($F188,NroCT!$A$18:$A376,0),0,1,1),Periodovigente) ,A188) ,'Cuadro tarifario'!A$2:A376,0) -1 , 0 , 1 , 1))</f>
        <v>12000</v>
      </c>
      <c r="I188" s="36">
        <f t="shared" ref="I188:I190" si="30">Int(If(F188,DAYS360(          date(Year(E188),Month(E188),1),         date(Year(F188)     ,      Month(F188),1 )    )            /30,0 ))</f>
        <v>0</v>
      </c>
      <c r="J188" s="36">
        <f t="shared" si="2"/>
        <v>0</v>
      </c>
      <c r="K188" s="38">
        <f>if(  and(M188&gt;0,I188=0)          ,M188 ,                         If(  If( F188 ,  DAYS360(date(year(F188),month(F188),1),Mes)/30  ,  DAYS360(date(year(E188),month(E188),1),Mes)/30  )  &gt;  0 , If(F188,   DAYS360(date(year(F188),month(F188),1),Mes)/30  ,  DAYS360(date(year(E188),month(E188),1),Mes)/30) , 0)       )</f>
        <v>96</v>
      </c>
      <c r="L188" s="38">
        <f t="shared" ref="L188:L190" si="31">If(Iserror(K:K*H:H)   ,  0   ,   K:K*H:H)</f>
        <v>1152000</v>
      </c>
      <c r="M188" s="173"/>
      <c r="N188" s="130"/>
      <c r="O188" s="31"/>
      <c r="P188" s="31"/>
      <c r="Q188" s="31"/>
      <c r="R188" s="31"/>
      <c r="S188" s="31"/>
      <c r="T188" s="31"/>
    </row>
    <row r="189" ht="15.0" customHeight="1">
      <c r="A189" s="42" t="s">
        <v>50</v>
      </c>
      <c r="B189" s="42" t="s">
        <v>90</v>
      </c>
      <c r="C189" s="574">
        <v>1371.0</v>
      </c>
      <c r="D189" s="34" t="str">
        <f>if(   iserror(offset(PADRON!B$2,match(C:C,PADRON!A$2:A376,0)-1,0,1,1) )  ,  ,    offset(PADRON!B$2,match(C:C,PADRON!A$2:A376,0)-1,0,1,1))</f>
        <v>MAZZINI, HORACIO</v>
      </c>
      <c r="E189" s="22">
        <v>43070.0</v>
      </c>
      <c r="F189" s="22"/>
      <c r="G189" s="23" t="s">
        <v>56</v>
      </c>
      <c r="H189" s="35">
        <f>IF( ISERROR( OFFSET(   'Cuadro tarifario'!D$2  , MATCH(CONCATENATE(                 IF(F189&gt;Mes,OFFSET(NroCT!B$17, MATCH($F189,NroCT!$A$18:$A376,0),0,1,1),Periodovigente)                                                                                                                     ,A189) ,'Cuadro tarifario'!A$2:A376,0) -1 , 0 , 1 , 1) )   , 0  ,   OFFSET(   'Cuadro tarifario'!D$2  , MATCH(CONCATENATE( IF(F189&gt;Mes,OFFSET(NroCT!B$17, MATCH($F189,NroCT!$A$18:$A376,0),0,1,1),Periodovigente) ,A189) ,'Cuadro tarifario'!A$2:A376,0) -1 , 0 , 1 , 1))</f>
        <v>3600</v>
      </c>
      <c r="I189" s="36">
        <f t="shared" si="30"/>
        <v>0</v>
      </c>
      <c r="J189" s="37">
        <f t="shared" si="2"/>
        <v>0</v>
      </c>
      <c r="K189" s="38">
        <f>if(  and(M189&gt;0,I189=0)          ,M189 ,                         If(  If( F189 ,  DAYS360(date(year(F189),month(F189),1),Mes)/30  ,  DAYS360(date(year(E189),month(E189),1),Mes)/30  )  &gt;  0 , If(F189,   DAYS360(date(year(F189),month(F189),1),Mes)/30  ,  DAYS360(date(year(E189),month(E189),1),Mes)/30) , 0)       )</f>
        <v>92</v>
      </c>
      <c r="L189" s="39">
        <f t="shared" si="31"/>
        <v>331200</v>
      </c>
      <c r="M189" s="173"/>
      <c r="N189" s="130"/>
      <c r="O189" s="31"/>
      <c r="P189" s="31"/>
      <c r="Q189" s="31"/>
      <c r="R189" s="31"/>
      <c r="S189" s="31"/>
      <c r="T189" s="31"/>
    </row>
    <row r="190" ht="15.0" customHeight="1">
      <c r="A190" s="54" t="s">
        <v>71</v>
      </c>
      <c r="B190" s="54">
        <v>1406.0</v>
      </c>
      <c r="C190" s="574">
        <v>1406.0</v>
      </c>
      <c r="D190" s="34" t="str">
        <f>if(   iserror(offset(PADRON!B$2,match(C:C,PADRON!A$2:A376,0)-1,0,1,1) )  ,  ,    offset(PADRON!B$2,match(C:C,PADRON!A$2:A376,0)-1,0,1,1))</f>
        <v>CLAUSEN, FERNANDO</v>
      </c>
      <c r="E190" s="22">
        <v>43497.0</v>
      </c>
      <c r="F190" s="22"/>
      <c r="G190" s="23" t="s">
        <v>56</v>
      </c>
      <c r="H190" s="35">
        <f>IF( ISERROR( OFFSET(   'Cuadro tarifario'!D$2  , MATCH(CONCATENATE(                 IF(F190&gt;Mes,OFFSET(NroCT!B$17, MATCH($F190,NroCT!$A$18:$A376,0),0,1,1),Periodovigente)                                                                                                                     ,A190) ,'Cuadro tarifario'!A$2:A376,0) -1 , 0 , 1 , 1) )   , 0  ,   OFFSET(   'Cuadro tarifario'!D$2  , MATCH(CONCATENATE( IF(F190&gt;Mes,OFFSET(NroCT!B$17, MATCH($F190,NroCT!$A$18:$A376,0),0,1,1),Periodovigente) ,A190) ,'Cuadro tarifario'!A$2:A376,0) -1 , 0 , 1 , 1))</f>
        <v>11000</v>
      </c>
      <c r="I190" s="36">
        <f t="shared" si="30"/>
        <v>0</v>
      </c>
      <c r="J190" s="37">
        <f t="shared" si="2"/>
        <v>0</v>
      </c>
      <c r="K190" s="38">
        <f>if(  and(M190&gt;0,I190=0)          ,M190 ,                         If(  If( F190 ,  DAYS360(date(year(F190),month(F190),1),Mes)/30  ,  DAYS360(date(year(E190),month(E190),1),Mes)/30  )  &gt;  0 , If(F190,   DAYS360(date(year(F190),month(F190),1),Mes)/30  ,  DAYS360(date(year(E190),month(E190),1),Mes)/30) , 0)       )</f>
        <v>78</v>
      </c>
      <c r="L190" s="39">
        <f t="shared" si="31"/>
        <v>858000</v>
      </c>
      <c r="M190" s="173"/>
      <c r="N190" s="130"/>
      <c r="O190" s="31"/>
      <c r="P190" s="31"/>
      <c r="Q190" s="31"/>
      <c r="R190" s="31"/>
      <c r="S190" s="31"/>
      <c r="T190" s="31"/>
    </row>
    <row r="191" ht="15.0" customHeight="1">
      <c r="A191" s="18" t="s">
        <v>38</v>
      </c>
      <c r="B191" s="17">
        <v>1406.0</v>
      </c>
      <c r="C191" s="628">
        <v>1406.0</v>
      </c>
      <c r="D191" s="20" t="str">
        <f>IF(   ISERROR(OFFSET(PADRON!B$2,MATCH(C:C,PADRON!A$2:A376,0)-1,0,1,1) )  ,  ,    OFFSET(PADRON!B$2,MATCH(C:C,PADRON!A$2:A376,0)-1,0,1,1))</f>
        <v>CLAUSEN, FERNANDO</v>
      </c>
      <c r="E191" s="21">
        <v>43497.0</v>
      </c>
      <c r="F191" s="21"/>
      <c r="G191" s="23" t="s">
        <v>56</v>
      </c>
      <c r="H191" s="24">
        <f>IF( ISERROR( OFFSET(   'Cuadro tarifario'!D$2  , MATCH(CONCATENATE(                 IF(F191&gt;Mes,OFFSET(NroCT!B$17, MATCH($F191,NroCT!$A$18:$A376,0),0,1,1),Periodovigente)                                                                                                                     ,A191) ,'Cuadro tarifario'!A$2:A376,0) -1 , 0 , 1 , 1) )   , 0  ,   OFFSET(   'Cuadro tarifario'!D$2  , MATCH(CONCATENATE( IF(F191&gt;Mes,OFFSET(NroCT!B$17, MATCH($F191,NroCT!$A$18:$A376,0),0,1,1),Periodovigente) ,A191) ,'Cuadro tarifario'!A$2:A376,0) -1 , 0 , 1 , 1))</f>
        <v>9000</v>
      </c>
      <c r="I191" s="25">
        <f>INT(IF(F191,DAYS360(          DATE(YEAR(E191),MONTH(E191),1),         DATE(YEAR(F191)     ,      MONTH(F191),1 )    )            /30,0 ))</f>
        <v>0</v>
      </c>
      <c r="J191" s="24">
        <f t="shared" si="2"/>
        <v>0</v>
      </c>
      <c r="K191" s="26">
        <f>IF(  AND(M191&gt;0,I191=0)          ,M191 ,                         IF(  IF( F191 ,  DAYS360(DATE(YEAR(F191),MONTH(F191),1),Mes)/30  ,  DAYS360(DATE(YEAR(E191),MONTH(E191),1),Mes)/30  )  &gt;  0 , IF(F191,   DAYS360(DATE(YEAR(F191),MONTH(F191),1),Mes)/30  ,  DAYS360(DATE(YEAR(E191),MONTH(E191),1),Mes)/30) , 0)       )</f>
        <v>78</v>
      </c>
      <c r="L191" s="27">
        <f>IF(ISERROR(K:K*H:H)   ,  0   ,   K:K*H:H)</f>
        <v>702000</v>
      </c>
      <c r="M191" s="173"/>
      <c r="N191" s="130"/>
      <c r="O191" s="31"/>
      <c r="P191" s="31"/>
      <c r="Q191" s="31"/>
      <c r="R191" s="31"/>
      <c r="S191" s="31"/>
      <c r="T191" s="31"/>
    </row>
    <row r="192" ht="15.0" customHeight="1">
      <c r="A192" s="54" t="s">
        <v>71</v>
      </c>
      <c r="B192" s="54">
        <v>1440.0</v>
      </c>
      <c r="C192" s="574">
        <v>1440.0</v>
      </c>
      <c r="D192" s="34" t="str">
        <f>if(   iserror(offset(PADRON!B$2,match(C:C,PADRON!A$2:A376,0)-1,0,1,1) )  ,  ,    offset(PADRON!B$2,match(C:C,PADRON!A$2:A376,0)-1,0,1,1))</f>
        <v>DALLA VIA, MARIA JOSE</v>
      </c>
      <c r="E192" s="22">
        <v>42887.0</v>
      </c>
      <c r="F192" s="22"/>
      <c r="G192" s="23" t="s">
        <v>56</v>
      </c>
      <c r="H192" s="35">
        <f>IF( ISERROR( OFFSET(   'Cuadro tarifario'!D$2  , MATCH(CONCATENATE(                 IF(F192&gt;Mes,OFFSET(NroCT!B$17, MATCH($F192,NroCT!$A$18:$A376,0),0,1,1),Periodovigente)                                                                                                                     ,A192) ,'Cuadro tarifario'!A$2:A376,0) -1 , 0 , 1 , 1) )   , 0  ,   OFFSET(   'Cuadro tarifario'!D$2  , MATCH(CONCATENATE( IF(F192&gt;Mes,OFFSET(NroCT!B$17, MATCH($F192,NroCT!$A$18:$A376,0),0,1,1),Periodovigente) ,A192) ,'Cuadro tarifario'!A$2:A376,0) -1 , 0 , 1 , 1))</f>
        <v>11000</v>
      </c>
      <c r="I192" s="36">
        <f>Int(If(F192,DAYS360(          date(Year(E192),Month(E192),1),         date(Year(F192)     ,      Month(F192),1 )    )            /30,0 ))</f>
        <v>0</v>
      </c>
      <c r="J192" s="37">
        <f t="shared" si="2"/>
        <v>0</v>
      </c>
      <c r="K192" s="38">
        <f>if(  and(M192&gt;0,I192=0)          ,M192 ,                         If(  If( F192 ,  DAYS360(date(year(F192),month(F192),1),Mes)/30  ,  DAYS360(date(year(E192),month(E192),1),Mes)/30  )  &gt;  0 , If(F192,   DAYS360(date(year(F192),month(F192),1),Mes)/30  ,  DAYS360(date(year(E192),month(E192),1),Mes)/30) , 0)       )</f>
        <v>98</v>
      </c>
      <c r="L192" s="39">
        <f>If(Iserror(K:K*H:H)   ,  0   ,   K:K*H:H)</f>
        <v>1078000</v>
      </c>
      <c r="M192" s="173"/>
      <c r="N192" s="130"/>
      <c r="O192" s="31"/>
      <c r="P192" s="31"/>
      <c r="Q192" s="31"/>
      <c r="R192" s="31"/>
      <c r="S192" s="31"/>
      <c r="T192" s="31"/>
    </row>
    <row r="193" ht="15.0" customHeight="1">
      <c r="A193" s="18" t="s">
        <v>38</v>
      </c>
      <c r="B193" s="17">
        <v>1440.0</v>
      </c>
      <c r="C193" s="628">
        <v>1440.0</v>
      </c>
      <c r="D193" s="20" t="str">
        <f>IF(   ISERROR(OFFSET(PADRON!B$2,MATCH(C:C,PADRON!A$2:A376,0)-1,0,1,1) )  ,  ,    OFFSET(PADRON!B$2,MATCH(C:C,PADRON!A$2:A376,0)-1,0,1,1))</f>
        <v>DALLA VIA, MARIA JOSE</v>
      </c>
      <c r="E193" s="21">
        <v>43040.0</v>
      </c>
      <c r="F193" s="629"/>
      <c r="G193" s="23" t="s">
        <v>56</v>
      </c>
      <c r="H193" s="24">
        <f>IF( ISERROR( OFFSET(   'Cuadro tarifario'!D$2  , MATCH(CONCATENATE(                 IF(F193&gt;Mes,OFFSET(NroCT!B$17, MATCH($F193,NroCT!$A$18:$A376,0),0,1,1),Periodovigente)                                                                                                                     ,A193) ,'Cuadro tarifario'!A$2:A376,0) -1 , 0 , 1 , 1) )   , 0  ,   OFFSET(   'Cuadro tarifario'!D$2  , MATCH(CONCATENATE( IF(F193&gt;Mes,OFFSET(NroCT!B$17, MATCH($F193,NroCT!$A$18:$A376,0),0,1,1),Periodovigente) ,A193) ,'Cuadro tarifario'!A$2:A376,0) -1 , 0 , 1 , 1))</f>
        <v>9000</v>
      </c>
      <c r="I193" s="25">
        <f>INT(IF(F193,DAYS360(          DATE(YEAR(E193),MONTH(E193),1),         DATE(YEAR(F193)     ,      MONTH(F193),1 )    )            /30,0 ))</f>
        <v>0</v>
      </c>
      <c r="J193" s="24">
        <f t="shared" si="2"/>
        <v>0</v>
      </c>
      <c r="K193" s="26">
        <f>IF(  AND(M193&gt;0,I193=0)          ,M193 ,                         IF(  IF( F193 ,  DAYS360(DATE(YEAR(F193),MONTH(F193),1),Mes)/30  ,  DAYS360(DATE(YEAR(E193),MONTH(E193),1),Mes)/30  )  &gt;  0 , IF(F193,   DAYS360(DATE(YEAR(F193),MONTH(F193),1),Mes)/30  ,  DAYS360(DATE(YEAR(E193),MONTH(E193),1),Mes)/30) , 0)       )</f>
        <v>93</v>
      </c>
      <c r="L193" s="27">
        <f>IF(ISERROR(K:K*H:H)   ,  0   ,   K:K*H:H)</f>
        <v>837000</v>
      </c>
      <c r="M193" s="173"/>
      <c r="N193" s="130"/>
      <c r="O193" s="31"/>
      <c r="P193" s="31"/>
      <c r="Q193" s="31"/>
      <c r="R193" s="31"/>
      <c r="S193" s="31"/>
      <c r="T193" s="31"/>
    </row>
    <row r="194" ht="15.0" customHeight="1">
      <c r="A194" s="54" t="s">
        <v>71</v>
      </c>
      <c r="B194" s="54">
        <v>1507.0</v>
      </c>
      <c r="C194" s="641">
        <v>1507.0</v>
      </c>
      <c r="D194" s="34" t="str">
        <f>if(   iserror(offset(PADRON!B$2,match(C:C,PADRON!A$2:A376,0)-1,0,1,1) )  ,  ,    offset(PADRON!B$2,match(C:C,PADRON!A$2:A376,0)-1,0,1,1))</f>
        <v>HERNANDEZ, MARIA FERNANDA</v>
      </c>
      <c r="E194" s="22">
        <v>43435.0</v>
      </c>
      <c r="F194" s="22"/>
      <c r="G194" s="23" t="s">
        <v>56</v>
      </c>
      <c r="H194" s="35">
        <f>IF( ISERROR( OFFSET(   'Cuadro tarifario'!D$2  , MATCH(CONCATENATE(                 IF(F194&gt;Mes,OFFSET(NroCT!B$17, MATCH($F194,NroCT!$A$18:$A376,0),0,1,1),Periodovigente)                                                                                                                     ,A194) ,'Cuadro tarifario'!A$2:A376,0) -1 , 0 , 1 , 1) )   , 0  ,   OFFSET(   'Cuadro tarifario'!D$2  , MATCH(CONCATENATE( IF(F194&gt;Mes,OFFSET(NroCT!B$17, MATCH($F194,NroCT!$A$18:$A376,0),0,1,1),Periodovigente) ,A194) ,'Cuadro tarifario'!A$2:A376,0) -1 , 0 , 1 , 1))</f>
        <v>11000</v>
      </c>
      <c r="I194" s="36">
        <f>Int(If(F194,DAYS360(          date(Year(E194),Month(E194),1),         date(Year(F194)     ,      Month(F194),1 )    )            /30,0 ))</f>
        <v>0</v>
      </c>
      <c r="J194" s="37">
        <f t="shared" si="2"/>
        <v>0</v>
      </c>
      <c r="K194" s="38">
        <f>if(  and(M194&gt;0,I194=0)          ,M194 ,                         If(  If( F194 ,  DAYS360(date(year(F194),month(F194),1),Mes)/30  ,  DAYS360(date(year(E194),month(E194),1),Mes)/30  )  &gt;  0 , If(F194,   DAYS360(date(year(F194),month(F194),1),Mes)/30  ,  DAYS360(date(year(E194),month(E194),1),Mes)/30) , 0)       )</f>
        <v>80</v>
      </c>
      <c r="L194" s="39">
        <f>If(Iserror(K:K*H:H)   ,  0   ,   K:K*H:H)</f>
        <v>880000</v>
      </c>
      <c r="M194" s="173"/>
      <c r="N194" s="130"/>
      <c r="O194" s="31"/>
      <c r="P194" s="31"/>
      <c r="Q194" s="31"/>
      <c r="R194" s="31"/>
      <c r="S194" s="31"/>
      <c r="T194" s="31"/>
    </row>
    <row r="195" ht="15.0" customHeight="1">
      <c r="A195" s="18" t="s">
        <v>38</v>
      </c>
      <c r="B195" s="17">
        <v>1507.0</v>
      </c>
      <c r="C195" s="628">
        <v>1507.0</v>
      </c>
      <c r="D195" s="20" t="str">
        <f>IF(   ISERROR(OFFSET(PADRON!B$2,MATCH(C:C,PADRON!A$2:A376,0)-1,0,1,1) )  ,  ,    OFFSET(PADRON!B$2,MATCH(C:C,PADRON!A$2:A376,0)-1,0,1,1))</f>
        <v>HERNANDEZ, MARIA FERNANDA</v>
      </c>
      <c r="E195" s="21">
        <v>43435.0</v>
      </c>
      <c r="F195" s="21"/>
      <c r="G195" s="23" t="s">
        <v>56</v>
      </c>
      <c r="H195" s="24">
        <f>IF( ISERROR( OFFSET(   'Cuadro tarifario'!D$2  , MATCH(CONCATENATE(                 IF(F195&gt;Mes,OFFSET(NroCT!B$17, MATCH($F195,NroCT!$A$18:$A376,0),0,1,1),Periodovigente)                                                                                                                     ,A195) ,'Cuadro tarifario'!A$2:A376,0) -1 , 0 , 1 , 1) )   , 0  ,   OFFSET(   'Cuadro tarifario'!D$2  , MATCH(CONCATENATE( IF(F195&gt;Mes,OFFSET(NroCT!B$17, MATCH($F195,NroCT!$A$18:$A376,0),0,1,1),Periodovigente) ,A195) ,'Cuadro tarifario'!A$2:A376,0) -1 , 0 , 1 , 1))</f>
        <v>9000</v>
      </c>
      <c r="I195" s="25">
        <f>INT(IF(F195,DAYS360(          DATE(YEAR(E195),MONTH(E195),1),         DATE(YEAR(F195)     ,      MONTH(F195),1 )    )            /30,0 ))</f>
        <v>0</v>
      </c>
      <c r="J195" s="24">
        <f t="shared" si="2"/>
        <v>0</v>
      </c>
      <c r="K195" s="26">
        <f>IF(  AND(M195&gt;0,I195=0)          ,M195 ,                         IF(  IF( F195 ,  DAYS360(DATE(YEAR(F195),MONTH(F195),1),Mes)/30  ,  DAYS360(DATE(YEAR(E195),MONTH(E195),1),Mes)/30  )  &gt;  0 , IF(F195,   DAYS360(DATE(YEAR(F195),MONTH(F195),1),Mes)/30  ,  DAYS360(DATE(YEAR(E195),MONTH(E195),1),Mes)/30) , 0)       )</f>
        <v>80</v>
      </c>
      <c r="L195" s="27">
        <f>IF(ISERROR(K:K*H:H)   ,  0   ,   K:K*H:H)</f>
        <v>720000</v>
      </c>
      <c r="M195" s="173"/>
      <c r="N195" s="130"/>
      <c r="O195" s="31"/>
      <c r="P195" s="31"/>
      <c r="Q195" s="31"/>
      <c r="R195" s="31"/>
      <c r="S195" s="31"/>
      <c r="T195" s="31"/>
    </row>
    <row r="196" ht="15.0" customHeight="1">
      <c r="A196" s="79" t="s">
        <v>82</v>
      </c>
      <c r="B196" s="79" t="s">
        <v>4319</v>
      </c>
      <c r="C196" s="641">
        <v>1507.0</v>
      </c>
      <c r="D196" s="34" t="str">
        <f>if(   iserror(offset(PADRON!B$2,match(C:C,PADRON!A$2:A376,0)-1,0,1,1) )  ,  ,    offset(PADRON!B$2,match(C:C,PADRON!A$2:A376,0)-1,0,1,1))</f>
        <v>HERNANDEZ, MARIA FERNANDA</v>
      </c>
      <c r="E196" s="22">
        <v>43435.0</v>
      </c>
      <c r="F196" s="22"/>
      <c r="G196" s="23" t="s">
        <v>56</v>
      </c>
      <c r="H196" s="80">
        <f>IF( ISERROR( OFFSET(   'Cuadro tarifario'!D$2  , MATCH(CONCATENATE(                 IF(F196&gt;Mes,OFFSET(NroCT!B$17, MATCH($F196,NroCT!$A$18:$A376,0),0,1,1),Periodovigente)                                                                                                                     ,A196) ,'Cuadro tarifario'!A$2:A376,0) -1 , 0 , 1 , 1) )   , 0  ,   OFFSET(   'Cuadro tarifario'!D$2  , MATCH(CONCATENATE( IF(F196&gt;Mes,OFFSET(NroCT!B$17, MATCH($F196,NroCT!$A$18:$A376,0),0,1,1),Periodovigente) ,A196) ,'Cuadro tarifario'!A$2:A376,0) -1 , 0 , 1 , 1))</f>
        <v>12000</v>
      </c>
      <c r="I196" s="36">
        <f t="shared" ref="I196:I197" si="32">Int(If(F196,DAYS360(          date(Year(E196),Month(E196),1),         date(Year(F196)     ,      Month(F196),1 )    )            /30,0 ))</f>
        <v>0</v>
      </c>
      <c r="J196" s="36">
        <f t="shared" si="2"/>
        <v>0</v>
      </c>
      <c r="K196" s="38">
        <f>if(  and(M196&gt;0,I196=0)          ,M196 ,                         If(  If( F196 ,  DAYS360(date(year(F196),month(F196),1),Mes)/30  ,  DAYS360(date(year(E196),month(E196),1),Mes)/30  )  &gt;  0 , If(F196,   DAYS360(date(year(F196),month(F196),1),Mes)/30  ,  DAYS360(date(year(E196),month(E196),1),Mes)/30) , 0)       )</f>
        <v>80</v>
      </c>
      <c r="L196" s="38">
        <f t="shared" ref="L196:L197" si="33">If(Iserror(K:K*H:H)   ,  0   ,   K:K*H:H)</f>
        <v>960000</v>
      </c>
      <c r="M196" s="173"/>
      <c r="N196" s="130"/>
      <c r="O196" s="31"/>
      <c r="P196" s="31"/>
      <c r="Q196" s="31"/>
      <c r="R196" s="31"/>
      <c r="S196" s="31"/>
      <c r="T196" s="31"/>
    </row>
    <row r="197" ht="15.0" customHeight="1">
      <c r="A197" s="54" t="s">
        <v>71</v>
      </c>
      <c r="B197" s="54">
        <v>1509.0</v>
      </c>
      <c r="C197" s="641">
        <v>1509.0</v>
      </c>
      <c r="D197" s="34" t="str">
        <f>if(   iserror(offset(PADRON!B$2,match(C:C,PADRON!A$2:A376,0)-1,0,1,1) )  ,  ,    offset(PADRON!B$2,match(C:C,PADRON!A$2:A376,0)-1,0,1,1))</f>
        <v>MARIANI CARLOS ALBERTO</v>
      </c>
      <c r="E197" s="22">
        <v>43040.0</v>
      </c>
      <c r="F197" s="22"/>
      <c r="G197" s="23" t="s">
        <v>56</v>
      </c>
      <c r="H197" s="35">
        <f>IF( ISERROR( OFFSET(   'Cuadro tarifario'!D$2  , MATCH(CONCATENATE(                 IF(F197&gt;Mes,OFFSET(NroCT!B$17, MATCH($F197,NroCT!$A$18:$A376,0),0,1,1),Periodovigente)                                                                                                                     ,A197) ,'Cuadro tarifario'!A$2:A376,0) -1 , 0 , 1 , 1) )   , 0  ,   OFFSET(   'Cuadro tarifario'!D$2  , MATCH(CONCATENATE( IF(F197&gt;Mes,OFFSET(NroCT!B$17, MATCH($F197,NroCT!$A$18:$A376,0),0,1,1),Periodovigente) ,A197) ,'Cuadro tarifario'!A$2:A376,0) -1 , 0 , 1 , 1))</f>
        <v>11000</v>
      </c>
      <c r="I197" s="36">
        <f t="shared" si="32"/>
        <v>0</v>
      </c>
      <c r="J197" s="37">
        <f t="shared" si="2"/>
        <v>0</v>
      </c>
      <c r="K197" s="38">
        <f>if(  and(M197&gt;0,I197=0)          ,M197 ,                         If(  If( F197 ,  DAYS360(date(year(F197),month(F197),1),Mes)/30  ,  DAYS360(date(year(E197),month(E197),1),Mes)/30  )  &gt;  0 , If(F197,   DAYS360(date(year(F197),month(F197),1),Mes)/30  ,  DAYS360(date(year(E197),month(E197),1),Mes)/30) , 0)       )</f>
        <v>93</v>
      </c>
      <c r="L197" s="39">
        <f t="shared" si="33"/>
        <v>1023000</v>
      </c>
      <c r="M197" s="173"/>
      <c r="N197" s="130"/>
      <c r="O197" s="31"/>
      <c r="P197" s="31"/>
      <c r="Q197" s="31"/>
      <c r="R197" s="31"/>
      <c r="S197" s="31"/>
      <c r="T197" s="31"/>
    </row>
    <row r="198" ht="15.0" customHeight="1">
      <c r="A198" s="18" t="s">
        <v>38</v>
      </c>
      <c r="B198" s="17">
        <v>1509.0</v>
      </c>
      <c r="C198" s="628">
        <v>1509.0</v>
      </c>
      <c r="D198" s="20" t="str">
        <f>IF(   ISERROR(OFFSET(PADRON!B$2,MATCH(C:C,PADRON!A$2:A376,0)-1,0,1,1) )  ,  ,    OFFSET(PADRON!B$2,MATCH(C:C,PADRON!A$2:A376,0)-1,0,1,1))</f>
        <v>MARIANI CARLOS ALBERTO</v>
      </c>
      <c r="E198" s="21">
        <v>43040.0</v>
      </c>
      <c r="F198" s="629"/>
      <c r="G198" s="23" t="s">
        <v>56</v>
      </c>
      <c r="H198" s="24">
        <f>IF( ISERROR( OFFSET(   'Cuadro tarifario'!D$2  , MATCH(CONCATENATE(                 IF(F198&gt;Mes,OFFSET(NroCT!B$17, MATCH($F198,NroCT!$A$18:$A376,0),0,1,1),Periodovigente)                                                                                                                     ,A198) ,'Cuadro tarifario'!A$2:A376,0) -1 , 0 , 1 , 1) )   , 0  ,   OFFSET(   'Cuadro tarifario'!D$2  , MATCH(CONCATENATE( IF(F198&gt;Mes,OFFSET(NroCT!B$17, MATCH($F198,NroCT!$A$18:$A376,0),0,1,1),Periodovigente) ,A198) ,'Cuadro tarifario'!A$2:A376,0) -1 , 0 , 1 , 1))</f>
        <v>9000</v>
      </c>
      <c r="I198" s="25">
        <f>INT(IF(F198,DAYS360(          DATE(YEAR(E198),MONTH(E198),1),         DATE(YEAR(F198)     ,      MONTH(F198),1 )    )            /30,0 ))</f>
        <v>0</v>
      </c>
      <c r="J198" s="24">
        <f t="shared" si="2"/>
        <v>0</v>
      </c>
      <c r="K198" s="26">
        <f>IF(  AND(M198&gt;0,I198=0)          ,M198 ,                         IF(  IF( F198 ,  DAYS360(DATE(YEAR(F198),MONTH(F198),1),Mes)/30  ,  DAYS360(DATE(YEAR(E198),MONTH(E198),1),Mes)/30  )  &gt;  0 , IF(F198,   DAYS360(DATE(YEAR(F198),MONTH(F198),1),Mes)/30  ,  DAYS360(DATE(YEAR(E198),MONTH(E198),1),Mes)/30) , 0)       )</f>
        <v>93</v>
      </c>
      <c r="L198" s="27">
        <f>IF(ISERROR(K:K*H:H)   ,  0   ,   K:K*H:H)</f>
        <v>837000</v>
      </c>
      <c r="M198" s="173"/>
      <c r="N198" s="130"/>
      <c r="O198" s="31"/>
      <c r="P198" s="31"/>
      <c r="Q198" s="31"/>
      <c r="R198" s="31"/>
      <c r="S198" s="31"/>
      <c r="T198" s="31"/>
    </row>
    <row r="199" ht="15.0" customHeight="1">
      <c r="A199" s="51" t="s">
        <v>48</v>
      </c>
      <c r="B199" s="51" t="s">
        <v>361</v>
      </c>
      <c r="C199" s="641">
        <v>1509.0</v>
      </c>
      <c r="D199" s="34" t="str">
        <f>if(   iserror(offset(PADRON!B$2,match(C:C,PADRON!A$2:A376,0)-1,0,1,1) )  ,  ,    offset(PADRON!B$2,match(C:C,PADRON!A$2:A376,0)-1,0,1,1))</f>
        <v>MARIANI CARLOS ALBERTO</v>
      </c>
      <c r="E199" s="22">
        <v>43040.0</v>
      </c>
      <c r="F199" s="22"/>
      <c r="G199" s="23" t="s">
        <v>56</v>
      </c>
      <c r="H199" s="35">
        <f>IF( ISERROR( OFFSET(   'Cuadro tarifario'!D$2  , MATCH(CONCATENATE(                 IF(F199&gt;Mes,OFFSET(NroCT!B$17, MATCH($F199,NroCT!$A$18:$A376,0),0,1,1),Periodovigente)                                                                                                                     ,A199) ,'Cuadro tarifario'!A$2:A376,0) -1 , 0 , 1 , 1) )   , 0  ,   OFFSET(   'Cuadro tarifario'!D$2  , MATCH(CONCATENATE( IF(F199&gt;Mes,OFFSET(NroCT!B$17, MATCH($F199,NroCT!$A$18:$A376,0),0,1,1),Periodovigente) ,A199) ,'Cuadro tarifario'!A$2:A376,0) -1 , 0 , 1 , 1))</f>
        <v>12000</v>
      </c>
      <c r="I199" s="36">
        <f t="shared" ref="I199:I200" si="34">Int(If(F199,DAYS360(          date(Year(E199),Month(E199),1),         date(Year(F199)     ,      Month(F199),1 )    )            /30,0 ))</f>
        <v>0</v>
      </c>
      <c r="J199" s="37">
        <f t="shared" si="2"/>
        <v>0</v>
      </c>
      <c r="K199" s="38">
        <f>if(  and(M199&gt;0,I199=0)          ,M199 ,                         If(  If( F199 ,  DAYS360(date(year(F199),month(F199),1),Mes)/30  ,  DAYS360(date(year(E199),month(E199),1),Mes)/30  )  &gt;  0 , If(F199,   DAYS360(date(year(F199),month(F199),1),Mes)/30  ,  DAYS360(date(year(E199),month(E199),1),Mes)/30) , 0)       )</f>
        <v>93</v>
      </c>
      <c r="L199" s="39">
        <f t="shared" ref="L199:L200" si="35">If(Iserror(K:K*H:H)   ,  0   ,   K:K*H:H)</f>
        <v>1116000</v>
      </c>
      <c r="M199" s="173"/>
      <c r="N199" s="130"/>
      <c r="O199" s="31"/>
      <c r="P199" s="31"/>
      <c r="Q199" s="31"/>
      <c r="R199" s="31"/>
      <c r="S199" s="31"/>
      <c r="T199" s="31"/>
    </row>
    <row r="200" ht="15.0" customHeight="1">
      <c r="A200" s="54" t="s">
        <v>71</v>
      </c>
      <c r="B200" s="54">
        <v>1513.0</v>
      </c>
      <c r="C200" s="641">
        <v>1513.0</v>
      </c>
      <c r="D200" s="34" t="str">
        <f>if(   iserror(offset(PADRON!B$2,match(C:C,PADRON!A$2:A376,0)-1,0,1,1) )  ,  ,    offset(PADRON!B$2,match(C:C,PADRON!A$2:A376,0)-1,0,1,1))</f>
        <v/>
      </c>
      <c r="E200" s="22">
        <v>42856.0</v>
      </c>
      <c r="F200" s="22"/>
      <c r="G200" s="23" t="s">
        <v>56</v>
      </c>
      <c r="H200" s="35">
        <f>IF( ISERROR( OFFSET(   'Cuadro tarifario'!D$2  , MATCH(CONCATENATE(                 IF(F200&gt;Mes,OFFSET(NroCT!B$17, MATCH($F200,NroCT!$A$18:$A376,0),0,1,1),Periodovigente)                                                                                                                     ,A200) ,'Cuadro tarifario'!A$2:A376,0) -1 , 0 , 1 , 1) )   , 0  ,   OFFSET(   'Cuadro tarifario'!D$2  , MATCH(CONCATENATE( IF(F200&gt;Mes,OFFSET(NroCT!B$17, MATCH($F200,NroCT!$A$18:$A376,0),0,1,1),Periodovigente) ,A200) ,'Cuadro tarifario'!A$2:A376,0) -1 , 0 , 1 , 1))</f>
        <v>11000</v>
      </c>
      <c r="I200" s="36">
        <f t="shared" si="34"/>
        <v>0</v>
      </c>
      <c r="J200" s="37">
        <f t="shared" si="2"/>
        <v>0</v>
      </c>
      <c r="K200" s="38">
        <f>if(  and(M200&gt;0,I200=0)          ,M200 ,                         If(  If( F200 ,  DAYS360(date(year(F200),month(F200),1),Mes)/30  ,  DAYS360(date(year(E200),month(E200),1),Mes)/30  )  &gt;  0 , If(F200,   DAYS360(date(year(F200),month(F200),1),Mes)/30  ,  DAYS360(date(year(E200),month(E200),1),Mes)/30) , 0)       )</f>
        <v>99</v>
      </c>
      <c r="L200" s="39">
        <f t="shared" si="35"/>
        <v>1089000</v>
      </c>
      <c r="M200" s="173"/>
      <c r="N200" s="130"/>
      <c r="O200" s="31"/>
      <c r="P200" s="31"/>
      <c r="Q200" s="31"/>
      <c r="R200" s="31"/>
      <c r="S200" s="31"/>
      <c r="T200" s="31"/>
    </row>
    <row r="201" ht="15.0" customHeight="1">
      <c r="A201" s="18" t="s">
        <v>38</v>
      </c>
      <c r="B201" s="17">
        <v>1513.0</v>
      </c>
      <c r="C201" s="628">
        <v>1513.0</v>
      </c>
      <c r="D201" s="20" t="str">
        <f>IF(   ISERROR(OFFSET(PADRON!B$2,MATCH(C:C,PADRON!A$2:A376,0)-1,0,1,1) )  ,  ,    OFFSET(PADRON!B$2,MATCH(C:C,PADRON!A$2:A376,0)-1,0,1,1))</f>
        <v/>
      </c>
      <c r="E201" s="21">
        <v>43040.0</v>
      </c>
      <c r="F201" s="21"/>
      <c r="G201" s="23" t="s">
        <v>56</v>
      </c>
      <c r="H201" s="24">
        <f>IF( ISERROR( OFFSET(   'Cuadro tarifario'!D$2  , MATCH(CONCATENATE(                 IF(F201&gt;Mes,OFFSET(NroCT!B$17, MATCH($F201,NroCT!$A$18:$A376,0),0,1,1),Periodovigente)                                                                                                                     ,A201) ,'Cuadro tarifario'!A$2:A376,0) -1 , 0 , 1 , 1) )   , 0  ,   OFFSET(   'Cuadro tarifario'!D$2  , MATCH(CONCATENATE( IF(F201&gt;Mes,OFFSET(NroCT!B$17, MATCH($F201,NroCT!$A$18:$A376,0),0,1,1),Periodovigente) ,A201) ,'Cuadro tarifario'!A$2:A376,0) -1 , 0 , 1 , 1))</f>
        <v>9000</v>
      </c>
      <c r="I201" s="25">
        <f>INT(IF(F201,DAYS360(          DATE(YEAR(E201),MONTH(E201),1),         DATE(YEAR(F201)     ,      MONTH(F201),1 )    )            /30,0 ))</f>
        <v>0</v>
      </c>
      <c r="J201" s="24">
        <f t="shared" si="2"/>
        <v>0</v>
      </c>
      <c r="K201" s="26">
        <f>IF(  AND(M201&gt;0,I201=0)          ,M201 ,                         IF(  IF( F201 ,  DAYS360(DATE(YEAR(F201),MONTH(F201),1),Mes)/30  ,  DAYS360(DATE(YEAR(E201),MONTH(E201),1),Mes)/30  )  &gt;  0 , IF(F201,   DAYS360(DATE(YEAR(F201),MONTH(F201),1),Mes)/30  ,  DAYS360(DATE(YEAR(E201),MONTH(E201),1),Mes)/30) , 0)       )</f>
        <v>93</v>
      </c>
      <c r="L201" s="27">
        <f>IF(ISERROR(K:K*H:H)   ,  0   ,   K:K*H:H)</f>
        <v>837000</v>
      </c>
      <c r="M201" s="173"/>
      <c r="N201" s="130"/>
      <c r="O201" s="31"/>
      <c r="P201" s="31"/>
      <c r="Q201" s="31"/>
      <c r="R201" s="31"/>
      <c r="S201" s="31"/>
      <c r="T201" s="31"/>
    </row>
    <row r="202" ht="15.0" customHeight="1">
      <c r="A202" s="66" t="s">
        <v>71</v>
      </c>
      <c r="B202" s="66">
        <v>1538.0</v>
      </c>
      <c r="C202" s="642">
        <v>1538.0</v>
      </c>
      <c r="D202" s="67" t="str">
        <f>if(   iserror(offset(PADRON!B$2,match(C:C,PADRON!A$2:A376,0)-1,0,1,1) )  ,  ,    offset(PADRON!B$2,match(C:C,PADRON!A$2:A376,0)-1,0,1,1))</f>
        <v>DEVESA, AUGUSTO</v>
      </c>
      <c r="E202" s="22">
        <v>43313.0</v>
      </c>
      <c r="F202" s="22"/>
      <c r="G202" s="23" t="s">
        <v>56</v>
      </c>
      <c r="H202" s="35">
        <f>IF( ISERROR( OFFSET(   'Cuadro tarifario'!D$2  , MATCH(CONCATENATE(                 IF(F202&gt;Mes,OFFSET(NroCT!B$17, MATCH($F202,NroCT!$A$18:$A376,0),0,1,1),Periodovigente)                                                                                                                     ,A202) ,'Cuadro tarifario'!A$2:A376,0) -1 , 0 , 1 , 1) )   , 0  ,   OFFSET(   'Cuadro tarifario'!D$2  , MATCH(CONCATENATE( IF(F202&gt;Mes,OFFSET(NroCT!B$17, MATCH($F202,NroCT!$A$18:$A376,0),0,1,1),Periodovigente) ,A202) ,'Cuadro tarifario'!A$2:A376,0) -1 , 0 , 1 , 1))</f>
        <v>11000</v>
      </c>
      <c r="I202" s="68">
        <f>Int(If(F202,DAYS360(          date(Year(E202),Month(E202),1),         date(Year(F202)     ,      Month(F202),1 )    )            /30,0 ))</f>
        <v>0</v>
      </c>
      <c r="J202" s="69">
        <f t="shared" si="2"/>
        <v>0</v>
      </c>
      <c r="K202" s="70">
        <f>if(  and(M202&gt;0,I202=0)          ,M202 ,                         If(  If( F202 ,  DAYS360(date(year(F202),month(F202),1),Mes)/30  ,  DAYS360(date(year(E202),month(E202),1),Mes)/30  )  &gt;  0 , If(F202,   DAYS360(date(year(F202),month(F202),1),Mes)/30  ,  DAYS360(date(year(E202),month(E202),1),Mes)/30) , 0)       )</f>
        <v>84</v>
      </c>
      <c r="L202" s="71">
        <f>If(Iserror(K:K*H:H)   ,  0   ,   K:K*H:H)</f>
        <v>924000</v>
      </c>
      <c r="M202" s="173"/>
      <c r="N202" s="130"/>
      <c r="O202" s="31"/>
      <c r="P202" s="31"/>
      <c r="Q202" s="31"/>
      <c r="R202" s="31"/>
      <c r="S202" s="31"/>
      <c r="T202" s="31"/>
    </row>
    <row r="203" ht="15.0" customHeight="1">
      <c r="A203" s="18" t="s">
        <v>38</v>
      </c>
      <c r="B203" s="17">
        <v>1538.0</v>
      </c>
      <c r="C203" s="628">
        <v>1538.0</v>
      </c>
      <c r="D203" s="20" t="str">
        <f>IF(   ISERROR(OFFSET(PADRON!B$2,MATCH(C:C,PADRON!A$2:A376,0)-1,0,1,1) )  ,  ,    OFFSET(PADRON!B$2,MATCH(C:C,PADRON!A$2:A376,0)-1,0,1,1))</f>
        <v>DEVESA, AUGUSTO</v>
      </c>
      <c r="E203" s="21">
        <v>43313.0</v>
      </c>
      <c r="F203" s="21"/>
      <c r="G203" s="23" t="s">
        <v>56</v>
      </c>
      <c r="H203" s="24">
        <f>IF( ISERROR( OFFSET(   'Cuadro tarifario'!D$2  , MATCH(CONCATENATE(                 IF(F203&gt;Mes,OFFSET(NroCT!B$17, MATCH($F203,NroCT!$A$18:$A376,0),0,1,1),Periodovigente)                                                                                                                     ,A203) ,'Cuadro tarifario'!A$2:A376,0) -1 , 0 , 1 , 1) )   , 0  ,   OFFSET(   'Cuadro tarifario'!D$2  , MATCH(CONCATENATE( IF(F203&gt;Mes,OFFSET(NroCT!B$17, MATCH($F203,NroCT!$A$18:$A376,0),0,1,1),Periodovigente) ,A203) ,'Cuadro tarifario'!A$2:A376,0) -1 , 0 , 1 , 1))</f>
        <v>9000</v>
      </c>
      <c r="I203" s="25">
        <f>INT(IF(F203,DAYS360(          DATE(YEAR(E203),MONTH(E203),1),         DATE(YEAR(F203)     ,      MONTH(F203),1 )    )            /30,0 ))</f>
        <v>0</v>
      </c>
      <c r="J203" s="24">
        <f t="shared" si="2"/>
        <v>0</v>
      </c>
      <c r="K203" s="26">
        <f>IF(  AND(M203&gt;0,I203=0)          ,M203 ,                         IF(  IF( F203 ,  DAYS360(DATE(YEAR(F203),MONTH(F203),1),Mes)/30  ,  DAYS360(DATE(YEAR(E203),MONTH(E203),1),Mes)/30  )  &gt;  0 , IF(F203,   DAYS360(DATE(YEAR(F203),MONTH(F203),1),Mes)/30  ,  DAYS360(DATE(YEAR(E203),MONTH(E203),1),Mes)/30) , 0)       )</f>
        <v>84</v>
      </c>
      <c r="L203" s="27">
        <f>IF(ISERROR(K:K*H:H)   ,  0   ,   K:K*H:H)</f>
        <v>756000</v>
      </c>
      <c r="M203" s="173"/>
      <c r="N203" s="130"/>
      <c r="O203" s="31"/>
      <c r="P203" s="31"/>
      <c r="Q203" s="31"/>
      <c r="R203" s="31"/>
      <c r="S203" s="31"/>
      <c r="T203" s="31"/>
    </row>
    <row r="204" ht="15.0" customHeight="1">
      <c r="A204" s="54" t="s">
        <v>71</v>
      </c>
      <c r="B204" s="54">
        <v>1539.0</v>
      </c>
      <c r="C204" s="641">
        <v>1539.0</v>
      </c>
      <c r="D204" s="34" t="str">
        <f>if(   iserror(offset(PADRON!B$2,match(C:C,PADRON!A$2:A376,0)-1,0,1,1) )  ,  ,    offset(PADRON!B$2,match(C:C,PADRON!A$2:A376,0)-1,0,1,1))</f>
        <v>DEL RIO, HUGO HORACIO</v>
      </c>
      <c r="E204" s="22">
        <v>43009.0</v>
      </c>
      <c r="F204" s="22"/>
      <c r="G204" s="23" t="s">
        <v>56</v>
      </c>
      <c r="H204" s="35">
        <f>IF( ISERROR( OFFSET(   'Cuadro tarifario'!D$2  , MATCH(CONCATENATE(                 IF(F204&gt;Mes,OFFSET(NroCT!B$17, MATCH($F204,NroCT!$A$18:$A376,0),0,1,1),Periodovigente)                                                                                                                     ,A204) ,'Cuadro tarifario'!A$2:A376,0) -1 , 0 , 1 , 1) )   , 0  ,   OFFSET(   'Cuadro tarifario'!D$2  , MATCH(CONCATENATE( IF(F204&gt;Mes,OFFSET(NroCT!B$17, MATCH($F204,NroCT!$A$18:$A376,0),0,1,1),Periodovigente) ,A204) ,'Cuadro tarifario'!A$2:A376,0) -1 , 0 , 1 , 1))</f>
        <v>11000</v>
      </c>
      <c r="I204" s="36">
        <f>Int(If(F204,DAYS360(          date(Year(E204),Month(E204),1),         date(Year(F204)     ,      Month(F204),1 )    )            /30,0 ))</f>
        <v>0</v>
      </c>
      <c r="J204" s="37">
        <f t="shared" si="2"/>
        <v>0</v>
      </c>
      <c r="K204" s="38">
        <f>if(  and(M204&gt;0,I204=0)          ,M204 ,                         If(  If( F204 ,  DAYS360(date(year(F204),month(F204),1),Mes)/30  ,  DAYS360(date(year(E204),month(E204),1),Mes)/30  )  &gt;  0 , If(F204,   DAYS360(date(year(F204),month(F204),1),Mes)/30  ,  DAYS360(date(year(E204),month(E204),1),Mes)/30) , 0)       )</f>
        <v>94</v>
      </c>
      <c r="L204" s="39">
        <f>If(Iserror(K:K*H:H)   ,  0   ,   K:K*H:H)</f>
        <v>1034000</v>
      </c>
      <c r="M204" s="173"/>
      <c r="N204" s="130"/>
      <c r="O204" s="31"/>
      <c r="P204" s="31"/>
      <c r="Q204" s="31"/>
      <c r="R204" s="31"/>
      <c r="S204" s="31"/>
      <c r="T204" s="31"/>
    </row>
    <row r="205" ht="15.0" customHeight="1">
      <c r="A205" s="18" t="s">
        <v>38</v>
      </c>
      <c r="B205" s="18">
        <v>1539.0</v>
      </c>
      <c r="C205" s="19">
        <v>1539.0</v>
      </c>
      <c r="D205" s="20" t="str">
        <f>IF(   ISERROR(OFFSET(PADRON!B$2,MATCH(C:C,PADRON!A$2:A376,0)-1,0,1,1) )  ,  ,    OFFSET(PADRON!B$2,MATCH(C:C,PADRON!A$2:A376,0)-1,0,1,1))</f>
        <v>DEL RIO, HUGO HORACIO</v>
      </c>
      <c r="E205" s="21">
        <v>43070.0</v>
      </c>
      <c r="F205" s="629"/>
      <c r="G205" s="23" t="s">
        <v>56</v>
      </c>
      <c r="H205" s="24">
        <f>IF( ISERROR( OFFSET(   'Cuadro tarifario'!D$2  , MATCH(CONCATENATE(                 IF(F205&gt;Mes,OFFSET(NroCT!B$17, MATCH($F205,NroCT!$A$18:$A376,0),0,1,1),Periodovigente)                                                                                                                     ,A205) ,'Cuadro tarifario'!A$2:A376,0) -1 , 0 , 1 , 1) )   , 0  ,   OFFSET(   'Cuadro tarifario'!D$2  , MATCH(CONCATENATE( IF(F205&gt;Mes,OFFSET(NroCT!B$17, MATCH($F205,NroCT!$A$18:$A376,0),0,1,1),Periodovigente) ,A205) ,'Cuadro tarifario'!A$2:A376,0) -1 , 0 , 1 , 1))</f>
        <v>9000</v>
      </c>
      <c r="I205" s="25">
        <f t="shared" ref="I205:I206" si="36">INT(IF(F205,DAYS360(          DATE(YEAR(E205),MONTH(E205),1),         DATE(YEAR(F205)     ,      MONTH(F205),1 )    )            /30,0 ))</f>
        <v>0</v>
      </c>
      <c r="J205" s="24">
        <f t="shared" si="2"/>
        <v>0</v>
      </c>
      <c r="K205" s="26">
        <f>IF(  AND(M205&gt;0,I205=0)          ,M205 ,                         IF(  IF( F205 ,  DAYS360(DATE(YEAR(F205),MONTH(F205),1),Mes)/30  ,  DAYS360(DATE(YEAR(E205),MONTH(E205),1),Mes)/30  )  &gt;  0 , IF(F205,   DAYS360(DATE(YEAR(F205),MONTH(F205),1),Mes)/30  ,  DAYS360(DATE(YEAR(E205),MONTH(E205),1),Mes)/30) , 0)       )</f>
        <v>92</v>
      </c>
      <c r="L205" s="27">
        <f t="shared" ref="L205:L206" si="37">IF(ISERROR(K:K*H:H)   ,  0   ,   K:K*H:H)</f>
        <v>828000</v>
      </c>
      <c r="M205" s="173"/>
      <c r="N205" s="130"/>
      <c r="O205" s="31"/>
      <c r="P205" s="31"/>
      <c r="Q205" s="31"/>
      <c r="R205" s="31"/>
      <c r="S205" s="31"/>
      <c r="T205" s="31"/>
    </row>
    <row r="206" ht="15.0" customHeight="1">
      <c r="A206" s="18" t="s">
        <v>82</v>
      </c>
      <c r="B206" s="18" t="s">
        <v>4303</v>
      </c>
      <c r="C206" s="19">
        <v>1539.0</v>
      </c>
      <c r="D206" s="20" t="str">
        <f>IF(   ISERROR(OFFSET(PADRON!B$2,MATCH(C:C,PADRON!A$2:A376,0)-1,0,1,1) )  ,  ,    OFFSET(PADRON!B$2,MATCH(C:C,PADRON!A$2:A376,0)-1,0,1,1))</f>
        <v>DEL RIO, HUGO HORACIO</v>
      </c>
      <c r="E206" s="21">
        <v>43071.0</v>
      </c>
      <c r="F206" s="629"/>
      <c r="G206" s="23" t="s">
        <v>56</v>
      </c>
      <c r="H206" s="24">
        <f>IF( ISERROR( OFFSET(   'Cuadro tarifario'!D$2  , MATCH(CONCATENATE(                 IF(F206&gt;Mes,OFFSET(NroCT!B$17, MATCH($F206,NroCT!$A$18:$A376,0),0,1,1),Periodovigente)                                                                                                                     ,A206) ,'Cuadro tarifario'!A$2:A376,0) -1 , 0 , 1 , 1) )   , 0  ,   OFFSET(   'Cuadro tarifario'!D$2  , MATCH(CONCATENATE( IF(F206&gt;Mes,OFFSET(NroCT!B$17, MATCH($F206,NroCT!$A$18:$A376,0),0,1,1),Periodovigente) ,A206) ,'Cuadro tarifario'!A$2:A376,0) -1 , 0 , 1 , 1))</f>
        <v>12000</v>
      </c>
      <c r="I206" s="25">
        <f t="shared" si="36"/>
        <v>0</v>
      </c>
      <c r="J206" s="24">
        <f t="shared" si="2"/>
        <v>0</v>
      </c>
      <c r="K206" s="26">
        <f>IF(  AND(M206&gt;0,I206=0)          ,M206 ,                         IF(  IF( F206 ,  DAYS360(DATE(YEAR(F206),MONTH(F206),1),Mes)/30  ,  DAYS360(DATE(YEAR(E206),MONTH(E206),1),Mes)/30  )  &gt;  0 , IF(F206,   DAYS360(DATE(YEAR(F206),MONTH(F206),1),Mes)/30  ,  DAYS360(DATE(YEAR(E206),MONTH(E206),1),Mes)/30) , 0)       )</f>
        <v>92</v>
      </c>
      <c r="L206" s="27">
        <f t="shared" si="37"/>
        <v>1104000</v>
      </c>
      <c r="M206" s="173"/>
      <c r="N206" s="130"/>
      <c r="O206" s="31"/>
      <c r="P206" s="31"/>
      <c r="Q206" s="31"/>
      <c r="R206" s="31"/>
      <c r="S206" s="31"/>
      <c r="T206" s="31"/>
    </row>
    <row r="207" ht="15.0" customHeight="1">
      <c r="A207" s="54" t="s">
        <v>71</v>
      </c>
      <c r="B207" s="54">
        <v>1556.0</v>
      </c>
      <c r="C207" s="641">
        <v>1556.0</v>
      </c>
      <c r="D207" s="34" t="s">
        <v>5058</v>
      </c>
      <c r="E207" s="22">
        <v>42736.0</v>
      </c>
      <c r="F207" s="22"/>
      <c r="G207" s="23" t="s">
        <v>56</v>
      </c>
      <c r="H207" s="35">
        <f>IF( ISERROR( OFFSET(   'Cuadro tarifario'!D$2  , MATCH(CONCATENATE(                 IF(F207&gt;Mes,OFFSET(NroCT!B$17, MATCH($F207,NroCT!$A$18:$A376,0),0,1,1),Periodovigente)                                                                                                                     ,A207) ,'Cuadro tarifario'!A$2:A376,0) -1 , 0 , 1 , 1) )   , 0  ,   OFFSET(   'Cuadro tarifario'!D$2  , MATCH(CONCATENATE( IF(F207&gt;Mes,OFFSET(NroCT!B$17, MATCH($F207,NroCT!$A$18:$A376,0),0,1,1),Periodovigente) ,A207) ,'Cuadro tarifario'!A$2:A376,0) -1 , 0 , 1 , 1))</f>
        <v>11000</v>
      </c>
      <c r="I207" s="36">
        <f>Int(If(F207,DAYS360(          date(Year(E207),Month(E207),1),         date(Year(F207)     ,      Month(F207),1 )    )            /30,0 ))</f>
        <v>0</v>
      </c>
      <c r="J207" s="37">
        <f t="shared" si="2"/>
        <v>0</v>
      </c>
      <c r="K207" s="38">
        <f>if(  and(M207&gt;0,I207=0)          ,M207 ,                         If(  If( F207 ,  DAYS360(date(year(F207),month(F207),1),Mes)/30  ,  DAYS360(date(year(E207),month(E207),1),Mes)/30  )  &gt;  0 , If(F207,   DAYS360(date(year(F207),month(F207),1),Mes)/30  ,  DAYS360(date(year(E207),month(E207),1),Mes)/30) , 0)       )</f>
        <v>103</v>
      </c>
      <c r="L207" s="39">
        <f>If(Iserror(K:K*H:H)   ,  0   ,   K:K*H:H)</f>
        <v>1133000</v>
      </c>
      <c r="M207" s="173"/>
      <c r="N207" s="130"/>
      <c r="O207" s="31"/>
      <c r="P207" s="31"/>
      <c r="Q207" s="31"/>
      <c r="R207" s="31"/>
      <c r="S207" s="31"/>
      <c r="T207" s="31"/>
    </row>
    <row r="208" ht="15.0" customHeight="1">
      <c r="A208" s="18" t="s">
        <v>38</v>
      </c>
      <c r="B208" s="17">
        <v>1556.0</v>
      </c>
      <c r="C208" s="628">
        <v>1556.0</v>
      </c>
      <c r="D208" s="20" t="s">
        <v>5058</v>
      </c>
      <c r="E208" s="21">
        <v>43040.0</v>
      </c>
      <c r="F208" s="629"/>
      <c r="G208" s="23" t="s">
        <v>56</v>
      </c>
      <c r="H208" s="24">
        <f>IF( ISERROR( OFFSET(   'Cuadro tarifario'!D$2  , MATCH(CONCATENATE(                 IF(F208&gt;Mes,OFFSET(NroCT!B$17, MATCH($F208,NroCT!$A$18:$A376,0),0,1,1),Periodovigente)                                                                                                                     ,A208) ,'Cuadro tarifario'!A$2:A376,0) -1 , 0 , 1 , 1) )   , 0  ,   OFFSET(   'Cuadro tarifario'!D$2  , MATCH(CONCATENATE( IF(F208&gt;Mes,OFFSET(NroCT!B$17, MATCH($F208,NroCT!$A$18:$A376,0),0,1,1),Periodovigente) ,A208) ,'Cuadro tarifario'!A$2:A376,0) -1 , 0 , 1 , 1))</f>
        <v>9000</v>
      </c>
      <c r="I208" s="25">
        <f>INT(IF(F208,DAYS360(          DATE(YEAR(E208),MONTH(E208),1),         DATE(YEAR(F208)     ,      MONTH(F208),1 )    )            /30,0 ))</f>
        <v>0</v>
      </c>
      <c r="J208" s="24">
        <f t="shared" si="2"/>
        <v>0</v>
      </c>
      <c r="K208" s="26">
        <f>IF(  AND(M208&gt;0,I208=0)          ,M208 ,                         IF(  IF( F208 ,  DAYS360(DATE(YEAR(F208),MONTH(F208),1),Mes)/30  ,  DAYS360(DATE(YEAR(E208),MONTH(E208),1),Mes)/30  )  &gt;  0 , IF(F208,   DAYS360(DATE(YEAR(F208),MONTH(F208),1),Mes)/30  ,  DAYS360(DATE(YEAR(E208),MONTH(E208),1),Mes)/30) , 0)       )</f>
        <v>93</v>
      </c>
      <c r="L208" s="27">
        <f>IF(ISERROR(K:K*H:H)   ,  0   ,   K:K*H:H)</f>
        <v>837000</v>
      </c>
      <c r="M208" s="173"/>
      <c r="N208" s="130"/>
      <c r="O208" s="31"/>
      <c r="P208" s="31"/>
      <c r="Q208" s="31"/>
      <c r="R208" s="31"/>
      <c r="S208" s="31"/>
      <c r="T208" s="31"/>
    </row>
    <row r="209" ht="15.0" customHeight="1">
      <c r="A209" s="54" t="s">
        <v>40</v>
      </c>
      <c r="B209" s="54" t="s">
        <v>461</v>
      </c>
      <c r="C209" s="641">
        <v>1556.0</v>
      </c>
      <c r="D209" s="34" t="str">
        <f>if(   iserror(offset(PADRON!B$2,match(C:C,PADRON!A$2:A376,0)-1,0,1,1) )  ,  ,    offset(PADRON!B$2,match(C:C,PADRON!A$2:A376,0)-1,0,1,1))</f>
        <v>GARCIA, FACUNDO</v>
      </c>
      <c r="E209" s="22">
        <v>42736.0</v>
      </c>
      <c r="F209" s="22"/>
      <c r="G209" s="23" t="s">
        <v>56</v>
      </c>
      <c r="H209" s="35">
        <f>IF( ISERROR( OFFSET(   'Cuadro tarifario'!D$2  , MATCH(CONCATENATE(                 IF(F209&gt;Mes,OFFSET(NroCT!B$17, MATCH($F209,NroCT!$A$18:$A376,0),0,1,1),Periodovigente)                                                                                                                     ,A209) ,'Cuadro tarifario'!A$2:A376,0) -1 , 0 , 1 , 1) )   , 0  ,   OFFSET(   'Cuadro tarifario'!D$2  , MATCH(CONCATENATE( IF(F209&gt;Mes,OFFSET(NroCT!B$17, MATCH($F209,NroCT!$A$18:$A376,0),0,1,1),Periodovigente) ,A209) ,'Cuadro tarifario'!A$2:A376,0) -1 , 0 , 1 , 1))</f>
        <v>12000</v>
      </c>
      <c r="I209" s="36">
        <f t="shared" ref="I209:I210" si="38">Int(If(F209,DAYS360(          date(Year(E209),Month(E209),1),         date(Year(F209)     ,      Month(F209),1 )    )            /30,0 ))</f>
        <v>0</v>
      </c>
      <c r="J209" s="37">
        <f t="shared" si="2"/>
        <v>0</v>
      </c>
      <c r="K209" s="38">
        <f>if(  and(M209&gt;0,I209=0)          ,M209 ,                         If(  If( F209 ,  DAYS360(date(year(F209),month(F209),1),Mes)/30  ,  DAYS360(date(year(E209),month(E209),1),Mes)/30  )  &gt;  0 , If(F209,   DAYS360(date(year(F209),month(F209),1),Mes)/30  ,  DAYS360(date(year(E209),month(E209),1),Mes)/30) , 0)       )</f>
        <v>103</v>
      </c>
      <c r="L209" s="39">
        <f t="shared" ref="L209:L210" si="39">If(Iserror(K:K*H:H)   ,  0   ,   K:K*H:H)</f>
        <v>1236000</v>
      </c>
      <c r="M209" s="173"/>
      <c r="N209" s="130"/>
      <c r="O209" s="31"/>
      <c r="P209" s="31"/>
      <c r="Q209" s="31"/>
      <c r="R209" s="31"/>
      <c r="S209" s="31"/>
      <c r="T209" s="31"/>
    </row>
    <row r="210" ht="15.0" customHeight="1">
      <c r="A210" s="74" t="s">
        <v>71</v>
      </c>
      <c r="B210" s="74">
        <v>1604.0</v>
      </c>
      <c r="C210" s="615">
        <v>1604.0</v>
      </c>
      <c r="D210" s="44" t="str">
        <f>if(   iserror(offset(PADRON!B$2,match(C:C,PADRON!A$2:A376,0)-1,0,1,1) )  ,  ,    offset(PADRON!B$2,match(C:C,PADRON!A$2:A376,0)-1,0,1,1))</f>
        <v>ADANO, GABRIEL </v>
      </c>
      <c r="E210" s="45">
        <v>43160.0</v>
      </c>
      <c r="F210" s="45"/>
      <c r="G210" s="23" t="s">
        <v>56</v>
      </c>
      <c r="H210" s="35">
        <f>IF( ISERROR( OFFSET(   'Cuadro tarifario'!D$2  , MATCH(CONCATENATE(                 IF(F210&gt;Mes,OFFSET(NroCT!B$17, MATCH($F210,NroCT!$A$18:$A376,0),0,1,1),Periodovigente)                                                                                                                     ,A210) ,'Cuadro tarifario'!A$2:A376,0) -1 , 0 , 1 , 1) )   , 0  ,   OFFSET(   'Cuadro tarifario'!D$2  , MATCH(CONCATENATE( IF(F210&gt;Mes,OFFSET(NroCT!B$17, MATCH($F210,NroCT!$A$18:$A376,0),0,1,1),Periodovigente) ,A210) ,'Cuadro tarifario'!A$2:A376,0) -1 , 0 , 1 , 1))</f>
        <v>11000</v>
      </c>
      <c r="I210" s="46">
        <f t="shared" si="38"/>
        <v>0</v>
      </c>
      <c r="J210" s="76">
        <f t="shared" si="2"/>
        <v>0</v>
      </c>
      <c r="K210" s="48">
        <f>if(  and(M210&gt;0,I210=0)          ,M210 ,                         If(  If( F210 ,  DAYS360(date(year(F210),month(F210),1),Mes)/30  ,  DAYS360(date(year(E210),month(E210),1),Mes)/30  )  &gt;  0 , If(F210,   DAYS360(date(year(F210),month(F210),1),Mes)/30  ,  DAYS360(date(year(E210),month(E210),1),Mes)/30) , 0)       )</f>
        <v>89</v>
      </c>
      <c r="L210" s="77">
        <f t="shared" si="39"/>
        <v>979000</v>
      </c>
      <c r="M210" s="173"/>
      <c r="N210" s="130"/>
      <c r="O210" s="31"/>
      <c r="P210" s="31"/>
      <c r="Q210" s="31"/>
      <c r="R210" s="31"/>
      <c r="S210" s="31"/>
      <c r="T210" s="31"/>
    </row>
    <row r="211" ht="15.0" customHeight="1">
      <c r="A211" s="18" t="s">
        <v>38</v>
      </c>
      <c r="B211" s="17">
        <v>1604.0</v>
      </c>
      <c r="C211" s="628">
        <v>1604.0</v>
      </c>
      <c r="D211" s="20" t="str">
        <f>IF(   ISERROR(OFFSET(PADRON!B$2,MATCH(C:C,PADRON!A$2:A376,0)-1,0,1,1) )  ,  ,    OFFSET(PADRON!B$2,MATCH(C:C,PADRON!A$2:A376,0)-1,0,1,1))</f>
        <v>ADANO, GABRIEL </v>
      </c>
      <c r="E211" s="21">
        <v>43160.0</v>
      </c>
      <c r="F211" s="21"/>
      <c r="G211" s="23" t="s">
        <v>56</v>
      </c>
      <c r="H211" s="24">
        <f>IF( ISERROR( OFFSET(   'Cuadro tarifario'!D$2  , MATCH(CONCATENATE(                 IF(F211&gt;Mes,OFFSET(NroCT!B$17, MATCH($F211,NroCT!$A$18:$A376,0),0,1,1),Periodovigente)                                                                                                                     ,A211) ,'Cuadro tarifario'!A$2:A376,0) -1 , 0 , 1 , 1) )   , 0  ,   OFFSET(   'Cuadro tarifario'!D$2  , MATCH(CONCATENATE( IF(F211&gt;Mes,OFFSET(NroCT!B$17, MATCH($F211,NroCT!$A$18:$A376,0),0,1,1),Periodovigente) ,A211) ,'Cuadro tarifario'!A$2:A376,0) -1 , 0 , 1 , 1))</f>
        <v>9000</v>
      </c>
      <c r="I211" s="25">
        <f>INT(IF(F211,DAYS360(          DATE(YEAR(E211),MONTH(E211),1),         DATE(YEAR(F211)     ,      MONTH(F211),1 )    )            /30,0 ))</f>
        <v>0</v>
      </c>
      <c r="J211" s="24">
        <f t="shared" si="2"/>
        <v>0</v>
      </c>
      <c r="K211" s="26">
        <f>IF(  AND(M211&gt;0,I211=0)          ,M211 ,                         IF(  IF( F211 ,  DAYS360(DATE(YEAR(F211),MONTH(F211),1),Mes)/30  ,  DAYS360(DATE(YEAR(E211),MONTH(E211),1),Mes)/30  )  &gt;  0 , IF(F211,   DAYS360(DATE(YEAR(F211),MONTH(F211),1),Mes)/30  ,  DAYS360(DATE(YEAR(E211),MONTH(E211),1),Mes)/30) , 0)       )</f>
        <v>89</v>
      </c>
      <c r="L211" s="27">
        <f>IF(ISERROR(K:K*H:H)   ,  0   ,   K:K*H:H)</f>
        <v>801000</v>
      </c>
      <c r="M211" s="173"/>
      <c r="N211" s="130"/>
      <c r="O211" s="31"/>
      <c r="P211" s="31"/>
      <c r="Q211" s="31"/>
      <c r="R211" s="31"/>
      <c r="S211" s="31"/>
      <c r="T211" s="31"/>
    </row>
    <row r="212" ht="15.0" customHeight="1">
      <c r="A212" s="74" t="s">
        <v>82</v>
      </c>
      <c r="B212" s="74" t="s">
        <v>212</v>
      </c>
      <c r="C212" s="615">
        <v>1604.0</v>
      </c>
      <c r="D212" s="44" t="str">
        <f>if(   iserror(offset(PADRON!B$2,match(C:C,PADRON!A$2:A376,0)-1,0,1,1) )  ,  ,    offset(PADRON!B$2,match(C:C,PADRON!A$2:A376,0)-1,0,1,1))</f>
        <v>ADANO, GABRIEL </v>
      </c>
      <c r="E212" s="45">
        <v>43160.0</v>
      </c>
      <c r="F212" s="45"/>
      <c r="G212" s="23" t="s">
        <v>56</v>
      </c>
      <c r="H212" s="80">
        <f>IF( ISERROR( OFFSET(   'Cuadro tarifario'!D$2  , MATCH(CONCATENATE(                 IF(F212&gt;Mes,OFFSET(NroCT!B$17, MATCH($F212,NroCT!$A$18:$A376,0),0,1,1),Periodovigente)                                                                                                                     ,A212) ,'Cuadro tarifario'!A$2:A376,0) -1 , 0 , 1 , 1) )   , 0  ,   OFFSET(   'Cuadro tarifario'!D$2  , MATCH(CONCATENATE( IF(F212&gt;Mes,OFFSET(NroCT!B$17, MATCH($F212,NroCT!$A$18:$A376,0),0,1,1),Periodovigente) ,A212) ,'Cuadro tarifario'!A$2:A376,0) -1 , 0 , 1 , 1))</f>
        <v>12000</v>
      </c>
      <c r="I212" s="46">
        <f t="shared" ref="I212:I213" si="40">Int(If(F212,DAYS360(          date(Year(E212),Month(E212),1),         date(Year(F212)     ,      Month(F212),1 )    )            /30,0 ))</f>
        <v>0</v>
      </c>
      <c r="J212" s="46">
        <f t="shared" si="2"/>
        <v>0</v>
      </c>
      <c r="K212" s="48">
        <f>if(  and(M212&gt;0,I212=0)          ,M212 ,                         If(  If( F212 ,  DAYS360(date(year(F212),month(F212),1),Mes)/30  ,  DAYS360(date(year(E212),month(E212),1),Mes)/30  )  &gt;  0 , If(F212,   DAYS360(date(year(F212),month(F212),1),Mes)/30  ,  DAYS360(date(year(E212),month(E212),1),Mes)/30) , 0)       )</f>
        <v>89</v>
      </c>
      <c r="L212" s="48">
        <f t="shared" ref="L212:L213" si="41">If(Iserror(K:K*H:H)   ,  0   ,   K:K*H:H)</f>
        <v>1068000</v>
      </c>
      <c r="M212" s="173"/>
      <c r="N212" s="130"/>
      <c r="O212" s="31"/>
      <c r="P212" s="31"/>
      <c r="Q212" s="31"/>
      <c r="R212" s="31"/>
      <c r="S212" s="31"/>
      <c r="T212" s="31"/>
    </row>
    <row r="213" ht="15.0" customHeight="1">
      <c r="A213" s="74" t="s">
        <v>71</v>
      </c>
      <c r="B213" s="74">
        <v>1610.0</v>
      </c>
      <c r="C213" s="615">
        <v>1610.0</v>
      </c>
      <c r="D213" s="44" t="str">
        <f>if(   iserror(offset(PADRON!B$2,match(C:C,PADRON!A$2:A376,0)-1,0,1,1) )  ,  ,    offset(PADRON!B$2,match(C:C,PADRON!A$2:A376,0)-1,0,1,1))</f>
        <v>DE PIERRIS, GASTON</v>
      </c>
      <c r="E213" s="45">
        <v>43009.0</v>
      </c>
      <c r="F213" s="45"/>
      <c r="G213" s="23" t="s">
        <v>56</v>
      </c>
      <c r="H213" s="35">
        <f>IF( ISERROR( OFFSET(   'Cuadro tarifario'!D$2  , MATCH(CONCATENATE(                 IF(F213&gt;Mes,OFFSET(NroCT!B$17, MATCH($F213,NroCT!$A$18:$A376,0),0,1,1),Periodovigente)                                                                                                                     ,A213) ,'Cuadro tarifario'!A$2:A376,0) -1 , 0 , 1 , 1) )   , 0  ,   OFFSET(   'Cuadro tarifario'!D$2  , MATCH(CONCATENATE( IF(F213&gt;Mes,OFFSET(NroCT!B$17, MATCH($F213,NroCT!$A$18:$A376,0),0,1,1),Periodovigente) ,A213) ,'Cuadro tarifario'!A$2:A376,0) -1 , 0 , 1 , 1))</f>
        <v>11000</v>
      </c>
      <c r="I213" s="46">
        <f t="shared" si="40"/>
        <v>0</v>
      </c>
      <c r="J213" s="76">
        <f t="shared" si="2"/>
        <v>0</v>
      </c>
      <c r="K213" s="48">
        <f>if(  and(M213&gt;0,I213=0)          ,M213 ,                         If(  If( F213 ,  DAYS360(date(year(F213),month(F213),1),Mes)/30  ,  DAYS360(date(year(E213),month(E213),1),Mes)/30  )  &gt;  0 , If(F213,   DAYS360(date(year(F213),month(F213),1),Mes)/30  ,  DAYS360(date(year(E213),month(E213),1),Mes)/30) , 0)       )</f>
        <v>94</v>
      </c>
      <c r="L213" s="77">
        <f t="shared" si="41"/>
        <v>1034000</v>
      </c>
      <c r="M213" s="173"/>
      <c r="N213" s="130"/>
      <c r="O213" s="31"/>
      <c r="P213" s="31"/>
      <c r="Q213" s="31"/>
      <c r="R213" s="31"/>
      <c r="S213" s="31"/>
      <c r="T213" s="31"/>
    </row>
    <row r="214" ht="15.0" customHeight="1">
      <c r="A214" s="18" t="s">
        <v>38</v>
      </c>
      <c r="B214" s="17">
        <v>1610.0</v>
      </c>
      <c r="C214" s="628">
        <v>1610.0</v>
      </c>
      <c r="D214" s="20" t="str">
        <f>IF(   ISERROR(OFFSET(PADRON!B$2,MATCH(C:C,PADRON!A$2:A376,0)-1,0,1,1) )  ,  ,    OFFSET(PADRON!B$2,MATCH(C:C,PADRON!A$2:A376,0)-1,0,1,1))</f>
        <v>DE PIERRIS, GASTON</v>
      </c>
      <c r="E214" s="21">
        <v>43040.0</v>
      </c>
      <c r="F214" s="629"/>
      <c r="G214" s="23" t="s">
        <v>56</v>
      </c>
      <c r="H214" s="24">
        <f>IF( ISERROR( OFFSET(   'Cuadro tarifario'!D$2  , MATCH(CONCATENATE(                 IF(F214&gt;Mes,OFFSET(NroCT!B$17, MATCH($F214,NroCT!$A$18:$A376,0),0,1,1),Periodovigente)                                                                                                                     ,A214) ,'Cuadro tarifario'!A$2:A376,0) -1 , 0 , 1 , 1) )   , 0  ,   OFFSET(   'Cuadro tarifario'!D$2  , MATCH(CONCATENATE( IF(F214&gt;Mes,OFFSET(NroCT!B$17, MATCH($F214,NroCT!$A$18:$A376,0),0,1,1),Periodovigente) ,A214) ,'Cuadro tarifario'!A$2:A376,0) -1 , 0 , 1 , 1))</f>
        <v>9000</v>
      </c>
      <c r="I214" s="25">
        <f>INT(IF(F214,DAYS360(          DATE(YEAR(E214),MONTH(E214),1),         DATE(YEAR(F214)     ,      MONTH(F214),1 )    )            /30,0 ))</f>
        <v>0</v>
      </c>
      <c r="J214" s="24">
        <f t="shared" si="2"/>
        <v>0</v>
      </c>
      <c r="K214" s="26">
        <f>IF(  AND(M214&gt;0,I214=0)          ,M214 ,                         IF(  IF( F214 ,  DAYS360(DATE(YEAR(F214),MONTH(F214),1),Mes)/30  ,  DAYS360(DATE(YEAR(E214),MONTH(E214),1),Mes)/30  )  &gt;  0 , IF(F214,   DAYS360(DATE(YEAR(F214),MONTH(F214),1),Mes)/30  ,  DAYS360(DATE(YEAR(E214),MONTH(E214),1),Mes)/30) , 0)       )</f>
        <v>93</v>
      </c>
      <c r="L214" s="27">
        <f>IF(ISERROR(K:K*H:H)   ,  0   ,   K:K*H:H)</f>
        <v>837000</v>
      </c>
      <c r="M214" s="173"/>
      <c r="N214" s="130"/>
      <c r="O214" s="31"/>
      <c r="P214" s="31"/>
      <c r="Q214" s="31"/>
      <c r="R214" s="31"/>
      <c r="S214" s="31"/>
      <c r="T214" s="31"/>
    </row>
    <row r="215" ht="15.0" customHeight="1">
      <c r="A215" s="74" t="s">
        <v>71</v>
      </c>
      <c r="B215" s="74">
        <v>1617.0</v>
      </c>
      <c r="C215" s="615">
        <v>1617.0</v>
      </c>
      <c r="D215" s="44" t="str">
        <f>if(   iserror(offset(PADRON!B$2,match(C:C,PADRON!A$2:A376,0)-1,0,1,1) )  ,  ,    offset(PADRON!B$2,match(C:C,PADRON!A$2:A376,0)-1,0,1,1))</f>
        <v>DE NICOLA, JULIAN</v>
      </c>
      <c r="E215" s="45">
        <v>43070.0</v>
      </c>
      <c r="F215" s="45"/>
      <c r="G215" s="23" t="s">
        <v>56</v>
      </c>
      <c r="H215" s="35">
        <f>IF( ISERROR( OFFSET(   'Cuadro tarifario'!D$2  , MATCH(CONCATENATE(                 IF(F215&gt;Mes,OFFSET(NroCT!B$17, MATCH($F215,NroCT!$A$18:$A376,0),0,1,1),Periodovigente)                                                                                                                     ,A215) ,'Cuadro tarifario'!A$2:A376,0) -1 , 0 , 1 , 1) )   , 0  ,   OFFSET(   'Cuadro tarifario'!D$2  , MATCH(CONCATENATE( IF(F215&gt;Mes,OFFSET(NroCT!B$17, MATCH($F215,NroCT!$A$18:$A376,0),0,1,1),Periodovigente) ,A215) ,'Cuadro tarifario'!A$2:A376,0) -1 , 0 , 1 , 1))</f>
        <v>11000</v>
      </c>
      <c r="I215" s="46">
        <f>Int(If(F215,DAYS360(          date(Year(E215),Month(E215),1),         date(Year(F215)     ,      Month(F215),1 )    )            /30,0 ))</f>
        <v>0</v>
      </c>
      <c r="J215" s="76">
        <f t="shared" si="2"/>
        <v>0</v>
      </c>
      <c r="K215" s="48">
        <f>if(  and(M215&gt;0,I215=0)          ,M215 ,                         If(  If( F215 ,  DAYS360(date(year(F215),month(F215),1),Mes)/30  ,  DAYS360(date(year(E215),month(E215),1),Mes)/30  )  &gt;  0 , If(F215,   DAYS360(date(year(F215),month(F215),1),Mes)/30  ,  DAYS360(date(year(E215),month(E215),1),Mes)/30) , 0)       )</f>
        <v>92</v>
      </c>
      <c r="L215" s="77">
        <f>If(Iserror(K:K*H:H)   ,  0   ,   K:K*H:H)</f>
        <v>1012000</v>
      </c>
      <c r="M215" s="173"/>
      <c r="N215" s="130"/>
      <c r="O215" s="31"/>
      <c r="P215" s="31"/>
      <c r="Q215" s="31"/>
      <c r="R215" s="31"/>
      <c r="S215" s="31"/>
      <c r="T215" s="31"/>
    </row>
    <row r="216" ht="15.0" customHeight="1">
      <c r="A216" s="18" t="s">
        <v>38</v>
      </c>
      <c r="B216" s="17">
        <v>1617.0</v>
      </c>
      <c r="C216" s="628">
        <v>1617.0</v>
      </c>
      <c r="D216" s="20" t="str">
        <f>IF(   ISERROR(OFFSET(PADRON!B$2,MATCH(C:C,PADRON!A$2:A376,0)-1,0,1,1) )  ,  ,    OFFSET(PADRON!B$2,MATCH(C:C,PADRON!A$2:A376,0)-1,0,1,1))</f>
        <v>DE NICOLA, JULIAN</v>
      </c>
      <c r="E216" s="21">
        <v>43040.0</v>
      </c>
      <c r="F216" s="629"/>
      <c r="G216" s="23" t="s">
        <v>56</v>
      </c>
      <c r="H216" s="24">
        <f>IF( ISERROR( OFFSET(   'Cuadro tarifario'!D$2  , MATCH(CONCATENATE(                 IF(F216&gt;Mes,OFFSET(NroCT!B$17, MATCH($F216,NroCT!$A$18:$A376,0),0,1,1),Periodovigente)                                                                                                                     ,A216) ,'Cuadro tarifario'!A$2:A376,0) -1 , 0 , 1 , 1) )   , 0  ,   OFFSET(   'Cuadro tarifario'!D$2  , MATCH(CONCATENATE( IF(F216&gt;Mes,OFFSET(NroCT!B$17, MATCH($F216,NroCT!$A$18:$A376,0),0,1,1),Periodovigente) ,A216) ,'Cuadro tarifario'!A$2:A376,0) -1 , 0 , 1 , 1))</f>
        <v>9000</v>
      </c>
      <c r="I216" s="25">
        <f>INT(IF(F216,DAYS360(          DATE(YEAR(E216),MONTH(E216),1),         DATE(YEAR(F216)     ,      MONTH(F216),1 )    )            /30,0 ))</f>
        <v>0</v>
      </c>
      <c r="J216" s="24">
        <f t="shared" si="2"/>
        <v>0</v>
      </c>
      <c r="K216" s="26">
        <f>IF(  AND(M216&gt;0,I216=0)          ,M216 ,                         IF(  IF( F216 ,  DAYS360(DATE(YEAR(F216),MONTH(F216),1),Mes)/30  ,  DAYS360(DATE(YEAR(E216),MONTH(E216),1),Mes)/30  )  &gt;  0 , IF(F216,   DAYS360(DATE(YEAR(F216),MONTH(F216),1),Mes)/30  ,  DAYS360(DATE(YEAR(E216),MONTH(E216),1),Mes)/30) , 0)       )</f>
        <v>93</v>
      </c>
      <c r="L216" s="27">
        <f>IF(ISERROR(K:K*H:H)   ,  0   ,   K:K*H:H)</f>
        <v>837000</v>
      </c>
      <c r="M216" s="173"/>
      <c r="N216" s="130"/>
      <c r="O216" s="31"/>
      <c r="P216" s="31"/>
      <c r="Q216" s="31"/>
      <c r="R216" s="31"/>
      <c r="S216" s="31"/>
      <c r="T216" s="31"/>
    </row>
    <row r="217" ht="15.0" customHeight="1">
      <c r="A217" s="74" t="s">
        <v>274</v>
      </c>
      <c r="B217" s="74" t="s">
        <v>5056</v>
      </c>
      <c r="C217" s="615">
        <v>1617.0</v>
      </c>
      <c r="D217" s="44" t="str">
        <f>if(   iserror(offset(PADRON!B$2,match(C:C,PADRON!A$2:A376,0)-1,0,1,1) )  ,  ,    offset(PADRON!B$2,match(C:C,PADRON!A$2:A376,0)-1,0,1,1))</f>
        <v>DE NICOLA, JULIAN</v>
      </c>
      <c r="E217" s="45">
        <v>43070.0</v>
      </c>
      <c r="F217" s="45"/>
      <c r="G217" s="23" t="s">
        <v>56</v>
      </c>
      <c r="H217" s="35">
        <f>IF( ISERROR( OFFSET(   'Cuadro tarifario'!D$2  , MATCH(CONCATENATE(                 IF(F217&gt;Mes,OFFSET(NroCT!B$17, MATCH($F217,NroCT!$A$18:$A376,0),0,1,1),Periodovigente)                                                                                                                     ,A217) ,'Cuadro tarifario'!A$2:A376,0) -1 , 0 , 1 , 1) )   , 0  ,   OFFSET(   'Cuadro tarifario'!D$2  , MATCH(CONCATENATE( IF(F217&gt;Mes,OFFSET(NroCT!B$17, MATCH($F217,NroCT!$A$18:$A376,0),0,1,1),Periodovigente) ,A217) ,'Cuadro tarifario'!A$2:A376,0) -1 , 0 , 1 , 1))</f>
        <v>3600</v>
      </c>
      <c r="I217" s="46">
        <f>Int(If(F217,DAYS360(          date(Year(E217),Month(E217),1),         date(Year(F217)     ,      Month(F217),1 )    )            /30,0 ))</f>
        <v>0</v>
      </c>
      <c r="J217" s="76">
        <f t="shared" si="2"/>
        <v>0</v>
      </c>
      <c r="K217" s="48">
        <f>if(  and(M217&gt;0,I217=0)          ,M217 ,                         If(  If( F217 ,  DAYS360(date(year(F217),month(F217),1),Mes)/30  ,  DAYS360(date(year(E217),month(E217),1),Mes)/30  )  &gt;  0 , If(F217,   DAYS360(date(year(F217),month(F217),1),Mes)/30  ,  DAYS360(date(year(E217),month(E217),1),Mes)/30) , 0)       )</f>
        <v>92</v>
      </c>
      <c r="L217" s="77">
        <f>If(Iserror(K:K*H:H)   ,  0   ,   K:K*H:H)</f>
        <v>331200</v>
      </c>
      <c r="M217" s="173"/>
      <c r="N217" s="130"/>
      <c r="O217" s="31"/>
      <c r="P217" s="31"/>
      <c r="Q217" s="31"/>
      <c r="R217" s="31"/>
      <c r="S217" s="31"/>
      <c r="T217" s="31"/>
    </row>
    <row r="218" ht="15.0" customHeight="1">
      <c r="A218" s="643" t="s">
        <v>274</v>
      </c>
      <c r="B218" s="114" t="s">
        <v>5059</v>
      </c>
      <c r="C218" s="644">
        <v>1617.0</v>
      </c>
      <c r="D218" s="82" t="str">
        <f>IF(   ISERROR(OFFSET(PADRON!B$2,MATCH(C:C,PADRON!A$2:A376,0)-1,0,1,1) )  ,  ,    OFFSET(PADRON!B$2,MATCH(C:C,PADRON!A$2:A376,0)-1,0,1,1))</f>
        <v>DE NICOLA, JULIAN</v>
      </c>
      <c r="E218" s="45">
        <v>43070.0</v>
      </c>
      <c r="F218" s="45"/>
      <c r="G218" s="23" t="s">
        <v>56</v>
      </c>
      <c r="H218" s="24">
        <f>IF( ISERROR( OFFSET(   'Cuadro tarifario'!D$2  , MATCH(CONCATENATE(                 IF(F218&gt;Mes,OFFSET(NroCT!B$17, MATCH($F218,NroCT!$A$18:$A376,0),0,1,1),Periodovigente)                                                                                                                     ,A218) ,'Cuadro tarifario'!A$2:A376,0) -1 , 0 , 1 , 1) )   , 0  ,   OFFSET(   'Cuadro tarifario'!D$2  , MATCH(CONCATENATE( IF(F218&gt;Mes,OFFSET(NroCT!B$17, MATCH($F218,NroCT!$A$18:$A376,0),0,1,1),Periodovigente) ,A218) ,'Cuadro tarifario'!A$2:A376,0) -1 , 0 , 1 , 1))</f>
        <v>3600</v>
      </c>
      <c r="I218" s="85">
        <f>INT(IF(F218,DAYS360(          DATE(YEAR(E218),MONTH(E218),1),         DATE(YEAR(F218)     ,      MONTH(F218),1 )    )            /30,0 ))</f>
        <v>0</v>
      </c>
      <c r="J218" s="101">
        <f t="shared" si="2"/>
        <v>0</v>
      </c>
      <c r="K218" s="87">
        <f>IF(  AND(M218&gt;0,I218=0)          ,M218 ,                         IF(  IF( F218 ,  DAYS360(DATE(YEAR(F218),MONTH(F218),1),Mes)/30  ,  DAYS360(DATE(YEAR(E218),MONTH(E218),1),Mes)/30  )  &gt;  0 , IF(F218,   DAYS360(DATE(YEAR(F218),MONTH(F218),1),Mes)/30  ,  DAYS360(DATE(YEAR(E218),MONTH(E218),1),Mes)/30) , 0)       )</f>
        <v>92</v>
      </c>
      <c r="L218" s="102">
        <f>IF(ISERROR(K:K*H:H)   ,  0   ,   K:K*H:H)</f>
        <v>331200</v>
      </c>
      <c r="M218" s="173"/>
      <c r="N218" s="130"/>
      <c r="O218" s="31"/>
      <c r="P218" s="31"/>
      <c r="Q218" s="31"/>
      <c r="R218" s="31"/>
      <c r="S218" s="31"/>
      <c r="T218" s="31"/>
    </row>
    <row r="219" ht="15.0" customHeight="1">
      <c r="A219" s="74" t="s">
        <v>71</v>
      </c>
      <c r="B219" s="74">
        <v>1620.0</v>
      </c>
      <c r="C219" s="615">
        <v>1620.0</v>
      </c>
      <c r="D219" s="44" t="str">
        <f>if(   iserror(offset(PADRON!B$2,match(C:C,PADRON!A$2:A376,0)-1,0,1,1) )  ,  ,    offset(PADRON!B$2,match(C:C,PADRON!A$2:A376,0)-1,0,1,1))</f>
        <v>GROBA, HORACIO</v>
      </c>
      <c r="E219" s="45">
        <v>42917.0</v>
      </c>
      <c r="F219" s="45"/>
      <c r="G219" s="23" t="s">
        <v>56</v>
      </c>
      <c r="H219" s="35">
        <f>IF( ISERROR( OFFSET(   'Cuadro tarifario'!D$2  , MATCH(CONCATENATE(                 IF(F219&gt;Mes,OFFSET(NroCT!B$17, MATCH($F219,NroCT!$A$18:$A376,0),0,1,1),Periodovigente)                                                                                                                     ,A219) ,'Cuadro tarifario'!A$2:A376,0) -1 , 0 , 1 , 1) )   , 0  ,   OFFSET(   'Cuadro tarifario'!D$2  , MATCH(CONCATENATE( IF(F219&gt;Mes,OFFSET(NroCT!B$17, MATCH($F219,NroCT!$A$18:$A376,0),0,1,1),Periodovigente) ,A219) ,'Cuadro tarifario'!A$2:A376,0) -1 , 0 , 1 , 1))</f>
        <v>11000</v>
      </c>
      <c r="I219" s="46">
        <f>Int(If(F219,DAYS360(          date(Year(E219),Month(E219),1),         date(Year(F219)     ,      Month(F219),1 )    )            /30,0 ))</f>
        <v>0</v>
      </c>
      <c r="J219" s="76">
        <f t="shared" si="2"/>
        <v>0</v>
      </c>
      <c r="K219" s="48">
        <f>if(  and(M219&gt;0,I219=0)          ,M219 ,                         If(  If( F219 ,  DAYS360(date(year(F219),month(F219),1),Mes)/30  ,  DAYS360(date(year(E219),month(E219),1),Mes)/30  )  &gt;  0 , If(F219,   DAYS360(date(year(F219),month(F219),1),Mes)/30  ,  DAYS360(date(year(E219),month(E219),1),Mes)/30) , 0)       )</f>
        <v>97</v>
      </c>
      <c r="L219" s="77">
        <f>If(Iserror(K:K*H:H)   ,  0   ,   K:K*H:H)</f>
        <v>1067000</v>
      </c>
      <c r="M219" s="173"/>
      <c r="N219" s="130"/>
      <c r="O219" s="31"/>
      <c r="P219" s="31"/>
      <c r="Q219" s="31"/>
      <c r="R219" s="31"/>
      <c r="S219" s="31"/>
      <c r="T219" s="31"/>
    </row>
    <row r="220" ht="15.0" customHeight="1">
      <c r="A220" s="18" t="s">
        <v>38</v>
      </c>
      <c r="B220" s="17">
        <v>1620.0</v>
      </c>
      <c r="C220" s="628">
        <v>1620.0</v>
      </c>
      <c r="D220" s="20" t="str">
        <f>IF(   ISERROR(OFFSET(PADRON!B$2,MATCH(C:C,PADRON!A$2:A376,0)-1,0,1,1) )  ,  ,    OFFSET(PADRON!B$2,MATCH(C:C,PADRON!A$2:A376,0)-1,0,1,1))</f>
        <v>GROBA, HORACIO</v>
      </c>
      <c r="E220" s="21">
        <v>43040.0</v>
      </c>
      <c r="F220" s="629"/>
      <c r="G220" s="23" t="s">
        <v>56</v>
      </c>
      <c r="H220" s="24">
        <f>IF( ISERROR( OFFSET(   'Cuadro tarifario'!D$2  , MATCH(CONCATENATE(                 IF(F220&gt;Mes,OFFSET(NroCT!B$17, MATCH($F220,NroCT!$A$18:$A376,0),0,1,1),Periodovigente)                                                                                                                     ,A220) ,'Cuadro tarifario'!A$2:A376,0) -1 , 0 , 1 , 1) )   , 0  ,   OFFSET(   'Cuadro tarifario'!D$2  , MATCH(CONCATENATE( IF(F220&gt;Mes,OFFSET(NroCT!B$17, MATCH($F220,NroCT!$A$18:$A376,0),0,1,1),Periodovigente) ,A220) ,'Cuadro tarifario'!A$2:A376,0) -1 , 0 , 1 , 1))</f>
        <v>9000</v>
      </c>
      <c r="I220" s="25">
        <f>INT(IF(F220,DAYS360(          DATE(YEAR(E220),MONTH(E220),1),         DATE(YEAR(F220)     ,      MONTH(F220),1 )    )            /30,0 ))</f>
        <v>0</v>
      </c>
      <c r="J220" s="24">
        <f t="shared" si="2"/>
        <v>0</v>
      </c>
      <c r="K220" s="26">
        <f>IF(  AND(M220&gt;0,I220=0)          ,M220 ,                         IF(  IF( F220 ,  DAYS360(DATE(YEAR(F220),MONTH(F220),1),Mes)/30  ,  DAYS360(DATE(YEAR(E220),MONTH(E220),1),Mes)/30  )  &gt;  0 , IF(F220,   DAYS360(DATE(YEAR(F220),MONTH(F220),1),Mes)/30  ,  DAYS360(DATE(YEAR(E220),MONTH(E220),1),Mes)/30) , 0)       )</f>
        <v>93</v>
      </c>
      <c r="L220" s="27">
        <f>IF(ISERROR(K:K*H:H)   ,  0   ,   K:K*H:H)</f>
        <v>837000</v>
      </c>
      <c r="M220" s="173"/>
      <c r="N220" s="130"/>
      <c r="O220" s="31"/>
      <c r="P220" s="31"/>
      <c r="Q220" s="31"/>
      <c r="R220" s="31"/>
      <c r="S220" s="31"/>
      <c r="T220" s="31"/>
    </row>
    <row r="221" ht="15.0" customHeight="1">
      <c r="A221" s="74" t="s">
        <v>40</v>
      </c>
      <c r="B221" s="74" t="s">
        <v>4825</v>
      </c>
      <c r="C221" s="615">
        <v>1620.0</v>
      </c>
      <c r="D221" s="44" t="str">
        <f>if(   iserror(offset(PADRON!B$2,match(C:C,PADRON!A$2:A376,0)-1,0,1,1) )  ,  ,    offset(PADRON!B$2,match(C:C,PADRON!A$2:A376,0)-1,0,1,1))</f>
        <v>GROBA, HORACIO</v>
      </c>
      <c r="E221" s="45">
        <v>42917.0</v>
      </c>
      <c r="F221" s="45"/>
      <c r="G221" s="23" t="s">
        <v>56</v>
      </c>
      <c r="H221" s="35">
        <f>IF( ISERROR( OFFSET(   'Cuadro tarifario'!D$2  , MATCH(CONCATENATE(                 IF(F221&gt;Mes,OFFSET(NroCT!B$17, MATCH($F221,NroCT!$A$18:$A376,0),0,1,1),Periodovigente)                                                                                                                     ,A221) ,'Cuadro tarifario'!A$2:A376,0) -1 , 0 , 1 , 1) )   , 0  ,   OFFSET(   'Cuadro tarifario'!D$2  , MATCH(CONCATENATE( IF(F221&gt;Mes,OFFSET(NroCT!B$17, MATCH($F221,NroCT!$A$18:$A376,0),0,1,1),Periodovigente) ,A221) ,'Cuadro tarifario'!A$2:A376,0) -1 , 0 , 1 , 1))</f>
        <v>12000</v>
      </c>
      <c r="I221" s="46">
        <f t="shared" ref="I221:I222" si="42">Int(If(F221,DAYS360(          date(Year(E221),Month(E221),1),         date(Year(F221)     ,      Month(F221),1 )    )            /30,0 ))</f>
        <v>0</v>
      </c>
      <c r="J221" s="76">
        <f t="shared" si="2"/>
        <v>0</v>
      </c>
      <c r="K221" s="48">
        <f>if(  and(M221&gt;0,I221=0)          ,M221 ,                         If(  If( F221 ,  DAYS360(date(year(F221),month(F221),1),Mes)/30  ,  DAYS360(date(year(E221),month(E221),1),Mes)/30  )  &gt;  0 , If(F221,   DAYS360(date(year(F221),month(F221),1),Mes)/30  ,  DAYS360(date(year(E221),month(E221),1),Mes)/30) , 0)       )</f>
        <v>97</v>
      </c>
      <c r="L221" s="77">
        <f t="shared" ref="L221:L222" si="43">If(Iserror(K:K*H:H)   ,  0   ,   K:K*H:H)</f>
        <v>1164000</v>
      </c>
      <c r="M221" s="173"/>
      <c r="N221" s="130"/>
      <c r="O221" s="31"/>
      <c r="P221" s="31"/>
      <c r="Q221" s="31"/>
      <c r="R221" s="31"/>
      <c r="S221" s="31"/>
      <c r="T221" s="31"/>
    </row>
    <row r="222" ht="15.0" customHeight="1">
      <c r="A222" s="74" t="s">
        <v>71</v>
      </c>
      <c r="B222" s="74">
        <v>1621.0</v>
      </c>
      <c r="C222" s="615">
        <v>1621.0</v>
      </c>
      <c r="D222" s="44" t="str">
        <f>if(   iserror(offset(PADRON!B$2,match(C:C,PADRON!A$2:A376,0)-1,0,1,1) )  ,  ,    offset(PADRON!B$2,match(C:C,PADRON!A$2:A376,0)-1,0,1,1))</f>
        <v>LIBERTO, FAVIO</v>
      </c>
      <c r="E222" s="45">
        <v>43132.0</v>
      </c>
      <c r="F222" s="45"/>
      <c r="G222" s="23" t="s">
        <v>56</v>
      </c>
      <c r="H222" s="35">
        <f>IF( ISERROR( OFFSET(   'Cuadro tarifario'!D$2  , MATCH(CONCATENATE(                 IF(F222&gt;Mes,OFFSET(NroCT!B$17, MATCH($F222,NroCT!$A$18:$A376,0),0,1,1),Periodovigente)                                                                                                                     ,A222) ,'Cuadro tarifario'!A$2:A376,0) -1 , 0 , 1 , 1) )   , 0  ,   OFFSET(   'Cuadro tarifario'!D$2  , MATCH(CONCATENATE( IF(F222&gt;Mes,OFFSET(NroCT!B$17, MATCH($F222,NroCT!$A$18:$A376,0),0,1,1),Periodovigente) ,A222) ,'Cuadro tarifario'!A$2:A376,0) -1 , 0 , 1 , 1))</f>
        <v>11000</v>
      </c>
      <c r="I222" s="46">
        <f t="shared" si="42"/>
        <v>0</v>
      </c>
      <c r="J222" s="76">
        <f t="shared" si="2"/>
        <v>0</v>
      </c>
      <c r="K222" s="48">
        <f>if(  and(M222&gt;0,I222=0)          ,M222 ,                         If(  If( F222 ,  DAYS360(date(year(F222),month(F222),1),Mes)/30  ,  DAYS360(date(year(E222),month(E222),1),Mes)/30  )  &gt;  0 , If(F222,   DAYS360(date(year(F222),month(F222),1),Mes)/30  ,  DAYS360(date(year(E222),month(E222),1),Mes)/30) , 0)       )</f>
        <v>90</v>
      </c>
      <c r="L222" s="77">
        <f t="shared" si="43"/>
        <v>990000</v>
      </c>
      <c r="M222" s="173"/>
      <c r="N222" s="130"/>
      <c r="O222" s="31"/>
      <c r="P222" s="31"/>
      <c r="Q222" s="31"/>
      <c r="R222" s="31"/>
      <c r="S222" s="31"/>
      <c r="T222" s="31"/>
    </row>
    <row r="223" ht="15.0" customHeight="1">
      <c r="A223" s="18" t="s">
        <v>38</v>
      </c>
      <c r="B223" s="17">
        <v>1621.0</v>
      </c>
      <c r="C223" s="628">
        <v>1621.0</v>
      </c>
      <c r="D223" s="20" t="str">
        <f>IF(   ISERROR(OFFSET(PADRON!B$2,MATCH(C:C,PADRON!A$2:A376,0)-1,0,1,1) )  ,  ,    OFFSET(PADRON!B$2,MATCH(C:C,PADRON!A$2:A376,0)-1,0,1,1))</f>
        <v>LIBERTO, FAVIO</v>
      </c>
      <c r="E223" s="21">
        <v>43132.0</v>
      </c>
      <c r="F223" s="21"/>
      <c r="G223" s="23" t="s">
        <v>56</v>
      </c>
      <c r="H223" s="24">
        <f>IF( ISERROR( OFFSET(   'Cuadro tarifario'!D$2  , MATCH(CONCATENATE(                 IF(F223&gt;Mes,OFFSET(NroCT!B$17, MATCH($F223,NroCT!$A$18:$A376,0),0,1,1),Periodovigente)                                                                                                                     ,A223) ,'Cuadro tarifario'!A$2:A376,0) -1 , 0 , 1 , 1) )   , 0  ,   OFFSET(   'Cuadro tarifario'!D$2  , MATCH(CONCATENATE( IF(F223&gt;Mes,OFFSET(NroCT!B$17, MATCH($F223,NroCT!$A$18:$A376,0),0,1,1),Periodovigente) ,A223) ,'Cuadro tarifario'!A$2:A376,0) -1 , 0 , 1 , 1))</f>
        <v>9000</v>
      </c>
      <c r="I223" s="25">
        <f t="shared" ref="I223:I234" si="44">INT(IF(F223,DAYS360(          DATE(YEAR(E223),MONTH(E223),1),         DATE(YEAR(F223)     ,      MONTH(F223),1 )    )            /30,0 ))</f>
        <v>0</v>
      </c>
      <c r="J223" s="24">
        <f t="shared" si="2"/>
        <v>0</v>
      </c>
      <c r="K223" s="26">
        <f>IF(  AND(M223&gt;0,I223=0)          ,M223 ,                         IF(  IF( F223 ,  DAYS360(DATE(YEAR(F223),MONTH(F223),1),Mes)/30  ,  DAYS360(DATE(YEAR(E223),MONTH(E223),1),Mes)/30  )  &gt;  0 , IF(F223,   DAYS360(DATE(YEAR(F223),MONTH(F223),1),Mes)/30  ,  DAYS360(DATE(YEAR(E223),MONTH(E223),1),Mes)/30) , 0)       )</f>
        <v>90</v>
      </c>
      <c r="L223" s="27">
        <f t="shared" ref="L223:L234" si="45">IF(ISERROR(K:K*H:H)   ,  0   ,   K:K*H:H)</f>
        <v>810000</v>
      </c>
      <c r="M223" s="173"/>
      <c r="N223" s="130"/>
      <c r="O223" s="31"/>
      <c r="P223" s="31"/>
      <c r="Q223" s="31"/>
      <c r="R223" s="31"/>
      <c r="S223" s="31"/>
      <c r="T223" s="31"/>
    </row>
    <row r="224" ht="15.0" customHeight="1">
      <c r="A224" s="74" t="s">
        <v>71</v>
      </c>
      <c r="B224" s="74">
        <v>1622.0</v>
      </c>
      <c r="C224" s="615">
        <v>1622.0</v>
      </c>
      <c r="D224" s="20" t="str">
        <f>IF(   ISERROR(OFFSET(PADRON!B$2,MATCH(C:C,PADRON!A$2:A376,0)-1,0,1,1) )  ,  ,    OFFSET(PADRON!B$2,MATCH(C:C,PADRON!A$2:A376,0)-1,0,1,1))</f>
        <v>RAMIREZ, MATIAS</v>
      </c>
      <c r="E224" s="45">
        <v>42856.0</v>
      </c>
      <c r="F224" s="45"/>
      <c r="G224" s="23" t="s">
        <v>56</v>
      </c>
      <c r="H224" s="75">
        <f>IF( ISERROR( OFFSET(   'Cuadro tarifario'!D$2  , MATCH(CONCATENATE(                 IF(F224&gt;Mes,OFFSET(NroCT!B$17, MATCH($F224,NroCT!$A$18:$A376,0),0,1,1),Periodovigente)                                                                                                                     ,A224) ,'Cuadro tarifario'!A$2:A376,0) -1 , 0 , 1 , 1) )   , 0  ,   OFFSET(   'Cuadro tarifario'!D$2  , MATCH(CONCATENATE( IF(F224&gt;Mes,OFFSET(NroCT!B$17, MATCH($F224,NroCT!$A$18:$A376,0),0,1,1),Periodovigente) ,A224) ,'Cuadro tarifario'!A$2:A376,0) -1 , 0 , 1 , 1))</f>
        <v>11000</v>
      </c>
      <c r="I224" s="85">
        <f t="shared" si="44"/>
        <v>0</v>
      </c>
      <c r="J224" s="86">
        <f t="shared" si="2"/>
        <v>0</v>
      </c>
      <c r="K224" s="87">
        <f>IF(  AND(M224&gt;0,I224=0)          ,M224 ,                         IF(  IF( F224 ,  DAYS360(DATE(YEAR(F224),MONTH(F224),1),Mes)/30  ,  DAYS360(DATE(YEAR(E224),MONTH(E224),1),Mes)/30  )  &gt;  0 , IF(F224,   DAYS360(DATE(YEAR(F224),MONTH(F224),1),Mes)/30  ,  DAYS360(DATE(YEAR(E224),MONTH(E224),1),Mes)/30) , 0)       )</f>
        <v>99</v>
      </c>
      <c r="L224" s="88">
        <f t="shared" si="45"/>
        <v>1089000</v>
      </c>
      <c r="M224" s="173"/>
      <c r="N224" s="130"/>
      <c r="O224" s="31"/>
      <c r="P224" s="31"/>
      <c r="Q224" s="31"/>
      <c r="R224" s="31"/>
      <c r="S224" s="31"/>
      <c r="T224" s="31"/>
    </row>
    <row r="225" ht="15.0" customHeight="1">
      <c r="A225" s="18" t="s">
        <v>38</v>
      </c>
      <c r="B225" s="17">
        <v>1622.0</v>
      </c>
      <c r="C225" s="628">
        <v>1622.0</v>
      </c>
      <c r="D225" s="20" t="str">
        <f>IF(   ISERROR(OFFSET(PADRON!B$2,MATCH(C:C,PADRON!A$2:A376,0)-1,0,1,1) )  ,  ,    OFFSET(PADRON!B$2,MATCH(C:C,PADRON!A$2:A376,0)-1,0,1,1))</f>
        <v>RAMIREZ, MATIAS</v>
      </c>
      <c r="E225" s="21">
        <v>43040.0</v>
      </c>
      <c r="F225" s="629"/>
      <c r="G225" s="23" t="s">
        <v>56</v>
      </c>
      <c r="H225" s="24">
        <f>IF( ISERROR( OFFSET(   'Cuadro tarifario'!D$2  , MATCH(CONCATENATE(                 IF(F225&gt;Mes,OFFSET(NroCT!B$17, MATCH($F225,NroCT!$A$18:$A376,0),0,1,1),Periodovigente)                                                                                                                     ,A225) ,'Cuadro tarifario'!A$2:A376,0) -1 , 0 , 1 , 1) )   , 0  ,   OFFSET(   'Cuadro tarifario'!D$2  , MATCH(CONCATENATE( IF(F225&gt;Mes,OFFSET(NroCT!B$17, MATCH($F225,NroCT!$A$18:$A376,0),0,1,1),Periodovigente) ,A225) ,'Cuadro tarifario'!A$2:A376,0) -1 , 0 , 1 , 1))</f>
        <v>9000</v>
      </c>
      <c r="I225" s="106">
        <f t="shared" si="44"/>
        <v>0</v>
      </c>
      <c r="J225" s="107">
        <f t="shared" si="2"/>
        <v>0</v>
      </c>
      <c r="K225" s="108">
        <f>IF(  AND(M225&gt;0,I225=0)          ,M225 ,                         IF(  IF( F225 ,  DAYS360(DATE(YEAR(F225),MONTH(F225),1),Mes)/30  ,  DAYS360(DATE(YEAR(E225),MONTH(E225),1),Mes)/30  )  &gt;  0 , IF(F225,   DAYS360(DATE(YEAR(F225),MONTH(F225),1),Mes)/30  ,  DAYS360(DATE(YEAR(E225),MONTH(E225),1),Mes)/30) , 0)       )</f>
        <v>93</v>
      </c>
      <c r="L225" s="109">
        <f t="shared" si="45"/>
        <v>837000</v>
      </c>
      <c r="M225" s="173"/>
      <c r="N225" s="130"/>
      <c r="O225" s="31"/>
      <c r="P225" s="31"/>
      <c r="Q225" s="31"/>
      <c r="R225" s="31"/>
      <c r="S225" s="31"/>
      <c r="T225" s="31"/>
    </row>
    <row r="226" ht="15.0" customHeight="1">
      <c r="A226" s="105" t="s">
        <v>42</v>
      </c>
      <c r="B226" s="105" t="s">
        <v>320</v>
      </c>
      <c r="C226" s="645">
        <v>1622.0</v>
      </c>
      <c r="D226" s="82" t="str">
        <f>IF(   ISERROR(OFFSET(PADRON!B$2,MATCH(C:C,PADRON!A$2:A376,0)-1,0,1,1) )  ,  ,    OFFSET(PADRON!B$2,MATCH(C:C,PADRON!A$2:A376,0)-1,0,1,1))</f>
        <v>RAMIREZ, MATIAS</v>
      </c>
      <c r="E226" s="83">
        <v>43070.0</v>
      </c>
      <c r="F226" s="83"/>
      <c r="G226" s="23" t="s">
        <v>56</v>
      </c>
      <c r="H226" s="24">
        <f>IF( ISERROR( OFFSET(   'Cuadro tarifario'!D$2  , MATCH(CONCATENATE(                 IF(F226&gt;Mes,OFFSET(NroCT!B$17, MATCH($F226,NroCT!$A$18:$A376,0),0,1,1),Periodovigente)                                                                                                                     ,A226) ,'Cuadro tarifario'!A$2:A376,0) -1 , 0 , 1 , 1) )   , 0  ,   OFFSET(   'Cuadro tarifario'!D$2  , MATCH(CONCATENATE( IF(F226&gt;Mes,OFFSET(NroCT!B$17, MATCH($F226,NroCT!$A$18:$A376,0),0,1,1),Periodovigente) ,A226) ,'Cuadro tarifario'!A$2:A376,0) -1 , 0 , 1 , 1))</f>
        <v>4000</v>
      </c>
      <c r="I226" s="85">
        <f t="shared" si="44"/>
        <v>0</v>
      </c>
      <c r="J226" s="101">
        <f t="shared" si="2"/>
        <v>0</v>
      </c>
      <c r="K226" s="87">
        <f>IF(  AND(M226&gt;0,I226=0)          ,M226 ,                         IF(  IF( F226 ,  DAYS360(DATE(YEAR(F226),MONTH(F226),1),Mes)/30  ,  DAYS360(DATE(YEAR(E226),MONTH(E226),1),Mes)/30  )  &gt;  0 , IF(F226,   DAYS360(DATE(YEAR(F226),MONTH(F226),1),Mes)/30  ,  DAYS360(DATE(YEAR(E226),MONTH(E226),1),Mes)/30) , 0)       )</f>
        <v>92</v>
      </c>
      <c r="L226" s="102">
        <f t="shared" si="45"/>
        <v>368000</v>
      </c>
      <c r="M226" s="173"/>
      <c r="N226" s="130"/>
      <c r="O226" s="31"/>
      <c r="P226" s="31"/>
      <c r="Q226" s="31"/>
      <c r="R226" s="31"/>
      <c r="S226" s="31"/>
      <c r="T226" s="31"/>
    </row>
    <row r="227" ht="15.0" customHeight="1">
      <c r="A227" s="74" t="s">
        <v>71</v>
      </c>
      <c r="B227" s="74">
        <v>1623.0</v>
      </c>
      <c r="C227" s="615">
        <v>1623.0</v>
      </c>
      <c r="D227" s="20" t="str">
        <f>IF(   ISERROR(OFFSET(PADRON!B$2,MATCH(C:C,PADRON!A$2:A376,0)-1,0,1,1) )  ,  ,    OFFSET(PADRON!B$2,MATCH(C:C,PADRON!A$2:A376,0)-1,0,1,1))</f>
        <v>DAMI, FERNANDO</v>
      </c>
      <c r="E227" s="45">
        <v>43221.0</v>
      </c>
      <c r="F227" s="45"/>
      <c r="G227" s="23" t="s">
        <v>56</v>
      </c>
      <c r="H227" s="75">
        <f>IF( ISERROR( OFFSET(   'Cuadro tarifario'!D$2  , MATCH(CONCATENATE(                 IF(F227&gt;Mes,OFFSET(NroCT!B$17, MATCH($F227,NroCT!$A$18:$A376,0),0,1,1),Periodovigente)                                                                                                                     ,A227) ,'Cuadro tarifario'!A$2:A376,0) -1 , 0 , 1 , 1) )   , 0  ,   OFFSET(   'Cuadro tarifario'!D$2  , MATCH(CONCATENATE( IF(F227&gt;Mes,OFFSET(NroCT!B$17, MATCH($F227,NroCT!$A$18:$A376,0),0,1,1),Periodovigente) ,A227) ,'Cuadro tarifario'!A$2:A376,0) -1 , 0 , 1 , 1))</f>
        <v>11000</v>
      </c>
      <c r="I227" s="85">
        <f t="shared" si="44"/>
        <v>0</v>
      </c>
      <c r="J227" s="86">
        <f t="shared" si="2"/>
        <v>0</v>
      </c>
      <c r="K227" s="87">
        <f>IF(  AND(M227&gt;0,I227=0)          ,M227 ,                         IF(  IF( F227 ,  DAYS360(DATE(YEAR(F227),MONTH(F227),1),Mes)/30  ,  DAYS360(DATE(YEAR(E227),MONTH(E227),1),Mes)/30  )  &gt;  0 , IF(F227,   DAYS360(DATE(YEAR(F227),MONTH(F227),1),Mes)/30  ,  DAYS360(DATE(YEAR(E227),MONTH(E227),1),Mes)/30) , 0)       )</f>
        <v>87</v>
      </c>
      <c r="L227" s="88">
        <f t="shared" si="45"/>
        <v>957000</v>
      </c>
      <c r="M227" s="173"/>
      <c r="N227" s="130"/>
      <c r="O227" s="31"/>
      <c r="P227" s="31"/>
      <c r="Q227" s="31"/>
      <c r="R227" s="31"/>
      <c r="S227" s="31"/>
      <c r="T227" s="31"/>
    </row>
    <row r="228" ht="15.0" customHeight="1">
      <c r="A228" s="18" t="s">
        <v>38</v>
      </c>
      <c r="B228" s="17">
        <v>1623.0</v>
      </c>
      <c r="C228" s="628">
        <v>1623.0</v>
      </c>
      <c r="D228" s="20" t="str">
        <f>IF(   ISERROR(OFFSET(PADRON!B$2,MATCH(C:C,PADRON!A$2:A376,0)-1,0,1,1) )  ,  ,    OFFSET(PADRON!B$2,MATCH(C:C,PADRON!A$2:A376,0)-1,0,1,1))</f>
        <v>DAMI, FERNANDO</v>
      </c>
      <c r="E228" s="21">
        <v>43221.0</v>
      </c>
      <c r="F228" s="21"/>
      <c r="G228" s="23" t="s">
        <v>56</v>
      </c>
      <c r="H228" s="24">
        <f>IF( ISERROR( OFFSET(   'Cuadro tarifario'!D$2  , MATCH(CONCATENATE(                 IF(F228&gt;Mes,OFFSET(NroCT!B$17, MATCH($F228,NroCT!$A$18:$A376,0),0,1,1),Periodovigente)                                                                                                                     ,A228) ,'Cuadro tarifario'!A$2:A376,0) -1 , 0 , 1 , 1) )   , 0  ,   OFFSET(   'Cuadro tarifario'!D$2  , MATCH(CONCATENATE( IF(F228&gt;Mes,OFFSET(NroCT!B$17, MATCH($F228,NroCT!$A$18:$A376,0),0,1,1),Periodovigente) ,A228) ,'Cuadro tarifario'!A$2:A376,0) -1 , 0 , 1 , 1))</f>
        <v>9000</v>
      </c>
      <c r="I228" s="106">
        <f t="shared" si="44"/>
        <v>0</v>
      </c>
      <c r="J228" s="107">
        <f t="shared" si="2"/>
        <v>0</v>
      </c>
      <c r="K228" s="108">
        <f>IF(  AND(M228&gt;0,I228=0)          ,M228 ,                         IF(  IF( F228 ,  DAYS360(DATE(YEAR(F228),MONTH(F228),1),Mes)/30  ,  DAYS360(DATE(YEAR(E228),MONTH(E228),1),Mes)/30  )  &gt;  0 , IF(F228,   DAYS360(DATE(YEAR(F228),MONTH(F228),1),Mes)/30  ,  DAYS360(DATE(YEAR(E228),MONTH(E228),1),Mes)/30) , 0)       )</f>
        <v>87</v>
      </c>
      <c r="L228" s="109">
        <f t="shared" si="45"/>
        <v>783000</v>
      </c>
      <c r="M228" s="173"/>
      <c r="N228" s="130"/>
      <c r="O228" s="31"/>
      <c r="P228" s="31"/>
      <c r="Q228" s="31"/>
      <c r="R228" s="31"/>
      <c r="S228" s="31"/>
      <c r="T228" s="31"/>
    </row>
    <row r="229" ht="15.0" customHeight="1">
      <c r="A229" s="74" t="s">
        <v>71</v>
      </c>
      <c r="B229" s="74">
        <v>1628.0</v>
      </c>
      <c r="C229" s="615">
        <v>1628.0</v>
      </c>
      <c r="D229" s="20" t="str">
        <f>IF(   ISERROR(OFFSET(PADRON!B$2,MATCH(C:C,PADRON!A$2:A376,0)-1,0,1,1) )  ,  ,    OFFSET(PADRON!B$2,MATCH(C:C,PADRON!A$2:A376,0)-1,0,1,1))</f>
        <v>LIGORNIA, HUGO</v>
      </c>
      <c r="E229" s="45">
        <v>43191.0</v>
      </c>
      <c r="F229" s="45"/>
      <c r="G229" s="23" t="s">
        <v>56</v>
      </c>
      <c r="H229" s="24">
        <f>IF( ISERROR( OFFSET(   'Cuadro tarifario'!D$2  , MATCH(CONCATENATE(                 IF(F229&gt;Mes,OFFSET(NroCT!B$17, MATCH($F229,NroCT!$A$18:$A376,0),0,1,1),Periodovigente)                                                                                                                     ,A229) ,'Cuadro tarifario'!A$2:A376,0) -1 , 0 , 1 , 1) )   , 0  ,   OFFSET(   'Cuadro tarifario'!D$2  , MATCH(CONCATENATE( IF(F229&gt;Mes,OFFSET(NroCT!B$17, MATCH($F229,NroCT!$A$18:$A376,0),0,1,1),Periodovigente) ,A229) ,'Cuadro tarifario'!A$2:A376,0) -1 , 0 , 1 , 1))</f>
        <v>11000</v>
      </c>
      <c r="I229" s="85">
        <f t="shared" si="44"/>
        <v>0</v>
      </c>
      <c r="J229" s="101">
        <f t="shared" si="2"/>
        <v>0</v>
      </c>
      <c r="K229" s="87">
        <f>IF(  AND(M229&gt;0,I229=0)          ,M229 ,                         IF(  IF( F229 ,  DAYS360(DATE(YEAR(F229),MONTH(F229),1),Mes)/30  ,  DAYS360(DATE(YEAR(E229),MONTH(E229),1),Mes)/30  )  &gt;  0 , IF(F229,   DAYS360(DATE(YEAR(F229),MONTH(F229),1),Mes)/30  ,  DAYS360(DATE(YEAR(E229),MONTH(E229),1),Mes)/30) , 0)       )</f>
        <v>88</v>
      </c>
      <c r="L229" s="102">
        <f t="shared" si="45"/>
        <v>968000</v>
      </c>
      <c r="M229" s="173"/>
      <c r="N229" s="130"/>
      <c r="O229" s="31"/>
      <c r="P229" s="31"/>
      <c r="Q229" s="31"/>
      <c r="R229" s="31"/>
      <c r="S229" s="31"/>
      <c r="T229" s="31"/>
    </row>
    <row r="230" ht="15.0" customHeight="1">
      <c r="A230" s="18" t="s">
        <v>38</v>
      </c>
      <c r="B230" s="17">
        <v>1628.0</v>
      </c>
      <c r="C230" s="628">
        <v>1628.0</v>
      </c>
      <c r="D230" s="20" t="str">
        <f>IF(   ISERROR(OFFSET(PADRON!B$2,MATCH(C:C,PADRON!A$2:A376,0)-1,0,1,1) )  ,  ,    OFFSET(PADRON!B$2,MATCH(C:C,PADRON!A$2:A376,0)-1,0,1,1))</f>
        <v>LIGORNIA, HUGO</v>
      </c>
      <c r="E230" s="21">
        <v>43191.0</v>
      </c>
      <c r="F230" s="21"/>
      <c r="G230" s="23" t="s">
        <v>56</v>
      </c>
      <c r="H230" s="24">
        <f>IF( ISERROR( OFFSET(   'Cuadro tarifario'!D$2  , MATCH(CONCATENATE(                 IF(F230&gt;Mes,OFFSET(NroCT!B$17, MATCH($F230,NroCT!$A$18:$A376,0),0,1,1),Periodovigente)                                                                                                                     ,A230) ,'Cuadro tarifario'!A$2:A376,0) -1 , 0 , 1 , 1) )   , 0  ,   OFFSET(   'Cuadro tarifario'!D$2  , MATCH(CONCATENATE( IF(F230&gt;Mes,OFFSET(NroCT!B$17, MATCH($F230,NroCT!$A$18:$A376,0),0,1,1),Periodovigente) ,A230) ,'Cuadro tarifario'!A$2:A376,0) -1 , 0 , 1 , 1))</f>
        <v>9000</v>
      </c>
      <c r="I230" s="106">
        <f t="shared" si="44"/>
        <v>0</v>
      </c>
      <c r="J230" s="107">
        <f t="shared" si="2"/>
        <v>0</v>
      </c>
      <c r="K230" s="108">
        <f>IF(  AND(M230&gt;0,I230=0)          ,M230 ,                         IF(  IF( F230 ,  DAYS360(DATE(YEAR(F230),MONTH(F230),1),Mes)/30  ,  DAYS360(DATE(YEAR(E230),MONTH(E230),1),Mes)/30  )  &gt;  0 , IF(F230,   DAYS360(DATE(YEAR(F230),MONTH(F230),1),Mes)/30  ,  DAYS360(DATE(YEAR(E230),MONTH(E230),1),Mes)/30) , 0)       )</f>
        <v>88</v>
      </c>
      <c r="L230" s="109">
        <f t="shared" si="45"/>
        <v>792000</v>
      </c>
      <c r="M230" s="173"/>
      <c r="N230" s="130"/>
      <c r="O230" s="31"/>
      <c r="P230" s="31"/>
      <c r="Q230" s="31"/>
      <c r="R230" s="31"/>
      <c r="S230" s="31"/>
      <c r="T230" s="31"/>
    </row>
    <row r="231" ht="15.0" customHeight="1">
      <c r="A231" s="74" t="s">
        <v>82</v>
      </c>
      <c r="B231" s="74" t="s">
        <v>139</v>
      </c>
      <c r="C231" s="615">
        <v>1628.0</v>
      </c>
      <c r="D231" s="20" t="str">
        <f>IF(   ISERROR(OFFSET(PADRON!B$2,MATCH(C:C,PADRON!A$2:A376,0)-1,0,1,1) )  ,  ,    OFFSET(PADRON!B$2,MATCH(C:C,PADRON!A$2:A376,0)-1,0,1,1))</f>
        <v>LIGORNIA, HUGO</v>
      </c>
      <c r="E231" s="45">
        <v>43191.0</v>
      </c>
      <c r="F231" s="45"/>
      <c r="G231" s="23" t="s">
        <v>56</v>
      </c>
      <c r="H231" s="24">
        <f>IF( ISERROR( OFFSET(   'Cuadro tarifario'!D$2  , MATCH(CONCATENATE(                 IF(F231&gt;Mes,OFFSET(NroCT!B$17, MATCH($F231,NroCT!$A$18:$A376,0),0,1,1),Periodovigente)                                                                                                                     ,A231) ,'Cuadro tarifario'!A$2:A376,0) -1 , 0 , 1 , 1) )   , 0  ,   OFFSET(   'Cuadro tarifario'!D$2  , MATCH(CONCATENATE( IF(F231&gt;Mes,OFFSET(NroCT!B$17, MATCH($F231,NroCT!$A$18:$A376,0),0,1,1),Periodovigente) ,A231) ,'Cuadro tarifario'!A$2:A376,0) -1 , 0 , 1 , 1))</f>
        <v>12000</v>
      </c>
      <c r="I231" s="85">
        <f t="shared" si="44"/>
        <v>0</v>
      </c>
      <c r="J231" s="101">
        <f t="shared" si="2"/>
        <v>0</v>
      </c>
      <c r="K231" s="87">
        <f>IF(  AND(M231&gt;0,I231=0)          ,M231 ,                         IF(  IF( F231 ,  DAYS360(DATE(YEAR(F231),MONTH(F231),1),Mes)/30  ,  DAYS360(DATE(YEAR(E231),MONTH(E231),1),Mes)/30  )  &gt;  0 , IF(F231,   DAYS360(DATE(YEAR(F231),MONTH(F231),1),Mes)/30  ,  DAYS360(DATE(YEAR(E231),MONTH(E231),1),Mes)/30) , 0)       )</f>
        <v>88</v>
      </c>
      <c r="L231" s="102">
        <f t="shared" si="45"/>
        <v>1056000</v>
      </c>
      <c r="M231" s="173"/>
      <c r="N231" s="130"/>
      <c r="O231" s="31"/>
      <c r="P231" s="31"/>
      <c r="Q231" s="31"/>
      <c r="R231" s="31"/>
      <c r="S231" s="31"/>
      <c r="T231" s="31"/>
    </row>
    <row r="232" ht="15.0" customHeight="1">
      <c r="A232" s="74" t="s">
        <v>50</v>
      </c>
      <c r="B232" s="74" t="s">
        <v>192</v>
      </c>
      <c r="C232" s="615">
        <v>1628.0</v>
      </c>
      <c r="D232" s="20" t="str">
        <f>IF(   ISERROR(OFFSET(PADRON!B$2,MATCH(C:C,PADRON!A$2:A376,0)-1,0,1,1) )  ,  ,    OFFSET(PADRON!B$2,MATCH(C:C,PADRON!A$2:A376,0)-1,0,1,1))</f>
        <v>LIGORNIA, HUGO</v>
      </c>
      <c r="E232" s="45">
        <v>43435.0</v>
      </c>
      <c r="F232" s="45"/>
      <c r="G232" s="23" t="s">
        <v>56</v>
      </c>
      <c r="H232" s="24">
        <f>IF( ISERROR( OFFSET(   'Cuadro tarifario'!D$2  , MATCH(CONCATENATE(                 IF(F232&gt;Mes,OFFSET(NroCT!B$17, MATCH($F232,NroCT!$A$18:$A376,0),0,1,1),Periodovigente)                                                                                                                     ,A232) ,'Cuadro tarifario'!A$2:A376,0) -1 , 0 , 1 , 1) )   , 0  ,   OFFSET(   'Cuadro tarifario'!D$2  , MATCH(CONCATENATE( IF(F232&gt;Mes,OFFSET(NroCT!B$17, MATCH($F232,NroCT!$A$18:$A376,0),0,1,1),Periodovigente) ,A232) ,'Cuadro tarifario'!A$2:A376,0) -1 , 0 , 1 , 1))</f>
        <v>3600</v>
      </c>
      <c r="I232" s="85">
        <f t="shared" si="44"/>
        <v>0</v>
      </c>
      <c r="J232" s="101">
        <f t="shared" si="2"/>
        <v>0</v>
      </c>
      <c r="K232" s="87">
        <f>IF(  AND(M232&gt;0,I232=0)          ,M232 ,                         IF(  IF( F232 ,  DAYS360(DATE(YEAR(F232),MONTH(F232),1),Mes)/30  ,  DAYS360(DATE(YEAR(E232),MONTH(E232),1),Mes)/30  )  &gt;  0 , IF(F232,   DAYS360(DATE(YEAR(F232),MONTH(F232),1),Mes)/30  ,  DAYS360(DATE(YEAR(E232),MONTH(E232),1),Mes)/30) , 0)       )</f>
        <v>80</v>
      </c>
      <c r="L232" s="102">
        <f t="shared" si="45"/>
        <v>288000</v>
      </c>
      <c r="M232" s="173"/>
      <c r="N232" s="130"/>
      <c r="O232" s="31"/>
      <c r="P232" s="31"/>
      <c r="Q232" s="31"/>
      <c r="R232" s="31"/>
      <c r="S232" s="31"/>
      <c r="T232" s="31"/>
    </row>
    <row r="233" ht="15.0" customHeight="1">
      <c r="A233" s="74" t="s">
        <v>71</v>
      </c>
      <c r="B233" s="74">
        <v>1629.0</v>
      </c>
      <c r="C233" s="615">
        <v>1629.0</v>
      </c>
      <c r="D233" s="20" t="str">
        <f>IF(   ISERROR(OFFSET(PADRON!B$2,MATCH(C:C,PADRON!A$2:A376,0)-1,0,1,1) )  ,  ,    OFFSET(PADRON!B$2,MATCH(C:C,PADRON!A$2:A376,0)-1,0,1,1))</f>
        <v/>
      </c>
      <c r="E233" s="45">
        <v>42948.0</v>
      </c>
      <c r="F233" s="45"/>
      <c r="G233" s="23" t="s">
        <v>56</v>
      </c>
      <c r="H233" s="24">
        <f>IF( ISERROR( OFFSET(   'Cuadro tarifario'!D$2  , MATCH(CONCATENATE(                 IF(F233&gt;Mes,OFFSET(NroCT!B$17, MATCH($F233,NroCT!$A$18:$A376,0),0,1,1),Periodovigente)                                                                                                                     ,A233) ,'Cuadro tarifario'!A$2:A376,0) -1 , 0 , 1 , 1) )   , 0  ,   OFFSET(   'Cuadro tarifario'!D$2  , MATCH(CONCATENATE( IF(F233&gt;Mes,OFFSET(NroCT!B$17, MATCH($F233,NroCT!$A$18:$A376,0),0,1,1),Periodovigente) ,A233) ,'Cuadro tarifario'!A$2:A376,0) -1 , 0 , 1 , 1))</f>
        <v>11000</v>
      </c>
      <c r="I233" s="85">
        <f t="shared" si="44"/>
        <v>0</v>
      </c>
      <c r="J233" s="101">
        <f t="shared" si="2"/>
        <v>0</v>
      </c>
      <c r="K233" s="87">
        <f>IF(  AND(M233&gt;0,I233=0)          ,M233 ,                         IF(  IF( F233 ,  DAYS360(DATE(YEAR(F233),MONTH(F233),1),Mes)/30  ,  DAYS360(DATE(YEAR(E233),MONTH(E233),1),Mes)/30  )  &gt;  0 , IF(F233,   DAYS360(DATE(YEAR(F233),MONTH(F233),1),Mes)/30  ,  DAYS360(DATE(YEAR(E233),MONTH(E233),1),Mes)/30) , 0)       )</f>
        <v>96</v>
      </c>
      <c r="L233" s="102">
        <f t="shared" si="45"/>
        <v>1056000</v>
      </c>
      <c r="M233" s="173"/>
      <c r="N233" s="130"/>
      <c r="O233" s="31"/>
      <c r="P233" s="31"/>
      <c r="Q233" s="31"/>
      <c r="R233" s="31"/>
      <c r="S233" s="31"/>
      <c r="T233" s="31"/>
    </row>
    <row r="234" ht="15.0" customHeight="1">
      <c r="A234" s="18" t="s">
        <v>38</v>
      </c>
      <c r="B234" s="17">
        <v>1629.0</v>
      </c>
      <c r="C234" s="628">
        <v>1629.0</v>
      </c>
      <c r="D234" s="20" t="str">
        <f>IF(   ISERROR(OFFSET(PADRON!B$2,MATCH(C:C,PADRON!A$2:A376,0)-1,0,1,1) )  ,  ,    OFFSET(PADRON!B$2,MATCH(C:C,PADRON!A$2:A376,0)-1,0,1,1))</f>
        <v/>
      </c>
      <c r="E234" s="21">
        <v>43040.0</v>
      </c>
      <c r="F234" s="629"/>
      <c r="G234" s="23" t="s">
        <v>56</v>
      </c>
      <c r="H234" s="24">
        <f>IF( ISERROR( OFFSET(   'Cuadro tarifario'!D$2  , MATCH(CONCATENATE(                 IF(F234&gt;Mes,OFFSET(NroCT!B$17, MATCH($F234,NroCT!$A$18:$A376,0),0,1,1),Periodovigente)                                                                                                                     ,A234) ,'Cuadro tarifario'!A$2:A376,0) -1 , 0 , 1 , 1) )   , 0  ,   OFFSET(   'Cuadro tarifario'!D$2  , MATCH(CONCATENATE( IF(F234&gt;Mes,OFFSET(NroCT!B$17, MATCH($F234,NroCT!$A$18:$A376,0),0,1,1),Periodovigente) ,A234) ,'Cuadro tarifario'!A$2:A376,0) -1 , 0 , 1 , 1))</f>
        <v>9000</v>
      </c>
      <c r="I234" s="106">
        <f t="shared" si="44"/>
        <v>0</v>
      </c>
      <c r="J234" s="107">
        <f t="shared" si="2"/>
        <v>0</v>
      </c>
      <c r="K234" s="108">
        <f>IF(  AND(M234&gt;0,I234=0)          ,M234 ,                         IF(  IF( F234 ,  DAYS360(DATE(YEAR(F234),MONTH(F234),1),Mes)/30  ,  DAYS360(DATE(YEAR(E234),MONTH(E234),1),Mes)/30  )  &gt;  0 , IF(F234,   DAYS360(DATE(YEAR(F234),MONTH(F234),1),Mes)/30  ,  DAYS360(DATE(YEAR(E234),MONTH(E234),1),Mes)/30) , 0)       )</f>
        <v>93</v>
      </c>
      <c r="L234" s="109">
        <f t="shared" si="45"/>
        <v>837000</v>
      </c>
      <c r="M234" s="173"/>
      <c r="N234" s="130"/>
      <c r="O234" s="31"/>
      <c r="P234" s="31"/>
      <c r="Q234" s="31"/>
      <c r="R234" s="31"/>
      <c r="S234" s="31"/>
      <c r="T234" s="31"/>
    </row>
    <row r="235" ht="17.25" customHeight="1">
      <c r="A235" s="54" t="s">
        <v>82</v>
      </c>
      <c r="B235" s="54" t="s">
        <v>5060</v>
      </c>
      <c r="C235" s="19">
        <v>1567.0</v>
      </c>
      <c r="D235" s="34" t="str">
        <f>if(   iserror(offset(PADRON!B$2,match(C:C,PADRON!A$2:A376,0)-1,0,1,1) )  ,  ,    offset(PADRON!B$2,match(C:C,PADRON!A$2:A376,0)-1,0,1,1))</f>
        <v>MANCINI FLAVIO</v>
      </c>
      <c r="E235" s="58">
        <v>44256.0</v>
      </c>
      <c r="F235" s="22"/>
      <c r="G235" s="23" t="s">
        <v>39</v>
      </c>
      <c r="H235" s="80">
        <f>IF( ISERROR( OFFSET(   'Cuadro tarifario'!D$2  , MATCH(CONCATENATE(                 IF(F235&gt;Mes,OFFSET(NroCT!B$17, MATCH($F235,NroCT!$A$18:$A376,0),0,1,1),Periodovigente)                                                                                                                     ,A235) ,'Cuadro tarifario'!A$2:A376,0) -1 , 0 , 1 , 1) )   , 0  ,   OFFSET(   'Cuadro tarifario'!D$2  , MATCH(CONCATENATE( IF(F235&gt;Mes,OFFSET(NroCT!B$17, MATCH($F235,NroCT!$A$18:$A376,0),0,1,1),Periodovigente) ,A235) ,'Cuadro tarifario'!A$2:A376,0) -1 , 0 , 1 , 1))</f>
        <v>12000</v>
      </c>
      <c r="I235" s="36">
        <f>Int(If(F235,DAYS360(          date(Year(E235),Month(E235),1),         date(Year(F235)     ,      Month(F235),1 )    )            /30,0 ))</f>
        <v>0</v>
      </c>
      <c r="J235" s="36">
        <f t="shared" si="2"/>
        <v>0</v>
      </c>
      <c r="K235" s="38">
        <f>if(  and(N235&gt;0,I235=0)          ,N235 ,                         If(  If( F235 ,  DAYS360(date(year(F235),month(F235),1),Mes)/30  ,  DAYS360(date(year(E235),month(E235),1),Mes)/30  )  &gt;  0 , If(F235,   DAYS360(date(year(F235),month(F235),1),Mes)/30  ,  DAYS360(date(year(E235),month(E235),1),Mes)/30) , 0)       )</f>
        <v>53</v>
      </c>
      <c r="L235" s="38">
        <f>If(Iserror(K:K*H:H)   ,  0   ,   K:K*H:H)</f>
        <v>636000</v>
      </c>
      <c r="M235" s="40" t="s">
        <v>5061</v>
      </c>
      <c r="N235" s="29">
        <f>IF( ISERROR(OFFSET(SECUESTRADOS!D$1,MATCH(B235,SECUESTRADOS!A$2:A376,0),0)) ,0 ,  OFFSET(SECUESTRADOS!D$1,MATCH(B235,SECUESTRADOS!A$2:A376,0),0)  )</f>
        <v>0</v>
      </c>
      <c r="O235" s="30"/>
      <c r="P235" s="17" t="b">
        <f>IF(I235,A235)</f>
        <v>0</v>
      </c>
      <c r="Q235" s="17" t="str">
        <f>IF(AND(A235=#REF!,B235=#REF!,C235=#REF!),"Repetido","")</f>
        <v>#REF!</v>
      </c>
      <c r="R235" s="31"/>
      <c r="S235" s="31"/>
      <c r="T235" s="31"/>
    </row>
    <row r="236" ht="15.0" customHeight="1">
      <c r="A236" s="74" t="s">
        <v>71</v>
      </c>
      <c r="B236" s="74">
        <v>1634.0</v>
      </c>
      <c r="C236" s="615">
        <v>1634.0</v>
      </c>
      <c r="D236" s="20" t="str">
        <f>IF(   ISERROR(OFFSET(PADRON!B$2,MATCH(C:C,PADRON!A$2:A376,0)-1,0,1,1) )  ,  ,    OFFSET(PADRON!B$2,MATCH(C:C,PADRON!A$2:A376,0)-1,0,1,1))</f>
        <v>ZABALETA, DARIO</v>
      </c>
      <c r="E236" s="45">
        <v>43040.0</v>
      </c>
      <c r="F236" s="45"/>
      <c r="G236" s="23" t="s">
        <v>56</v>
      </c>
      <c r="H236" s="24">
        <f>IF( ISERROR( OFFSET(   'Cuadro tarifario'!D$2  , MATCH(CONCATENATE(                 IF(F236&gt;Mes,OFFSET(NroCT!B$17, MATCH($F236,NroCT!$A$18:$A376,0),0,1,1),Periodovigente)                                                                                                                     ,A236) ,'Cuadro tarifario'!A$2:A376,0) -1 , 0 , 1 , 1) )   , 0  ,   OFFSET(   'Cuadro tarifario'!D$2  , MATCH(CONCATENATE( IF(F236&gt;Mes,OFFSET(NroCT!B$17, MATCH($F236,NroCT!$A$18:$A376,0),0,1,1),Periodovigente) ,A236) ,'Cuadro tarifario'!A$2:A376,0) -1 , 0 , 1 , 1))</f>
        <v>11000</v>
      </c>
      <c r="I236" s="85">
        <f t="shared" ref="I236:I237" si="46">INT(IF(F236,DAYS360(          DATE(YEAR(E236),MONTH(E236),1),         DATE(YEAR(F236)     ,      MONTH(F236),1 )    )            /30,0 ))</f>
        <v>0</v>
      </c>
      <c r="J236" s="101">
        <f t="shared" si="2"/>
        <v>0</v>
      </c>
      <c r="K236" s="87">
        <f>IF(  AND(M236&gt;0,I236=0)          ,M236 ,                         IF(  IF( F236 ,  DAYS360(DATE(YEAR(F236),MONTH(F236),1),Mes)/30  ,  DAYS360(DATE(YEAR(E236),MONTH(E236),1),Mes)/30  )  &gt;  0 , IF(F236,   DAYS360(DATE(YEAR(F236),MONTH(F236),1),Mes)/30  ,  DAYS360(DATE(YEAR(E236),MONTH(E236),1),Mes)/30) , 0)       )</f>
        <v>93</v>
      </c>
      <c r="L236" s="102">
        <f t="shared" ref="L236:L237" si="47">IF(ISERROR(K:K*H:H)   ,  0   ,   K:K*H:H)</f>
        <v>1023000</v>
      </c>
      <c r="M236" s="173"/>
      <c r="N236" s="130"/>
      <c r="O236" s="31"/>
      <c r="P236" s="31"/>
      <c r="Q236" s="31"/>
      <c r="R236" s="31"/>
      <c r="S236" s="31"/>
      <c r="T236" s="31"/>
    </row>
    <row r="237" ht="15.0" customHeight="1">
      <c r="A237" s="18" t="s">
        <v>38</v>
      </c>
      <c r="B237" s="17">
        <v>1634.0</v>
      </c>
      <c r="C237" s="628">
        <v>1634.0</v>
      </c>
      <c r="D237" s="20" t="str">
        <f>IF(   ISERROR(OFFSET(PADRON!B$2,MATCH(C:C,PADRON!A$2:A376,0)-1,0,1,1) )  ,  ,    OFFSET(PADRON!B$2,MATCH(C:C,PADRON!A$2:A376,0)-1,0,1,1))</f>
        <v>ZABALETA, DARIO</v>
      </c>
      <c r="E237" s="21">
        <v>43040.0</v>
      </c>
      <c r="F237" s="629"/>
      <c r="G237" s="23" t="s">
        <v>56</v>
      </c>
      <c r="H237" s="24">
        <f>IF( ISERROR( OFFSET(   'Cuadro tarifario'!D$2  , MATCH(CONCATENATE(                 IF(F237&gt;Mes,OFFSET(NroCT!B$17, MATCH($F237,NroCT!$A$18:$A376,0),0,1,1),Periodovigente)                                                                                                                     ,A237) ,'Cuadro tarifario'!A$2:A376,0) -1 , 0 , 1 , 1) )   , 0  ,   OFFSET(   'Cuadro tarifario'!D$2  , MATCH(CONCATENATE( IF(F237&gt;Mes,OFFSET(NroCT!B$17, MATCH($F237,NroCT!$A$18:$A376,0),0,1,1),Periodovigente) ,A237) ,'Cuadro tarifario'!A$2:A376,0) -1 , 0 , 1 , 1))</f>
        <v>9000</v>
      </c>
      <c r="I237" s="106">
        <f t="shared" si="46"/>
        <v>0</v>
      </c>
      <c r="J237" s="107">
        <f t="shared" si="2"/>
        <v>0</v>
      </c>
      <c r="K237" s="108">
        <f>IF(  AND(M237&gt;0,I237=0)          ,M237 ,                         IF(  IF( F237 ,  DAYS360(DATE(YEAR(F237),MONTH(F237),1),Mes)/30  ,  DAYS360(DATE(YEAR(E237),MONTH(E237),1),Mes)/30  )  &gt;  0 , IF(F237,   DAYS360(DATE(YEAR(F237),MONTH(F237),1),Mes)/30  ,  DAYS360(DATE(YEAR(E237),MONTH(E237),1),Mes)/30) , 0)       )</f>
        <v>93</v>
      </c>
      <c r="L237" s="109">
        <f t="shared" si="47"/>
        <v>837000</v>
      </c>
      <c r="M237" s="173"/>
      <c r="N237" s="130"/>
      <c r="O237" s="31"/>
      <c r="P237" s="31"/>
      <c r="Q237" s="31"/>
      <c r="R237" s="31"/>
      <c r="S237" s="31"/>
      <c r="T237" s="31"/>
    </row>
    <row r="238">
      <c r="A238" s="33" t="s">
        <v>40</v>
      </c>
      <c r="B238" s="33" t="s">
        <v>4822</v>
      </c>
      <c r="C238" s="19">
        <v>1060.0</v>
      </c>
      <c r="D238" s="34" t="str">
        <f>if(   iserror(offset(PADRON!B$2,match(C:C,PADRON!A$2:A376,0)-1,0,1,1) )  ,  ,    offset(PADRON!B$2,match(C:C,PADRON!A$2:A376,0)-1,0,1,1))</f>
        <v>SAN JUAN, ANDRES GUSTAVO</v>
      </c>
      <c r="E238" s="22">
        <v>43862.0</v>
      </c>
      <c r="F238" s="22"/>
      <c r="G238" s="23" t="s">
        <v>39</v>
      </c>
      <c r="H238" s="35">
        <f>IF( ISERROR( OFFSET(   'Cuadro tarifario'!D$2  , MATCH(CONCATENATE(                 IF(F238&gt;Mes,OFFSET(NroCT!B$17, MATCH($F238,NroCT!$A$18:$A376,0),0,1,1),Periodovigente)                                                                                                                     ,A238) ,'Cuadro tarifario'!A$2:A376,0) -1 , 0 , 1 , 1) )   , 0  ,   OFFSET(   'Cuadro tarifario'!D$2  , MATCH(CONCATENATE( IF(F238&gt;Mes,OFFSET(NroCT!B$17, MATCH($F238,NroCT!$A$18:$A376,0),0,1,1),Periodovigente) ,A238) ,'Cuadro tarifario'!A$2:A376,0) -1 , 0 , 1 , 1))</f>
        <v>12000</v>
      </c>
      <c r="I238" s="36">
        <f>Int(If(F238,DAYS360(          date(Year(E238),Month(E238),1),         date(Year(F238)     ,      Month(F238),1 )    )            /30,0 ))</f>
        <v>0</v>
      </c>
      <c r="J238" s="37">
        <f t="shared" si="2"/>
        <v>0</v>
      </c>
      <c r="K238" s="38">
        <f>if(  and(N238&gt;0,I238=0)          ,N238 ,                         If(  If( F238 ,  DAYS360(date(year(F238),month(F238),1),Mes)/30  ,  DAYS360(date(year(E238),month(E238),1),Mes)/30  )  &gt;  0 , If(F238,   DAYS360(date(year(F238),month(F238),1),Mes)/30  ,  DAYS360(date(year(E238),month(E238),1),Mes)/30) , 0)       )</f>
        <v>66</v>
      </c>
      <c r="L238" s="39">
        <f>If(Iserror(K:K*H:H)   ,  0   ,   K:K*H:H)</f>
        <v>792000</v>
      </c>
      <c r="M238" s="40"/>
      <c r="N238" s="29">
        <f>IF( ISERROR(OFFSET(SECUESTRADOS!D$1,MATCH(B238,SECUESTRADOS!A$2:A376,0),0)) ,0 ,  OFFSET(SECUESTRADOS!D$1,MATCH(B238,SECUESTRADOS!A$2:A376,0),0)  )</f>
        <v>0</v>
      </c>
      <c r="O238" s="30"/>
      <c r="P238" s="17" t="b">
        <f>IF(I238,A238)</f>
        <v>0</v>
      </c>
      <c r="Q238" s="17" t="str">
        <f>IF(AND(A238=#REF!,B238=#REF!,C238=#REF!),"Repetido","")</f>
        <v>#REF!</v>
      </c>
      <c r="R238" s="31"/>
      <c r="S238" s="31"/>
      <c r="T238" s="31"/>
    </row>
    <row r="239" ht="15.0" customHeight="1">
      <c r="A239" s="74" t="s">
        <v>71</v>
      </c>
      <c r="B239" s="74">
        <v>1642.0</v>
      </c>
      <c r="C239" s="615">
        <v>1642.0</v>
      </c>
      <c r="D239" s="20" t="str">
        <f>IF(   ISERROR(OFFSET(PADRON!B$2,MATCH(C:C,PADRON!A$2:A376,0)-1,0,1,1) )  ,  ,    OFFSET(PADRON!B$2,MATCH(C:C,PADRON!A$2:A376,0)-1,0,1,1))</f>
        <v>RAYO, GUADALUPE</v>
      </c>
      <c r="E239" s="45">
        <v>43009.0</v>
      </c>
      <c r="F239" s="45"/>
      <c r="G239" s="23" t="s">
        <v>56</v>
      </c>
      <c r="H239" s="24">
        <f>IF( ISERROR( OFFSET(   'Cuadro tarifario'!D$2  , MATCH(CONCATENATE(                 IF(F239&gt;Mes,OFFSET(NroCT!B$17, MATCH($F239,NroCT!$A$18:$A376,0),0,1,1),Periodovigente)                                                                                                                     ,A239) ,'Cuadro tarifario'!A$2:A376,0) -1 , 0 , 1 , 1) )   , 0  ,   OFFSET(   'Cuadro tarifario'!D$2  , MATCH(CONCATENATE( IF(F239&gt;Mes,OFFSET(NroCT!B$17, MATCH($F239,NroCT!$A$18:$A376,0),0,1,1),Periodovigente) ,A239) ,'Cuadro tarifario'!A$2:A376,0) -1 , 0 , 1 , 1))</f>
        <v>11000</v>
      </c>
      <c r="I239" s="85">
        <f t="shared" ref="I239:I275" si="48">INT(IF(F239,DAYS360(          DATE(YEAR(E239),MONTH(E239),1),         DATE(YEAR(F239)     ,      MONTH(F239),1 )    )            /30,0 ))</f>
        <v>0</v>
      </c>
      <c r="J239" s="101">
        <f t="shared" si="2"/>
        <v>0</v>
      </c>
      <c r="K239" s="87">
        <f>IF(  AND(M239&gt;0,I239=0)          ,M239 ,                         IF(  IF( F239 ,  DAYS360(DATE(YEAR(F239),MONTH(F239),1),Mes)/30  ,  DAYS360(DATE(YEAR(E239),MONTH(E239),1),Mes)/30  )  &gt;  0 , IF(F239,   DAYS360(DATE(YEAR(F239),MONTH(F239),1),Mes)/30  ,  DAYS360(DATE(YEAR(E239),MONTH(E239),1),Mes)/30) , 0)       )</f>
        <v>94</v>
      </c>
      <c r="L239" s="102">
        <f t="shared" ref="L239:L275" si="49">IF(ISERROR(K:K*H:H)   ,  0   ,   K:K*H:H)</f>
        <v>1034000</v>
      </c>
      <c r="M239" s="173"/>
      <c r="N239" s="130"/>
      <c r="O239" s="31"/>
      <c r="P239" s="31"/>
      <c r="Q239" s="31"/>
      <c r="R239" s="31"/>
      <c r="S239" s="31"/>
      <c r="T239" s="31"/>
    </row>
    <row r="240" ht="15.0" customHeight="1">
      <c r="A240" s="18" t="s">
        <v>38</v>
      </c>
      <c r="B240" s="17">
        <v>1642.0</v>
      </c>
      <c r="C240" s="628">
        <v>1642.0</v>
      </c>
      <c r="D240" s="20" t="str">
        <f>IF(   ISERROR(OFFSET(PADRON!B$2,MATCH(C:C,PADRON!A$2:A376,0)-1,0,1,1) )  ,  ,    OFFSET(PADRON!B$2,MATCH(C:C,PADRON!A$2:A376,0)-1,0,1,1))</f>
        <v>RAYO, GUADALUPE</v>
      </c>
      <c r="E240" s="21">
        <v>43040.0</v>
      </c>
      <c r="F240" s="629"/>
      <c r="G240" s="23" t="s">
        <v>56</v>
      </c>
      <c r="H240" s="24">
        <f>IF( ISERROR( OFFSET(   'Cuadro tarifario'!D$2  , MATCH(CONCATENATE(                 IF(F240&gt;Mes,OFFSET(NroCT!B$17, MATCH($F240,NroCT!$A$18:$A376,0),0,1,1),Periodovigente)                                                                                                                     ,A240) ,'Cuadro tarifario'!A$2:A376,0) -1 , 0 , 1 , 1) )   , 0  ,   OFFSET(   'Cuadro tarifario'!D$2  , MATCH(CONCATENATE( IF(F240&gt;Mes,OFFSET(NroCT!B$17, MATCH($F240,NroCT!$A$18:$A376,0),0,1,1),Periodovigente) ,A240) ,'Cuadro tarifario'!A$2:A376,0) -1 , 0 , 1 , 1))</f>
        <v>9000</v>
      </c>
      <c r="I240" s="106">
        <f t="shared" si="48"/>
        <v>0</v>
      </c>
      <c r="J240" s="107">
        <f t="shared" si="2"/>
        <v>0</v>
      </c>
      <c r="K240" s="108">
        <f>IF(  AND(M240&gt;0,I240=0)          ,M240 ,                         IF(  IF( F240 ,  DAYS360(DATE(YEAR(F240),MONTH(F240),1),Mes)/30  ,  DAYS360(DATE(YEAR(E240),MONTH(E240),1),Mes)/30  )  &gt;  0 , IF(F240,   DAYS360(DATE(YEAR(F240),MONTH(F240),1),Mes)/30  ,  DAYS360(DATE(YEAR(E240),MONTH(E240),1),Mes)/30) , 0)       )</f>
        <v>93</v>
      </c>
      <c r="L240" s="109">
        <f t="shared" si="49"/>
        <v>837000</v>
      </c>
      <c r="M240" s="173"/>
      <c r="N240" s="130"/>
      <c r="O240" s="31"/>
      <c r="P240" s="31"/>
      <c r="Q240" s="31"/>
      <c r="R240" s="31"/>
      <c r="S240" s="31"/>
      <c r="T240" s="31"/>
    </row>
    <row r="241" ht="15.0" customHeight="1">
      <c r="A241" s="74" t="s">
        <v>71</v>
      </c>
      <c r="B241" s="74">
        <v>1647.0</v>
      </c>
      <c r="C241" s="615">
        <v>1647.0</v>
      </c>
      <c r="D241" s="20" t="str">
        <f>IF(   ISERROR(OFFSET(PADRON!B$2,MATCH(C:C,PADRON!A$2:A376,0)-1,0,1,1) )  ,  ,    OFFSET(PADRON!B$2,MATCH(C:C,PADRON!A$2:A376,0)-1,0,1,1))</f>
        <v/>
      </c>
      <c r="E241" s="45">
        <v>43070.0</v>
      </c>
      <c r="F241" s="45"/>
      <c r="G241" s="23" t="s">
        <v>56</v>
      </c>
      <c r="H241" s="24">
        <f>IF( ISERROR( OFFSET(   'Cuadro tarifario'!D$2  , MATCH(CONCATENATE(                 IF(F241&gt;Mes,OFFSET(NroCT!B$17, MATCH($F241,NroCT!$A$18:$A376,0),0,1,1),Periodovigente)                                                                                                                     ,A241) ,'Cuadro tarifario'!A$2:A376,0) -1 , 0 , 1 , 1) )   , 0  ,   OFFSET(   'Cuadro tarifario'!D$2  , MATCH(CONCATENATE( IF(F241&gt;Mes,OFFSET(NroCT!B$17, MATCH($F241,NroCT!$A$18:$A376,0),0,1,1),Periodovigente) ,A241) ,'Cuadro tarifario'!A$2:A376,0) -1 , 0 , 1 , 1))</f>
        <v>11000</v>
      </c>
      <c r="I241" s="85">
        <f t="shared" si="48"/>
        <v>0</v>
      </c>
      <c r="J241" s="101">
        <f t="shared" si="2"/>
        <v>0</v>
      </c>
      <c r="K241" s="87">
        <f>IF(  AND(M241&gt;0,I241=0)          ,M241 ,                         IF(  IF( F241 ,  DAYS360(DATE(YEAR(F241),MONTH(F241),1),Mes)/30  ,  DAYS360(DATE(YEAR(E241),MONTH(E241),1),Mes)/30  )  &gt;  0 , IF(F241,   DAYS360(DATE(YEAR(F241),MONTH(F241),1),Mes)/30  ,  DAYS360(DATE(YEAR(E241),MONTH(E241),1),Mes)/30) , 0)       )</f>
        <v>92</v>
      </c>
      <c r="L241" s="102">
        <f t="shared" si="49"/>
        <v>1012000</v>
      </c>
      <c r="M241" s="173"/>
      <c r="N241" s="130"/>
      <c r="O241" s="31"/>
      <c r="P241" s="31"/>
      <c r="Q241" s="31"/>
      <c r="R241" s="31"/>
      <c r="S241" s="31"/>
      <c r="T241" s="31"/>
    </row>
    <row r="242" ht="15.0" customHeight="1">
      <c r="A242" s="18" t="s">
        <v>38</v>
      </c>
      <c r="B242" s="17">
        <v>1647.0</v>
      </c>
      <c r="C242" s="628">
        <v>1647.0</v>
      </c>
      <c r="D242" s="20" t="str">
        <f>IF(   ISERROR(OFFSET(PADRON!B$2,MATCH(C:C,PADRON!A$2:A376,0)-1,0,1,1) )  ,  ,    OFFSET(PADRON!B$2,MATCH(C:C,PADRON!A$2:A376,0)-1,0,1,1))</f>
        <v/>
      </c>
      <c r="E242" s="21">
        <v>43070.0</v>
      </c>
      <c r="F242" s="21"/>
      <c r="G242" s="23" t="s">
        <v>56</v>
      </c>
      <c r="H242" s="24">
        <f>IF( ISERROR( OFFSET(   'Cuadro tarifario'!D$2  , MATCH(CONCATENATE(                 IF(F242&gt;Mes,OFFSET(NroCT!B$17, MATCH($F242,NroCT!$A$18:$A376,0),0,1,1),Periodovigente)                                                                                                                     ,A242) ,'Cuadro tarifario'!A$2:A376,0) -1 , 0 , 1 , 1) )   , 0  ,   OFFSET(   'Cuadro tarifario'!D$2  , MATCH(CONCATENATE( IF(F242&gt;Mes,OFFSET(NroCT!B$17, MATCH($F242,NroCT!$A$18:$A376,0),0,1,1),Periodovigente) ,A242) ,'Cuadro tarifario'!A$2:A376,0) -1 , 0 , 1 , 1))</f>
        <v>9000</v>
      </c>
      <c r="I242" s="106">
        <f t="shared" si="48"/>
        <v>0</v>
      </c>
      <c r="J242" s="107">
        <f t="shared" si="2"/>
        <v>0</v>
      </c>
      <c r="K242" s="108">
        <f>IF(  AND(M242&gt;0,I242=0)          ,M242 ,                         IF(  IF( F242 ,  DAYS360(DATE(YEAR(F242),MONTH(F242),1),Mes)/30  ,  DAYS360(DATE(YEAR(E242),MONTH(E242),1),Mes)/30  )  &gt;  0 , IF(F242,   DAYS360(DATE(YEAR(F242),MONTH(F242),1),Mes)/30  ,  DAYS360(DATE(YEAR(E242),MONTH(E242),1),Mes)/30) , 0)       )</f>
        <v>92</v>
      </c>
      <c r="L242" s="109">
        <f t="shared" si="49"/>
        <v>828000</v>
      </c>
      <c r="M242" s="173"/>
      <c r="N242" s="130"/>
      <c r="O242" s="31"/>
      <c r="P242" s="31"/>
      <c r="Q242" s="31"/>
      <c r="R242" s="31"/>
      <c r="S242" s="31"/>
      <c r="T242" s="31"/>
    </row>
    <row r="243" ht="15.0" customHeight="1">
      <c r="A243" s="74" t="s">
        <v>71</v>
      </c>
      <c r="B243" s="74">
        <v>1648.0</v>
      </c>
      <c r="C243" s="615">
        <v>1648.0</v>
      </c>
      <c r="D243" s="20" t="str">
        <f>IF(   ISERROR(OFFSET(PADRON!B$2,MATCH(C:C,PADRON!A$2:A376,0)-1,0,1,1) )  ,  ,    OFFSET(PADRON!B$2,MATCH(C:C,PADRON!A$2:A376,0)-1,0,1,1))</f>
        <v>TOMBAZZI, MATIAS</v>
      </c>
      <c r="E243" s="45">
        <v>43070.0</v>
      </c>
      <c r="F243" s="45"/>
      <c r="G243" s="23" t="s">
        <v>56</v>
      </c>
      <c r="H243" s="24">
        <f>IF( ISERROR( OFFSET(   'Cuadro tarifario'!D$2  , MATCH(CONCATENATE(                 IF(F243&gt;Mes,OFFSET(NroCT!B$17, MATCH($F243,NroCT!$A$18:$A376,0),0,1,1),Periodovigente)                                                                                                                     ,A243) ,'Cuadro tarifario'!A$2:A376,0) -1 , 0 , 1 , 1) )   , 0  ,   OFFSET(   'Cuadro tarifario'!D$2  , MATCH(CONCATENATE( IF(F243&gt;Mes,OFFSET(NroCT!B$17, MATCH($F243,NroCT!$A$18:$A376,0),0,1,1),Periodovigente) ,A243) ,'Cuadro tarifario'!A$2:A376,0) -1 , 0 , 1 , 1))</f>
        <v>11000</v>
      </c>
      <c r="I243" s="85">
        <f t="shared" si="48"/>
        <v>0</v>
      </c>
      <c r="J243" s="101">
        <f t="shared" si="2"/>
        <v>0</v>
      </c>
      <c r="K243" s="87">
        <f>IF(  AND(M243&gt;0,I243=0)          ,M243 ,                         IF(  IF( F243 ,  DAYS360(DATE(YEAR(F243),MONTH(F243),1),Mes)/30  ,  DAYS360(DATE(YEAR(E243),MONTH(E243),1),Mes)/30  )  &gt;  0 , IF(F243,   DAYS360(DATE(YEAR(F243),MONTH(F243),1),Mes)/30  ,  DAYS360(DATE(YEAR(E243),MONTH(E243),1),Mes)/30) , 0)       )</f>
        <v>92</v>
      </c>
      <c r="L243" s="102">
        <f t="shared" si="49"/>
        <v>1012000</v>
      </c>
      <c r="M243" s="173"/>
      <c r="N243" s="130"/>
      <c r="O243" s="31"/>
      <c r="P243" s="31"/>
      <c r="Q243" s="31"/>
      <c r="R243" s="31"/>
      <c r="S243" s="31"/>
      <c r="T243" s="31"/>
    </row>
    <row r="244" ht="15.0" customHeight="1">
      <c r="A244" s="18" t="s">
        <v>38</v>
      </c>
      <c r="B244" s="17">
        <v>1648.0</v>
      </c>
      <c r="C244" s="628">
        <v>1648.0</v>
      </c>
      <c r="D244" s="20" t="str">
        <f>IF(   ISERROR(OFFSET(PADRON!B$2,MATCH(C:C,PADRON!A$2:A376,0)-1,0,1,1) )  ,  ,    OFFSET(PADRON!B$2,MATCH(C:C,PADRON!A$2:A376,0)-1,0,1,1))</f>
        <v>TOMBAZZI, MATIAS</v>
      </c>
      <c r="E244" s="21">
        <v>43040.0</v>
      </c>
      <c r="F244" s="629"/>
      <c r="G244" s="23" t="s">
        <v>56</v>
      </c>
      <c r="H244" s="24">
        <f>IF( ISERROR( OFFSET(   'Cuadro tarifario'!D$2  , MATCH(CONCATENATE(                 IF(F244&gt;Mes,OFFSET(NroCT!B$17, MATCH($F244,NroCT!$A$18:$A376,0),0,1,1),Periodovigente)                                                                                                                     ,A244) ,'Cuadro tarifario'!A$2:A376,0) -1 , 0 , 1 , 1) )   , 0  ,   OFFSET(   'Cuadro tarifario'!D$2  , MATCH(CONCATENATE( IF(F244&gt;Mes,OFFSET(NroCT!B$17, MATCH($F244,NroCT!$A$18:$A376,0),0,1,1),Periodovigente) ,A244) ,'Cuadro tarifario'!A$2:A376,0) -1 , 0 , 1 , 1))</f>
        <v>9000</v>
      </c>
      <c r="I244" s="106">
        <f t="shared" si="48"/>
        <v>0</v>
      </c>
      <c r="J244" s="107">
        <f t="shared" si="2"/>
        <v>0</v>
      </c>
      <c r="K244" s="108">
        <f>IF(  AND(M244&gt;0,I244=0)          ,M244 ,                         IF(  IF( F244 ,  DAYS360(DATE(YEAR(F244),MONTH(F244),1),Mes)/30  ,  DAYS360(DATE(YEAR(E244),MONTH(E244),1),Mes)/30  )  &gt;  0 , IF(F244,   DAYS360(DATE(YEAR(F244),MONTH(F244),1),Mes)/30  ,  DAYS360(DATE(YEAR(E244),MONTH(E244),1),Mes)/30) , 0)       )</f>
        <v>93</v>
      </c>
      <c r="L244" s="109">
        <f t="shared" si="49"/>
        <v>837000</v>
      </c>
      <c r="M244" s="173"/>
      <c r="N244" s="130"/>
      <c r="O244" s="31"/>
      <c r="P244" s="31"/>
      <c r="Q244" s="31"/>
      <c r="R244" s="31"/>
      <c r="S244" s="31"/>
      <c r="T244" s="31"/>
    </row>
    <row r="245" ht="15.0" customHeight="1">
      <c r="A245" s="74" t="s">
        <v>71</v>
      </c>
      <c r="B245" s="74">
        <v>1653.0</v>
      </c>
      <c r="C245" s="615">
        <v>1653.0</v>
      </c>
      <c r="D245" s="20" t="str">
        <f>IF(   ISERROR(OFFSET(PADRON!B$2,MATCH(C:C,PADRON!A$2:A376,0)-1,0,1,1) )  ,  ,    OFFSET(PADRON!B$2,MATCH(C:C,PADRON!A$2:A376,0)-1,0,1,1))</f>
        <v>GONZALEZ DIEGO a.</v>
      </c>
      <c r="E245" s="45">
        <v>43070.0</v>
      </c>
      <c r="F245" s="45"/>
      <c r="G245" s="23" t="s">
        <v>56</v>
      </c>
      <c r="H245" s="24">
        <f>IF( ISERROR( OFFSET(   'Cuadro tarifario'!D$2  , MATCH(CONCATENATE(                 IF(F245&gt;Mes,OFFSET(NroCT!B$17, MATCH($F245,NroCT!$A$18:$A376,0),0,1,1),Periodovigente)                                                                                                                     ,A245) ,'Cuadro tarifario'!A$2:A376,0) -1 , 0 , 1 , 1) )   , 0  ,   OFFSET(   'Cuadro tarifario'!D$2  , MATCH(CONCATENATE( IF(F245&gt;Mes,OFFSET(NroCT!B$17, MATCH($F245,NroCT!$A$18:$A376,0),0,1,1),Periodovigente) ,A245) ,'Cuadro tarifario'!A$2:A376,0) -1 , 0 , 1 , 1))</f>
        <v>11000</v>
      </c>
      <c r="I245" s="85">
        <f t="shared" si="48"/>
        <v>0</v>
      </c>
      <c r="J245" s="101">
        <f t="shared" si="2"/>
        <v>0</v>
      </c>
      <c r="K245" s="87">
        <f>IF(  AND(M245&gt;0,I245=0)          ,M245 ,                         IF(  IF( F245 ,  DAYS360(DATE(YEAR(F245),MONTH(F245),1),Mes)/30  ,  DAYS360(DATE(YEAR(E245),MONTH(E245),1),Mes)/30  )  &gt;  0 , IF(F245,   DAYS360(DATE(YEAR(F245),MONTH(F245),1),Mes)/30  ,  DAYS360(DATE(YEAR(E245),MONTH(E245),1),Mes)/30) , 0)       )</f>
        <v>92</v>
      </c>
      <c r="L245" s="102">
        <f t="shared" si="49"/>
        <v>1012000</v>
      </c>
      <c r="M245" s="173"/>
      <c r="N245" s="130"/>
      <c r="O245" s="31"/>
      <c r="P245" s="31"/>
      <c r="Q245" s="31"/>
      <c r="R245" s="31"/>
      <c r="S245" s="31"/>
      <c r="T245" s="31"/>
    </row>
    <row r="246" ht="15.0" customHeight="1">
      <c r="A246" s="18" t="s">
        <v>38</v>
      </c>
      <c r="B246" s="17">
        <v>1653.0</v>
      </c>
      <c r="C246" s="628">
        <v>1653.0</v>
      </c>
      <c r="D246" s="20" t="str">
        <f>IF(   ISERROR(OFFSET(PADRON!B$2,MATCH(C:C,PADRON!A$2:A376,0)-1,0,1,1) )  ,  ,    OFFSET(PADRON!B$2,MATCH(C:C,PADRON!A$2:A376,0)-1,0,1,1))</f>
        <v>GONZALEZ DIEGO a.</v>
      </c>
      <c r="E246" s="21">
        <v>43070.0</v>
      </c>
      <c r="F246" s="21"/>
      <c r="G246" s="23" t="s">
        <v>56</v>
      </c>
      <c r="H246" s="24">
        <f>IF( ISERROR( OFFSET(   'Cuadro tarifario'!D$2  , MATCH(CONCATENATE(                 IF(F246&gt;Mes,OFFSET(NroCT!B$17, MATCH($F246,NroCT!$A$18:$A376,0),0,1,1),Periodovigente)                                                                                                                     ,A246) ,'Cuadro tarifario'!A$2:A376,0) -1 , 0 , 1 , 1) )   , 0  ,   OFFSET(   'Cuadro tarifario'!D$2  , MATCH(CONCATENATE( IF(F246&gt;Mes,OFFSET(NroCT!B$17, MATCH($F246,NroCT!$A$18:$A376,0),0,1,1),Periodovigente) ,A246) ,'Cuadro tarifario'!A$2:A376,0) -1 , 0 , 1 , 1))</f>
        <v>9000</v>
      </c>
      <c r="I246" s="106">
        <f t="shared" si="48"/>
        <v>0</v>
      </c>
      <c r="J246" s="107">
        <f t="shared" si="2"/>
        <v>0</v>
      </c>
      <c r="K246" s="108">
        <f>IF(  AND(M246&gt;0,I246=0)          ,M246 ,                         IF(  IF( F246 ,  DAYS360(DATE(YEAR(F246),MONTH(F246),1),Mes)/30  ,  DAYS360(DATE(YEAR(E246),MONTH(E246),1),Mes)/30  )  &gt;  0 , IF(F246,   DAYS360(DATE(YEAR(F246),MONTH(F246),1),Mes)/30  ,  DAYS360(DATE(YEAR(E246),MONTH(E246),1),Mes)/30) , 0)       )</f>
        <v>92</v>
      </c>
      <c r="L246" s="109">
        <f t="shared" si="49"/>
        <v>828000</v>
      </c>
      <c r="M246" s="173"/>
      <c r="N246" s="130"/>
      <c r="O246" s="31"/>
      <c r="P246" s="31"/>
      <c r="Q246" s="31"/>
      <c r="R246" s="31"/>
      <c r="S246" s="31"/>
      <c r="T246" s="31"/>
    </row>
    <row r="247" ht="15.0" customHeight="1">
      <c r="A247" s="74" t="s">
        <v>71</v>
      </c>
      <c r="B247" s="74">
        <v>1657.0</v>
      </c>
      <c r="C247" s="615">
        <v>1657.0</v>
      </c>
      <c r="D247" s="20" t="str">
        <f>IF(   ISERROR(OFFSET(PADRON!B$2,MATCH(C:C,PADRON!A$2:A376,0)-1,0,1,1) )  ,  ,    OFFSET(PADRON!B$2,MATCH(C:C,PADRON!A$2:A376,0)-1,0,1,1))</f>
        <v>CINGOLANI, DIEGO</v>
      </c>
      <c r="E247" s="45">
        <v>43070.0</v>
      </c>
      <c r="F247" s="45"/>
      <c r="G247" s="23" t="s">
        <v>56</v>
      </c>
      <c r="H247" s="24">
        <f>IF( ISERROR( OFFSET(   'Cuadro tarifario'!D$2  , MATCH(CONCATENATE(                 IF(F247&gt;Mes,OFFSET(NroCT!B$17, MATCH($F247,NroCT!$A$18:$A376,0),0,1,1),Periodovigente)                                                                                                                     ,A247) ,'Cuadro tarifario'!A$2:A376,0) -1 , 0 , 1 , 1) )   , 0  ,   OFFSET(   'Cuadro tarifario'!D$2  , MATCH(CONCATENATE( IF(F247&gt;Mes,OFFSET(NroCT!B$17, MATCH($F247,NroCT!$A$18:$A376,0),0,1,1),Periodovigente) ,A247) ,'Cuadro tarifario'!A$2:A376,0) -1 , 0 , 1 , 1))</f>
        <v>11000</v>
      </c>
      <c r="I247" s="85">
        <f t="shared" si="48"/>
        <v>0</v>
      </c>
      <c r="J247" s="101">
        <f t="shared" si="2"/>
        <v>0</v>
      </c>
      <c r="K247" s="87">
        <f>IF(  AND(M247&gt;0,I247=0)          ,M247 ,                         IF(  IF( F247 ,  DAYS360(DATE(YEAR(F247),MONTH(F247),1),Mes)/30  ,  DAYS360(DATE(YEAR(E247),MONTH(E247),1),Mes)/30  )  &gt;  0 , IF(F247,   DAYS360(DATE(YEAR(F247),MONTH(F247),1),Mes)/30  ,  DAYS360(DATE(YEAR(E247),MONTH(E247),1),Mes)/30) , 0)       )</f>
        <v>92</v>
      </c>
      <c r="L247" s="102">
        <f t="shared" si="49"/>
        <v>1012000</v>
      </c>
      <c r="M247" s="173"/>
      <c r="N247" s="130"/>
      <c r="O247" s="31"/>
      <c r="P247" s="31"/>
      <c r="Q247" s="31"/>
      <c r="R247" s="31"/>
      <c r="S247" s="31"/>
      <c r="T247" s="31"/>
    </row>
    <row r="248" ht="15.0" customHeight="1">
      <c r="A248" s="18" t="s">
        <v>38</v>
      </c>
      <c r="B248" s="17">
        <v>1657.0</v>
      </c>
      <c r="C248" s="628">
        <v>1657.0</v>
      </c>
      <c r="D248" s="20" t="str">
        <f>IF(   ISERROR(OFFSET(PADRON!B$2,MATCH(C:C,PADRON!A$2:A376,0)-1,0,1,1) )  ,  ,    OFFSET(PADRON!B$2,MATCH(C:C,PADRON!A$2:A376,0)-1,0,1,1))</f>
        <v>CINGOLANI, DIEGO</v>
      </c>
      <c r="E248" s="21">
        <v>43040.0</v>
      </c>
      <c r="F248" s="629"/>
      <c r="G248" s="23" t="s">
        <v>56</v>
      </c>
      <c r="H248" s="24">
        <f>IF( ISERROR( OFFSET(   'Cuadro tarifario'!D$2  , MATCH(CONCATENATE(                 IF(F248&gt;Mes,OFFSET(NroCT!B$17, MATCH($F248,NroCT!$A$18:$A376,0),0,1,1),Periodovigente)                                                                                                                     ,A248) ,'Cuadro tarifario'!A$2:A376,0) -1 , 0 , 1 , 1) )   , 0  ,   OFFSET(   'Cuadro tarifario'!D$2  , MATCH(CONCATENATE( IF(F248&gt;Mes,OFFSET(NroCT!B$17, MATCH($F248,NroCT!$A$18:$A376,0),0,1,1),Periodovigente) ,A248) ,'Cuadro tarifario'!A$2:A376,0) -1 , 0 , 1 , 1))</f>
        <v>9000</v>
      </c>
      <c r="I248" s="106">
        <f t="shared" si="48"/>
        <v>0</v>
      </c>
      <c r="J248" s="107">
        <f t="shared" si="2"/>
        <v>0</v>
      </c>
      <c r="K248" s="108">
        <f>IF(  AND(M248&gt;0,I248=0)          ,M248 ,                         IF(  IF( F248 ,  DAYS360(DATE(YEAR(F248),MONTH(F248),1),Mes)/30  ,  DAYS360(DATE(YEAR(E248),MONTH(E248),1),Mes)/30  )  &gt;  0 , IF(F248,   DAYS360(DATE(YEAR(F248),MONTH(F248),1),Mes)/30  ,  DAYS360(DATE(YEAR(E248),MONTH(E248),1),Mes)/30) , 0)       )</f>
        <v>93</v>
      </c>
      <c r="L248" s="109">
        <f t="shared" si="49"/>
        <v>837000</v>
      </c>
      <c r="M248" s="173"/>
      <c r="N248" s="130"/>
      <c r="O248" s="31"/>
      <c r="P248" s="31"/>
      <c r="Q248" s="31"/>
      <c r="R248" s="31"/>
      <c r="S248" s="31"/>
      <c r="T248" s="31"/>
    </row>
    <row r="249" ht="15.0" customHeight="1">
      <c r="A249" s="74" t="s">
        <v>71</v>
      </c>
      <c r="B249" s="74">
        <v>1661.0</v>
      </c>
      <c r="C249" s="615">
        <v>1661.0</v>
      </c>
      <c r="D249" s="20" t="str">
        <f>IF(   ISERROR(OFFSET(PADRON!B$2,MATCH(C:C,PADRON!A$2:A376,0)-1,0,1,1) )  ,  ,    OFFSET(PADRON!B$2,MATCH(C:C,PADRON!A$2:A376,0)-1,0,1,1))</f>
        <v>PANZA, MARIANO</v>
      </c>
      <c r="E249" s="45">
        <v>43221.0</v>
      </c>
      <c r="F249" s="45"/>
      <c r="G249" s="23" t="s">
        <v>56</v>
      </c>
      <c r="H249" s="24">
        <f>IF( ISERROR( OFFSET(   'Cuadro tarifario'!D$2  , MATCH(CONCATENATE(                 IF(F249&gt;Mes,OFFSET(NroCT!B$17, MATCH($F249,NroCT!$A$18:$A376,0),0,1,1),Periodovigente)                                                                                                                     ,A249) ,'Cuadro tarifario'!A$2:A376,0) -1 , 0 , 1 , 1) )   , 0  ,   OFFSET(   'Cuadro tarifario'!D$2  , MATCH(CONCATENATE( IF(F249&gt;Mes,OFFSET(NroCT!B$17, MATCH($F249,NroCT!$A$18:$A376,0),0,1,1),Periodovigente) ,A249) ,'Cuadro tarifario'!A$2:A376,0) -1 , 0 , 1 , 1))</f>
        <v>11000</v>
      </c>
      <c r="I249" s="85">
        <f t="shared" si="48"/>
        <v>0</v>
      </c>
      <c r="J249" s="101">
        <f t="shared" si="2"/>
        <v>0</v>
      </c>
      <c r="K249" s="87">
        <f>IF(  AND(M249&gt;0,I249=0)          ,M249 ,                         IF(  IF( F249 ,  DAYS360(DATE(YEAR(F249),MONTH(F249),1),Mes)/30  ,  DAYS360(DATE(YEAR(E249),MONTH(E249),1),Mes)/30  )  &gt;  0 , IF(F249,   DAYS360(DATE(YEAR(F249),MONTH(F249),1),Mes)/30  ,  DAYS360(DATE(YEAR(E249),MONTH(E249),1),Mes)/30) , 0)       )</f>
        <v>87</v>
      </c>
      <c r="L249" s="102">
        <f t="shared" si="49"/>
        <v>957000</v>
      </c>
      <c r="M249" s="173"/>
      <c r="N249" s="130"/>
      <c r="O249" s="31"/>
      <c r="P249" s="31"/>
      <c r="Q249" s="31"/>
      <c r="R249" s="31"/>
      <c r="S249" s="31"/>
      <c r="T249" s="31"/>
    </row>
    <row r="250" ht="15.0" customHeight="1">
      <c r="A250" s="18" t="s">
        <v>38</v>
      </c>
      <c r="B250" s="17">
        <v>1661.0</v>
      </c>
      <c r="C250" s="628">
        <v>1661.0</v>
      </c>
      <c r="D250" s="20" t="str">
        <f>IF(   ISERROR(OFFSET(PADRON!B$2,MATCH(C:C,PADRON!A$2:A376,0)-1,0,1,1) )  ,  ,    OFFSET(PADRON!B$2,MATCH(C:C,PADRON!A$2:A376,0)-1,0,1,1))</f>
        <v>PANZA, MARIANO</v>
      </c>
      <c r="E250" s="21">
        <v>43252.0</v>
      </c>
      <c r="F250" s="21"/>
      <c r="G250" s="23" t="s">
        <v>56</v>
      </c>
      <c r="H250" s="24">
        <f>IF( ISERROR( OFFSET(   'Cuadro tarifario'!D$2  , MATCH(CONCATENATE(                 IF(F250&gt;Mes,OFFSET(NroCT!B$17, MATCH($F250,NroCT!$A$18:$A376,0),0,1,1),Periodovigente)                                                                                                                     ,A250) ,'Cuadro tarifario'!A$2:A376,0) -1 , 0 , 1 , 1) )   , 0  ,   OFFSET(   'Cuadro tarifario'!D$2  , MATCH(CONCATENATE( IF(F250&gt;Mes,OFFSET(NroCT!B$17, MATCH($F250,NroCT!$A$18:$A376,0),0,1,1),Periodovigente) ,A250) ,'Cuadro tarifario'!A$2:A376,0) -1 , 0 , 1 , 1))</f>
        <v>9000</v>
      </c>
      <c r="I250" s="106">
        <f t="shared" si="48"/>
        <v>0</v>
      </c>
      <c r="J250" s="107">
        <f t="shared" si="2"/>
        <v>0</v>
      </c>
      <c r="K250" s="108">
        <f>IF(  AND(M250&gt;0,I250=0)          ,M250 ,                         IF(  IF( F250 ,  DAYS360(DATE(YEAR(F250),MONTH(F250),1),Mes)/30  ,  DAYS360(DATE(YEAR(E250),MONTH(E250),1),Mes)/30  )  &gt;  0 , IF(F250,   DAYS360(DATE(YEAR(F250),MONTH(F250),1),Mes)/30  ,  DAYS360(DATE(YEAR(E250),MONTH(E250),1),Mes)/30) , 0)       )</f>
        <v>86</v>
      </c>
      <c r="L250" s="109">
        <f t="shared" si="49"/>
        <v>774000</v>
      </c>
      <c r="M250" s="173"/>
      <c r="N250" s="130"/>
      <c r="O250" s="31"/>
      <c r="P250" s="31"/>
      <c r="Q250" s="31"/>
      <c r="R250" s="31"/>
      <c r="S250" s="31"/>
      <c r="T250" s="31"/>
    </row>
    <row r="251" ht="15.0" customHeight="1">
      <c r="A251" s="18" t="s">
        <v>71</v>
      </c>
      <c r="B251" s="18">
        <v>1669.0</v>
      </c>
      <c r="C251" s="628">
        <v>1669.0</v>
      </c>
      <c r="D251" s="20" t="str">
        <f>IF(   ISERROR(OFFSET(PADRON!B$2,MATCH(C:C,PADRON!A$2:A376,0)-1,0,1,1) )  ,  ,    OFFSET(PADRON!B$2,MATCH(C:C,PADRON!A$2:A376,0)-1,0,1,1))</f>
        <v>MENDEZ PABLO</v>
      </c>
      <c r="E251" s="21">
        <v>43191.0</v>
      </c>
      <c r="F251" s="21"/>
      <c r="G251" s="23" t="s">
        <v>56</v>
      </c>
      <c r="H251" s="24">
        <f>IF( ISERROR( OFFSET(   'Cuadro tarifario'!D$2  , MATCH(CONCATENATE(                 IF(F251&gt;Mes,OFFSET(NroCT!B$17, MATCH($F251,NroCT!$A$18:$A376,0),0,1,1),Periodovigente)                                                                                                                     ,A251) ,'Cuadro tarifario'!A$2:A376,0) -1 , 0 , 1 , 1) )   , 0  ,   OFFSET(   'Cuadro tarifario'!D$2  , MATCH(CONCATENATE( IF(F251&gt;Mes,OFFSET(NroCT!B$17, MATCH($F251,NroCT!$A$18:$A376,0),0,1,1),Periodovigente) ,A251) ,'Cuadro tarifario'!A$2:A376,0) -1 , 0 , 1 , 1))</f>
        <v>11000</v>
      </c>
      <c r="I251" s="106">
        <f t="shared" si="48"/>
        <v>0</v>
      </c>
      <c r="J251" s="107">
        <f t="shared" si="2"/>
        <v>0</v>
      </c>
      <c r="K251" s="108">
        <f>IF(  AND(M251&gt;0,I251=0)          ,M251 ,                         IF(  IF( F251 ,  DAYS360(DATE(YEAR(F251),MONTH(F251),1),Mes)/30  ,  DAYS360(DATE(YEAR(E251),MONTH(E251),1),Mes)/30  )  &gt;  0 , IF(F251,   DAYS360(DATE(YEAR(F251),MONTH(F251),1),Mes)/30  ,  DAYS360(DATE(YEAR(E251),MONTH(E251),1),Mes)/30) , 0)       )</f>
        <v>88</v>
      </c>
      <c r="L251" s="109">
        <f t="shared" si="49"/>
        <v>968000</v>
      </c>
      <c r="M251" s="173"/>
      <c r="N251" s="130"/>
      <c r="O251" s="31"/>
      <c r="P251" s="31"/>
      <c r="Q251" s="31"/>
      <c r="R251" s="31"/>
      <c r="S251" s="31"/>
      <c r="T251" s="31"/>
    </row>
    <row r="252" ht="15.0" customHeight="1">
      <c r="A252" s="18" t="s">
        <v>38</v>
      </c>
      <c r="B252" s="18">
        <v>1669.0</v>
      </c>
      <c r="C252" s="628">
        <v>1669.0</v>
      </c>
      <c r="D252" s="20" t="str">
        <f>IF(   ISERROR(OFFSET(PADRON!B$2,MATCH(C:C,PADRON!A$2:A376,0)-1,0,1,1) )  ,  ,    OFFSET(PADRON!B$2,MATCH(C:C,PADRON!A$2:A376,0)-1,0,1,1))</f>
        <v>MENDEZ PABLO</v>
      </c>
      <c r="E252" s="21">
        <v>43191.0</v>
      </c>
      <c r="F252" s="21"/>
      <c r="G252" s="23" t="s">
        <v>56</v>
      </c>
      <c r="H252" s="24">
        <f>IF( ISERROR( OFFSET(   'Cuadro tarifario'!D$2  , MATCH(CONCATENATE(                 IF(F252&gt;Mes,OFFSET(NroCT!B$17, MATCH($F252,NroCT!$A$18:$A376,0),0,1,1),Periodovigente)                                                                                                                     ,A252) ,'Cuadro tarifario'!A$2:A376,0) -1 , 0 , 1 , 1) )   , 0  ,   OFFSET(   'Cuadro tarifario'!D$2  , MATCH(CONCATENATE( IF(F252&gt;Mes,OFFSET(NroCT!B$17, MATCH($F252,NroCT!$A$18:$A376,0),0,1,1),Periodovigente) ,A252) ,'Cuadro tarifario'!A$2:A376,0) -1 , 0 , 1 , 1))</f>
        <v>9000</v>
      </c>
      <c r="I252" s="106">
        <f t="shared" si="48"/>
        <v>0</v>
      </c>
      <c r="J252" s="107">
        <f t="shared" si="2"/>
        <v>0</v>
      </c>
      <c r="K252" s="108">
        <f>IF(  AND(M252&gt;0,I252=0)          ,M252 ,                         IF(  IF( F252 ,  DAYS360(DATE(YEAR(F252),MONTH(F252),1),Mes)/30  ,  DAYS360(DATE(YEAR(E252),MONTH(E252),1),Mes)/30  )  &gt;  0 , IF(F252,   DAYS360(DATE(YEAR(F252),MONTH(F252),1),Mes)/30  ,  DAYS360(DATE(YEAR(E252),MONTH(E252),1),Mes)/30) , 0)       )</f>
        <v>88</v>
      </c>
      <c r="L252" s="109">
        <f t="shared" si="49"/>
        <v>792000</v>
      </c>
      <c r="M252" s="173"/>
      <c r="N252" s="130"/>
      <c r="O252" s="31"/>
      <c r="P252" s="31"/>
      <c r="Q252" s="31"/>
      <c r="R252" s="31"/>
      <c r="S252" s="31"/>
      <c r="T252" s="31"/>
    </row>
    <row r="253" ht="15.0" customHeight="1">
      <c r="A253" s="17" t="s">
        <v>71</v>
      </c>
      <c r="B253" s="18">
        <v>1672.0</v>
      </c>
      <c r="C253" s="628">
        <v>1672.0</v>
      </c>
      <c r="D253" s="20" t="str">
        <f>IF(   ISERROR(OFFSET(PADRON!B$2,MATCH(C:C,PADRON!A$2:A376,0)-1,0,1,1) )  ,  ,    OFFSET(PADRON!B$2,MATCH(C:C,PADRON!A$2:A376,0)-1,0,1,1))</f>
        <v>LOPEZ, BETIANA</v>
      </c>
      <c r="E253" s="21">
        <v>43405.0</v>
      </c>
      <c r="F253" s="21"/>
      <c r="G253" s="23" t="s">
        <v>56</v>
      </c>
      <c r="H253" s="24">
        <f>IF( ISERROR( OFFSET(   'Cuadro tarifario'!D$2  , MATCH(CONCATENATE(                 IF(F253&gt;Mes,OFFSET(NroCT!B$17, MATCH($F253,NroCT!$A$18:$A376,0),0,1,1),Periodovigente)                                                                                                                     ,A253) ,'Cuadro tarifario'!A$2:A376,0) -1 , 0 , 1 , 1) )   , 0  ,   OFFSET(   'Cuadro tarifario'!D$2  , MATCH(CONCATENATE( IF(F253&gt;Mes,OFFSET(NroCT!B$17, MATCH($F253,NroCT!$A$18:$A376,0),0,1,1),Periodovigente) ,A253) ,'Cuadro tarifario'!A$2:A376,0) -1 , 0 , 1 , 1))</f>
        <v>11000</v>
      </c>
      <c r="I253" s="106">
        <f t="shared" si="48"/>
        <v>0</v>
      </c>
      <c r="J253" s="107">
        <f t="shared" si="2"/>
        <v>0</v>
      </c>
      <c r="K253" s="108">
        <f>IF(  AND(M253&gt;0,I253=0)          ,M253 ,                         IF(  IF( F253 ,  DAYS360(DATE(YEAR(F253),MONTH(F253),1),Mes)/30  ,  DAYS360(DATE(YEAR(E253),MONTH(E253),1),Mes)/30  )  &gt;  0 , IF(F253,   DAYS360(DATE(YEAR(F253),MONTH(F253),1),Mes)/30  ,  DAYS360(DATE(YEAR(E253),MONTH(E253),1),Mes)/30) , 0)       )</f>
        <v>81</v>
      </c>
      <c r="L253" s="109">
        <f t="shared" si="49"/>
        <v>891000</v>
      </c>
      <c r="M253" s="173"/>
      <c r="N253" s="130"/>
      <c r="O253" s="31"/>
      <c r="P253" s="31"/>
      <c r="Q253" s="31"/>
      <c r="R253" s="31"/>
      <c r="S253" s="31"/>
      <c r="T253" s="31"/>
    </row>
    <row r="254" ht="15.0" customHeight="1">
      <c r="A254" s="17" t="s">
        <v>38</v>
      </c>
      <c r="B254" s="18">
        <v>1672.0</v>
      </c>
      <c r="C254" s="628">
        <v>1672.0</v>
      </c>
      <c r="D254" s="20" t="str">
        <f>IF(   ISERROR(OFFSET(PADRON!B$2,MATCH(C:C,PADRON!A$2:A376,0)-1,0,1,1) )  ,  ,    OFFSET(PADRON!B$2,MATCH(C:C,PADRON!A$2:A376,0)-1,0,1,1))</f>
        <v>LOPEZ, BETIANA</v>
      </c>
      <c r="E254" s="21">
        <v>43405.0</v>
      </c>
      <c r="F254" s="21"/>
      <c r="G254" s="23" t="s">
        <v>56</v>
      </c>
      <c r="H254" s="24">
        <f>IF( ISERROR( OFFSET(   'Cuadro tarifario'!D$2  , MATCH(CONCATENATE(                 IF(F254&gt;Mes,OFFSET(NroCT!B$17, MATCH($F254,NroCT!$A$18:$A376,0),0,1,1),Periodovigente)                                                                                                                     ,A254) ,'Cuadro tarifario'!A$2:A376,0) -1 , 0 , 1 , 1) )   , 0  ,   OFFSET(   'Cuadro tarifario'!D$2  , MATCH(CONCATENATE( IF(F254&gt;Mes,OFFSET(NroCT!B$17, MATCH($F254,NroCT!$A$18:$A376,0),0,1,1),Periodovigente) ,A254) ,'Cuadro tarifario'!A$2:A376,0) -1 , 0 , 1 , 1))</f>
        <v>9000</v>
      </c>
      <c r="I254" s="106">
        <f t="shared" si="48"/>
        <v>0</v>
      </c>
      <c r="J254" s="107">
        <f t="shared" si="2"/>
        <v>0</v>
      </c>
      <c r="K254" s="108">
        <f>IF(  AND(M254&gt;0,I254=0)          ,M254 ,                         IF(  IF( F254 ,  DAYS360(DATE(YEAR(F254),MONTH(F254),1),Mes)/30  ,  DAYS360(DATE(YEAR(E254),MONTH(E254),1),Mes)/30  )  &gt;  0 , IF(F254,   DAYS360(DATE(YEAR(F254),MONTH(F254),1),Mes)/30  ,  DAYS360(DATE(YEAR(E254),MONTH(E254),1),Mes)/30) , 0)       )</f>
        <v>81</v>
      </c>
      <c r="L254" s="109">
        <f t="shared" si="49"/>
        <v>729000</v>
      </c>
      <c r="M254" s="173"/>
      <c r="N254" s="130"/>
      <c r="O254" s="31"/>
      <c r="P254" s="31"/>
      <c r="Q254" s="31"/>
      <c r="R254" s="31"/>
      <c r="S254" s="31"/>
      <c r="T254" s="31"/>
    </row>
    <row r="255" ht="15.0" customHeight="1">
      <c r="A255" s="17" t="s">
        <v>71</v>
      </c>
      <c r="B255" s="18">
        <v>1673.0</v>
      </c>
      <c r="C255" s="628">
        <v>1673.0</v>
      </c>
      <c r="D255" s="20" t="str">
        <f>IF(   ISERROR(OFFSET(PADRON!B$2,MATCH(C:C,PADRON!A$2:A376,0)-1,0,1,1) )  ,  ,    OFFSET(PADRON!B$2,MATCH(C:C,PADRON!A$2:A376,0)-1,0,1,1))</f>
        <v>VILLARREAL, EZEQUIEL</v>
      </c>
      <c r="E255" s="21">
        <v>43497.0</v>
      </c>
      <c r="F255" s="21"/>
      <c r="G255" s="23" t="s">
        <v>56</v>
      </c>
      <c r="H255" s="24">
        <f>IF( ISERROR( OFFSET(   'Cuadro tarifario'!D$2  , MATCH(CONCATENATE(                 IF(F255&gt;Mes,OFFSET(NroCT!B$17, MATCH($F255,NroCT!$A$18:$A376,0),0,1,1),Periodovigente)                                                                                                                     ,A255) ,'Cuadro tarifario'!A$2:A376,0) -1 , 0 , 1 , 1) )   , 0  ,   OFFSET(   'Cuadro tarifario'!D$2  , MATCH(CONCATENATE( IF(F255&gt;Mes,OFFSET(NroCT!B$17, MATCH($F255,NroCT!$A$18:$A376,0),0,1,1),Periodovigente) ,A255) ,'Cuadro tarifario'!A$2:A376,0) -1 , 0 , 1 , 1))</f>
        <v>11000</v>
      </c>
      <c r="I255" s="106">
        <f t="shared" si="48"/>
        <v>0</v>
      </c>
      <c r="J255" s="107">
        <f t="shared" si="2"/>
        <v>0</v>
      </c>
      <c r="K255" s="108">
        <f>IF(  AND(M255&gt;0,I255=0)          ,M255 ,                         IF(  IF( F255 ,  DAYS360(DATE(YEAR(F255),MONTH(F255),1),Mes)/30  ,  DAYS360(DATE(YEAR(E255),MONTH(E255),1),Mes)/30  )  &gt;  0 , IF(F255,   DAYS360(DATE(YEAR(F255),MONTH(F255),1),Mes)/30  ,  DAYS360(DATE(YEAR(E255),MONTH(E255),1),Mes)/30) , 0)       )</f>
        <v>78</v>
      </c>
      <c r="L255" s="109">
        <f t="shared" si="49"/>
        <v>858000</v>
      </c>
      <c r="M255" s="173"/>
      <c r="N255" s="130"/>
      <c r="O255" s="31"/>
      <c r="P255" s="31"/>
      <c r="Q255" s="31"/>
      <c r="R255" s="31"/>
      <c r="S255" s="31"/>
      <c r="T255" s="31"/>
    </row>
    <row r="256" ht="15.0" customHeight="1">
      <c r="A256" s="17" t="s">
        <v>38</v>
      </c>
      <c r="B256" s="18">
        <v>1673.0</v>
      </c>
      <c r="C256" s="628">
        <v>1673.0</v>
      </c>
      <c r="D256" s="20" t="str">
        <f>IF(   ISERROR(OFFSET(PADRON!B$2,MATCH(C:C,PADRON!A$2:A376,0)-1,0,1,1) )  ,  ,    OFFSET(PADRON!B$2,MATCH(C:C,PADRON!A$2:A376,0)-1,0,1,1))</f>
        <v>VILLARREAL, EZEQUIEL</v>
      </c>
      <c r="E256" s="21">
        <v>43497.0</v>
      </c>
      <c r="F256" s="21"/>
      <c r="G256" s="23" t="s">
        <v>56</v>
      </c>
      <c r="H256" s="24">
        <f>IF( ISERROR( OFFSET(   'Cuadro tarifario'!D$2  , MATCH(CONCATENATE(                 IF(F256&gt;Mes,OFFSET(NroCT!B$17, MATCH($F256,NroCT!$A$18:$A376,0),0,1,1),Periodovigente)                                                                                                                     ,A256) ,'Cuadro tarifario'!A$2:A376,0) -1 , 0 , 1 , 1) )   , 0  ,   OFFSET(   'Cuadro tarifario'!D$2  , MATCH(CONCATENATE( IF(F256&gt;Mes,OFFSET(NroCT!B$17, MATCH($F256,NroCT!$A$18:$A376,0),0,1,1),Periodovigente) ,A256) ,'Cuadro tarifario'!A$2:A376,0) -1 , 0 , 1 , 1))</f>
        <v>9000</v>
      </c>
      <c r="I256" s="106">
        <f t="shared" si="48"/>
        <v>0</v>
      </c>
      <c r="J256" s="107">
        <f t="shared" si="2"/>
        <v>0</v>
      </c>
      <c r="K256" s="108">
        <f>IF(  AND(M256&gt;0,I256=0)          ,M256 ,                         IF(  IF( F256 ,  DAYS360(DATE(YEAR(F256),MONTH(F256),1),Mes)/30  ,  DAYS360(DATE(YEAR(E256),MONTH(E256),1),Mes)/30  )  &gt;  0 , IF(F256,   DAYS360(DATE(YEAR(F256),MONTH(F256),1),Mes)/30  ,  DAYS360(DATE(YEAR(E256),MONTH(E256),1),Mes)/30) , 0)       )</f>
        <v>78</v>
      </c>
      <c r="L256" s="109">
        <f t="shared" si="49"/>
        <v>702000</v>
      </c>
      <c r="M256" s="173"/>
      <c r="N256" s="130"/>
      <c r="O256" s="31"/>
      <c r="P256" s="31"/>
      <c r="Q256" s="31"/>
      <c r="R256" s="31"/>
      <c r="S256" s="31"/>
      <c r="T256" s="31"/>
    </row>
    <row r="257" ht="15.0" customHeight="1">
      <c r="A257" s="17" t="s">
        <v>71</v>
      </c>
      <c r="B257" s="18">
        <v>1679.0</v>
      </c>
      <c r="C257" s="19">
        <v>1679.0</v>
      </c>
      <c r="D257" s="20" t="str">
        <f>IF(   ISERROR(OFFSET(PADRON!B$2,MATCH(C:C,PADRON!A$2:A376,0)-1,0,1,1) )  ,  ,    OFFSET(PADRON!B$2,MATCH(C:C,PADRON!A$2:A376,0)-1,0,1,1))</f>
        <v>HERRERA, JUAN CARLOS</v>
      </c>
      <c r="E257" s="21">
        <v>43191.0</v>
      </c>
      <c r="F257" s="21"/>
      <c r="G257" s="23" t="s">
        <v>56</v>
      </c>
      <c r="H257" s="24">
        <f>IF( ISERROR( OFFSET(   'Cuadro tarifario'!D$2  , MATCH(CONCATENATE(                 IF(F257&gt;Mes,OFFSET(NroCT!B$17, MATCH($F257,NroCT!$A$18:$A376,0),0,1,1),Periodovigente)                                                                                                                     ,A257) ,'Cuadro tarifario'!A$2:A376,0) -1 , 0 , 1 , 1) )   , 0  ,   OFFSET(   'Cuadro tarifario'!D$2  , MATCH(CONCATENATE( IF(F257&gt;Mes,OFFSET(NroCT!B$17, MATCH($F257,NroCT!$A$18:$A376,0),0,1,1),Periodovigente) ,A257) ,'Cuadro tarifario'!A$2:A376,0) -1 , 0 , 1 , 1))</f>
        <v>11000</v>
      </c>
      <c r="I257" s="106">
        <f t="shared" si="48"/>
        <v>0</v>
      </c>
      <c r="J257" s="107">
        <f t="shared" si="2"/>
        <v>0</v>
      </c>
      <c r="K257" s="108">
        <f>IF(  AND(M257&gt;0,I257=0)          ,M257 ,                         IF(  IF( F257 ,  DAYS360(DATE(YEAR(F257),MONTH(F257),1),Mes)/30  ,  DAYS360(DATE(YEAR(E257),MONTH(E257),1),Mes)/30  )  &gt;  0 , IF(F257,   DAYS360(DATE(YEAR(F257),MONTH(F257),1),Mes)/30  ,  DAYS360(DATE(YEAR(E257),MONTH(E257),1),Mes)/30) , 0)       )</f>
        <v>88</v>
      </c>
      <c r="L257" s="109">
        <f t="shared" si="49"/>
        <v>968000</v>
      </c>
      <c r="M257" s="173"/>
      <c r="N257" s="130"/>
      <c r="O257" s="31"/>
      <c r="P257" s="31"/>
      <c r="Q257" s="31"/>
      <c r="R257" s="31"/>
      <c r="S257" s="31"/>
      <c r="T257" s="31"/>
    </row>
    <row r="258" ht="15.0" customHeight="1">
      <c r="A258" s="17" t="s">
        <v>38</v>
      </c>
      <c r="B258" s="18">
        <v>1679.0</v>
      </c>
      <c r="C258" s="19">
        <v>1679.0</v>
      </c>
      <c r="D258" s="20" t="str">
        <f>IF(   ISERROR(OFFSET(PADRON!B$2,MATCH(C:C,PADRON!A$2:A376,0)-1,0,1,1) )  ,  ,    OFFSET(PADRON!B$2,MATCH(C:C,PADRON!A$2:A376,0)-1,0,1,1))</f>
        <v>HERRERA, JUAN CARLOS</v>
      </c>
      <c r="E258" s="21">
        <v>43191.0</v>
      </c>
      <c r="F258" s="21"/>
      <c r="G258" s="23" t="s">
        <v>56</v>
      </c>
      <c r="H258" s="24">
        <f>IF( ISERROR( OFFSET(   'Cuadro tarifario'!D$2  , MATCH(CONCATENATE(                 IF(F258&gt;Mes,OFFSET(NroCT!B$17, MATCH($F258,NroCT!$A$18:$A376,0),0,1,1),Periodovigente)                                                                                                                     ,A258) ,'Cuadro tarifario'!A$2:A376,0) -1 , 0 , 1 , 1) )   , 0  ,   OFFSET(   'Cuadro tarifario'!D$2  , MATCH(CONCATENATE( IF(F258&gt;Mes,OFFSET(NroCT!B$17, MATCH($F258,NroCT!$A$18:$A376,0),0,1,1),Periodovigente) ,A258) ,'Cuadro tarifario'!A$2:A376,0) -1 , 0 , 1 , 1))</f>
        <v>9000</v>
      </c>
      <c r="I258" s="106">
        <f t="shared" si="48"/>
        <v>0</v>
      </c>
      <c r="J258" s="107">
        <f t="shared" si="2"/>
        <v>0</v>
      </c>
      <c r="K258" s="108">
        <f>IF(  AND(M258&gt;0,I258=0)          ,M258 ,                         IF(  IF( F258 ,  DAYS360(DATE(YEAR(F258),MONTH(F258),1),Mes)/30  ,  DAYS360(DATE(YEAR(E258),MONTH(E258),1),Mes)/30  )  &gt;  0 , IF(F258,   DAYS360(DATE(YEAR(F258),MONTH(F258),1),Mes)/30  ,  DAYS360(DATE(YEAR(E258),MONTH(E258),1),Mes)/30) , 0)       )</f>
        <v>88</v>
      </c>
      <c r="L258" s="109">
        <f t="shared" si="49"/>
        <v>792000</v>
      </c>
      <c r="M258" s="173"/>
      <c r="N258" s="130"/>
      <c r="O258" s="31"/>
      <c r="P258" s="31"/>
      <c r="Q258" s="31"/>
      <c r="R258" s="31"/>
      <c r="S258" s="31"/>
      <c r="T258" s="31"/>
    </row>
    <row r="259" ht="15.0" customHeight="1">
      <c r="A259" s="17" t="s">
        <v>71</v>
      </c>
      <c r="B259" s="18">
        <v>1680.0</v>
      </c>
      <c r="C259" s="19">
        <v>1680.0</v>
      </c>
      <c r="D259" s="20" t="str">
        <f>IF(   ISERROR(OFFSET(PADRON!B$2,MATCH(C:C,PADRON!A$2:A376,0)-1,0,1,1) )  ,  ,    OFFSET(PADRON!B$2,MATCH(C:C,PADRON!A$2:A376,0)-1,0,1,1))</f>
        <v>LANTERI, MARCELO</v>
      </c>
      <c r="E259" s="21">
        <v>43252.0</v>
      </c>
      <c r="F259" s="21"/>
      <c r="G259" s="23" t="s">
        <v>56</v>
      </c>
      <c r="H259" s="24">
        <f>IF( ISERROR( OFFSET(   'Cuadro tarifario'!D$2  , MATCH(CONCATENATE(                 IF(F259&gt;Mes,OFFSET(NroCT!B$17, MATCH($F259,NroCT!$A$18:$A376,0),0,1,1),Periodovigente)                                                                                                                     ,A259) ,'Cuadro tarifario'!A$2:A376,0) -1 , 0 , 1 , 1) )   , 0  ,   OFFSET(   'Cuadro tarifario'!D$2  , MATCH(CONCATENATE( IF(F259&gt;Mes,OFFSET(NroCT!B$17, MATCH($F259,NroCT!$A$18:$A376,0),0,1,1),Periodovigente) ,A259) ,'Cuadro tarifario'!A$2:A376,0) -1 , 0 , 1 , 1))</f>
        <v>11000</v>
      </c>
      <c r="I259" s="106">
        <f t="shared" si="48"/>
        <v>0</v>
      </c>
      <c r="J259" s="107">
        <f t="shared" si="2"/>
        <v>0</v>
      </c>
      <c r="K259" s="108">
        <f>IF(  AND(M259&gt;0,I259=0)          ,M259 ,                         IF(  IF( F259 ,  DAYS360(DATE(YEAR(F259),MONTH(F259),1),Mes)/30  ,  DAYS360(DATE(YEAR(E259),MONTH(E259),1),Mes)/30  )  &gt;  0 , IF(F259,   DAYS360(DATE(YEAR(F259),MONTH(F259),1),Mes)/30  ,  DAYS360(DATE(YEAR(E259),MONTH(E259),1),Mes)/30) , 0)       )</f>
        <v>86</v>
      </c>
      <c r="L259" s="109">
        <f t="shared" si="49"/>
        <v>946000</v>
      </c>
      <c r="M259" s="173"/>
      <c r="N259" s="130"/>
      <c r="O259" s="31"/>
      <c r="P259" s="31"/>
      <c r="Q259" s="31"/>
      <c r="R259" s="31"/>
      <c r="S259" s="31"/>
      <c r="T259" s="31"/>
    </row>
    <row r="260" ht="15.0" customHeight="1">
      <c r="A260" s="17" t="s">
        <v>38</v>
      </c>
      <c r="B260" s="18">
        <v>1680.0</v>
      </c>
      <c r="C260" s="19">
        <v>1680.0</v>
      </c>
      <c r="D260" s="20" t="str">
        <f>IF(   ISERROR(OFFSET(PADRON!B$2,MATCH(C:C,PADRON!A$2:A376,0)-1,0,1,1) )  ,  ,    OFFSET(PADRON!B$2,MATCH(C:C,PADRON!A$2:A376,0)-1,0,1,1))</f>
        <v>LANTERI, MARCELO</v>
      </c>
      <c r="E260" s="21">
        <v>43252.0</v>
      </c>
      <c r="F260" s="21"/>
      <c r="G260" s="23" t="s">
        <v>56</v>
      </c>
      <c r="H260" s="24">
        <f>IF( ISERROR( OFFSET(   'Cuadro tarifario'!D$2  , MATCH(CONCATENATE(                 IF(F260&gt;Mes,OFFSET(NroCT!B$17, MATCH($F260,NroCT!$A$18:$A376,0),0,1,1),Periodovigente)                                                                                                                     ,A260) ,'Cuadro tarifario'!A$2:A376,0) -1 , 0 , 1 , 1) )   , 0  ,   OFFSET(   'Cuadro tarifario'!D$2  , MATCH(CONCATENATE( IF(F260&gt;Mes,OFFSET(NroCT!B$17, MATCH($F260,NroCT!$A$18:$A376,0),0,1,1),Periodovigente) ,A260) ,'Cuadro tarifario'!A$2:A376,0) -1 , 0 , 1 , 1))</f>
        <v>9000</v>
      </c>
      <c r="I260" s="106">
        <f t="shared" si="48"/>
        <v>0</v>
      </c>
      <c r="J260" s="107">
        <f t="shared" si="2"/>
        <v>0</v>
      </c>
      <c r="K260" s="108">
        <f>IF(  AND(M260&gt;0,I260=0)          ,M260 ,                         IF(  IF( F260 ,  DAYS360(DATE(YEAR(F260),MONTH(F260),1),Mes)/30  ,  DAYS360(DATE(YEAR(E260),MONTH(E260),1),Mes)/30  )  &gt;  0 , IF(F260,   DAYS360(DATE(YEAR(F260),MONTH(F260),1),Mes)/30  ,  DAYS360(DATE(YEAR(E260),MONTH(E260),1),Mes)/30) , 0)       )</f>
        <v>86</v>
      </c>
      <c r="L260" s="109">
        <f t="shared" si="49"/>
        <v>774000</v>
      </c>
      <c r="M260" s="173"/>
      <c r="N260" s="130"/>
      <c r="O260" s="31"/>
      <c r="P260" s="31"/>
      <c r="Q260" s="31"/>
      <c r="R260" s="31"/>
      <c r="S260" s="31"/>
      <c r="T260" s="31"/>
    </row>
    <row r="261" ht="15.0" customHeight="1">
      <c r="A261" s="17" t="s">
        <v>71</v>
      </c>
      <c r="B261" s="18">
        <v>1681.0</v>
      </c>
      <c r="C261" s="19">
        <v>1681.0</v>
      </c>
      <c r="D261" s="20" t="str">
        <f>IF(   ISERROR(OFFSET(PADRON!B$2,MATCH(C:C,PADRON!A$2:A376,0)-1,0,1,1) )  ,  ,    OFFSET(PADRON!B$2,MATCH(C:C,PADRON!A$2:A376,0)-1,0,1,1))</f>
        <v>ESCOBAR, GASTON MIGUEL</v>
      </c>
      <c r="E261" s="21">
        <v>43101.0</v>
      </c>
      <c r="F261" s="629"/>
      <c r="G261" s="23" t="s">
        <v>56</v>
      </c>
      <c r="H261" s="24">
        <f>IF( ISERROR( OFFSET(   'Cuadro tarifario'!D$2  , MATCH(CONCATENATE(                 IF(F261&gt;Mes,OFFSET(NroCT!B$17, MATCH($F261,NroCT!$A$18:$A376,0),0,1,1),Periodovigente)                                                                                                                     ,A261) ,'Cuadro tarifario'!A$2:A376,0) -1 , 0 , 1 , 1) )   , 0  ,   OFFSET(   'Cuadro tarifario'!D$2  , MATCH(CONCATENATE( IF(F261&gt;Mes,OFFSET(NroCT!B$17, MATCH($F261,NroCT!$A$18:$A376,0),0,1,1),Periodovigente) ,A261) ,'Cuadro tarifario'!A$2:A376,0) -1 , 0 , 1 , 1))</f>
        <v>11000</v>
      </c>
      <c r="I261" s="106">
        <f t="shared" si="48"/>
        <v>0</v>
      </c>
      <c r="J261" s="107">
        <f t="shared" si="2"/>
        <v>0</v>
      </c>
      <c r="K261" s="108">
        <f>IF(  AND(M261&gt;0,I261=0)          ,M261 ,                         IF(  IF( F261 ,  DAYS360(DATE(YEAR(F261),MONTH(F261),1),Mes)/30  ,  DAYS360(DATE(YEAR(E261),MONTH(E261),1),Mes)/30  )  &gt;  0 , IF(F261,   DAYS360(DATE(YEAR(F261),MONTH(F261),1),Mes)/30  ,  DAYS360(DATE(YEAR(E261),MONTH(E261),1),Mes)/30) , 0)       )</f>
        <v>91</v>
      </c>
      <c r="L261" s="109">
        <f t="shared" si="49"/>
        <v>1001000</v>
      </c>
      <c r="M261" s="173"/>
      <c r="N261" s="130"/>
      <c r="O261" s="31"/>
      <c r="P261" s="31"/>
      <c r="Q261" s="31"/>
      <c r="R261" s="31"/>
      <c r="S261" s="31"/>
      <c r="T261" s="31"/>
    </row>
    <row r="262" ht="15.0" customHeight="1">
      <c r="A262" s="17" t="s">
        <v>38</v>
      </c>
      <c r="B262" s="18">
        <v>1681.0</v>
      </c>
      <c r="C262" s="19">
        <v>1681.0</v>
      </c>
      <c r="D262" s="20" t="str">
        <f>IF(   ISERROR(OFFSET(PADRON!B$2,MATCH(C:C,PADRON!A$2:A376,0)-1,0,1,1) )  ,  ,    OFFSET(PADRON!B$2,MATCH(C:C,PADRON!A$2:A376,0)-1,0,1,1))</f>
        <v>ESCOBAR, GASTON MIGUEL</v>
      </c>
      <c r="E262" s="21">
        <v>43101.0</v>
      </c>
      <c r="F262" s="629"/>
      <c r="G262" s="23" t="s">
        <v>56</v>
      </c>
      <c r="H262" s="24">
        <f>IF( ISERROR( OFFSET(   'Cuadro tarifario'!D$2  , MATCH(CONCATENATE(                 IF(F262&gt;Mes,OFFSET(NroCT!B$17, MATCH($F262,NroCT!$A$18:$A376,0),0,1,1),Periodovigente)                                                                                                                     ,A262) ,'Cuadro tarifario'!A$2:A376,0) -1 , 0 , 1 , 1) )   , 0  ,   OFFSET(   'Cuadro tarifario'!D$2  , MATCH(CONCATENATE( IF(F262&gt;Mes,OFFSET(NroCT!B$17, MATCH($F262,NroCT!$A$18:$A376,0),0,1,1),Periodovigente) ,A262) ,'Cuadro tarifario'!A$2:A376,0) -1 , 0 , 1 , 1))</f>
        <v>9000</v>
      </c>
      <c r="I262" s="106">
        <f t="shared" si="48"/>
        <v>0</v>
      </c>
      <c r="J262" s="107">
        <f t="shared" si="2"/>
        <v>0</v>
      </c>
      <c r="K262" s="108">
        <f>IF(  AND(M262&gt;0,I262=0)          ,M262 ,                         IF(  IF( F262 ,  DAYS360(DATE(YEAR(F262),MONTH(F262),1),Mes)/30  ,  DAYS360(DATE(YEAR(E262),MONTH(E262),1),Mes)/30  )  &gt;  0 , IF(F262,   DAYS360(DATE(YEAR(F262),MONTH(F262),1),Mes)/30  ,  DAYS360(DATE(YEAR(E262),MONTH(E262),1),Mes)/30) , 0)       )</f>
        <v>91</v>
      </c>
      <c r="L262" s="109">
        <f t="shared" si="49"/>
        <v>819000</v>
      </c>
      <c r="M262" s="173"/>
      <c r="N262" s="130"/>
      <c r="O262" s="31"/>
      <c r="P262" s="31"/>
      <c r="Q262" s="31"/>
      <c r="R262" s="31"/>
      <c r="S262" s="31"/>
      <c r="T262" s="31"/>
    </row>
    <row r="263" ht="15.0" customHeight="1">
      <c r="A263" s="18" t="s">
        <v>42</v>
      </c>
      <c r="B263" s="18" t="s">
        <v>4993</v>
      </c>
      <c r="C263" s="628">
        <v>1681.0</v>
      </c>
      <c r="D263" s="20" t="str">
        <f>IF(   ISERROR(OFFSET(PADRON!B$2,MATCH(C:C,PADRON!A$2:A376,0)-1,0,1,1) )  ,  ,    OFFSET(PADRON!B$2,MATCH(C:C,PADRON!A$2:A376,0)-1,0,1,1))</f>
        <v>ESCOBAR, GASTON MIGUEL</v>
      </c>
      <c r="E263" s="21">
        <v>43435.0</v>
      </c>
      <c r="F263" s="21"/>
      <c r="G263" s="23" t="s">
        <v>56</v>
      </c>
      <c r="H263" s="24">
        <f>IF( ISERROR( OFFSET(   'Cuadro tarifario'!D$2  , MATCH(CONCATENATE(                 IF(F263&gt;Mes,OFFSET(NroCT!B$17, MATCH($F263,NroCT!$A$18:$A376,0),0,1,1),Periodovigente)                                                                                                                     ,A263) ,'Cuadro tarifario'!A$2:A376,0) -1 , 0 , 1 , 1) )   , 0  ,   OFFSET(   'Cuadro tarifario'!D$2  , MATCH(CONCATENATE( IF(F263&gt;Mes,OFFSET(NroCT!B$17, MATCH($F263,NroCT!$A$18:$A376,0),0,1,1),Periodovigente) ,A263) ,'Cuadro tarifario'!A$2:A376,0) -1 , 0 , 1 , 1))</f>
        <v>4000</v>
      </c>
      <c r="I263" s="106">
        <f t="shared" si="48"/>
        <v>0</v>
      </c>
      <c r="J263" s="107">
        <f t="shared" si="2"/>
        <v>0</v>
      </c>
      <c r="K263" s="108">
        <f>IF(  AND(M263&gt;0,I263=0)          ,M263 ,                         IF(  IF( F263 ,  DAYS360(DATE(YEAR(F263),MONTH(F263),1),Mes)/30  ,  DAYS360(DATE(YEAR(E263),MONTH(E263),1),Mes)/30  )  &gt;  0 , IF(F263,   DAYS360(DATE(YEAR(F263),MONTH(F263),1),Mes)/30  ,  DAYS360(DATE(YEAR(E263),MONTH(E263),1),Mes)/30) , 0)       )</f>
        <v>80</v>
      </c>
      <c r="L263" s="109">
        <f t="shared" si="49"/>
        <v>320000</v>
      </c>
      <c r="M263" s="173"/>
      <c r="N263" s="130"/>
      <c r="O263" s="31"/>
      <c r="P263" s="31"/>
      <c r="Q263" s="31"/>
      <c r="R263" s="31"/>
      <c r="S263" s="31"/>
      <c r="T263" s="31"/>
    </row>
    <row r="264" ht="15.0" customHeight="1">
      <c r="A264" s="18" t="s">
        <v>40</v>
      </c>
      <c r="B264" s="18" t="s">
        <v>205</v>
      </c>
      <c r="C264" s="628">
        <v>1681.0</v>
      </c>
      <c r="D264" s="20" t="str">
        <f>IF(   ISERROR(OFFSET(PADRON!B$2,MATCH(C:C,PADRON!A$2:A376,0)-1,0,1,1) )  ,  ,    OFFSET(PADRON!B$2,MATCH(C:C,PADRON!A$2:A376,0)-1,0,1,1))</f>
        <v>ESCOBAR, GASTON MIGUEL</v>
      </c>
      <c r="E264" s="21">
        <v>43101.0</v>
      </c>
      <c r="F264" s="21"/>
      <c r="G264" s="23" t="s">
        <v>56</v>
      </c>
      <c r="H264" s="24">
        <f>IF( ISERROR( OFFSET(   'Cuadro tarifario'!D$2  , MATCH(CONCATENATE(                 IF(F264&gt;Mes,OFFSET(NroCT!B$17, MATCH($F264,NroCT!$A$18:$A376,0),0,1,1),Periodovigente)                                                                                                                     ,A264) ,'Cuadro tarifario'!A$2:A376,0) -1 , 0 , 1 , 1) )   , 0  ,   OFFSET(   'Cuadro tarifario'!D$2  , MATCH(CONCATENATE( IF(F264&gt;Mes,OFFSET(NroCT!B$17, MATCH($F264,NroCT!$A$18:$A376,0),0,1,1),Periodovigente) ,A264) ,'Cuadro tarifario'!A$2:A376,0) -1 , 0 , 1 , 1))</f>
        <v>12000</v>
      </c>
      <c r="I264" s="106">
        <f t="shared" si="48"/>
        <v>0</v>
      </c>
      <c r="J264" s="107">
        <f t="shared" si="2"/>
        <v>0</v>
      </c>
      <c r="K264" s="108">
        <f>IF(  AND(M264&gt;0,I264=0)          ,M264 ,                         IF(  IF( F264 ,  DAYS360(DATE(YEAR(F264),MONTH(F264),1),Mes)/30  ,  DAYS360(DATE(YEAR(E264),MONTH(E264),1),Mes)/30  )  &gt;  0 , IF(F264,   DAYS360(DATE(YEAR(F264),MONTH(F264),1),Mes)/30  ,  DAYS360(DATE(YEAR(E264),MONTH(E264),1),Mes)/30) , 0)       )</f>
        <v>91</v>
      </c>
      <c r="L264" s="109">
        <f t="shared" si="49"/>
        <v>1092000</v>
      </c>
      <c r="M264" s="173"/>
      <c r="N264" s="130"/>
      <c r="O264" s="31"/>
      <c r="P264" s="31"/>
      <c r="Q264" s="31"/>
      <c r="R264" s="31"/>
      <c r="S264" s="31"/>
      <c r="T264" s="31"/>
    </row>
    <row r="265" ht="15.0" customHeight="1">
      <c r="A265" s="17" t="s">
        <v>71</v>
      </c>
      <c r="B265" s="18">
        <v>1682.0</v>
      </c>
      <c r="C265" s="19">
        <v>1682.0</v>
      </c>
      <c r="D265" s="20" t="str">
        <f>IF(   ISERROR(OFFSET(PADRON!B$2,MATCH(C:C,PADRON!A$2:A376,0)-1,0,1,1) )  ,  ,    OFFSET(PADRON!B$2,MATCH(C:C,PADRON!A$2:A376,0)-1,0,1,1))</f>
        <v>SAAVEDRA, SANDRA</v>
      </c>
      <c r="E265" s="21">
        <v>43101.0</v>
      </c>
      <c r="F265" s="629"/>
      <c r="G265" s="23" t="s">
        <v>56</v>
      </c>
      <c r="H265" s="24">
        <f>IF( ISERROR( OFFSET(   'Cuadro tarifario'!D$2  , MATCH(CONCATENATE(                 IF(F265&gt;Mes,OFFSET(NroCT!B$17, MATCH($F265,NroCT!$A$18:$A376,0),0,1,1),Periodovigente)                                                                                                                     ,A265) ,'Cuadro tarifario'!A$2:A376,0) -1 , 0 , 1 , 1) )   , 0  ,   OFFSET(   'Cuadro tarifario'!D$2  , MATCH(CONCATENATE( IF(F265&gt;Mes,OFFSET(NroCT!B$17, MATCH($F265,NroCT!$A$18:$A376,0),0,1,1),Periodovigente) ,A265) ,'Cuadro tarifario'!A$2:A376,0) -1 , 0 , 1 , 1))</f>
        <v>11000</v>
      </c>
      <c r="I265" s="106">
        <f t="shared" si="48"/>
        <v>0</v>
      </c>
      <c r="J265" s="107">
        <f t="shared" si="2"/>
        <v>0</v>
      </c>
      <c r="K265" s="108">
        <f>IF(  AND(M265&gt;0,I265=0)          ,M265 ,                         IF(  IF( F265 ,  DAYS360(DATE(YEAR(F265),MONTH(F265),1),Mes)/30  ,  DAYS360(DATE(YEAR(E265),MONTH(E265),1),Mes)/30  )  &gt;  0 , IF(F265,   DAYS360(DATE(YEAR(F265),MONTH(F265),1),Mes)/30  ,  DAYS360(DATE(YEAR(E265),MONTH(E265),1),Mes)/30) , 0)       )</f>
        <v>91</v>
      </c>
      <c r="L265" s="109">
        <f t="shared" si="49"/>
        <v>1001000</v>
      </c>
      <c r="M265" s="173"/>
      <c r="N265" s="130"/>
      <c r="O265" s="31"/>
      <c r="P265" s="31"/>
      <c r="Q265" s="31"/>
      <c r="R265" s="31"/>
      <c r="S265" s="31"/>
      <c r="T265" s="31"/>
    </row>
    <row r="266" ht="15.0" customHeight="1">
      <c r="A266" s="17" t="s">
        <v>38</v>
      </c>
      <c r="B266" s="18">
        <v>1682.0</v>
      </c>
      <c r="C266" s="19">
        <v>1682.0</v>
      </c>
      <c r="D266" s="20" t="str">
        <f>IF(   ISERROR(OFFSET(PADRON!B$2,MATCH(C:C,PADRON!A$2:A376,0)-1,0,1,1) )  ,  ,    OFFSET(PADRON!B$2,MATCH(C:C,PADRON!A$2:A376,0)-1,0,1,1))</f>
        <v>SAAVEDRA, SANDRA</v>
      </c>
      <c r="E266" s="21">
        <v>43101.0</v>
      </c>
      <c r="F266" s="629"/>
      <c r="G266" s="23" t="s">
        <v>56</v>
      </c>
      <c r="H266" s="24">
        <f>IF( ISERROR( OFFSET(   'Cuadro tarifario'!D$2  , MATCH(CONCATENATE(                 IF(F266&gt;Mes,OFFSET(NroCT!B$17, MATCH($F266,NroCT!$A$18:$A376,0),0,1,1),Periodovigente)                                                                                                                     ,A266) ,'Cuadro tarifario'!A$2:A376,0) -1 , 0 , 1 , 1) )   , 0  ,   OFFSET(   'Cuadro tarifario'!D$2  , MATCH(CONCATENATE( IF(F266&gt;Mes,OFFSET(NroCT!B$17, MATCH($F266,NroCT!$A$18:$A376,0),0,1,1),Periodovigente) ,A266) ,'Cuadro tarifario'!A$2:A376,0) -1 , 0 , 1 , 1))</f>
        <v>9000</v>
      </c>
      <c r="I266" s="106">
        <f t="shared" si="48"/>
        <v>0</v>
      </c>
      <c r="J266" s="107">
        <f t="shared" si="2"/>
        <v>0</v>
      </c>
      <c r="K266" s="108">
        <f>IF(  AND(M266&gt;0,I266=0)          ,M266 ,                         IF(  IF( F266 ,  DAYS360(DATE(YEAR(F266),MONTH(F266),1),Mes)/30  ,  DAYS360(DATE(YEAR(E266),MONTH(E266),1),Mes)/30  )  &gt;  0 , IF(F266,   DAYS360(DATE(YEAR(F266),MONTH(F266),1),Mes)/30  ,  DAYS360(DATE(YEAR(E266),MONTH(E266),1),Mes)/30) , 0)       )</f>
        <v>91</v>
      </c>
      <c r="L266" s="109">
        <f t="shared" si="49"/>
        <v>819000</v>
      </c>
      <c r="M266" s="173"/>
      <c r="N266" s="130"/>
      <c r="O266" s="31"/>
      <c r="P266" s="31"/>
      <c r="Q266" s="31"/>
      <c r="R266" s="31"/>
      <c r="S266" s="31"/>
      <c r="T266" s="31"/>
    </row>
    <row r="267" ht="15.0" customHeight="1">
      <c r="A267" s="18" t="s">
        <v>82</v>
      </c>
      <c r="B267" s="18" t="s">
        <v>4326</v>
      </c>
      <c r="C267" s="19">
        <v>1682.0</v>
      </c>
      <c r="D267" s="20" t="str">
        <f>IF(   ISERROR(OFFSET(PADRON!B$2,MATCH(C:C,PADRON!A$2:A376,0)-1,0,1,1) )  ,  ,    OFFSET(PADRON!B$2,MATCH(C:C,PADRON!A$2:A376,0)-1,0,1,1))</f>
        <v>SAAVEDRA, SANDRA</v>
      </c>
      <c r="E267" s="21">
        <v>43101.0</v>
      </c>
      <c r="F267" s="629"/>
      <c r="G267" s="23" t="s">
        <v>56</v>
      </c>
      <c r="H267" s="24">
        <f>IF( ISERROR( OFFSET(   'Cuadro tarifario'!D$2  , MATCH(CONCATENATE(                 IF(F267&gt;Mes,OFFSET(NroCT!B$17, MATCH($F267,NroCT!$A$18:$A376,0),0,1,1),Periodovigente)                                                                                                                     ,A267) ,'Cuadro tarifario'!A$2:A376,0) -1 , 0 , 1 , 1) )   , 0  ,   OFFSET(   'Cuadro tarifario'!D$2  , MATCH(CONCATENATE( IF(F267&gt;Mes,OFFSET(NroCT!B$17, MATCH($F267,NroCT!$A$18:$A376,0),0,1,1),Periodovigente) ,A267) ,'Cuadro tarifario'!A$2:A376,0) -1 , 0 , 1 , 1))</f>
        <v>12000</v>
      </c>
      <c r="I267" s="106">
        <f t="shared" si="48"/>
        <v>0</v>
      </c>
      <c r="J267" s="107">
        <f t="shared" si="2"/>
        <v>0</v>
      </c>
      <c r="K267" s="108">
        <f>IF(  AND(M267&gt;0,I267=0)          ,M267 ,                         IF(  IF( F267 ,  DAYS360(DATE(YEAR(F267),MONTH(F267),1),Mes)/30  ,  DAYS360(DATE(YEAR(E267),MONTH(E267),1),Mes)/30  )  &gt;  0 , IF(F267,   DAYS360(DATE(YEAR(F267),MONTH(F267),1),Mes)/30  ,  DAYS360(DATE(YEAR(E267),MONTH(E267),1),Mes)/30) , 0)       )</f>
        <v>91</v>
      </c>
      <c r="L267" s="109">
        <f t="shared" si="49"/>
        <v>1092000</v>
      </c>
      <c r="M267" s="173"/>
      <c r="N267" s="130"/>
      <c r="O267" s="31"/>
      <c r="P267" s="31"/>
      <c r="Q267" s="31"/>
      <c r="R267" s="31"/>
      <c r="S267" s="31"/>
      <c r="T267" s="31"/>
    </row>
    <row r="268" ht="15.0" customHeight="1">
      <c r="A268" s="17" t="s">
        <v>71</v>
      </c>
      <c r="B268" s="18">
        <v>1690.0</v>
      </c>
      <c r="C268" s="19">
        <v>1690.0</v>
      </c>
      <c r="D268" s="20" t="str">
        <f>IF(   ISERROR(OFFSET(PADRON!B$2,MATCH(C:C,PADRON!A$2:A376,0)-1,0,1,1) )  ,  ,    OFFSET(PADRON!B$2,MATCH(C:C,PADRON!A$2:A376,0)-1,0,1,1))</f>
        <v/>
      </c>
      <c r="E268" s="21">
        <v>43252.0</v>
      </c>
      <c r="F268" s="21"/>
      <c r="G268" s="23" t="s">
        <v>56</v>
      </c>
      <c r="H268" s="24">
        <f>IF( ISERROR( OFFSET(   'Cuadro tarifario'!D$2  , MATCH(CONCATENATE(                 IF(F268&gt;Mes,OFFSET(NroCT!B$17, MATCH($F268,NroCT!$A$18:$A376,0),0,1,1),Periodovigente)                                                                                                                     ,A268) ,'Cuadro tarifario'!A$2:A376,0) -1 , 0 , 1 , 1) )   , 0  ,   OFFSET(   'Cuadro tarifario'!D$2  , MATCH(CONCATENATE( IF(F268&gt;Mes,OFFSET(NroCT!B$17, MATCH($F268,NroCT!$A$18:$A376,0),0,1,1),Periodovigente) ,A268) ,'Cuadro tarifario'!A$2:A376,0) -1 , 0 , 1 , 1))</f>
        <v>11000</v>
      </c>
      <c r="I268" s="106">
        <f t="shared" si="48"/>
        <v>0</v>
      </c>
      <c r="J268" s="107">
        <f t="shared" si="2"/>
        <v>0</v>
      </c>
      <c r="K268" s="108">
        <f>IF(  AND(M268&gt;0,I268=0)          ,M268 ,                         IF(  IF( F268 ,  DAYS360(DATE(YEAR(F268),MONTH(F268),1),Mes)/30  ,  DAYS360(DATE(YEAR(E268),MONTH(E268),1),Mes)/30  )  &gt;  0 , IF(F268,   DAYS360(DATE(YEAR(F268),MONTH(F268),1),Mes)/30  ,  DAYS360(DATE(YEAR(E268),MONTH(E268),1),Mes)/30) , 0)       )</f>
        <v>86</v>
      </c>
      <c r="L268" s="109">
        <f t="shared" si="49"/>
        <v>946000</v>
      </c>
      <c r="M268" s="173"/>
      <c r="N268" s="130"/>
      <c r="O268" s="31"/>
      <c r="P268" s="31"/>
      <c r="Q268" s="31"/>
      <c r="R268" s="31"/>
      <c r="S268" s="31"/>
      <c r="T268" s="31"/>
    </row>
    <row r="269" ht="15.0" customHeight="1">
      <c r="A269" s="17" t="s">
        <v>38</v>
      </c>
      <c r="B269" s="18">
        <v>1690.0</v>
      </c>
      <c r="C269" s="19">
        <v>1690.0</v>
      </c>
      <c r="D269" s="20" t="str">
        <f>IF(   ISERROR(OFFSET(PADRON!B$2,MATCH(C:C,PADRON!A$2:A376,0)-1,0,1,1) )  ,  ,    OFFSET(PADRON!B$2,MATCH(C:C,PADRON!A$2:A376,0)-1,0,1,1))</f>
        <v/>
      </c>
      <c r="E269" s="21">
        <v>43252.0</v>
      </c>
      <c r="F269" s="21"/>
      <c r="G269" s="23" t="s">
        <v>56</v>
      </c>
      <c r="H269" s="24">
        <f>IF( ISERROR( OFFSET(   'Cuadro tarifario'!D$2  , MATCH(CONCATENATE(                 IF(F269&gt;Mes,OFFSET(NroCT!B$17, MATCH($F269,NroCT!$A$18:$A376,0),0,1,1),Periodovigente)                                                                                                                     ,A269) ,'Cuadro tarifario'!A$2:A376,0) -1 , 0 , 1 , 1) )   , 0  ,   OFFSET(   'Cuadro tarifario'!D$2  , MATCH(CONCATENATE( IF(F269&gt;Mes,OFFSET(NroCT!B$17, MATCH($F269,NroCT!$A$18:$A376,0),0,1,1),Periodovigente) ,A269) ,'Cuadro tarifario'!A$2:A376,0) -1 , 0 , 1 , 1))</f>
        <v>9000</v>
      </c>
      <c r="I269" s="106">
        <f t="shared" si="48"/>
        <v>0</v>
      </c>
      <c r="J269" s="107">
        <f t="shared" si="2"/>
        <v>0</v>
      </c>
      <c r="K269" s="108">
        <f>IF(  AND(M269&gt;0,I269=0)          ,M269 ,                         IF(  IF( F269 ,  DAYS360(DATE(YEAR(F269),MONTH(F269),1),Mes)/30  ,  DAYS360(DATE(YEAR(E269),MONTH(E269),1),Mes)/30  )  &gt;  0 , IF(F269,   DAYS360(DATE(YEAR(F269),MONTH(F269),1),Mes)/30  ,  DAYS360(DATE(YEAR(E269),MONTH(E269),1),Mes)/30) , 0)       )</f>
        <v>86</v>
      </c>
      <c r="L269" s="109">
        <f t="shared" si="49"/>
        <v>774000</v>
      </c>
      <c r="M269" s="173"/>
      <c r="N269" s="130"/>
      <c r="O269" s="31"/>
      <c r="P269" s="31"/>
      <c r="Q269" s="31"/>
      <c r="R269" s="31"/>
      <c r="S269" s="31"/>
      <c r="T269" s="31"/>
    </row>
    <row r="270" ht="15.0" customHeight="1">
      <c r="A270" s="17" t="s">
        <v>71</v>
      </c>
      <c r="B270" s="18">
        <v>1692.0</v>
      </c>
      <c r="C270" s="19">
        <v>1692.0</v>
      </c>
      <c r="D270" s="20" t="str">
        <f>IF(   ISERROR(OFFSET(PADRON!B$2,MATCH(C:C,PADRON!A$2:A376,0)-1,0,1,1) )  ,  ,    OFFSET(PADRON!B$2,MATCH(C:C,PADRON!A$2:A376,0)-1,0,1,1))</f>
        <v>Pantano, Agustín Alberto</v>
      </c>
      <c r="E270" s="21">
        <v>43160.0</v>
      </c>
      <c r="F270" s="21"/>
      <c r="G270" s="23" t="s">
        <v>56</v>
      </c>
      <c r="H270" s="24">
        <f>IF( ISERROR( OFFSET(   'Cuadro tarifario'!D$2  , MATCH(CONCATENATE(                 IF(F270&gt;Mes,OFFSET(NroCT!B$17, MATCH($F270,NroCT!$A$18:$A376,0),0,1,1),Periodovigente)                                                                                                                     ,A270) ,'Cuadro tarifario'!A$2:A376,0) -1 , 0 , 1 , 1) )   , 0  ,   OFFSET(   'Cuadro tarifario'!D$2  , MATCH(CONCATENATE( IF(F270&gt;Mes,OFFSET(NroCT!B$17, MATCH($F270,NroCT!$A$18:$A376,0),0,1,1),Periodovigente) ,A270) ,'Cuadro tarifario'!A$2:A376,0) -1 , 0 , 1 , 1))</f>
        <v>11000</v>
      </c>
      <c r="I270" s="106">
        <f t="shared" si="48"/>
        <v>0</v>
      </c>
      <c r="J270" s="107">
        <f t="shared" si="2"/>
        <v>0</v>
      </c>
      <c r="K270" s="108">
        <f>IF(  AND(M270&gt;0,I270=0)          ,M270 ,                         IF(  IF( F270 ,  DAYS360(DATE(YEAR(F270),MONTH(F270),1),Mes)/30  ,  DAYS360(DATE(YEAR(E270),MONTH(E270),1),Mes)/30  )  &gt;  0 , IF(F270,   DAYS360(DATE(YEAR(F270),MONTH(F270),1),Mes)/30  ,  DAYS360(DATE(YEAR(E270),MONTH(E270),1),Mes)/30) , 0)       )</f>
        <v>89</v>
      </c>
      <c r="L270" s="109">
        <f t="shared" si="49"/>
        <v>979000</v>
      </c>
      <c r="M270" s="173"/>
      <c r="N270" s="130"/>
      <c r="O270" s="31"/>
      <c r="P270" s="31"/>
      <c r="Q270" s="31"/>
      <c r="R270" s="31"/>
      <c r="S270" s="31"/>
      <c r="T270" s="31"/>
    </row>
    <row r="271" ht="15.0" customHeight="1">
      <c r="A271" s="17" t="s">
        <v>38</v>
      </c>
      <c r="B271" s="18">
        <v>1692.0</v>
      </c>
      <c r="C271" s="19">
        <v>1692.0</v>
      </c>
      <c r="D271" s="20" t="str">
        <f>IF(   ISERROR(OFFSET(PADRON!B$2,MATCH(C:C,PADRON!A$2:A376,0)-1,0,1,1) )  ,  ,    OFFSET(PADRON!B$2,MATCH(C:C,PADRON!A$2:A376,0)-1,0,1,1))</f>
        <v>Pantano, Agustín Alberto</v>
      </c>
      <c r="E271" s="21">
        <v>43160.0</v>
      </c>
      <c r="F271" s="21"/>
      <c r="G271" s="23" t="s">
        <v>56</v>
      </c>
      <c r="H271" s="24">
        <f>IF( ISERROR( OFFSET(   'Cuadro tarifario'!D$2  , MATCH(CONCATENATE(                 IF(F271&gt;Mes,OFFSET(NroCT!B$17, MATCH($F271,NroCT!$A$18:$A376,0),0,1,1),Periodovigente)                                                                                                                     ,A271) ,'Cuadro tarifario'!A$2:A376,0) -1 , 0 , 1 , 1) )   , 0  ,   OFFSET(   'Cuadro tarifario'!D$2  , MATCH(CONCATENATE( IF(F271&gt;Mes,OFFSET(NroCT!B$17, MATCH($F271,NroCT!$A$18:$A376,0),0,1,1),Periodovigente) ,A271) ,'Cuadro tarifario'!A$2:A376,0) -1 , 0 , 1 , 1))</f>
        <v>9000</v>
      </c>
      <c r="I271" s="106">
        <f t="shared" si="48"/>
        <v>0</v>
      </c>
      <c r="J271" s="107">
        <f t="shared" si="2"/>
        <v>0</v>
      </c>
      <c r="K271" s="108">
        <f>IF(  AND(M271&gt;0,I271=0)          ,M271 ,                         IF(  IF( F271 ,  DAYS360(DATE(YEAR(F271),MONTH(F271),1),Mes)/30  ,  DAYS360(DATE(YEAR(E271),MONTH(E271),1),Mes)/30  )  &gt;  0 , IF(F271,   DAYS360(DATE(YEAR(F271),MONTH(F271),1),Mes)/30  ,  DAYS360(DATE(YEAR(E271),MONTH(E271),1),Mes)/30) , 0)       )</f>
        <v>89</v>
      </c>
      <c r="L271" s="109">
        <f t="shared" si="49"/>
        <v>801000</v>
      </c>
      <c r="M271" s="173"/>
      <c r="N271" s="130"/>
      <c r="O271" s="31"/>
      <c r="P271" s="31"/>
      <c r="Q271" s="31"/>
      <c r="R271" s="31"/>
      <c r="S271" s="31"/>
      <c r="T271" s="31"/>
    </row>
    <row r="272" ht="15.0" customHeight="1">
      <c r="A272" s="17" t="s">
        <v>71</v>
      </c>
      <c r="B272" s="18">
        <v>1693.0</v>
      </c>
      <c r="C272" s="19">
        <v>1693.0</v>
      </c>
      <c r="D272" s="20" t="str">
        <f>IF(   ISERROR(OFFSET(PADRON!B$2,MATCH(C:C,PADRON!A$2:A376,0)-1,0,1,1) )  ,  ,    OFFSET(PADRON!B$2,MATCH(C:C,PADRON!A$2:A376,0)-1,0,1,1))</f>
        <v>Iriarte , Adrián</v>
      </c>
      <c r="E272" s="21">
        <v>43160.0</v>
      </c>
      <c r="F272" s="21"/>
      <c r="G272" s="23" t="s">
        <v>56</v>
      </c>
      <c r="H272" s="24">
        <f>IF( ISERROR( OFFSET(   'Cuadro tarifario'!D$2  , MATCH(CONCATENATE(                 IF(F272&gt;Mes,OFFSET(NroCT!B$17, MATCH($F272,NroCT!$A$18:$A376,0),0,1,1),Periodovigente)                                                                                                                     ,A272) ,'Cuadro tarifario'!A$2:A376,0) -1 , 0 , 1 , 1) )   , 0  ,   OFFSET(   'Cuadro tarifario'!D$2  , MATCH(CONCATENATE( IF(F272&gt;Mes,OFFSET(NroCT!B$17, MATCH($F272,NroCT!$A$18:$A376,0),0,1,1),Periodovigente) ,A272) ,'Cuadro tarifario'!A$2:A376,0) -1 , 0 , 1 , 1))</f>
        <v>11000</v>
      </c>
      <c r="I272" s="106">
        <f t="shared" si="48"/>
        <v>0</v>
      </c>
      <c r="J272" s="107">
        <f t="shared" si="2"/>
        <v>0</v>
      </c>
      <c r="K272" s="108">
        <f>IF(  AND(M272&gt;0,I272=0)          ,M272 ,                         IF(  IF( F272 ,  DAYS360(DATE(YEAR(F272),MONTH(F272),1),Mes)/30  ,  DAYS360(DATE(YEAR(E272),MONTH(E272),1),Mes)/30  )  &gt;  0 , IF(F272,   DAYS360(DATE(YEAR(F272),MONTH(F272),1),Mes)/30  ,  DAYS360(DATE(YEAR(E272),MONTH(E272),1),Mes)/30) , 0)       )</f>
        <v>89</v>
      </c>
      <c r="L272" s="109">
        <f t="shared" si="49"/>
        <v>979000</v>
      </c>
      <c r="M272" s="173"/>
      <c r="N272" s="130"/>
      <c r="O272" s="31"/>
      <c r="P272" s="31"/>
      <c r="Q272" s="31"/>
      <c r="R272" s="31"/>
      <c r="S272" s="31"/>
      <c r="T272" s="31"/>
    </row>
    <row r="273" ht="15.0" customHeight="1">
      <c r="A273" s="17" t="s">
        <v>38</v>
      </c>
      <c r="B273" s="18">
        <v>1693.0</v>
      </c>
      <c r="C273" s="19">
        <v>1693.0</v>
      </c>
      <c r="D273" s="20" t="str">
        <f>IF(   ISERROR(OFFSET(PADRON!B$2,MATCH(C:C,PADRON!A$2:A376,0)-1,0,1,1) )  ,  ,    OFFSET(PADRON!B$2,MATCH(C:C,PADRON!A$2:A376,0)-1,0,1,1))</f>
        <v>Iriarte , Adrián</v>
      </c>
      <c r="E273" s="21">
        <v>43160.0</v>
      </c>
      <c r="F273" s="21"/>
      <c r="G273" s="23" t="s">
        <v>56</v>
      </c>
      <c r="H273" s="24">
        <f>IF( ISERROR( OFFSET(   'Cuadro tarifario'!D$2  , MATCH(CONCATENATE(                 IF(F273&gt;Mes,OFFSET(NroCT!B$17, MATCH($F273,NroCT!$A$18:$A376,0),0,1,1),Periodovigente)                                                                                                                     ,A273) ,'Cuadro tarifario'!A$2:A376,0) -1 , 0 , 1 , 1) )   , 0  ,   OFFSET(   'Cuadro tarifario'!D$2  , MATCH(CONCATENATE( IF(F273&gt;Mes,OFFSET(NroCT!B$17, MATCH($F273,NroCT!$A$18:$A376,0),0,1,1),Periodovigente) ,A273) ,'Cuadro tarifario'!A$2:A376,0) -1 , 0 , 1 , 1))</f>
        <v>9000</v>
      </c>
      <c r="I273" s="106">
        <f t="shared" si="48"/>
        <v>0</v>
      </c>
      <c r="J273" s="107">
        <f t="shared" si="2"/>
        <v>0</v>
      </c>
      <c r="K273" s="108">
        <f>IF(  AND(M273&gt;0,I273=0)          ,M273 ,                         IF(  IF( F273 ,  DAYS360(DATE(YEAR(F273),MONTH(F273),1),Mes)/30  ,  DAYS360(DATE(YEAR(E273),MONTH(E273),1),Mes)/30  )  &gt;  0 , IF(F273,   DAYS360(DATE(YEAR(F273),MONTH(F273),1),Mes)/30  ,  DAYS360(DATE(YEAR(E273),MONTH(E273),1),Mes)/30) , 0)       )</f>
        <v>89</v>
      </c>
      <c r="L273" s="109">
        <f t="shared" si="49"/>
        <v>801000</v>
      </c>
      <c r="M273" s="173"/>
      <c r="N273" s="130"/>
      <c r="O273" s="31"/>
      <c r="P273" s="31"/>
      <c r="Q273" s="31"/>
      <c r="R273" s="31"/>
      <c r="S273" s="31"/>
      <c r="T273" s="31"/>
    </row>
    <row r="274" ht="15.0" customHeight="1">
      <c r="A274" s="18" t="s">
        <v>71</v>
      </c>
      <c r="B274" s="18">
        <v>1695.0</v>
      </c>
      <c r="C274" s="19">
        <v>1695.0</v>
      </c>
      <c r="D274" s="20" t="str">
        <f>IF(   ISERROR(OFFSET(PADRON!B$2,MATCH(C:C,PADRON!A$2:A376,0)-1,0,1,1) )  ,  ,    OFFSET(PADRON!B$2,MATCH(C:C,PADRON!A$2:A376,0)-1,0,1,1))</f>
        <v>BEART, XAVIER</v>
      </c>
      <c r="E274" s="21">
        <v>43191.0</v>
      </c>
      <c r="F274" s="21"/>
      <c r="G274" s="23" t="s">
        <v>56</v>
      </c>
      <c r="H274" s="24">
        <f>IF( ISERROR( OFFSET(   'Cuadro tarifario'!D$2  , MATCH(CONCATENATE(                 IF(F274&gt;Mes,OFFSET(NroCT!B$17, MATCH($F274,NroCT!$A$18:$A376,0),0,1,1),Periodovigente)                                                                                                                     ,A274) ,'Cuadro tarifario'!A$2:A376,0) -1 , 0 , 1 , 1) )   , 0  ,   OFFSET(   'Cuadro tarifario'!D$2  , MATCH(CONCATENATE( IF(F274&gt;Mes,OFFSET(NroCT!B$17, MATCH($F274,NroCT!$A$18:$A376,0),0,1,1),Periodovigente) ,A274) ,'Cuadro tarifario'!A$2:A376,0) -1 , 0 , 1 , 1))</f>
        <v>11000</v>
      </c>
      <c r="I274" s="106">
        <f t="shared" si="48"/>
        <v>0</v>
      </c>
      <c r="J274" s="107">
        <f t="shared" si="2"/>
        <v>0</v>
      </c>
      <c r="K274" s="108">
        <f>IF(  AND(M274&gt;0,I274=0)          ,M274 ,                         IF(  IF( F274 ,  DAYS360(DATE(YEAR(F274),MONTH(F274),1),Mes)/30  ,  DAYS360(DATE(YEAR(E274),MONTH(E274),1),Mes)/30  )  &gt;  0 , IF(F274,   DAYS360(DATE(YEAR(F274),MONTH(F274),1),Mes)/30  ,  DAYS360(DATE(YEAR(E274),MONTH(E274),1),Mes)/30) , 0)       )</f>
        <v>88</v>
      </c>
      <c r="L274" s="109">
        <f t="shared" si="49"/>
        <v>968000</v>
      </c>
      <c r="M274" s="173"/>
      <c r="N274" s="130"/>
      <c r="O274" s="31"/>
      <c r="P274" s="31"/>
      <c r="Q274" s="31"/>
      <c r="R274" s="31"/>
      <c r="S274" s="31"/>
      <c r="T274" s="31"/>
    </row>
    <row r="275" ht="15.0" customHeight="1">
      <c r="A275" s="18" t="s">
        <v>38</v>
      </c>
      <c r="B275" s="18">
        <v>1695.0</v>
      </c>
      <c r="C275" s="19">
        <v>1695.0</v>
      </c>
      <c r="D275" s="20" t="str">
        <f>IF(   ISERROR(OFFSET(PADRON!B$2,MATCH(C:C,PADRON!A$2:A376,0)-1,0,1,1) )  ,  ,    OFFSET(PADRON!B$2,MATCH(C:C,PADRON!A$2:A376,0)-1,0,1,1))</f>
        <v>BEART, XAVIER</v>
      </c>
      <c r="E275" s="21">
        <v>43191.0</v>
      </c>
      <c r="F275" s="21"/>
      <c r="G275" s="23" t="s">
        <v>56</v>
      </c>
      <c r="H275" s="24">
        <f>IF( ISERROR( OFFSET(   'Cuadro tarifario'!D$2  , MATCH(CONCATENATE(                 IF(F275&gt;Mes,OFFSET(NroCT!B$17, MATCH($F275,NroCT!$A$18:$A376,0),0,1,1),Periodovigente)                                                                                                                     ,A275) ,'Cuadro tarifario'!A$2:A376,0) -1 , 0 , 1 , 1) )   , 0  ,   OFFSET(   'Cuadro tarifario'!D$2  , MATCH(CONCATENATE( IF(F275&gt;Mes,OFFSET(NroCT!B$17, MATCH($F275,NroCT!$A$18:$A376,0),0,1,1),Periodovigente) ,A275) ,'Cuadro tarifario'!A$2:A376,0) -1 , 0 , 1 , 1))</f>
        <v>9000</v>
      </c>
      <c r="I275" s="106">
        <f t="shared" si="48"/>
        <v>0</v>
      </c>
      <c r="J275" s="107">
        <f t="shared" si="2"/>
        <v>0</v>
      </c>
      <c r="K275" s="108">
        <f>IF(  AND(M275&gt;0,I275=0)          ,M275 ,                         IF(  IF( F275 ,  DAYS360(DATE(YEAR(F275),MONTH(F275),1),Mes)/30  ,  DAYS360(DATE(YEAR(E275),MONTH(E275),1),Mes)/30  )  &gt;  0 , IF(F275,   DAYS360(DATE(YEAR(F275),MONTH(F275),1),Mes)/30  ,  DAYS360(DATE(YEAR(E275),MONTH(E275),1),Mes)/30) , 0)       )</f>
        <v>88</v>
      </c>
      <c r="L275" s="109">
        <f t="shared" si="49"/>
        <v>792000</v>
      </c>
      <c r="M275" s="173"/>
      <c r="N275" s="130"/>
      <c r="O275" s="31"/>
      <c r="P275" s="31"/>
      <c r="Q275" s="31"/>
      <c r="R275" s="31"/>
      <c r="S275" s="31"/>
      <c r="T275" s="31"/>
    </row>
    <row r="276">
      <c r="A276" s="54" t="s">
        <v>71</v>
      </c>
      <c r="B276" s="54">
        <v>1296.0</v>
      </c>
      <c r="C276" s="574">
        <v>1296.0</v>
      </c>
      <c r="D276" s="34" t="str">
        <f>if(   iserror(offset(PADRON!B$2,match(C:C,PADRON!A$2:A376,0)-1,0,1,1) )  ,  ,    offset(PADRON!B$2,match(C:C,PADRON!A$2:A376,0)-1,0,1,1))</f>
        <v>KANDUS, CRISTIAN</v>
      </c>
      <c r="E276" s="22">
        <v>42856.0</v>
      </c>
      <c r="F276" s="22"/>
      <c r="G276" s="23" t="s">
        <v>56</v>
      </c>
      <c r="H276" s="35">
        <f>IF( ISERROR( OFFSET(   'Cuadro tarifario'!D$2  , MATCH(CONCATENATE(                 IF(F276&gt;Mes,OFFSET(NroCT!B$17, MATCH($F276,NroCT!$A$18:$A376,0),0,1,1),Periodovigente)                                                                                                                     ,A276) ,'Cuadro tarifario'!A$2:A376,0) -1 , 0 , 1 , 1) )   , 0  ,   OFFSET(   'Cuadro tarifario'!D$2  , MATCH(CONCATENATE( IF(F276&gt;Mes,OFFSET(NroCT!B$17, MATCH($F276,NroCT!$A$18:$A376,0),0,1,1),Periodovigente) ,A276) ,'Cuadro tarifario'!A$2:A376,0) -1 , 0 , 1 , 1))</f>
        <v>11000</v>
      </c>
      <c r="I276" s="36">
        <f>Int(If(F276,DAYS360(          date(Year(E276),Month(E276),1),         date(Year(F276)     ,      Month(F276),1 )    )            /30,0 ))</f>
        <v>0</v>
      </c>
      <c r="J276" s="37">
        <f t="shared" si="2"/>
        <v>0</v>
      </c>
      <c r="K276" s="38">
        <f>if(  and(M276&gt;0,I276=0)          ,M276 ,                         If(  If( F276 ,  DAYS360(date(year(F276),month(F276),1),Mes)/30  ,  DAYS360(date(year(E276),month(E276),1),Mes)/30  )  &gt;  0 , If(F276,   DAYS360(date(year(F276),month(F276),1),Mes)/30  ,  DAYS360(date(year(E276),month(E276),1),Mes)/30) , 0)       )</f>
        <v>99</v>
      </c>
      <c r="L276" s="39">
        <f>If(Iserror(K:K*H:H)   ,  0   ,   K:K*H:H)</f>
        <v>1089000</v>
      </c>
      <c r="M276" s="29">
        <f>IF( ISERROR(OFFSET(SECUESTRADOS!D$1,MATCH(B276,SECUESTRADOS!A$2:A376,0),0)) ,0 ,  OFFSET(SECUESTRADOS!D$1,MATCH(B276,SECUESTRADOS!A$2:A376,0),0)  )</f>
        <v>0</v>
      </c>
      <c r="N276" s="30"/>
      <c r="O276" s="17" t="b">
        <f t="shared" ref="O276:O283" si="50">IF(I276,A276)</f>
        <v>0</v>
      </c>
      <c r="P276" s="17" t="str">
        <f>IF(AND(A276=#REF!,B276=#REF!,C276=#REF!),"Repetido","")</f>
        <v>#REF!</v>
      </c>
      <c r="Q276" s="31"/>
      <c r="R276" s="31"/>
      <c r="S276" s="31"/>
      <c r="T276" s="31"/>
    </row>
    <row r="277">
      <c r="A277" s="18" t="s">
        <v>38</v>
      </c>
      <c r="B277" s="17">
        <v>1296.0</v>
      </c>
      <c r="C277" s="628">
        <v>1296.0</v>
      </c>
      <c r="D277" s="20" t="str">
        <f>IF(   ISERROR(OFFSET(PADRON!B$2,MATCH(C:C,PADRON!A$2:A376,0)-1,0,1,1) )  ,  ,    OFFSET(PADRON!B$2,MATCH(C:C,PADRON!A$2:A376,0)-1,0,1,1))</f>
        <v>KANDUS, CRISTIAN</v>
      </c>
      <c r="E277" s="21">
        <v>43040.0</v>
      </c>
      <c r="F277" s="629"/>
      <c r="G277" s="23" t="s">
        <v>56</v>
      </c>
      <c r="H277" s="24">
        <f>IF( ISERROR( OFFSET(   'Cuadro tarifario'!D$2  , MATCH(CONCATENATE(                 IF(F277&gt;Mes,OFFSET(NroCT!B$17, MATCH($F277,NroCT!$A$18:$A376,0),0,1,1),Periodovigente)                                                                                                                     ,A277) ,'Cuadro tarifario'!A$2:A376,0) -1 , 0 , 1 , 1) )   , 0  ,   OFFSET(   'Cuadro tarifario'!D$2  , MATCH(CONCATENATE( IF(F277&gt;Mes,OFFSET(NroCT!B$17, MATCH($F277,NroCT!$A$18:$A376,0),0,1,1),Periodovigente) ,A277) ,'Cuadro tarifario'!A$2:A376,0) -1 , 0 , 1 , 1))</f>
        <v>9000</v>
      </c>
      <c r="I277" s="25">
        <f t="shared" ref="I277:I283" si="51">INT(IF(F277,DAYS360(          DATE(YEAR(E277),MONTH(E277),1),         DATE(YEAR(F277)     ,      MONTH(F277),1 )    )            /30,0 ))</f>
        <v>0</v>
      </c>
      <c r="J277" s="24">
        <f t="shared" si="2"/>
        <v>0</v>
      </c>
      <c r="K277" s="26">
        <f>IF(  AND(M277&gt;0,I277=0)          ,M277 ,                         IF(  IF( F277 ,  DAYS360(DATE(YEAR(F277),MONTH(F277),1),Mes)/30  ,  DAYS360(DATE(YEAR(E277),MONTH(E277),1),Mes)/30  )  &gt;  0 , IF(F277,   DAYS360(DATE(YEAR(F277),MONTH(F277),1),Mes)/30  ,  DAYS360(DATE(YEAR(E277),MONTH(E277),1),Mes)/30) , 0)       )</f>
        <v>93</v>
      </c>
      <c r="L277" s="27">
        <f t="shared" ref="L277:L283" si="52">IF(ISERROR(K:K*H:H)   ,  0   ,   K:K*H:H)</f>
        <v>837000</v>
      </c>
      <c r="M277" s="29">
        <f>IF( ISERROR(OFFSET(SECUESTRADOS!D$1,MATCH(B277,SECUESTRADOS!A$2:A376,0),0)) ,0 ,  OFFSET(SECUESTRADOS!D$1,MATCH(B277,SECUESTRADOS!A$2:A376,0),0)  )</f>
        <v>0</v>
      </c>
      <c r="N277" s="30"/>
      <c r="O277" s="17" t="b">
        <f t="shared" si="50"/>
        <v>0</v>
      </c>
      <c r="P277" s="17" t="str">
        <f t="shared" ref="P277:P281" si="53">IF(AND(A277=A276,B277=B276,C277=C276),"Repetido","")</f>
        <v/>
      </c>
      <c r="Q277" s="31"/>
      <c r="R277" s="31"/>
      <c r="S277" s="31"/>
      <c r="T277" s="31"/>
    </row>
    <row r="278">
      <c r="A278" s="18" t="s">
        <v>71</v>
      </c>
      <c r="B278" s="18">
        <v>582.0</v>
      </c>
      <c r="C278" s="19">
        <v>582.0</v>
      </c>
      <c r="D278" s="20" t="str">
        <f>IF(   ISERROR(OFFSET(PADRON!B$2,MATCH(C:C,PADRON!A$2:A376,0)-1,0,1,1) )  ,  ,    OFFSET(PADRON!B$2,MATCH(C:C,PADRON!A$2:A376,0)-1,0,1,1))</f>
        <v>PAGANI, LUCIANO</v>
      </c>
      <c r="E278" s="21">
        <v>43831.0</v>
      </c>
      <c r="F278" s="629"/>
      <c r="G278" s="23" t="s">
        <v>56</v>
      </c>
      <c r="H278" s="24">
        <f>IF( ISERROR( OFFSET(   'Cuadro tarifario'!D$2  , MATCH(CONCATENATE(                 IF(F278&gt;Mes,OFFSET(NroCT!B$17, MATCH($F278,NroCT!$A$18:$A376,0),0,1,1),Periodovigente)                                                                                                                     ,A278) ,'Cuadro tarifario'!A$2:A376,0) -1 , 0 , 1 , 1) )   , 0  ,   OFFSET(   'Cuadro tarifario'!D$2  , MATCH(CONCATENATE( IF(F278&gt;Mes,OFFSET(NroCT!B$17, MATCH($F278,NroCT!$A$18:$A376,0),0,1,1),Periodovigente) ,A278) ,'Cuadro tarifario'!A$2:A376,0) -1 , 0 , 1 , 1))</f>
        <v>11000</v>
      </c>
      <c r="I278" s="25">
        <f t="shared" si="51"/>
        <v>0</v>
      </c>
      <c r="J278" s="24">
        <f t="shared" si="2"/>
        <v>0</v>
      </c>
      <c r="K278" s="26">
        <f>IF(  AND(M278&gt;0,I278=0)          ,M278 ,                         IF(  IF( F278 ,  DAYS360(DATE(YEAR(F278),MONTH(F278),1),Mes)/30  ,  DAYS360(DATE(YEAR(E278),MONTH(E278),1),Mes)/30  )  &gt;  0 , IF(F278,   DAYS360(DATE(YEAR(F278),MONTH(F278),1),Mes)/30  ,  DAYS360(DATE(YEAR(E278),MONTH(E278),1),Mes)/30) , 0)       )</f>
        <v>67</v>
      </c>
      <c r="L278" s="27">
        <f t="shared" si="52"/>
        <v>737000</v>
      </c>
      <c r="M278" s="29">
        <f>IF( ISERROR(OFFSET(SECUESTRADOS!D$1,MATCH(B278,SECUESTRADOS!A$2:A376,0),0)) ,0 ,  OFFSET(SECUESTRADOS!D$1,MATCH(B278,SECUESTRADOS!A$2:A376,0),0)  )</f>
        <v>0</v>
      </c>
      <c r="N278" s="30"/>
      <c r="O278" s="17" t="b">
        <f t="shared" si="50"/>
        <v>0</v>
      </c>
      <c r="P278" s="17" t="str">
        <f t="shared" si="53"/>
        <v/>
      </c>
      <c r="Q278" s="31"/>
      <c r="R278" s="31"/>
      <c r="S278" s="31"/>
      <c r="T278" s="31"/>
    </row>
    <row r="279">
      <c r="A279" s="18" t="s">
        <v>38</v>
      </c>
      <c r="B279" s="18">
        <v>582.0</v>
      </c>
      <c r="C279" s="19">
        <v>582.0</v>
      </c>
      <c r="D279" s="20" t="str">
        <f>IF(   ISERROR(OFFSET(PADRON!B$2,MATCH(C:C,PADRON!A$2:A376,0)-1,0,1,1) )  ,  ,    OFFSET(PADRON!B$2,MATCH(C:C,PADRON!A$2:A376,0)-1,0,1,1))</f>
        <v>PAGANI, LUCIANO</v>
      </c>
      <c r="E279" s="21">
        <v>43831.0</v>
      </c>
      <c r="F279" s="629"/>
      <c r="G279" s="23" t="s">
        <v>56</v>
      </c>
      <c r="H279" s="24">
        <f>IF( ISERROR( OFFSET(   'Cuadro tarifario'!D$2  , MATCH(CONCATENATE(                 IF(F279&gt;Mes,OFFSET(NroCT!B$17, MATCH($F279,NroCT!$A$18:$A376,0),0,1,1),Periodovigente)                                                                                                                     ,A279) ,'Cuadro tarifario'!A$2:A376,0) -1 , 0 , 1 , 1) )   , 0  ,   OFFSET(   'Cuadro tarifario'!D$2  , MATCH(CONCATENATE( IF(F279&gt;Mes,OFFSET(NroCT!B$17, MATCH($F279,NroCT!$A$18:$A376,0),0,1,1),Periodovigente) ,A279) ,'Cuadro tarifario'!A$2:A376,0) -1 , 0 , 1 , 1))</f>
        <v>9000</v>
      </c>
      <c r="I279" s="25">
        <f t="shared" si="51"/>
        <v>0</v>
      </c>
      <c r="J279" s="24">
        <f t="shared" si="2"/>
        <v>0</v>
      </c>
      <c r="K279" s="26">
        <f>IF(  AND(M279&gt;0,I279=0)          ,M279 ,                         IF(  IF( F279 ,  DAYS360(DATE(YEAR(F279),MONTH(F279),1),Mes)/30  ,  DAYS360(DATE(YEAR(E279),MONTH(E279),1),Mes)/30  )  &gt;  0 , IF(F279,   DAYS360(DATE(YEAR(F279),MONTH(F279),1),Mes)/30  ,  DAYS360(DATE(YEAR(E279),MONTH(E279),1),Mes)/30) , 0)       )</f>
        <v>67</v>
      </c>
      <c r="L279" s="27">
        <f t="shared" si="52"/>
        <v>603000</v>
      </c>
      <c r="M279" s="29">
        <f>IF( ISERROR(OFFSET(SECUESTRADOS!D$1,MATCH(B279,SECUESTRADOS!A$2:A376,0),0)) ,0 ,  OFFSET(SECUESTRADOS!D$1,MATCH(B279,SECUESTRADOS!A$2:A376,0),0)  )</f>
        <v>0</v>
      </c>
      <c r="N279" s="30"/>
      <c r="O279" s="17" t="b">
        <f t="shared" si="50"/>
        <v>0</v>
      </c>
      <c r="P279" s="17" t="str">
        <f t="shared" si="53"/>
        <v/>
      </c>
      <c r="Q279" s="31"/>
      <c r="R279" s="31"/>
      <c r="S279" s="31"/>
      <c r="T279" s="31"/>
    </row>
    <row r="280">
      <c r="A280" s="18" t="s">
        <v>71</v>
      </c>
      <c r="B280" s="18">
        <v>1721.0</v>
      </c>
      <c r="C280" s="19">
        <v>1721.0</v>
      </c>
      <c r="D280" s="20" t="str">
        <f>IF(   ISERROR(OFFSET(PADRON!B$2,MATCH(C:C,PADRON!A$2:A376,0)-1,0,1,1) )  ,  ,    OFFSET(PADRON!B$2,MATCH(C:C,PADRON!A$2:A376,0)-1,0,1,1))</f>
        <v>PENELA, SERGIO</v>
      </c>
      <c r="E280" s="21">
        <v>43800.0</v>
      </c>
      <c r="F280" s="629"/>
      <c r="G280" s="23" t="s">
        <v>56</v>
      </c>
      <c r="H280" s="24">
        <f>IF( ISERROR( OFFSET(   'Cuadro tarifario'!D$2  , MATCH(CONCATENATE(                 IF(F280&gt;Mes,OFFSET(NroCT!B$17, MATCH($F280,NroCT!$A$18:$A376,0),0,1,1),Periodovigente)                                                                                                                     ,A280) ,'Cuadro tarifario'!A$2:A376,0) -1 , 0 , 1 , 1) )   , 0  ,   OFFSET(   'Cuadro tarifario'!D$2  , MATCH(CONCATENATE( IF(F280&gt;Mes,OFFSET(NroCT!B$17, MATCH($F280,NroCT!$A$18:$A376,0),0,1,1),Periodovigente) ,A280) ,'Cuadro tarifario'!A$2:A376,0) -1 , 0 , 1 , 1))</f>
        <v>11000</v>
      </c>
      <c r="I280" s="25">
        <f t="shared" si="51"/>
        <v>0</v>
      </c>
      <c r="J280" s="24">
        <f t="shared" si="2"/>
        <v>0</v>
      </c>
      <c r="K280" s="26">
        <f>IF(  AND(M280&gt;0,I280=0)          ,M280 ,                         IF(  IF( F280 ,  DAYS360(DATE(YEAR(F280),MONTH(F280),1),Mes)/30  ,  DAYS360(DATE(YEAR(E280),MONTH(E280),1),Mes)/30  )  &gt;  0 , IF(F280,   DAYS360(DATE(YEAR(F280),MONTH(F280),1),Mes)/30  ,  DAYS360(DATE(YEAR(E280),MONTH(E280),1),Mes)/30) , 0)       )</f>
        <v>68</v>
      </c>
      <c r="L280" s="27">
        <f t="shared" si="52"/>
        <v>748000</v>
      </c>
      <c r="M280" s="29">
        <f>IF( ISERROR(OFFSET(SECUESTRADOS!D$1,MATCH(B280,SECUESTRADOS!A$2:A376,0),0)) ,0 ,  OFFSET(SECUESTRADOS!D$1,MATCH(B280,SECUESTRADOS!A$2:A376,0),0)  )</f>
        <v>0</v>
      </c>
      <c r="N280" s="30"/>
      <c r="O280" s="17" t="b">
        <f t="shared" si="50"/>
        <v>0</v>
      </c>
      <c r="P280" s="17" t="str">
        <f t="shared" si="53"/>
        <v/>
      </c>
      <c r="Q280" s="31"/>
      <c r="R280" s="31"/>
      <c r="S280" s="31"/>
      <c r="T280" s="31"/>
    </row>
    <row r="281">
      <c r="A281" s="18" t="s">
        <v>38</v>
      </c>
      <c r="B281" s="18">
        <v>1721.0</v>
      </c>
      <c r="C281" s="19">
        <v>1721.0</v>
      </c>
      <c r="D281" s="20" t="str">
        <f>IF(   ISERROR(OFFSET(PADRON!B$2,MATCH(C:C,PADRON!A$2:A376,0)-1,0,1,1) )  ,  ,    OFFSET(PADRON!B$2,MATCH(C:C,PADRON!A$2:A376,0)-1,0,1,1))</f>
        <v>PENELA, SERGIO</v>
      </c>
      <c r="E281" s="21">
        <v>43800.0</v>
      </c>
      <c r="F281" s="629"/>
      <c r="G281" s="23" t="s">
        <v>56</v>
      </c>
      <c r="H281" s="24">
        <f>IF( ISERROR( OFFSET(   'Cuadro tarifario'!D$2  , MATCH(CONCATENATE(                 IF(F281&gt;Mes,OFFSET(NroCT!B$17, MATCH($F281,NroCT!$A$18:$A376,0),0,1,1),Periodovigente)                                                                                                                     ,A281) ,'Cuadro tarifario'!A$2:A376,0) -1 , 0 , 1 , 1) )   , 0  ,   OFFSET(   'Cuadro tarifario'!D$2  , MATCH(CONCATENATE( IF(F281&gt;Mes,OFFSET(NroCT!B$17, MATCH($F281,NroCT!$A$18:$A376,0),0,1,1),Periodovigente) ,A281) ,'Cuadro tarifario'!A$2:A376,0) -1 , 0 , 1 , 1))</f>
        <v>9000</v>
      </c>
      <c r="I281" s="25">
        <f t="shared" si="51"/>
        <v>0</v>
      </c>
      <c r="J281" s="24">
        <f t="shared" si="2"/>
        <v>0</v>
      </c>
      <c r="K281" s="26">
        <f>IF(  AND(M281&gt;0,I281=0)          ,M281 ,                         IF(  IF( F281 ,  DAYS360(DATE(YEAR(F281),MONTH(F281),1),Mes)/30  ,  DAYS360(DATE(YEAR(E281),MONTH(E281),1),Mes)/30  )  &gt;  0 , IF(F281,   DAYS360(DATE(YEAR(F281),MONTH(F281),1),Mes)/30  ,  DAYS360(DATE(YEAR(E281),MONTH(E281),1),Mes)/30) , 0)       )</f>
        <v>68</v>
      </c>
      <c r="L281" s="27">
        <f t="shared" si="52"/>
        <v>612000</v>
      </c>
      <c r="M281" s="29">
        <f>IF( ISERROR(OFFSET(SECUESTRADOS!D$1,MATCH(B281,SECUESTRADOS!A$2:A376,0),0)) ,0 ,  OFFSET(SECUESTRADOS!D$1,MATCH(B281,SECUESTRADOS!A$2:A376,0),0)  )</f>
        <v>0</v>
      </c>
      <c r="N281" s="30"/>
      <c r="O281" s="17" t="b">
        <f t="shared" si="50"/>
        <v>0</v>
      </c>
      <c r="P281" s="17" t="str">
        <f t="shared" si="53"/>
        <v/>
      </c>
      <c r="Q281" s="31"/>
      <c r="R281" s="31"/>
      <c r="S281" s="31"/>
      <c r="T281" s="31"/>
    </row>
    <row r="282">
      <c r="A282" s="18" t="s">
        <v>40</v>
      </c>
      <c r="B282" s="18">
        <v>1721.0</v>
      </c>
      <c r="C282" s="19">
        <v>1721.0</v>
      </c>
      <c r="D282" s="20" t="str">
        <f>IF(   ISERROR(OFFSET(PADRON!B$2,MATCH(C:C,PADRON!A$2:A376,0)-1,0,1,1) )  ,  ,    OFFSET(PADRON!B$2,MATCH(C:C,PADRON!A$2:A376,0)-1,0,1,1))</f>
        <v>PENELA, SERGIO</v>
      </c>
      <c r="E282" s="21">
        <v>43800.0</v>
      </c>
      <c r="F282" s="629"/>
      <c r="G282" s="23" t="s">
        <v>56</v>
      </c>
      <c r="H282" s="24">
        <f>IF( ISERROR( OFFSET(   'Cuadro tarifario'!D$2  , MATCH(CONCATENATE(                 IF(F282&gt;Mes,OFFSET(NroCT!B$17, MATCH($F282,NroCT!$A$18:$A376,0),0,1,1),Periodovigente)                                                                                                                     ,A282) ,'Cuadro tarifario'!A$2:A376,0) -1 , 0 , 1 , 1) )   , 0  ,   OFFSET(   'Cuadro tarifario'!D$2  , MATCH(CONCATENATE( IF(F282&gt;Mes,OFFSET(NroCT!B$17, MATCH($F282,NroCT!$A$18:$A376,0),0,1,1),Periodovigente) ,A282) ,'Cuadro tarifario'!A$2:A376,0) -1 , 0 , 1 , 1))</f>
        <v>12000</v>
      </c>
      <c r="I282" s="25">
        <f t="shared" si="51"/>
        <v>0</v>
      </c>
      <c r="J282" s="24">
        <f t="shared" si="2"/>
        <v>0</v>
      </c>
      <c r="K282" s="26">
        <f>IF(  AND(M282&gt;0,I282=0)          ,M282 ,                         IF(  IF( F282 ,  DAYS360(DATE(YEAR(F282),MONTH(F282),1),Mes)/30  ,  DAYS360(DATE(YEAR(E282),MONTH(E282),1),Mes)/30  )  &gt;  0 , IF(F282,   DAYS360(DATE(YEAR(F282),MONTH(F282),1),Mes)/30  ,  DAYS360(DATE(YEAR(E282),MONTH(E282),1),Mes)/30) , 0)       )</f>
        <v>68</v>
      </c>
      <c r="L282" s="27">
        <f t="shared" si="52"/>
        <v>816000</v>
      </c>
      <c r="M282" s="29">
        <f>IF( ISERROR(OFFSET(SECUESTRADOS!D$1,MATCH(B282,SECUESTRADOS!A$2:A376,0),0)) ,0 ,  OFFSET(SECUESTRADOS!D$1,MATCH(B282,SECUESTRADOS!A$2:A376,0),0)  )</f>
        <v>0</v>
      </c>
      <c r="N282" s="30"/>
      <c r="O282" s="17" t="b">
        <f t="shared" si="50"/>
        <v>0</v>
      </c>
      <c r="P282" s="17" t="str">
        <f>IF(AND(A282=A280,B282=B280,C282=C280),"Repetido","")</f>
        <v/>
      </c>
      <c r="Q282" s="31"/>
      <c r="R282" s="31"/>
      <c r="S282" s="31"/>
      <c r="T282" s="31"/>
    </row>
    <row r="283">
      <c r="A283" s="18" t="s">
        <v>82</v>
      </c>
      <c r="B283" s="18">
        <v>1721.0</v>
      </c>
      <c r="C283" s="19">
        <v>1721.0</v>
      </c>
      <c r="D283" s="20" t="str">
        <f>IF(   ISERROR(OFFSET(PADRON!B$2,MATCH(C:C,PADRON!A$2:A376,0)-1,0,1,1) )  ,  ,    OFFSET(PADRON!B$2,MATCH(C:C,PADRON!A$2:A376,0)-1,0,1,1))</f>
        <v>PENELA, SERGIO</v>
      </c>
      <c r="E283" s="21">
        <v>43800.0</v>
      </c>
      <c r="F283" s="629"/>
      <c r="G283" s="23" t="s">
        <v>56</v>
      </c>
      <c r="H283" s="24">
        <f>IF( ISERROR( OFFSET(   'Cuadro tarifario'!D$2  , MATCH(CONCATENATE(                 IF(F283&gt;Mes,OFFSET(NroCT!B$17, MATCH($F283,NroCT!$A$18:$A376,0),0,1,1),Periodovigente)                                                                                                                     ,A283) ,'Cuadro tarifario'!A$2:A376,0) -1 , 0 , 1 , 1) )   , 0  ,   OFFSET(   'Cuadro tarifario'!D$2  , MATCH(CONCATENATE( IF(F283&gt;Mes,OFFSET(NroCT!B$17, MATCH($F283,NroCT!$A$18:$A376,0),0,1,1),Periodovigente) ,A283) ,'Cuadro tarifario'!A$2:A376,0) -1 , 0 , 1 , 1))</f>
        <v>12000</v>
      </c>
      <c r="I283" s="25">
        <f t="shared" si="51"/>
        <v>0</v>
      </c>
      <c r="J283" s="24">
        <f t="shared" si="2"/>
        <v>0</v>
      </c>
      <c r="K283" s="26">
        <f>IF(  AND(M283&gt;0,I283=0)          ,M283 ,                         IF(  IF( F283 ,  DAYS360(DATE(YEAR(F283),MONTH(F283),1),Mes)/30  ,  DAYS360(DATE(YEAR(E283),MONTH(E283),1),Mes)/30  )  &gt;  0 , IF(F283,   DAYS360(DATE(YEAR(F283),MONTH(F283),1),Mes)/30  ,  DAYS360(DATE(YEAR(E283),MONTH(E283),1),Mes)/30) , 0)       )</f>
        <v>68</v>
      </c>
      <c r="L283" s="27">
        <f t="shared" si="52"/>
        <v>816000</v>
      </c>
      <c r="M283" s="29">
        <f>IF( ISERROR(OFFSET(SECUESTRADOS!D$1,MATCH(B283,SECUESTRADOS!A$2:A376,0),0)) ,0 ,  OFFSET(SECUESTRADOS!D$1,MATCH(B283,SECUESTRADOS!A$2:A376,0),0)  )</f>
        <v>0</v>
      </c>
      <c r="N283" s="30"/>
      <c r="O283" s="17" t="b">
        <f t="shared" si="50"/>
        <v>0</v>
      </c>
      <c r="P283" s="17" t="str">
        <f>IF(AND(A283=A282,B283=B282,C283=C282),"Repetido","")</f>
        <v/>
      </c>
      <c r="Q283" s="31"/>
      <c r="R283" s="31"/>
      <c r="S283" s="31"/>
      <c r="T283" s="31"/>
    </row>
    <row r="284">
      <c r="A284" s="18" t="s">
        <v>71</v>
      </c>
      <c r="B284" s="18">
        <v>1710.0</v>
      </c>
      <c r="C284" s="19">
        <v>1710.0</v>
      </c>
      <c r="D284" s="646" t="s">
        <v>3277</v>
      </c>
      <c r="E284" s="21">
        <v>44075.0</v>
      </c>
      <c r="F284" s="629"/>
      <c r="G284" s="23"/>
      <c r="H284" s="24"/>
      <c r="I284" s="25"/>
      <c r="J284" s="24"/>
      <c r="K284" s="26"/>
      <c r="L284" s="27"/>
      <c r="M284" s="29"/>
      <c r="N284" s="30"/>
      <c r="O284" s="17"/>
      <c r="P284" s="17"/>
      <c r="Q284" s="17"/>
      <c r="R284" s="17"/>
      <c r="S284" s="17"/>
      <c r="T284" s="17"/>
    </row>
    <row r="285">
      <c r="A285" s="18" t="s">
        <v>40</v>
      </c>
      <c r="B285" s="18" t="s">
        <v>4841</v>
      </c>
      <c r="C285" s="19">
        <v>1710.0</v>
      </c>
      <c r="D285" s="646" t="s">
        <v>3277</v>
      </c>
      <c r="E285" s="21">
        <v>44075.0</v>
      </c>
      <c r="F285" s="629"/>
      <c r="G285" s="23"/>
      <c r="H285" s="24"/>
      <c r="I285" s="25"/>
      <c r="J285" s="24"/>
      <c r="K285" s="26"/>
      <c r="L285" s="27"/>
      <c r="M285" s="29"/>
      <c r="N285" s="30"/>
      <c r="O285" s="17"/>
      <c r="P285" s="17"/>
      <c r="Q285" s="17"/>
      <c r="R285" s="17"/>
      <c r="S285" s="17"/>
      <c r="T285" s="17"/>
    </row>
    <row r="286" ht="15.0" customHeight="1">
      <c r="A286" s="54" t="s">
        <v>71</v>
      </c>
      <c r="B286" s="54">
        <v>1412.0</v>
      </c>
      <c r="C286" s="19">
        <v>1412.0</v>
      </c>
      <c r="D286" s="34" t="str">
        <f>if(   iserror(offset(PADRON!B$2,match(C:C,PADRON!A$2:A376,0)-1,0,1,1) )  ,  ,    offset(PADRON!B$2,match(C:C,PADRON!A$2:A376,0)-1,0,1,1))</f>
        <v>GAUTO,RAUL</v>
      </c>
      <c r="E286" s="22">
        <v>45017.0</v>
      </c>
      <c r="F286" s="22"/>
      <c r="G286" s="23" t="s">
        <v>39</v>
      </c>
      <c r="H286" s="35">
        <f>IF( ISERROR( OFFSET(   'Cuadro tarifario'!D$2  , MATCH(CONCATENATE(                 IF(F286&gt;Mes,OFFSET(NroCT!B$17, MATCH($F286,NroCT!$A$18:$A376,0),0,1,1),Periodovigente)                                                                                                                     ,A286) ,'Cuadro tarifario'!A$2:A376,0) -1 , 0 , 1 , 1) )   , 0  ,   OFFSET(   'Cuadro tarifario'!D$2  , MATCH(CONCATENATE( IF(F286&gt;Mes,OFFSET(NroCT!B$17, MATCH($F286,NroCT!$A$18:$A376,0),0,1,1),Periodovigente) ,A286) ,'Cuadro tarifario'!A$2:A376,0) -1 , 0 , 1 , 1))</f>
        <v>11000</v>
      </c>
      <c r="I286" s="36">
        <f>Int(If(F286,DAYS360(          date(Year(E286),Month(E286),1),         date(Year(F286)     ,      Month(F286),1 )    )            /30,0 ))</f>
        <v>0</v>
      </c>
      <c r="J286" s="37">
        <f t="shared" ref="J286:J338" si="54">I286*H286</f>
        <v>0</v>
      </c>
      <c r="K286" s="38">
        <f>if(  and(N286&gt;0,I286=0)          ,N286 ,                         If(  If( F286 ,  DAYS360(date(year(F286),month(F286),1),Mes)/30  ,  DAYS360(date(year(E286),month(E286),1),Mes)/30  )  &gt;  0 , If(F286,   DAYS360(date(year(F286),month(F286),1),Mes)/30  ,  DAYS360(date(year(E286),month(E286),1),Mes)/30) , 0)       )</f>
        <v>28</v>
      </c>
      <c r="L286" s="39">
        <f>If(Iserror(K:K*H:H)   ,  0   ,   K:K*H:H)</f>
        <v>308000</v>
      </c>
      <c r="M286" s="40"/>
      <c r="N286" s="29">
        <f>IF( ISERROR(OFFSET(SECUESTRADOS!D$1,MATCH(B286,SECUESTRADOS!A$2:A376,0),0)) ,0 ,  OFFSET(SECUESTRADOS!D$1,MATCH(B286,SECUESTRADOS!A$2:A376,0),0)  )</f>
        <v>0</v>
      </c>
      <c r="O286" s="30"/>
      <c r="P286" s="17" t="b">
        <f t="shared" ref="P286:P289" si="55">IF(I286,A286)</f>
        <v>0</v>
      </c>
      <c r="Q286" s="17" t="str">
        <f t="shared" ref="Q286:Q289" si="56">IF(AND(A286=A285,B286=B285,C286=C285),"Repetido","")</f>
        <v/>
      </c>
      <c r="R286" s="31"/>
      <c r="S286" s="31"/>
      <c r="T286" s="31"/>
    </row>
    <row r="287" ht="15.0" customHeight="1">
      <c r="A287" s="18" t="s">
        <v>38</v>
      </c>
      <c r="B287" s="17">
        <v>1412.0</v>
      </c>
      <c r="C287" s="19">
        <v>1412.0</v>
      </c>
      <c r="D287" s="20" t="str">
        <f>IF(   ISERROR(OFFSET(PADRON!B$2,MATCH(C:C,PADRON!A$2:A376,0)-1,0,1,1) )  ,  ,    OFFSET(PADRON!B$2,MATCH(C:C,PADRON!A$2:A376,0)-1,0,1,1))</f>
        <v>GAUTO,RAUL</v>
      </c>
      <c r="E287" s="21">
        <v>45017.0</v>
      </c>
      <c r="F287" s="21"/>
      <c r="G287" s="23" t="s">
        <v>39</v>
      </c>
      <c r="H287" s="24">
        <f>IF( ISERROR( OFFSET(   'Cuadro tarifario'!D$2  , MATCH(CONCATENATE(                 IF(F287&gt;Mes,OFFSET(NroCT!B$17, MATCH($F287,NroCT!$A$18:$A376,0),0,1,1),Periodovigente)                                                                                                                     ,A287) ,'Cuadro tarifario'!A$2:A376,0) -1 , 0 , 1 , 1) )   , 0  ,   OFFSET(   'Cuadro tarifario'!D$2  , MATCH(CONCATENATE( IF(F287&gt;Mes,OFFSET(NroCT!B$17, MATCH($F287,NroCT!$A$18:$A376,0),0,1,1),Periodovigente) ,A287) ,'Cuadro tarifario'!A$2:A376,0) -1 , 0 , 1 , 1))</f>
        <v>9000</v>
      </c>
      <c r="I287" s="25">
        <f>INT(IF(F287,DAYS360(          DATE(YEAR(E287),MONTH(E287),1),         DATE(YEAR(F287)     ,      MONTH(F287),1 )    )            /30,0 ))</f>
        <v>0</v>
      </c>
      <c r="J287" s="24">
        <f t="shared" si="54"/>
        <v>0</v>
      </c>
      <c r="K287" s="26">
        <f>IF(  AND(N287&gt;0,I287=0)          ,N287 ,                         IF(  IF( F287 ,  DAYS360(DATE(YEAR(F287),MONTH(F287),1),Mes)/30  ,  DAYS360(DATE(YEAR(E287),MONTH(E287),1),Mes)/30  )  &gt;  0 , IF(F287,   DAYS360(DATE(YEAR(F287),MONTH(F287),1),Mes)/30  ,  DAYS360(DATE(YEAR(E287),MONTH(E287),1),Mes)/30) , 0)       )</f>
        <v>28</v>
      </c>
      <c r="L287" s="27">
        <f>IF(ISERROR(K:K*H:H)   ,  0   ,   K:K*H:H)</f>
        <v>252000</v>
      </c>
      <c r="M287" s="28"/>
      <c r="N287" s="29">
        <f>IF( ISERROR(OFFSET(SECUESTRADOS!D$1,MATCH(B287,SECUESTRADOS!A$2:A376,0),0)) ,0 ,  OFFSET(SECUESTRADOS!D$1,MATCH(B287,SECUESTRADOS!A$2:A376,0),0)  )</f>
        <v>0</v>
      </c>
      <c r="O287" s="30"/>
      <c r="P287" s="17" t="b">
        <f t="shared" si="55"/>
        <v>0</v>
      </c>
      <c r="Q287" s="17" t="str">
        <f t="shared" si="56"/>
        <v/>
      </c>
      <c r="R287" s="31"/>
      <c r="S287" s="31"/>
      <c r="T287" s="31"/>
    </row>
    <row r="288" ht="15.0" customHeight="1">
      <c r="A288" s="79" t="s">
        <v>82</v>
      </c>
      <c r="B288" s="79" t="s">
        <v>4309</v>
      </c>
      <c r="C288" s="19">
        <v>1412.0</v>
      </c>
      <c r="D288" s="34" t="str">
        <f>if(   iserror(offset(PADRON!B$2,match(C:C,PADRON!A$2:A376,0)-1,0,1,1) )  ,  ,    offset(PADRON!B$2,match(C:C,PADRON!A$2:A376,0)-1,0,1,1))</f>
        <v>GAUTO,RAUL</v>
      </c>
      <c r="E288" s="22">
        <v>45017.0</v>
      </c>
      <c r="F288" s="22"/>
      <c r="G288" s="23" t="s">
        <v>39</v>
      </c>
      <c r="H288" s="80">
        <f>IF( ISERROR( OFFSET(   'Cuadro tarifario'!D$2  , MATCH(CONCATENATE(                 IF(F288&gt;Mes,OFFSET(NroCT!B$17, MATCH($F288,NroCT!$A$18:$A376,0),0,1,1),Periodovigente)                                                                                                                     ,A288) ,'Cuadro tarifario'!A$2:A376,0) -1 , 0 , 1 , 1) )   , 0  ,   OFFSET(   'Cuadro tarifario'!D$2  , MATCH(CONCATENATE( IF(F288&gt;Mes,OFFSET(NroCT!B$17, MATCH($F288,NroCT!$A$18:$A376,0),0,1,1),Periodovigente) ,A288) ,'Cuadro tarifario'!A$2:A376,0) -1 , 0 , 1 , 1))</f>
        <v>12000</v>
      </c>
      <c r="I288" s="36">
        <f t="shared" ref="I288:I289" si="57">Int(If(F288,DAYS360(          date(Year(E288),Month(E288),1),         date(Year(F288)     ,      Month(F288),1 )    )            /30,0 ))</f>
        <v>0</v>
      </c>
      <c r="J288" s="36">
        <f t="shared" si="54"/>
        <v>0</v>
      </c>
      <c r="K288" s="38">
        <f>if(  and(N288&gt;0,I288=0)          ,N288 ,                         If(  If( F288 ,  DAYS360(date(year(F288),month(F288),1),Mes)/30  ,  DAYS360(date(year(E288),month(E288),1),Mes)/30  )  &gt;  0 , If(F288,   DAYS360(date(year(F288),month(F288),1),Mes)/30  ,  DAYS360(date(year(E288),month(E288),1),Mes)/30) , 0)       )</f>
        <v>28</v>
      </c>
      <c r="L288" s="38">
        <f t="shared" ref="L288:L289" si="58">If(Iserror(K:K*H:H)   ,  0   ,   K:K*H:H)</f>
        <v>336000</v>
      </c>
      <c r="M288" s="40"/>
      <c r="N288" s="29">
        <f>IF( ISERROR(OFFSET(SECUESTRADOS!D$1,MATCH(B288,SECUESTRADOS!A$2:A376,0),0)) ,0 ,  OFFSET(SECUESTRADOS!D$1,MATCH(B288,SECUESTRADOS!A$2:A376,0),0)  )</f>
        <v>0</v>
      </c>
      <c r="O288" s="30"/>
      <c r="P288" s="17" t="b">
        <f t="shared" si="55"/>
        <v>0</v>
      </c>
      <c r="Q288" s="17" t="str">
        <f t="shared" si="56"/>
        <v/>
      </c>
      <c r="R288" s="31"/>
      <c r="S288" s="31"/>
      <c r="T288" s="31"/>
    </row>
    <row r="289" ht="15.0" customHeight="1">
      <c r="A289" s="79" t="s">
        <v>82</v>
      </c>
      <c r="B289" s="79" t="s">
        <v>4308</v>
      </c>
      <c r="C289" s="19">
        <v>1412.0</v>
      </c>
      <c r="D289" s="34" t="str">
        <f>if(   iserror(offset(PADRON!B$2,match(C:C,PADRON!A$2:A376,0)-1,0,1,1) )  ,  ,    offset(PADRON!B$2,match(C:C,PADRON!A$2:A376,0)-1,0,1,1))</f>
        <v>GAUTO,RAUL</v>
      </c>
      <c r="E289" s="22">
        <v>45017.0</v>
      </c>
      <c r="F289" s="22"/>
      <c r="G289" s="23" t="s">
        <v>39</v>
      </c>
      <c r="H289" s="80">
        <f>IF( ISERROR( OFFSET(   'Cuadro tarifario'!D$2  , MATCH(CONCATENATE(                 IF(F289&gt;Mes,OFFSET(NroCT!B$17, MATCH($F289,NroCT!$A$18:$A376,0),0,1,1),Periodovigente)                                                                                                                     ,A289) ,'Cuadro tarifario'!A$2:A376,0) -1 , 0 , 1 , 1) )   , 0  ,   OFFSET(   'Cuadro tarifario'!D$2  , MATCH(CONCATENATE( IF(F289&gt;Mes,OFFSET(NroCT!B$17, MATCH($F289,NroCT!$A$18:$A376,0),0,1,1),Periodovigente) ,A289) ,'Cuadro tarifario'!A$2:A376,0) -1 , 0 , 1 , 1))</f>
        <v>12000</v>
      </c>
      <c r="I289" s="36">
        <f t="shared" si="57"/>
        <v>0</v>
      </c>
      <c r="J289" s="36">
        <f t="shared" si="54"/>
        <v>0</v>
      </c>
      <c r="K289" s="38">
        <f>if(  and(N289&gt;0,I289=0)          ,N289 ,                         If(  If( F289 ,  DAYS360(date(year(F289),month(F289),1),Mes)/30  ,  DAYS360(date(year(E289),month(E289),1),Mes)/30  )  &gt;  0 , If(F289,   DAYS360(date(year(F289),month(F289),1),Mes)/30  ,  DAYS360(date(year(E289),month(E289),1),Mes)/30) , 0)       )</f>
        <v>28</v>
      </c>
      <c r="L289" s="38">
        <f t="shared" si="58"/>
        <v>336000</v>
      </c>
      <c r="M289" s="40"/>
      <c r="N289" s="29">
        <f>IF( ISERROR(OFFSET(SECUESTRADOS!D$1,MATCH(B289,SECUESTRADOS!A$2:A376,0),0)) ,0 ,  OFFSET(SECUESTRADOS!D$1,MATCH(B289,SECUESTRADOS!A$2:A376,0),0)  )</f>
        <v>0</v>
      </c>
      <c r="O289" s="30"/>
      <c r="P289" s="17" t="b">
        <f t="shared" si="55"/>
        <v>0</v>
      </c>
      <c r="Q289" s="17" t="str">
        <f t="shared" si="56"/>
        <v/>
      </c>
      <c r="R289" s="31"/>
      <c r="S289" s="31"/>
      <c r="T289" s="31"/>
    </row>
    <row r="290" ht="15.0" customHeight="1">
      <c r="A290" s="18" t="s">
        <v>71</v>
      </c>
      <c r="B290" s="18">
        <v>1953.0</v>
      </c>
      <c r="C290" s="19">
        <v>1953.0</v>
      </c>
      <c r="D290" s="57" t="str">
        <f>IF(   ISERROR(OFFSET(PADRON!B$2,MATCH(C:C,PADRON!A$2:A376,0)-1,0,1,1) )  ,  ,    OFFSET(PADRON!B$2,MATCH(C:C,PADRON!A$2:A376,0)-1,0,1,1))</f>
        <v>DESSY, DIEGO</v>
      </c>
      <c r="E290" s="58">
        <v>45231.0</v>
      </c>
      <c r="F290" s="133"/>
      <c r="G290" s="59" t="s">
        <v>39</v>
      </c>
      <c r="H290" s="60">
        <f>IF( ISERROR( OFFSET(   'Cuadro tarifario'!D$2  , MATCH(CONCATENATE(                 IF(F290&gt;Mes,OFFSET(NroCT!B$17, MATCH($F290,NroCT!$A$18:$A376,0),0,1,1),Periodovigente)                                                                                                                     ,A290) ,'Cuadro tarifario'!A$2:A376,0) -1 , 0 , 1 , 1) )   , 0  ,   OFFSET(   'Cuadro tarifario'!D$2  , MATCH(CONCATENATE( IF(F290&gt;Mes,OFFSET(NroCT!B$17, MATCH($F290,NroCT!$A$18:$A376,0),0,1,1),Periodovigente) ,A290) ,'Cuadro tarifario'!A$2:A376,0) -1 , 0 , 1 , 1))</f>
        <v>11000</v>
      </c>
      <c r="I290" s="135">
        <f t="shared" ref="I290:I293" si="59">INT(IF(F290,DAYS360(          DATE(YEAR(E290),MONTH(E290),1),         DATE(YEAR(F290)     ,      MONTH(F290),1 )    )            /30,0 ))</f>
        <v>0</v>
      </c>
      <c r="J290" s="138">
        <f t="shared" si="54"/>
        <v>0</v>
      </c>
      <c r="K290" s="136">
        <f>IF(  AND(N290&gt;0,I290=0)          ,N290 ,                         IF(  IF( F290 ,  DAYS360(DATE(YEAR(F290),MONTH(F290),1),Mes)/30  ,  DAYS360(DATE(YEAR(E290),MONTH(E290),1),Mes)/30  )  &gt;  0 , IF(F290,   DAYS360(DATE(YEAR(F290),MONTH(F290),1),Mes)/30  ,  DAYS360(DATE(YEAR(E290),MONTH(E290),1),Mes)/30) , 0)       )</f>
        <v>21</v>
      </c>
      <c r="L290" s="137">
        <f t="shared" ref="L290:L293" si="60">IF(ISERROR(K:K*H:H)   ,  0   ,   K:K*H:H)</f>
        <v>231000</v>
      </c>
      <c r="M290" s="131"/>
      <c r="N290" s="130"/>
      <c r="O290" s="130"/>
      <c r="P290" s="130"/>
      <c r="Q290" s="130"/>
      <c r="R290" s="130"/>
      <c r="S290" s="130"/>
      <c r="T290" s="130"/>
    </row>
    <row r="291" ht="15.0" customHeight="1">
      <c r="A291" s="18" t="s">
        <v>38</v>
      </c>
      <c r="B291" s="18">
        <v>1953.0</v>
      </c>
      <c r="C291" s="19">
        <v>1953.0</v>
      </c>
      <c r="D291" s="57" t="str">
        <f>IF(   ISERROR(OFFSET(PADRON!B$2,MATCH(C:C,PADRON!A$2:A376,0)-1,0,1,1) )  ,  ,    OFFSET(PADRON!B$2,MATCH(C:C,PADRON!A$2:A376,0)-1,0,1,1))</f>
        <v>DESSY, DIEGO</v>
      </c>
      <c r="E291" s="58">
        <v>45231.0</v>
      </c>
      <c r="F291" s="133"/>
      <c r="G291" s="59" t="s">
        <v>39</v>
      </c>
      <c r="H291" s="60">
        <f>IF( ISERROR( OFFSET(   'Cuadro tarifario'!D$2  , MATCH(CONCATENATE(                 IF(F291&gt;Mes,OFFSET(NroCT!B$17, MATCH($F291,NroCT!$A$18:$A376,0),0,1,1),Periodovigente)                                                                                                                     ,A291) ,'Cuadro tarifario'!A$2:A376,0) -1 , 0 , 1 , 1) )   , 0  ,   OFFSET(   'Cuadro tarifario'!D$2  , MATCH(CONCATENATE( IF(F291&gt;Mes,OFFSET(NroCT!B$17, MATCH($F291,NroCT!$A$18:$A376,0),0,1,1),Periodovigente) ,A291) ,'Cuadro tarifario'!A$2:A376,0) -1 , 0 , 1 , 1))</f>
        <v>9000</v>
      </c>
      <c r="I291" s="135">
        <f t="shared" si="59"/>
        <v>0</v>
      </c>
      <c r="J291" s="138">
        <f t="shared" si="54"/>
        <v>0</v>
      </c>
      <c r="K291" s="136">
        <f>IF(  AND(N291&gt;0,I291=0)          ,N291 ,                         IF(  IF( F291 ,  DAYS360(DATE(YEAR(F291),MONTH(F291),1),Mes)/30  ,  DAYS360(DATE(YEAR(E291),MONTH(E291),1),Mes)/30  )  &gt;  0 , IF(F291,   DAYS360(DATE(YEAR(F291),MONTH(F291),1),Mes)/30  ,  DAYS360(DATE(YEAR(E291),MONTH(E291),1),Mes)/30) , 0)       )</f>
        <v>21</v>
      </c>
      <c r="L291" s="137">
        <f t="shared" si="60"/>
        <v>189000</v>
      </c>
      <c r="M291" s="131"/>
      <c r="N291" s="130"/>
      <c r="O291" s="130"/>
      <c r="P291" s="130"/>
      <c r="Q291" s="130"/>
      <c r="R291" s="130"/>
      <c r="S291" s="130"/>
      <c r="T291" s="130"/>
    </row>
    <row r="292" ht="15.0" customHeight="1">
      <c r="A292" s="18" t="s">
        <v>71</v>
      </c>
      <c r="B292" s="18">
        <v>1897.0</v>
      </c>
      <c r="C292" s="19">
        <v>1897.0</v>
      </c>
      <c r="D292" s="57" t="str">
        <f>IF(   ISERROR(OFFSET(PADRON!B$2,MATCH(C:C,PADRON!A$2:A376,0)-1,0,1,1) )  ,  ,    OFFSET(PADRON!B$2,MATCH(C:C,PADRON!A$2:A376,0)-1,0,1,1))</f>
        <v>RUIZ DIAZ, OSVALDO</v>
      </c>
      <c r="E292" s="58">
        <v>44958.0</v>
      </c>
      <c r="F292" s="133"/>
      <c r="G292" s="59" t="s">
        <v>39</v>
      </c>
      <c r="H292" s="60">
        <f>IF( ISERROR( OFFSET(   'Cuadro tarifario'!D$2  , MATCH(CONCATENATE(                 IF(F292&gt;Mes,OFFSET(NroCT!B$17, MATCH($F292,NroCT!$A$18:$A376,0),0,1,1),Periodovigente)                                                                                                                     ,A292) ,'Cuadro tarifario'!A$2:A376,0) -1 , 0 , 1 , 1) )   , 0  ,   OFFSET(   'Cuadro tarifario'!D$2  , MATCH(CONCATENATE( IF(F292&gt;Mes,OFFSET(NroCT!B$17, MATCH($F292,NroCT!$A$18:$A376,0),0,1,1),Periodovigente) ,A292) ,'Cuadro tarifario'!A$2:A376,0) -1 , 0 , 1 , 1))</f>
        <v>11000</v>
      </c>
      <c r="I292" s="135">
        <f t="shared" si="59"/>
        <v>0</v>
      </c>
      <c r="J292" s="138">
        <f t="shared" si="54"/>
        <v>0</v>
      </c>
      <c r="K292" s="136">
        <f>IF(  AND(N292&gt;0,I292=0)          ,N292 ,                         IF(  IF( F292 ,  DAYS360(DATE(YEAR(F292),MONTH(F292),1),Mes)/30  ,  DAYS360(DATE(YEAR(E292),MONTH(E292),1),Mes)/30  )  &gt;  0 , IF(F292,   DAYS360(DATE(YEAR(F292),MONTH(F292),1),Mes)/30  ,  DAYS360(DATE(YEAR(E292),MONTH(E292),1),Mes)/30) , 0)       )</f>
        <v>30</v>
      </c>
      <c r="L292" s="137">
        <f t="shared" si="60"/>
        <v>330000</v>
      </c>
      <c r="M292" s="131"/>
      <c r="N292" s="130"/>
      <c r="O292" s="130"/>
      <c r="P292" s="130"/>
      <c r="Q292" s="130"/>
      <c r="R292" s="130"/>
      <c r="S292" s="130"/>
      <c r="T292" s="130"/>
    </row>
    <row r="293" ht="15.0" customHeight="1">
      <c r="A293" s="18" t="s">
        <v>38</v>
      </c>
      <c r="B293" s="18">
        <v>1897.0</v>
      </c>
      <c r="C293" s="19">
        <v>1897.0</v>
      </c>
      <c r="D293" s="57" t="str">
        <f>IF(   ISERROR(OFFSET(PADRON!B$2,MATCH(C:C,PADRON!A$2:A376,0)-1,0,1,1) )  ,  ,    OFFSET(PADRON!B$2,MATCH(C:C,PADRON!A$2:A376,0)-1,0,1,1))</f>
        <v>RUIZ DIAZ, OSVALDO</v>
      </c>
      <c r="E293" s="58">
        <v>44958.0</v>
      </c>
      <c r="F293" s="133"/>
      <c r="G293" s="59" t="s">
        <v>39</v>
      </c>
      <c r="H293" s="60">
        <f>IF( ISERROR( OFFSET(   'Cuadro tarifario'!D$2  , MATCH(CONCATENATE(                 IF(F293&gt;Mes,OFFSET(NroCT!B$17, MATCH($F293,NroCT!$A$18:$A376,0),0,1,1),Periodovigente)                                                                                                                     ,A293) ,'Cuadro tarifario'!A$2:A376,0) -1 , 0 , 1 , 1) )   , 0  ,   OFFSET(   'Cuadro tarifario'!D$2  , MATCH(CONCATENATE( IF(F293&gt;Mes,OFFSET(NroCT!B$17, MATCH($F293,NroCT!$A$18:$A376,0),0,1,1),Periodovigente) ,A293) ,'Cuadro tarifario'!A$2:A376,0) -1 , 0 , 1 , 1))</f>
        <v>9000</v>
      </c>
      <c r="I293" s="135">
        <f t="shared" si="59"/>
        <v>0</v>
      </c>
      <c r="J293" s="138">
        <f t="shared" si="54"/>
        <v>0</v>
      </c>
      <c r="K293" s="136">
        <f>IF(  AND(N293&gt;0,I293=0)          ,N293 ,                         IF(  IF( F293 ,  DAYS360(DATE(YEAR(F293),MONTH(F293),1),Mes)/30  ,  DAYS360(DATE(YEAR(E293),MONTH(E293),1),Mes)/30  )  &gt;  0 , IF(F293,   DAYS360(DATE(YEAR(F293),MONTH(F293),1),Mes)/30  ,  DAYS360(DATE(YEAR(E293),MONTH(E293),1),Mes)/30) , 0)       )</f>
        <v>30</v>
      </c>
      <c r="L293" s="137">
        <f t="shared" si="60"/>
        <v>270000</v>
      </c>
      <c r="M293" s="131"/>
      <c r="N293" s="130"/>
      <c r="O293" s="130"/>
      <c r="P293" s="130"/>
      <c r="Q293" s="130"/>
      <c r="R293" s="130"/>
      <c r="S293" s="130"/>
      <c r="T293" s="130"/>
    </row>
    <row r="294">
      <c r="A294" s="54" t="s">
        <v>71</v>
      </c>
      <c r="B294" s="54">
        <v>1288.0</v>
      </c>
      <c r="C294" s="19">
        <v>1288.0</v>
      </c>
      <c r="D294" s="34" t="str">
        <f>if(   iserror(offset(PADRON!B$2,match(C:C,PADRON!A$2:A376,0)-1,0,1,1) )  ,  ,    offset(PADRON!B$2,match(C:C,PADRON!A$2:A376,0)-1,0,1,1))</f>
        <v>IBARLUCIA, JAVIER</v>
      </c>
      <c r="E294" s="22">
        <v>45078.0</v>
      </c>
      <c r="F294" s="22"/>
      <c r="G294" s="23" t="s">
        <v>39</v>
      </c>
      <c r="H294" s="647">
        <f>IF( ISERROR( OFFSET(   'Cuadro tarifario'!D$2  , MATCH(CONCATENATE(                 IF(F294&gt;Mes,OFFSET(NroCT!B$17, MATCH($F294,NroCT!$A$18:$A376,0),0,1,1),Periodovigente)                                                                                                                     ,A294) ,'Cuadro tarifario'!A$2:A376,0) -1 , 0 , 1 , 1) )   , 0  ,   OFFSET(   'Cuadro tarifario'!D$2  , MATCH(CONCATENATE( IF(F294&gt;Mes,OFFSET(NroCT!B$17, MATCH($F294,NroCT!$A$18:$A376,0),0,1,1),Periodovigente) ,A294) ,'Cuadro tarifario'!A$2:A376,0) -1 , 0 , 1 , 1))</f>
        <v>11000</v>
      </c>
      <c r="I294" s="36">
        <f t="shared" ref="I294:I296" si="61">Int(If(F294,DAYS360(          date(Year(E294),Month(E294),1),         date(Year(F294)     ,      Month(F294),1 )    )            /30,0 ))</f>
        <v>0</v>
      </c>
      <c r="J294" s="648">
        <f t="shared" si="54"/>
        <v>0</v>
      </c>
      <c r="K294" s="38">
        <f>if(  and(N294&gt;0,I294=0)          ,N294 ,                         If(  If( F294 ,  DAYS360(date(year(F294),month(F294),1),Mes)/30  ,  DAYS360(date(year(E294),month(E294),1),Mes)/30  )  &gt;  0 , If(F294,   DAYS360(date(year(F294),month(F294),1),Mes)/30  ,  DAYS360(date(year(E294),month(E294),1),Mes)/30) , 0)       )</f>
        <v>26</v>
      </c>
      <c r="L294" s="593">
        <f t="shared" ref="L294:L296" si="62">If(Iserror(K:K*H:H)   ,  0   ,   K:K*H:H)</f>
        <v>286000</v>
      </c>
      <c r="M294" s="40"/>
      <c r="N294" s="29">
        <f>IF( ISERROR(OFFSET(SECUESTRADOS!D$1,MATCH(B294,SECUESTRADOS!A$2:A376,0),0)) ,0 ,  OFFSET(SECUESTRADOS!D$1,MATCH(B294,SECUESTRADOS!A$2:A376,0),0)  )</f>
        <v>0</v>
      </c>
      <c r="O294" s="30"/>
      <c r="P294" s="17" t="b">
        <f t="shared" ref="P294:P296" si="63">IF(I294,A294)</f>
        <v>0</v>
      </c>
      <c r="Q294" s="17"/>
      <c r="R294" s="31"/>
      <c r="S294" s="31"/>
      <c r="T294" s="31"/>
    </row>
    <row r="295">
      <c r="A295" s="54" t="s">
        <v>38</v>
      </c>
      <c r="B295" s="54">
        <v>1288.0</v>
      </c>
      <c r="C295" s="19">
        <v>1288.0</v>
      </c>
      <c r="D295" s="34" t="str">
        <f>if(   iserror(offset(PADRON!B$2,match(C:C,PADRON!A$2:A376,0)-1,0,1,1) )  ,  ,    offset(PADRON!B$2,match(C:C,PADRON!A$2:A376,0)-1,0,1,1))</f>
        <v>IBARLUCIA, JAVIER</v>
      </c>
      <c r="E295" s="22">
        <v>45078.0</v>
      </c>
      <c r="F295" s="22"/>
      <c r="G295" s="23" t="s">
        <v>39</v>
      </c>
      <c r="H295" s="647">
        <f>IF( ISERROR( OFFSET(   'Cuadro tarifario'!D$2  , MATCH(CONCATENATE(                 IF(F295&gt;Mes,OFFSET(NroCT!B$17, MATCH($F295,NroCT!$A$18:$A376,0),0,1,1),Periodovigente)                                                                                                                     ,A295) ,'Cuadro tarifario'!A$2:A376,0) -1 , 0 , 1 , 1) )   , 0  ,   OFFSET(   'Cuadro tarifario'!D$2  , MATCH(CONCATENATE( IF(F295&gt;Mes,OFFSET(NroCT!B$17, MATCH($F295,NroCT!$A$18:$A376,0),0,1,1),Periodovigente) ,A295) ,'Cuadro tarifario'!A$2:A376,0) -1 , 0 , 1 , 1))</f>
        <v>9000</v>
      </c>
      <c r="I295" s="36">
        <f t="shared" si="61"/>
        <v>0</v>
      </c>
      <c r="J295" s="648">
        <f t="shared" si="54"/>
        <v>0</v>
      </c>
      <c r="K295" s="38">
        <f>if(  and(N295&gt;0,I295=0)          ,N295 ,                         If(  If( F295 ,  DAYS360(date(year(F295),month(F295),1),Mes)/30  ,  DAYS360(date(year(E295),month(E295),1),Mes)/30  )  &gt;  0 , If(F295,   DAYS360(date(year(F295),month(F295),1),Mes)/30  ,  DAYS360(date(year(E295),month(E295),1),Mes)/30) , 0)       )</f>
        <v>26</v>
      </c>
      <c r="L295" s="593">
        <f t="shared" si="62"/>
        <v>234000</v>
      </c>
      <c r="M295" s="40"/>
      <c r="N295" s="29">
        <f>IF( ISERROR(OFFSET(SECUESTRADOS!D$1,MATCH(B295,SECUESTRADOS!A$2:A376,0),0)) ,0 ,  OFFSET(SECUESTRADOS!D$1,MATCH(B295,SECUESTRADOS!A$2:A376,0),0)  )</f>
        <v>0</v>
      </c>
      <c r="O295" s="30"/>
      <c r="P295" s="17" t="b">
        <f t="shared" si="63"/>
        <v>0</v>
      </c>
      <c r="Q295" s="17"/>
      <c r="R295" s="31"/>
      <c r="S295" s="31"/>
      <c r="T295" s="31"/>
    </row>
    <row r="296">
      <c r="A296" s="42" t="s">
        <v>48</v>
      </c>
      <c r="B296" s="42" t="s">
        <v>4906</v>
      </c>
      <c r="C296" s="19">
        <v>1288.0</v>
      </c>
      <c r="D296" s="34" t="str">
        <f>if(   iserror(offset(PADRON!B$2,match(C:C,PADRON!A$2:A376,0)-1,0,1,1) )  ,  ,    offset(PADRON!B$2,match(C:C,PADRON!A$2:A376,0)-1,0,1,1))</f>
        <v>IBARLUCIA, JAVIER</v>
      </c>
      <c r="E296" s="22">
        <v>45078.0</v>
      </c>
      <c r="F296" s="22"/>
      <c r="G296" s="23" t="s">
        <v>39</v>
      </c>
      <c r="H296" s="647">
        <f>IF( ISERROR( OFFSET(   'Cuadro tarifario'!D$2  , MATCH(CONCATENATE(                 IF(F296&gt;Mes,OFFSET(NroCT!B$17, MATCH($F296,NroCT!$A$18:$A376,0),0,1,1),Periodovigente)                                                                                                                     ,A296) ,'Cuadro tarifario'!A$2:A376,0) -1 , 0 , 1 , 1) )   , 0  ,   OFFSET(   'Cuadro tarifario'!D$2  , MATCH(CONCATENATE( IF(F296&gt;Mes,OFFSET(NroCT!B$17, MATCH($F296,NroCT!$A$18:$A376,0),0,1,1),Periodovigente) ,A296) ,'Cuadro tarifario'!A$2:A376,0) -1 , 0 , 1 , 1))</f>
        <v>12000</v>
      </c>
      <c r="I296" s="36">
        <f t="shared" si="61"/>
        <v>0</v>
      </c>
      <c r="J296" s="648">
        <f t="shared" si="54"/>
        <v>0</v>
      </c>
      <c r="K296" s="38">
        <f>if(  and(N296&gt;0,I296=0)          ,N296 ,                         If(  If( F296 ,  DAYS360(date(year(F296),month(F296),1),Mes)/30  ,  DAYS360(date(year(E296),month(E296),1),Mes)/30  )  &gt;  0 , If(F296,   DAYS360(date(year(F296),month(F296),1),Mes)/30  ,  DAYS360(date(year(E296),month(E296),1),Mes)/30) , 0)       )</f>
        <v>26</v>
      </c>
      <c r="L296" s="593">
        <f t="shared" si="62"/>
        <v>312000</v>
      </c>
      <c r="M296" s="40"/>
      <c r="N296" s="29">
        <f>IF( ISERROR(OFFSET(SECUESTRADOS!D$1,MATCH(B296,SECUESTRADOS!A$2:A376,0),0)) ,0 ,  OFFSET(SECUESTRADOS!D$1,MATCH(B296,SECUESTRADOS!A$2:A376,0),0)  )</f>
        <v>0</v>
      </c>
      <c r="O296" s="30"/>
      <c r="P296" s="17" t="b">
        <f t="shared" si="63"/>
        <v>0</v>
      </c>
      <c r="Q296" s="17"/>
      <c r="R296" s="31"/>
      <c r="S296" s="31"/>
      <c r="T296" s="31"/>
    </row>
    <row r="297" ht="13.5" customHeight="1">
      <c r="A297" s="18" t="s">
        <v>71</v>
      </c>
      <c r="B297" s="18">
        <v>1924.0</v>
      </c>
      <c r="C297" s="19">
        <v>1924.0</v>
      </c>
      <c r="D297" s="57" t="str">
        <f>IF(   ISERROR(OFFSET(PADRON!B$2,MATCH(C:C,PADRON!A$2:A376,0)-1,0,1,1) )  ,  ,    OFFSET(PADRON!B$2,MATCH(C:C,PADRON!A$2:A376,0)-1,0,1,1))</f>
        <v>LOPEZ GARCIA, FERNANDO</v>
      </c>
      <c r="E297" s="58">
        <v>45170.0</v>
      </c>
      <c r="F297" s="133"/>
      <c r="G297" s="59" t="s">
        <v>39</v>
      </c>
      <c r="H297" s="60">
        <f>IF( ISERROR( OFFSET(   'Cuadro tarifario'!D$2  , MATCH(CONCATENATE(                 IF(F297&gt;Mes,OFFSET(NroCT!B$17, MATCH($F297,NroCT!$A$18:$A376,0),0,1,1),Periodovigente)                                                                                                                     ,A297) ,'Cuadro tarifario'!A$2:A376,0) -1 , 0 , 1 , 1) )   , 0  ,   OFFSET(   'Cuadro tarifario'!D$2  , MATCH(CONCATENATE( IF(F297&gt;Mes,OFFSET(NroCT!B$17, MATCH($F297,NroCT!$A$18:$A376,0),0,1,1),Periodovigente) ,A297) ,'Cuadro tarifario'!A$2:A376,0) -1 , 0 , 1 , 1))</f>
        <v>11000</v>
      </c>
      <c r="I297" s="135">
        <f t="shared" ref="I297:I333" si="64">INT(IF(F297,DAYS360(          DATE(YEAR(E297),MONTH(E297),1),         DATE(YEAR(F297)     ,      MONTH(F297),1 )    )            /30,0 ))</f>
        <v>0</v>
      </c>
      <c r="J297" s="138">
        <f t="shared" si="54"/>
        <v>0</v>
      </c>
      <c r="K297" s="136">
        <f>IF(  AND(N297&gt;0,I297=0)          ,N297 ,                         IF(  IF( F297 ,  DAYS360(DATE(YEAR(F297),MONTH(F297),1),Mes)/30  ,  DAYS360(DATE(YEAR(E297),MONTH(E297),1),Mes)/30  )  &gt;  0 , IF(F297,   DAYS360(DATE(YEAR(F297),MONTH(F297),1),Mes)/30  ,  DAYS360(DATE(YEAR(E297),MONTH(E297),1),Mes)/30) , 0)       )</f>
        <v>23</v>
      </c>
      <c r="L297" s="137">
        <f t="shared" ref="L297:L333" si="65">IF(ISERROR(K:K*H:H)   ,  0   ,   K:K*H:H)</f>
        <v>253000</v>
      </c>
      <c r="M297" s="131"/>
      <c r="N297" s="130"/>
      <c r="O297" s="130"/>
      <c r="P297" s="130"/>
      <c r="Q297" s="130"/>
      <c r="R297" s="130"/>
      <c r="S297" s="130"/>
      <c r="T297" s="130"/>
    </row>
    <row r="298" ht="15.0" customHeight="1">
      <c r="A298" s="18" t="s">
        <v>38</v>
      </c>
      <c r="B298" s="18">
        <v>1924.0</v>
      </c>
      <c r="C298" s="19">
        <v>1924.0</v>
      </c>
      <c r="D298" s="57" t="str">
        <f>IF(   ISERROR(OFFSET(PADRON!B$2,MATCH(C:C,PADRON!A$2:A376,0)-1,0,1,1) )  ,  ,    OFFSET(PADRON!B$2,MATCH(C:C,PADRON!A$2:A376,0)-1,0,1,1))</f>
        <v>LOPEZ GARCIA, FERNANDO</v>
      </c>
      <c r="E298" s="58">
        <v>45170.0</v>
      </c>
      <c r="F298" s="133"/>
      <c r="G298" s="59" t="s">
        <v>39</v>
      </c>
      <c r="H298" s="60">
        <f>IF( ISERROR( OFFSET(   'Cuadro tarifario'!D$2  , MATCH(CONCATENATE(                 IF(F298&gt;Mes,OFFSET(NroCT!B$17, MATCH($F298,NroCT!$A$18:$A376,0),0,1,1),Periodovigente)                                                                                                                     ,A298) ,'Cuadro tarifario'!A$2:A376,0) -1 , 0 , 1 , 1) )   , 0  ,   OFFSET(   'Cuadro tarifario'!D$2  , MATCH(CONCATENATE( IF(F298&gt;Mes,OFFSET(NroCT!B$17, MATCH($F298,NroCT!$A$18:$A376,0),0,1,1),Periodovigente) ,A298) ,'Cuadro tarifario'!A$2:A376,0) -1 , 0 , 1 , 1))</f>
        <v>9000</v>
      </c>
      <c r="I298" s="135">
        <f t="shared" si="64"/>
        <v>0</v>
      </c>
      <c r="J298" s="138">
        <f t="shared" si="54"/>
        <v>0</v>
      </c>
      <c r="K298" s="136">
        <f>IF(  AND(N298&gt;0,I298=0)          ,N298 ,                         IF(  IF( F298 ,  DAYS360(DATE(YEAR(F298),MONTH(F298),1),Mes)/30  ,  DAYS360(DATE(YEAR(E298),MONTH(E298),1),Mes)/30  )  &gt;  0 , IF(F298,   DAYS360(DATE(YEAR(F298),MONTH(F298),1),Mes)/30  ,  DAYS360(DATE(YEAR(E298),MONTH(E298),1),Mes)/30) , 0)       )</f>
        <v>23</v>
      </c>
      <c r="L298" s="137">
        <f t="shared" si="65"/>
        <v>207000</v>
      </c>
      <c r="M298" s="131"/>
      <c r="N298" s="130"/>
      <c r="O298" s="130"/>
      <c r="P298" s="130"/>
      <c r="Q298" s="130"/>
      <c r="R298" s="130"/>
      <c r="S298" s="130"/>
      <c r="T298" s="130"/>
    </row>
    <row r="299" ht="15.0" customHeight="1">
      <c r="A299" s="18" t="s">
        <v>82</v>
      </c>
      <c r="B299" s="18" t="s">
        <v>415</v>
      </c>
      <c r="C299" s="19">
        <v>1924.0</v>
      </c>
      <c r="D299" s="57" t="str">
        <f>IF(   ISERROR(OFFSET(PADRON!B$2,MATCH(C:C,PADRON!A$2:A376,0)-1,0,1,1) )  ,  ,    OFFSET(PADRON!B$2,MATCH(C:C,PADRON!A$2:A376,0)-1,0,1,1))</f>
        <v>LOPEZ GARCIA, FERNANDO</v>
      </c>
      <c r="E299" s="58">
        <v>45170.0</v>
      </c>
      <c r="F299" s="133"/>
      <c r="G299" s="59" t="s">
        <v>39</v>
      </c>
      <c r="H299" s="60">
        <f>IF( ISERROR( OFFSET(   'Cuadro tarifario'!D$2  , MATCH(CONCATENATE(                 IF(F299&gt;Mes,OFFSET(NroCT!B$17, MATCH($F299,NroCT!$A$18:$A376,0),0,1,1),Periodovigente)                                                                                                                     ,A299) ,'Cuadro tarifario'!A$2:A376,0) -1 , 0 , 1 , 1) )   , 0  ,   OFFSET(   'Cuadro tarifario'!D$2  , MATCH(CONCATENATE( IF(F299&gt;Mes,OFFSET(NroCT!B$17, MATCH($F299,NroCT!$A$18:$A376,0),0,1,1),Periodovigente) ,A299) ,'Cuadro tarifario'!A$2:A376,0) -1 , 0 , 1 , 1))</f>
        <v>12000</v>
      </c>
      <c r="I299" s="135">
        <f t="shared" si="64"/>
        <v>0</v>
      </c>
      <c r="J299" s="138">
        <f t="shared" si="54"/>
        <v>0</v>
      </c>
      <c r="K299" s="136">
        <f>IF(  AND(N299&gt;0,I299=0)          ,N299 ,                         IF(  IF( F299 ,  DAYS360(DATE(YEAR(F299),MONTH(F299),1),Mes)/30  ,  DAYS360(DATE(YEAR(E299),MONTH(E299),1),Mes)/30  )  &gt;  0 , IF(F299,   DAYS360(DATE(YEAR(F299),MONTH(F299),1),Mes)/30  ,  DAYS360(DATE(YEAR(E299),MONTH(E299),1),Mes)/30) , 0)       )</f>
        <v>23</v>
      </c>
      <c r="L299" s="137">
        <f t="shared" si="65"/>
        <v>276000</v>
      </c>
      <c r="M299" s="131"/>
      <c r="N299" s="130"/>
      <c r="O299" s="130"/>
      <c r="P299" s="130"/>
      <c r="Q299" s="130"/>
      <c r="R299" s="130"/>
      <c r="S299" s="130"/>
      <c r="T299" s="130"/>
    </row>
    <row r="300" ht="15.0" customHeight="1">
      <c r="A300" s="155" t="s">
        <v>71</v>
      </c>
      <c r="B300" s="142">
        <v>2102.0</v>
      </c>
      <c r="C300" s="143">
        <v>2102.0</v>
      </c>
      <c r="D300" s="144" t="str">
        <f>IF(   ISERROR(OFFSET(PADRON!B$2,MATCH(C:C,PADRON!A$2:A376,0)-1,0,1,1) )  ,  ,    OFFSET(PADRON!B$2,MATCH(C:C,PADRON!A$2:A376,0)-1,0,1,1))</f>
        <v>CLUA, MARIA</v>
      </c>
      <c r="E300" s="145">
        <v>45383.0</v>
      </c>
      <c r="F300" s="145"/>
      <c r="G300" s="146" t="s">
        <v>39</v>
      </c>
      <c r="H300" s="147">
        <f>IF( ISERROR( OFFSET(   'Cuadro tarifario'!D$2  , MATCH(CONCATENATE(                 IF(F300&gt;Mes,OFFSET(NroCT!B$17, MATCH($F300,NroCT!$A$18:$A376,0),0,1,1),Periodovigente)                                                                                                                     ,A300) ,'Cuadro tarifario'!A$2:A376,0) -1 , 0 , 1 , 1) )   , 0  ,   OFFSET(   'Cuadro tarifario'!D$2  , MATCH(CONCATENATE( IF(F300&gt;Mes,OFFSET(NroCT!B$17, MATCH($F300,NroCT!$A$18:$A376,0),0,1,1),Periodovigente) ,A300) ,'Cuadro tarifario'!A$2:A376,0) -1 , 0 , 1 , 1))</f>
        <v>11000</v>
      </c>
      <c r="I300" s="148">
        <f t="shared" si="64"/>
        <v>0</v>
      </c>
      <c r="J300" s="147">
        <f t="shared" si="54"/>
        <v>0</v>
      </c>
      <c r="K300" s="149">
        <f>IF(  AND(N300&gt;0,I300=0)          ,N300 ,                         IF(  IF( F300 ,  DAYS360(DATE(YEAR(F300),MONTH(F300),1),Mes)/30  ,  DAYS360(DATE(YEAR(E300),MONTH(E300),1),Mes)/30  )  &gt;  0 , IF(F300,   DAYS360(DATE(YEAR(F300),MONTH(F300),1),Mes)/30  ,  DAYS360(DATE(YEAR(E300),MONTH(E300),1),Mes)/30) , 0)       )</f>
        <v>16</v>
      </c>
      <c r="L300" s="150">
        <f t="shared" si="65"/>
        <v>176000</v>
      </c>
      <c r="M300" s="151"/>
      <c r="N300" s="152">
        <f>IF( ISERROR(OFFSET(SECUESTRADOS!D$1,MATCH(B300,SECUESTRADOS!A$2:A376,0),0)) ,0 ,  OFFSET(SECUESTRADOS!D$1,MATCH(B300,SECUESTRADOS!A$2:A376,0),0)  )</f>
        <v>0</v>
      </c>
      <c r="O300" s="153"/>
      <c r="P300" s="154" t="b">
        <f t="shared" ref="P300:P338" si="66">IF(I300,A300)</f>
        <v>0</v>
      </c>
      <c r="Q300" s="154" t="str">
        <f>IF(AND(A300=#REF!,B300=#REF!,C300=#REF!),"Repetido","")</f>
        <v>#REF!</v>
      </c>
      <c r="R300" s="130"/>
      <c r="S300" s="130"/>
      <c r="T300" s="130"/>
    </row>
    <row r="301">
      <c r="A301" s="155" t="s">
        <v>38</v>
      </c>
      <c r="B301" s="142">
        <v>2102.0</v>
      </c>
      <c r="C301" s="143">
        <v>2102.0</v>
      </c>
      <c r="D301" s="144" t="str">
        <f>IF(   ISERROR(OFFSET(PADRON!B$2,MATCH(C:C,PADRON!A$2:A376,0)-1,0,1,1) )  ,  ,    OFFSET(PADRON!B$2,MATCH(C:C,PADRON!A$2:A376,0)-1,0,1,1))</f>
        <v>CLUA, MARIA</v>
      </c>
      <c r="E301" s="145">
        <v>45383.0</v>
      </c>
      <c r="F301" s="145"/>
      <c r="G301" s="146" t="s">
        <v>39</v>
      </c>
      <c r="H301" s="147">
        <f>IF( ISERROR( OFFSET(   'Cuadro tarifario'!D$2  , MATCH(CONCATENATE(                 IF(F301&gt;Mes,OFFSET(NroCT!B$17, MATCH($F301,NroCT!$A$18:$A376,0),0,1,1),Periodovigente)                                                                                                                     ,A301) ,'Cuadro tarifario'!A$2:A376,0) -1 , 0 , 1 , 1) )   , 0  ,   OFFSET(   'Cuadro tarifario'!D$2  , MATCH(CONCATENATE( IF(F301&gt;Mes,OFFSET(NroCT!B$17, MATCH($F301,NroCT!$A$18:$A376,0),0,1,1),Periodovigente) ,A301) ,'Cuadro tarifario'!A$2:A376,0) -1 , 0 , 1 , 1))</f>
        <v>9000</v>
      </c>
      <c r="I301" s="148">
        <f t="shared" si="64"/>
        <v>0</v>
      </c>
      <c r="J301" s="147">
        <f t="shared" si="54"/>
        <v>0</v>
      </c>
      <c r="K301" s="149">
        <f>IF(  AND(N301&gt;0,I301=0)          ,N301 ,                         IF(  IF( F301 ,  DAYS360(DATE(YEAR(F301),MONTH(F301),1),Mes)/30  ,  DAYS360(DATE(YEAR(E301),MONTH(E301),1),Mes)/30  )  &gt;  0 , IF(F301,   DAYS360(DATE(YEAR(F301),MONTH(F301),1),Mes)/30  ,  DAYS360(DATE(YEAR(E301),MONTH(E301),1),Mes)/30) , 0)       )</f>
        <v>16</v>
      </c>
      <c r="L301" s="150">
        <f t="shared" si="65"/>
        <v>144000</v>
      </c>
      <c r="M301" s="151"/>
      <c r="N301" s="152">
        <f>IF( ISERROR(OFFSET(SECUESTRADOS!D$1,MATCH(B301,SECUESTRADOS!A$2:A376,0),0)) ,0 ,  OFFSET(SECUESTRADOS!D$1,MATCH(B301,SECUESTRADOS!A$2:A376,0),0)  )</f>
        <v>0</v>
      </c>
      <c r="O301" s="153"/>
      <c r="P301" s="154" t="b">
        <f t="shared" si="66"/>
        <v>0</v>
      </c>
      <c r="Q301" s="154" t="str">
        <f>IF(AND(A301=#REF!,B301=#REF!,C301=#REF!),"Repetido","")</f>
        <v>#REF!</v>
      </c>
      <c r="R301" s="130"/>
      <c r="S301" s="130"/>
      <c r="T301" s="130"/>
    </row>
    <row r="302">
      <c r="A302" s="155" t="s">
        <v>71</v>
      </c>
      <c r="B302" s="142">
        <v>2103.0</v>
      </c>
      <c r="C302" s="143">
        <v>2103.0</v>
      </c>
      <c r="D302" s="144" t="str">
        <f>IF(   ISERROR(OFFSET(PADRON!B$2,MATCH(C:C,PADRON!A$2:A376,0)-1,0,1,1) )  ,  ,    OFFSET(PADRON!B$2,MATCH(C:C,PADRON!A$2:A376,0)-1,0,1,1))</f>
        <v>FREZZINI, ESTEBAN</v>
      </c>
      <c r="E302" s="145">
        <v>45352.0</v>
      </c>
      <c r="F302" s="145"/>
      <c r="G302" s="146" t="s">
        <v>39</v>
      </c>
      <c r="H302" s="147">
        <f>IF( ISERROR( OFFSET(   'Cuadro tarifario'!D$2  , MATCH(CONCATENATE(                 IF(F302&gt;Mes,OFFSET(NroCT!B$17, MATCH($F302,NroCT!$A$18:$A376,0),0,1,1),Periodovigente)                                                                                                                     ,A302) ,'Cuadro tarifario'!A$2:A376,0) -1 , 0 , 1 , 1) )   , 0  ,   OFFSET(   'Cuadro tarifario'!D$2  , MATCH(CONCATENATE( IF(F302&gt;Mes,OFFSET(NroCT!B$17, MATCH($F302,NroCT!$A$18:$A376,0),0,1,1),Periodovigente) ,A302) ,'Cuadro tarifario'!A$2:A376,0) -1 , 0 , 1 , 1))</f>
        <v>11000</v>
      </c>
      <c r="I302" s="148">
        <f t="shared" si="64"/>
        <v>0</v>
      </c>
      <c r="J302" s="147">
        <f t="shared" si="54"/>
        <v>0</v>
      </c>
      <c r="K302" s="149">
        <f>IF(  AND(N302&gt;0,I302=0)          ,N302 ,                         IF(  IF( F302 ,  DAYS360(DATE(YEAR(F302),MONTH(F302),1),Mes)/30  ,  DAYS360(DATE(YEAR(E302),MONTH(E302),1),Mes)/30  )  &gt;  0 , IF(F302,   DAYS360(DATE(YEAR(F302),MONTH(F302),1),Mes)/30  ,  DAYS360(DATE(YEAR(E302),MONTH(E302),1),Mes)/30) , 0)       )</f>
        <v>17</v>
      </c>
      <c r="L302" s="150">
        <f t="shared" si="65"/>
        <v>187000</v>
      </c>
      <c r="M302" s="151"/>
      <c r="N302" s="152">
        <f>IF( ISERROR(OFFSET(SECUESTRADOS!D$1,MATCH(B302,SECUESTRADOS!A$2:A376,0),0)) ,0 ,  OFFSET(SECUESTRADOS!D$1,MATCH(B302,SECUESTRADOS!A$2:A376,0),0)  )</f>
        <v>0</v>
      </c>
      <c r="O302" s="153"/>
      <c r="P302" s="154" t="b">
        <f t="shared" si="66"/>
        <v>0</v>
      </c>
      <c r="Q302" s="154" t="str">
        <f>IF(AND(A302=#REF!,B302=#REF!,C302=#REF!),"Repetido","")</f>
        <v>#REF!</v>
      </c>
      <c r="R302" s="130"/>
      <c r="S302" s="130"/>
      <c r="T302" s="130"/>
    </row>
    <row r="303">
      <c r="A303" s="155" t="s">
        <v>38</v>
      </c>
      <c r="B303" s="142">
        <v>2103.0</v>
      </c>
      <c r="C303" s="143">
        <v>2103.0</v>
      </c>
      <c r="D303" s="144" t="str">
        <f>IF(   ISERROR(OFFSET(PADRON!B$2,MATCH(C:C,PADRON!A$2:A376,0)-1,0,1,1) )  ,  ,    OFFSET(PADRON!B$2,MATCH(C:C,PADRON!A$2:A376,0)-1,0,1,1))</f>
        <v>FREZZINI, ESTEBAN</v>
      </c>
      <c r="E303" s="145">
        <v>45352.0</v>
      </c>
      <c r="F303" s="145"/>
      <c r="G303" s="146" t="s">
        <v>39</v>
      </c>
      <c r="H303" s="147">
        <f>IF( ISERROR( OFFSET(   'Cuadro tarifario'!D$2  , MATCH(CONCATENATE(                 IF(F303&gt;Mes,OFFSET(NroCT!B$17, MATCH($F303,NroCT!$A$18:$A376,0),0,1,1),Periodovigente)                                                                                                                     ,A303) ,'Cuadro tarifario'!A$2:A376,0) -1 , 0 , 1 , 1) )   , 0  ,   OFFSET(   'Cuadro tarifario'!D$2  , MATCH(CONCATENATE( IF(F303&gt;Mes,OFFSET(NroCT!B$17, MATCH($F303,NroCT!$A$18:$A376,0),0,1,1),Periodovigente) ,A303) ,'Cuadro tarifario'!A$2:A376,0) -1 , 0 , 1 , 1))</f>
        <v>9000</v>
      </c>
      <c r="I303" s="148">
        <f t="shared" si="64"/>
        <v>0</v>
      </c>
      <c r="J303" s="147">
        <f t="shared" si="54"/>
        <v>0</v>
      </c>
      <c r="K303" s="149">
        <f>IF(  AND(N303&gt;0,I303=0)          ,N303 ,                         IF(  IF( F303 ,  DAYS360(DATE(YEAR(F303),MONTH(F303),1),Mes)/30  ,  DAYS360(DATE(YEAR(E303),MONTH(E303),1),Mes)/30  )  &gt;  0 , IF(F303,   DAYS360(DATE(YEAR(F303),MONTH(F303),1),Mes)/30  ,  DAYS360(DATE(YEAR(E303),MONTH(E303),1),Mes)/30) , 0)       )</f>
        <v>17</v>
      </c>
      <c r="L303" s="150">
        <f t="shared" si="65"/>
        <v>153000</v>
      </c>
      <c r="M303" s="151"/>
      <c r="N303" s="152">
        <f>IF( ISERROR(OFFSET(SECUESTRADOS!D$1,MATCH(B303,SECUESTRADOS!A$2:A376,0),0)) ,0 ,  OFFSET(SECUESTRADOS!D$1,MATCH(B303,SECUESTRADOS!A$2:A376,0),0)  )</f>
        <v>0</v>
      </c>
      <c r="O303" s="153"/>
      <c r="P303" s="154" t="b">
        <f t="shared" si="66"/>
        <v>0</v>
      </c>
      <c r="Q303" s="154" t="str">
        <f>IF(AND(A303=#REF!,B303=#REF!,C303=#REF!),"Repetido","")</f>
        <v>#REF!</v>
      </c>
      <c r="R303" s="130"/>
      <c r="S303" s="130"/>
      <c r="T303" s="130"/>
    </row>
    <row r="304">
      <c r="A304" s="155" t="s">
        <v>71</v>
      </c>
      <c r="B304" s="142">
        <v>2114.0</v>
      </c>
      <c r="C304" s="143">
        <v>2114.0</v>
      </c>
      <c r="D304" s="144" t="str">
        <f>IF(   ISERROR(OFFSET(PADRON!B$2,MATCH(C:C,PADRON!A$2:A376,0)-1,0,1,1) )  ,  ,    OFFSET(PADRON!B$2,MATCH(C:C,PADRON!A$2:A376,0)-1,0,1,1))</f>
        <v>MANSULLO, SEBASTIAN</v>
      </c>
      <c r="E304" s="145">
        <v>45292.0</v>
      </c>
      <c r="F304" s="145"/>
      <c r="G304" s="146" t="s">
        <v>39</v>
      </c>
      <c r="H304" s="147">
        <f>IF( ISERROR( OFFSET(   'Cuadro tarifario'!D$2  , MATCH(CONCATENATE(                 IF(F304&gt;Mes,OFFSET(NroCT!B$17, MATCH($F304,NroCT!$A$18:$A376,0),0,1,1),Periodovigente)                                                                                                                     ,A304) ,'Cuadro tarifario'!A$2:A376,0) -1 , 0 , 1 , 1) )   , 0  ,   OFFSET(   'Cuadro tarifario'!D$2  , MATCH(CONCATENATE( IF(F304&gt;Mes,OFFSET(NroCT!B$17, MATCH($F304,NroCT!$A$18:$A376,0),0,1,1),Periodovigente) ,A304) ,'Cuadro tarifario'!A$2:A376,0) -1 , 0 , 1 , 1))</f>
        <v>11000</v>
      </c>
      <c r="I304" s="148">
        <f t="shared" si="64"/>
        <v>0</v>
      </c>
      <c r="J304" s="147">
        <f t="shared" si="54"/>
        <v>0</v>
      </c>
      <c r="K304" s="149">
        <f>IF(  AND(N304&gt;0,I304=0)          ,N304 ,                         IF(  IF( F304 ,  DAYS360(DATE(YEAR(F304),MONTH(F304),1),Mes)/30  ,  DAYS360(DATE(YEAR(E304),MONTH(E304),1),Mes)/30  )  &gt;  0 , IF(F304,   DAYS360(DATE(YEAR(F304),MONTH(F304),1),Mes)/30  ,  DAYS360(DATE(YEAR(E304),MONTH(E304),1),Mes)/30) , 0)       )</f>
        <v>19</v>
      </c>
      <c r="L304" s="150">
        <f t="shared" si="65"/>
        <v>209000</v>
      </c>
      <c r="M304" s="151"/>
      <c r="N304" s="152">
        <f>IF( ISERROR(OFFSET(SECUESTRADOS!D$1,MATCH(B304,SECUESTRADOS!A$2:A376,0),0)) ,0 ,  OFFSET(SECUESTRADOS!D$1,MATCH(B304,SECUESTRADOS!A$2:A376,0),0)  )</f>
        <v>0</v>
      </c>
      <c r="O304" s="153"/>
      <c r="P304" s="154" t="b">
        <f t="shared" si="66"/>
        <v>0</v>
      </c>
      <c r="Q304" s="154" t="str">
        <f>IF(AND(A304=#REF!,B304=#REF!,C304=#REF!),"Repetido","")</f>
        <v>#REF!</v>
      </c>
      <c r="R304" s="130"/>
      <c r="S304" s="130"/>
      <c r="T304" s="130"/>
    </row>
    <row r="305">
      <c r="A305" s="155" t="s">
        <v>38</v>
      </c>
      <c r="B305" s="142">
        <v>2114.0</v>
      </c>
      <c r="C305" s="143">
        <v>2114.0</v>
      </c>
      <c r="D305" s="144" t="str">
        <f>IF(   ISERROR(OFFSET(PADRON!B$2,MATCH(C:C,PADRON!A$2:A376,0)-1,0,1,1) )  ,  ,    OFFSET(PADRON!B$2,MATCH(C:C,PADRON!A$2:A376,0)-1,0,1,1))</f>
        <v>MANSULLO, SEBASTIAN</v>
      </c>
      <c r="E305" s="145">
        <v>45292.0</v>
      </c>
      <c r="F305" s="145"/>
      <c r="G305" s="146" t="s">
        <v>39</v>
      </c>
      <c r="H305" s="147">
        <f>IF( ISERROR( OFFSET(   'Cuadro tarifario'!D$2  , MATCH(CONCATENATE(                 IF(F305&gt;Mes,OFFSET(NroCT!B$17, MATCH($F305,NroCT!$A$18:$A376,0),0,1,1),Periodovigente)                                                                                                                     ,A305) ,'Cuadro tarifario'!A$2:A376,0) -1 , 0 , 1 , 1) )   , 0  ,   OFFSET(   'Cuadro tarifario'!D$2  , MATCH(CONCATENATE( IF(F305&gt;Mes,OFFSET(NroCT!B$17, MATCH($F305,NroCT!$A$18:$A376,0),0,1,1),Periodovigente) ,A305) ,'Cuadro tarifario'!A$2:A376,0) -1 , 0 , 1 , 1))</f>
        <v>9000</v>
      </c>
      <c r="I305" s="148">
        <f t="shared" si="64"/>
        <v>0</v>
      </c>
      <c r="J305" s="147">
        <f t="shared" si="54"/>
        <v>0</v>
      </c>
      <c r="K305" s="149">
        <f>IF(  AND(N305&gt;0,I305=0)          ,N305 ,                         IF(  IF( F305 ,  DAYS360(DATE(YEAR(F305),MONTH(F305),1),Mes)/30  ,  DAYS360(DATE(YEAR(E305),MONTH(E305),1),Mes)/30  )  &gt;  0 , IF(F305,   DAYS360(DATE(YEAR(F305),MONTH(F305),1),Mes)/30  ,  DAYS360(DATE(YEAR(E305),MONTH(E305),1),Mes)/30) , 0)       )</f>
        <v>19</v>
      </c>
      <c r="L305" s="150">
        <f t="shared" si="65"/>
        <v>171000</v>
      </c>
      <c r="M305" s="151"/>
      <c r="N305" s="152">
        <f>IF( ISERROR(OFFSET(SECUESTRADOS!D$1,MATCH(B305,SECUESTRADOS!A$2:A376,0),0)) ,0 ,  OFFSET(SECUESTRADOS!D$1,MATCH(B305,SECUESTRADOS!A$2:A376,0),0)  )</f>
        <v>0</v>
      </c>
      <c r="O305" s="153"/>
      <c r="P305" s="154" t="b">
        <f t="shared" si="66"/>
        <v>0</v>
      </c>
      <c r="Q305" s="154" t="str">
        <f>IF(AND(A305=#REF!,B305=#REF!,C305=#REF!),"Repetido","")</f>
        <v>#REF!</v>
      </c>
      <c r="R305" s="130"/>
      <c r="S305" s="130"/>
      <c r="T305" s="130"/>
    </row>
    <row r="306">
      <c r="A306" s="155" t="s">
        <v>71</v>
      </c>
      <c r="B306" s="142">
        <v>2185.0</v>
      </c>
      <c r="C306" s="143">
        <v>2185.0</v>
      </c>
      <c r="D306" s="144" t="str">
        <f>IF(   ISERROR(OFFSET(PADRON!B$2,MATCH(C:C,PADRON!A$2:A376,0)-1,0,1,1) )  ,  ,    OFFSET(PADRON!B$2,MATCH(C:C,PADRON!A$2:A376,0)-1,0,1,1))</f>
        <v>ORCALI, JAVIER, ALEJANDRO</v>
      </c>
      <c r="E306" s="145">
        <v>45352.0</v>
      </c>
      <c r="F306" s="145"/>
      <c r="G306" s="146" t="s">
        <v>39</v>
      </c>
      <c r="H306" s="147">
        <f>IF( ISERROR( OFFSET(   'Cuadro tarifario'!D$2  , MATCH(CONCATENATE(                 IF(F306&gt;Mes,OFFSET(NroCT!B$17, MATCH($F306,NroCT!$A$18:$A376,0),0,1,1),Periodovigente)                                                                                                                     ,A306) ,'Cuadro tarifario'!A$2:A376,0) -1 , 0 , 1 , 1) )   , 0  ,   OFFSET(   'Cuadro tarifario'!D$2  , MATCH(CONCATENATE( IF(F306&gt;Mes,OFFSET(NroCT!B$17, MATCH($F306,NroCT!$A$18:$A376,0),0,1,1),Periodovigente) ,A306) ,'Cuadro tarifario'!A$2:A376,0) -1 , 0 , 1 , 1))</f>
        <v>11000</v>
      </c>
      <c r="I306" s="148">
        <f t="shared" si="64"/>
        <v>0</v>
      </c>
      <c r="J306" s="147">
        <f t="shared" si="54"/>
        <v>0</v>
      </c>
      <c r="K306" s="149">
        <f>IF(  AND(N306&gt;0,I306=0)          ,N306 ,                         IF(  IF( F306 ,  DAYS360(DATE(YEAR(F306),MONTH(F306),1),Mes)/30  ,  DAYS360(DATE(YEAR(E306),MONTH(E306),1),Mes)/30  )  &gt;  0 , IF(F306,   DAYS360(DATE(YEAR(F306),MONTH(F306),1),Mes)/30  ,  DAYS360(DATE(YEAR(E306),MONTH(E306),1),Mes)/30) , 0)       )</f>
        <v>17</v>
      </c>
      <c r="L306" s="150">
        <f t="shared" si="65"/>
        <v>187000</v>
      </c>
      <c r="M306" s="649"/>
      <c r="N306" s="152">
        <f>IF( ISERROR(OFFSET(SECUESTRADOS!D$1,MATCH(B306,SECUESTRADOS!A$2:A376,0),0)) ,0 ,  OFFSET(SECUESTRADOS!D$1,MATCH(B306,SECUESTRADOS!A$2:A376,0),0)  )</f>
        <v>0</v>
      </c>
      <c r="O306" s="153"/>
      <c r="P306" s="154" t="b">
        <f t="shared" si="66"/>
        <v>0</v>
      </c>
      <c r="Q306" s="154" t="str">
        <f t="shared" ref="Q306:Q325" si="67">IF(AND(A306=#REF!,B306=#REF!,C306=#REF!),"Repetido","")</f>
        <v>#REF!</v>
      </c>
      <c r="R306" s="130"/>
      <c r="S306" s="130"/>
      <c r="T306" s="130"/>
    </row>
    <row r="307">
      <c r="A307" s="155" t="s">
        <v>38</v>
      </c>
      <c r="B307" s="142">
        <v>2185.0</v>
      </c>
      <c r="C307" s="143">
        <v>2185.0</v>
      </c>
      <c r="D307" s="144" t="str">
        <f>IF(   ISERROR(OFFSET(PADRON!B$2,MATCH(C:C,PADRON!A$2:A376,0)-1,0,1,1) )  ,  ,    OFFSET(PADRON!B$2,MATCH(C:C,PADRON!A$2:A376,0)-1,0,1,1))</f>
        <v>ORCALI, JAVIER, ALEJANDRO</v>
      </c>
      <c r="E307" s="145">
        <v>45352.0</v>
      </c>
      <c r="F307" s="145"/>
      <c r="G307" s="146" t="s">
        <v>39</v>
      </c>
      <c r="H307" s="147">
        <f>IF( ISERROR( OFFSET(   'Cuadro tarifario'!D$2  , MATCH(CONCATENATE(                 IF(F307&gt;Mes,OFFSET(NroCT!B$17, MATCH($F307,NroCT!$A$18:$A376,0),0,1,1),Periodovigente)                                                                                                                     ,A307) ,'Cuadro tarifario'!A$2:A376,0) -1 , 0 , 1 , 1) )   , 0  ,   OFFSET(   'Cuadro tarifario'!D$2  , MATCH(CONCATENATE( IF(F307&gt;Mes,OFFSET(NroCT!B$17, MATCH($F307,NroCT!$A$18:$A376,0),0,1,1),Periodovigente) ,A307) ,'Cuadro tarifario'!A$2:A376,0) -1 , 0 , 1 , 1))</f>
        <v>9000</v>
      </c>
      <c r="I307" s="148">
        <f t="shared" si="64"/>
        <v>0</v>
      </c>
      <c r="J307" s="147">
        <f t="shared" si="54"/>
        <v>0</v>
      </c>
      <c r="K307" s="149">
        <f>IF(  AND(N307&gt;0,I307=0)          ,N307 ,                         IF(  IF( F307 ,  DAYS360(DATE(YEAR(F307),MONTH(F307),1),Mes)/30  ,  DAYS360(DATE(YEAR(E307),MONTH(E307),1),Mes)/30  )  &gt;  0 , IF(F307,   DAYS360(DATE(YEAR(F307),MONTH(F307),1),Mes)/30  ,  DAYS360(DATE(YEAR(E307),MONTH(E307),1),Mes)/30) , 0)       )</f>
        <v>17</v>
      </c>
      <c r="L307" s="150">
        <f t="shared" si="65"/>
        <v>153000</v>
      </c>
      <c r="M307" s="151"/>
      <c r="N307" s="152">
        <f>IF( ISERROR(OFFSET(SECUESTRADOS!D$1,MATCH(B307,SECUESTRADOS!A$2:A376,0),0)) ,0 ,  OFFSET(SECUESTRADOS!D$1,MATCH(B307,SECUESTRADOS!A$2:A376,0),0)  )</f>
        <v>0</v>
      </c>
      <c r="O307" s="153"/>
      <c r="P307" s="154" t="b">
        <f t="shared" si="66"/>
        <v>0</v>
      </c>
      <c r="Q307" s="154" t="str">
        <f t="shared" si="67"/>
        <v>#REF!</v>
      </c>
      <c r="R307" s="130"/>
      <c r="S307" s="130"/>
      <c r="T307" s="130"/>
    </row>
    <row r="308">
      <c r="A308" s="155" t="s">
        <v>71</v>
      </c>
      <c r="B308" s="142">
        <v>2186.0</v>
      </c>
      <c r="C308" s="143">
        <v>2186.0</v>
      </c>
      <c r="D308" s="144" t="str">
        <f>IF(   ISERROR(OFFSET(PADRON!B$2,MATCH(C:C,PADRON!A$2:A376,0)-1,0,1,1) )  ,  ,    OFFSET(PADRON!B$2,MATCH(C:C,PADRON!A$2:A376,0)-1,0,1,1))</f>
        <v>MONZON, CARLA LUCIANA</v>
      </c>
      <c r="E308" s="145">
        <v>45352.0</v>
      </c>
      <c r="F308" s="145"/>
      <c r="G308" s="146" t="s">
        <v>39</v>
      </c>
      <c r="H308" s="147">
        <f>IF( ISERROR( OFFSET(   'Cuadro tarifario'!D$2  , MATCH(CONCATENATE(                 IF(F308&gt;Mes,OFFSET(NroCT!B$17, MATCH($F308,NroCT!$A$18:$A376,0),0,1,1),Periodovigente)                                                                                                                     ,A308) ,'Cuadro tarifario'!A$2:A376,0) -1 , 0 , 1 , 1) )   , 0  ,   OFFSET(   'Cuadro tarifario'!D$2  , MATCH(CONCATENATE( IF(F308&gt;Mes,OFFSET(NroCT!B$17, MATCH($F308,NroCT!$A$18:$A376,0),0,1,1),Periodovigente) ,A308) ,'Cuadro tarifario'!A$2:A376,0) -1 , 0 , 1 , 1))</f>
        <v>11000</v>
      </c>
      <c r="I308" s="148">
        <f t="shared" si="64"/>
        <v>0</v>
      </c>
      <c r="J308" s="147">
        <f t="shared" si="54"/>
        <v>0</v>
      </c>
      <c r="K308" s="149">
        <f>IF(  AND(N308&gt;0,I308=0)          ,N308 ,                         IF(  IF( F308 ,  DAYS360(DATE(YEAR(F308),MONTH(F308),1),Mes)/30  ,  DAYS360(DATE(YEAR(E308),MONTH(E308),1),Mes)/30  )  &gt;  0 , IF(F308,   DAYS360(DATE(YEAR(F308),MONTH(F308),1),Mes)/30  ,  DAYS360(DATE(YEAR(E308),MONTH(E308),1),Mes)/30) , 0)       )</f>
        <v>17</v>
      </c>
      <c r="L308" s="150">
        <f t="shared" si="65"/>
        <v>187000</v>
      </c>
      <c r="M308" s="160"/>
      <c r="N308" s="152">
        <f>IF( ISERROR(OFFSET(SECUESTRADOS!D$1,MATCH(B308,SECUESTRADOS!A$2:A376,0),0)) ,0 ,  OFFSET(SECUESTRADOS!D$1,MATCH(B308,SECUESTRADOS!A$2:A376,0),0)  )</f>
        <v>0</v>
      </c>
      <c r="O308" s="153"/>
      <c r="P308" s="154" t="b">
        <f t="shared" si="66"/>
        <v>0</v>
      </c>
      <c r="Q308" s="154" t="str">
        <f t="shared" si="67"/>
        <v>#REF!</v>
      </c>
      <c r="R308" s="130"/>
      <c r="S308" s="130"/>
      <c r="T308" s="130"/>
    </row>
    <row r="309">
      <c r="A309" s="155" t="s">
        <v>38</v>
      </c>
      <c r="B309" s="142">
        <v>2186.0</v>
      </c>
      <c r="C309" s="143">
        <v>2186.0</v>
      </c>
      <c r="D309" s="144" t="str">
        <f>IF(   ISERROR(OFFSET(PADRON!B$2,MATCH(C:C,PADRON!A$2:A376,0)-1,0,1,1) )  ,  ,    OFFSET(PADRON!B$2,MATCH(C:C,PADRON!A$2:A376,0)-1,0,1,1))</f>
        <v>MONZON, CARLA LUCIANA</v>
      </c>
      <c r="E309" s="145">
        <v>45352.0</v>
      </c>
      <c r="F309" s="145"/>
      <c r="G309" s="146" t="s">
        <v>39</v>
      </c>
      <c r="H309" s="147">
        <f>IF( ISERROR( OFFSET(   'Cuadro tarifario'!D$2  , MATCH(CONCATENATE(                 IF(F309&gt;Mes,OFFSET(NroCT!B$17, MATCH($F309,NroCT!$A$18:$A376,0),0,1,1),Periodovigente)                                                                                                                     ,A309) ,'Cuadro tarifario'!A$2:A376,0) -1 , 0 , 1 , 1) )   , 0  ,   OFFSET(   'Cuadro tarifario'!D$2  , MATCH(CONCATENATE( IF(F309&gt;Mes,OFFSET(NroCT!B$17, MATCH($F309,NroCT!$A$18:$A376,0),0,1,1),Periodovigente) ,A309) ,'Cuadro tarifario'!A$2:A376,0) -1 , 0 , 1 , 1))</f>
        <v>9000</v>
      </c>
      <c r="I309" s="148">
        <f t="shared" si="64"/>
        <v>0</v>
      </c>
      <c r="J309" s="147">
        <f t="shared" si="54"/>
        <v>0</v>
      </c>
      <c r="K309" s="149">
        <f>IF(  AND(N309&gt;0,I309=0)          ,N309 ,                         IF(  IF( F309 ,  DAYS360(DATE(YEAR(F309),MONTH(F309),1),Mes)/30  ,  DAYS360(DATE(YEAR(E309),MONTH(E309),1),Mes)/30  )  &gt;  0 , IF(F309,   DAYS360(DATE(YEAR(F309),MONTH(F309),1),Mes)/30  ,  DAYS360(DATE(YEAR(E309),MONTH(E309),1),Mes)/30) , 0)       )</f>
        <v>17</v>
      </c>
      <c r="L309" s="150">
        <f t="shared" si="65"/>
        <v>153000</v>
      </c>
      <c r="M309" s="151"/>
      <c r="N309" s="152">
        <f>IF( ISERROR(OFFSET(SECUESTRADOS!D$1,MATCH(B309,SECUESTRADOS!A$2:A376,0),0)) ,0 ,  OFFSET(SECUESTRADOS!D$1,MATCH(B309,SECUESTRADOS!A$2:A376,0),0)  )</f>
        <v>0</v>
      </c>
      <c r="O309" s="153"/>
      <c r="P309" s="154" t="b">
        <f t="shared" si="66"/>
        <v>0</v>
      </c>
      <c r="Q309" s="154" t="str">
        <f t="shared" si="67"/>
        <v>#REF!</v>
      </c>
      <c r="R309" s="130"/>
      <c r="S309" s="130"/>
      <c r="T309" s="130"/>
    </row>
    <row r="310">
      <c r="A310" s="155" t="s">
        <v>71</v>
      </c>
      <c r="B310" s="142">
        <v>2194.0</v>
      </c>
      <c r="C310" s="143">
        <v>2194.0</v>
      </c>
      <c r="D310" s="144" t="str">
        <f>IF(   ISERROR(OFFSET(PADRON!B$2,MATCH(C:C,PADRON!A$2:A376,0)-1,0,1,1) )  ,  ,    OFFSET(PADRON!B$2,MATCH(C:C,PADRON!A$2:A376,0)-1,0,1,1))</f>
        <v>RODRIGUEZ FRANCO MARIA CRISTINA</v>
      </c>
      <c r="E310" s="145">
        <v>45383.0</v>
      </c>
      <c r="F310" s="145"/>
      <c r="G310" s="146" t="s">
        <v>39</v>
      </c>
      <c r="H310" s="147">
        <f>IF( ISERROR( OFFSET(   'Cuadro tarifario'!D$2  , MATCH(CONCATENATE(                 IF(F310&gt;Mes,OFFSET(NroCT!B$17, MATCH($F310,NroCT!$A$18:$A376,0),0,1,1),Periodovigente)                                                                                                                     ,A310) ,'Cuadro tarifario'!A$2:A376,0) -1 , 0 , 1 , 1) )   , 0  ,   OFFSET(   'Cuadro tarifario'!D$2  , MATCH(CONCATENATE( IF(F310&gt;Mes,OFFSET(NroCT!B$17, MATCH($F310,NroCT!$A$18:$A376,0),0,1,1),Periodovigente) ,A310) ,'Cuadro tarifario'!A$2:A376,0) -1 , 0 , 1 , 1))</f>
        <v>11000</v>
      </c>
      <c r="I310" s="148">
        <f t="shared" si="64"/>
        <v>0</v>
      </c>
      <c r="J310" s="147">
        <f t="shared" si="54"/>
        <v>0</v>
      </c>
      <c r="K310" s="149">
        <f>IF(  AND(N310&gt;0,I310=0)          ,N310 ,                         IF(  IF( F310 ,  DAYS360(DATE(YEAR(F310),MONTH(F310),1),Mes)/30  ,  DAYS360(DATE(YEAR(E310),MONTH(E310),1),Mes)/30  )  &gt;  0 , IF(F310,   DAYS360(DATE(YEAR(F310),MONTH(F310),1),Mes)/30  ,  DAYS360(DATE(YEAR(E310),MONTH(E310),1),Mes)/30) , 0)       )</f>
        <v>16</v>
      </c>
      <c r="L310" s="150">
        <f t="shared" si="65"/>
        <v>176000</v>
      </c>
      <c r="M310" s="160"/>
      <c r="N310" s="152">
        <f>IF( ISERROR(OFFSET(SECUESTRADOS!D$1,MATCH(B310,SECUESTRADOS!A$2:A376,0),0)) ,0 ,  OFFSET(SECUESTRADOS!D$1,MATCH(B310,SECUESTRADOS!A$2:A376,0),0)  )</f>
        <v>0</v>
      </c>
      <c r="O310" s="153"/>
      <c r="P310" s="154" t="b">
        <f t="shared" si="66"/>
        <v>0</v>
      </c>
      <c r="Q310" s="154" t="str">
        <f t="shared" si="67"/>
        <v>#REF!</v>
      </c>
      <c r="R310" s="130"/>
      <c r="S310" s="130"/>
      <c r="T310" s="130"/>
    </row>
    <row r="311">
      <c r="A311" s="155" t="s">
        <v>38</v>
      </c>
      <c r="B311" s="142">
        <v>2194.0</v>
      </c>
      <c r="C311" s="143">
        <v>2194.0</v>
      </c>
      <c r="D311" s="144" t="str">
        <f>IF(   ISERROR(OFFSET(PADRON!B$2,MATCH(C:C,PADRON!A$2:A376,0)-1,0,1,1) )  ,  ,    OFFSET(PADRON!B$2,MATCH(C:C,PADRON!A$2:A376,0)-1,0,1,1))</f>
        <v>RODRIGUEZ FRANCO MARIA CRISTINA</v>
      </c>
      <c r="E311" s="145">
        <v>45383.0</v>
      </c>
      <c r="F311" s="145"/>
      <c r="G311" s="146" t="s">
        <v>39</v>
      </c>
      <c r="H311" s="147">
        <f>IF( ISERROR( OFFSET(   'Cuadro tarifario'!D$2  , MATCH(CONCATENATE(                 IF(F311&gt;Mes,OFFSET(NroCT!B$17, MATCH($F311,NroCT!$A$18:$A376,0),0,1,1),Periodovigente)                                                                                                                     ,A311) ,'Cuadro tarifario'!A$2:A376,0) -1 , 0 , 1 , 1) )   , 0  ,   OFFSET(   'Cuadro tarifario'!D$2  , MATCH(CONCATENATE( IF(F311&gt;Mes,OFFSET(NroCT!B$17, MATCH($F311,NroCT!$A$18:$A376,0),0,1,1),Periodovigente) ,A311) ,'Cuadro tarifario'!A$2:A376,0) -1 , 0 , 1 , 1))</f>
        <v>9000</v>
      </c>
      <c r="I311" s="148">
        <f t="shared" si="64"/>
        <v>0</v>
      </c>
      <c r="J311" s="147">
        <f t="shared" si="54"/>
        <v>0</v>
      </c>
      <c r="K311" s="149">
        <f>IF(  AND(N311&gt;0,I311=0)          ,N311 ,                         IF(  IF( F311 ,  DAYS360(DATE(YEAR(F311),MONTH(F311),1),Mes)/30  ,  DAYS360(DATE(YEAR(E311),MONTH(E311),1),Mes)/30  )  &gt;  0 , IF(F311,   DAYS360(DATE(YEAR(F311),MONTH(F311),1),Mes)/30  ,  DAYS360(DATE(YEAR(E311),MONTH(E311),1),Mes)/30) , 0)       )</f>
        <v>16</v>
      </c>
      <c r="L311" s="150">
        <f t="shared" si="65"/>
        <v>144000</v>
      </c>
      <c r="M311" s="156" t="s">
        <v>312</v>
      </c>
      <c r="N311" s="152">
        <f>IF( ISERROR(OFFSET(SECUESTRADOS!D$1,MATCH(B311,SECUESTRADOS!A$2:A376,0),0)) ,0 ,  OFFSET(SECUESTRADOS!D$1,MATCH(B311,SECUESTRADOS!A$2:A376,0),0)  )</f>
        <v>0</v>
      </c>
      <c r="O311" s="153"/>
      <c r="P311" s="154" t="b">
        <f t="shared" si="66"/>
        <v>0</v>
      </c>
      <c r="Q311" s="154" t="str">
        <f t="shared" si="67"/>
        <v>#REF!</v>
      </c>
      <c r="R311" s="130"/>
      <c r="S311" s="130"/>
      <c r="T311" s="130"/>
    </row>
    <row r="312">
      <c r="A312" s="155" t="s">
        <v>71</v>
      </c>
      <c r="B312" s="142">
        <v>2196.0</v>
      </c>
      <c r="C312" s="143">
        <v>2196.0</v>
      </c>
      <c r="D312" s="144" t="str">
        <f>IF(   ISERROR(OFFSET(PADRON!B$2,MATCH(C:C,PADRON!A$2:A376,0)-1,0,1,1) )  ,  ,    OFFSET(PADRON!B$2,MATCH(C:C,PADRON!A$2:A376,0)-1,0,1,1))</f>
        <v>SPAÑOL, LEONARDO JAVIER</v>
      </c>
      <c r="E312" s="145">
        <v>45352.0</v>
      </c>
      <c r="F312" s="145"/>
      <c r="G312" s="146" t="s">
        <v>39</v>
      </c>
      <c r="H312" s="147">
        <f>IF( ISERROR( OFFSET(   'Cuadro tarifario'!D$2  , MATCH(CONCATENATE(                 IF(F312&gt;Mes,OFFSET(NroCT!B$17, MATCH($F312,NroCT!$A$18:$A376,0),0,1,1),Periodovigente)                                                                                                                     ,A312) ,'Cuadro tarifario'!A$2:A376,0) -1 , 0 , 1 , 1) )   , 0  ,   OFFSET(   'Cuadro tarifario'!D$2  , MATCH(CONCATENATE( IF(F312&gt;Mes,OFFSET(NroCT!B$17, MATCH($F312,NroCT!$A$18:$A376,0),0,1,1),Periodovigente) ,A312) ,'Cuadro tarifario'!A$2:A376,0) -1 , 0 , 1 , 1))</f>
        <v>11000</v>
      </c>
      <c r="I312" s="148">
        <f t="shared" si="64"/>
        <v>0</v>
      </c>
      <c r="J312" s="147">
        <f t="shared" si="54"/>
        <v>0</v>
      </c>
      <c r="K312" s="149">
        <f>IF(  AND(N312&gt;0,I312=0)          ,N312 ,                         IF(  IF( F312 ,  DAYS360(DATE(YEAR(F312),MONTH(F312),1),Mes)/30  ,  DAYS360(DATE(YEAR(E312),MONTH(E312),1),Mes)/30  )  &gt;  0 , IF(F312,   DAYS360(DATE(YEAR(F312),MONTH(F312),1),Mes)/30  ,  DAYS360(DATE(YEAR(E312),MONTH(E312),1),Mes)/30) , 0)       )</f>
        <v>17</v>
      </c>
      <c r="L312" s="150">
        <f t="shared" si="65"/>
        <v>187000</v>
      </c>
      <c r="M312" s="160"/>
      <c r="N312" s="152">
        <f>IF( ISERROR(OFFSET(SECUESTRADOS!D$1,MATCH(B312,SECUESTRADOS!A$2:A376,0),0)) ,0 ,  OFFSET(SECUESTRADOS!D$1,MATCH(B312,SECUESTRADOS!A$2:A376,0),0)  )</f>
        <v>0</v>
      </c>
      <c r="O312" s="153"/>
      <c r="P312" s="154" t="b">
        <f t="shared" si="66"/>
        <v>0</v>
      </c>
      <c r="Q312" s="154" t="str">
        <f t="shared" si="67"/>
        <v>#REF!</v>
      </c>
      <c r="R312" s="130"/>
      <c r="S312" s="130"/>
      <c r="T312" s="130"/>
    </row>
    <row r="313">
      <c r="A313" s="155" t="s">
        <v>38</v>
      </c>
      <c r="B313" s="142">
        <v>2196.0</v>
      </c>
      <c r="C313" s="143">
        <v>2196.0</v>
      </c>
      <c r="D313" s="144" t="str">
        <f>IF(   ISERROR(OFFSET(PADRON!B$2,MATCH(C:C,PADRON!A$2:A376,0)-1,0,1,1) )  ,  ,    OFFSET(PADRON!B$2,MATCH(C:C,PADRON!A$2:A376,0)-1,0,1,1))</f>
        <v>SPAÑOL, LEONARDO JAVIER</v>
      </c>
      <c r="E313" s="145">
        <v>45352.0</v>
      </c>
      <c r="F313" s="145"/>
      <c r="G313" s="146" t="s">
        <v>39</v>
      </c>
      <c r="H313" s="147">
        <f>IF( ISERROR( OFFSET(   'Cuadro tarifario'!D$2  , MATCH(CONCATENATE(                 IF(F313&gt;Mes,OFFSET(NroCT!B$17, MATCH($F313,NroCT!$A$18:$A376,0),0,1,1),Periodovigente)                                                                                                                     ,A313) ,'Cuadro tarifario'!A$2:A376,0) -1 , 0 , 1 , 1) )   , 0  ,   OFFSET(   'Cuadro tarifario'!D$2  , MATCH(CONCATENATE( IF(F313&gt;Mes,OFFSET(NroCT!B$17, MATCH($F313,NroCT!$A$18:$A376,0),0,1,1),Periodovigente) ,A313) ,'Cuadro tarifario'!A$2:A376,0) -1 , 0 , 1 , 1))</f>
        <v>9000</v>
      </c>
      <c r="I313" s="148">
        <f t="shared" si="64"/>
        <v>0</v>
      </c>
      <c r="J313" s="147">
        <f t="shared" si="54"/>
        <v>0</v>
      </c>
      <c r="K313" s="149">
        <f>IF(  AND(N313&gt;0,I313=0)          ,N313 ,                         IF(  IF( F313 ,  DAYS360(DATE(YEAR(F313),MONTH(F313),1),Mes)/30  ,  DAYS360(DATE(YEAR(E313),MONTH(E313),1),Mes)/30  )  &gt;  0 , IF(F313,   DAYS360(DATE(YEAR(F313),MONTH(F313),1),Mes)/30  ,  DAYS360(DATE(YEAR(E313),MONTH(E313),1),Mes)/30) , 0)       )</f>
        <v>17</v>
      </c>
      <c r="L313" s="150">
        <f t="shared" si="65"/>
        <v>153000</v>
      </c>
      <c r="M313" s="156" t="s">
        <v>312</v>
      </c>
      <c r="N313" s="152">
        <f>IF( ISERROR(OFFSET(SECUESTRADOS!D$1,MATCH(B313,SECUESTRADOS!A$2:A376,0),0)) ,0 ,  OFFSET(SECUESTRADOS!D$1,MATCH(B313,SECUESTRADOS!A$2:A376,0),0)  )</f>
        <v>0</v>
      </c>
      <c r="O313" s="153"/>
      <c r="P313" s="154" t="b">
        <f t="shared" si="66"/>
        <v>0</v>
      </c>
      <c r="Q313" s="154" t="str">
        <f t="shared" si="67"/>
        <v>#REF!</v>
      </c>
      <c r="R313" s="130"/>
      <c r="S313" s="130"/>
      <c r="T313" s="130"/>
    </row>
    <row r="314">
      <c r="A314" s="155" t="s">
        <v>71</v>
      </c>
      <c r="B314" s="142">
        <v>2197.0</v>
      </c>
      <c r="C314" s="143">
        <v>2197.0</v>
      </c>
      <c r="D314" s="144" t="str">
        <f>IF(   ISERROR(OFFSET(PADRON!B$2,MATCH(C:C,PADRON!A$2:A376,0)-1,0,1,1) )  ,  ,    OFFSET(PADRON!B$2,MATCH(C:C,PADRON!A$2:A376,0)-1,0,1,1))</f>
        <v>CAPETTA, LUCIANA</v>
      </c>
      <c r="E314" s="145">
        <v>45323.0</v>
      </c>
      <c r="F314" s="145"/>
      <c r="G314" s="146" t="s">
        <v>39</v>
      </c>
      <c r="H314" s="147">
        <f>IF( ISERROR( OFFSET(   'Cuadro tarifario'!D$2  , MATCH(CONCATENATE(                 IF(F314&gt;Mes,OFFSET(NroCT!B$17, MATCH($F314,NroCT!$A$18:$A376,0),0,1,1),Periodovigente)                                                                                                                     ,A314) ,'Cuadro tarifario'!A$2:A376,0) -1 , 0 , 1 , 1) )   , 0  ,   OFFSET(   'Cuadro tarifario'!D$2  , MATCH(CONCATENATE( IF(F314&gt;Mes,OFFSET(NroCT!B$17, MATCH($F314,NroCT!$A$18:$A376,0),0,1,1),Periodovigente) ,A314) ,'Cuadro tarifario'!A$2:A376,0) -1 , 0 , 1 , 1))</f>
        <v>11000</v>
      </c>
      <c r="I314" s="148">
        <f t="shared" si="64"/>
        <v>0</v>
      </c>
      <c r="J314" s="147">
        <f t="shared" si="54"/>
        <v>0</v>
      </c>
      <c r="K314" s="149">
        <f>IF(  AND(N314&gt;0,I314=0)          ,N314 ,                         IF(  IF( F314 ,  DAYS360(DATE(YEAR(F314),MONTH(F314),1),Mes)/30  ,  DAYS360(DATE(YEAR(E314),MONTH(E314),1),Mes)/30  )  &gt;  0 , IF(F314,   DAYS360(DATE(YEAR(F314),MONTH(F314),1),Mes)/30  ,  DAYS360(DATE(YEAR(E314),MONTH(E314),1),Mes)/30) , 0)       )</f>
        <v>18</v>
      </c>
      <c r="L314" s="150">
        <f t="shared" si="65"/>
        <v>198000</v>
      </c>
      <c r="M314" s="160"/>
      <c r="N314" s="152">
        <f>IF( ISERROR(OFFSET(SECUESTRADOS!D$1,MATCH(B314,SECUESTRADOS!A$2:A376,0),0)) ,0 ,  OFFSET(SECUESTRADOS!D$1,MATCH(B314,SECUESTRADOS!A$2:A376,0),0)  )</f>
        <v>0</v>
      </c>
      <c r="O314" s="153"/>
      <c r="P314" s="154" t="b">
        <f t="shared" si="66"/>
        <v>0</v>
      </c>
      <c r="Q314" s="154" t="str">
        <f t="shared" si="67"/>
        <v>#REF!</v>
      </c>
      <c r="R314" s="130"/>
      <c r="S314" s="130"/>
      <c r="T314" s="130"/>
    </row>
    <row r="315">
      <c r="A315" s="155" t="s">
        <v>38</v>
      </c>
      <c r="B315" s="142">
        <v>2197.0</v>
      </c>
      <c r="C315" s="143">
        <v>2197.0</v>
      </c>
      <c r="D315" s="144" t="str">
        <f>IF(   ISERROR(OFFSET(PADRON!B$2,MATCH(C:C,PADRON!A$2:A376,0)-1,0,1,1) )  ,  ,    OFFSET(PADRON!B$2,MATCH(C:C,PADRON!A$2:A376,0)-1,0,1,1))</f>
        <v>CAPETTA, LUCIANA</v>
      </c>
      <c r="E315" s="145">
        <v>45323.0</v>
      </c>
      <c r="F315" s="145"/>
      <c r="G315" s="146" t="s">
        <v>39</v>
      </c>
      <c r="H315" s="147">
        <f>IF( ISERROR( OFFSET(   'Cuadro tarifario'!D$2  , MATCH(CONCATENATE(                 IF(F315&gt;Mes,OFFSET(NroCT!B$17, MATCH($F315,NroCT!$A$18:$A376,0),0,1,1),Periodovigente)                                                                                                                     ,A315) ,'Cuadro tarifario'!A$2:A376,0) -1 , 0 , 1 , 1) )   , 0  ,   OFFSET(   'Cuadro tarifario'!D$2  , MATCH(CONCATENATE( IF(F315&gt;Mes,OFFSET(NroCT!B$17, MATCH($F315,NroCT!$A$18:$A376,0),0,1,1),Periodovigente) ,A315) ,'Cuadro tarifario'!A$2:A376,0) -1 , 0 , 1 , 1))</f>
        <v>9000</v>
      </c>
      <c r="I315" s="148">
        <f t="shared" si="64"/>
        <v>0</v>
      </c>
      <c r="J315" s="147">
        <f t="shared" si="54"/>
        <v>0</v>
      </c>
      <c r="K315" s="149">
        <f>IF(  AND(N315&gt;0,I315=0)          ,N315 ,                         IF(  IF( F315 ,  DAYS360(DATE(YEAR(F315),MONTH(F315),1),Mes)/30  ,  DAYS360(DATE(YEAR(E315),MONTH(E315),1),Mes)/30  )  &gt;  0 , IF(F315,   DAYS360(DATE(YEAR(F315),MONTH(F315),1),Mes)/30  ,  DAYS360(DATE(YEAR(E315),MONTH(E315),1),Mes)/30) , 0)       )</f>
        <v>18</v>
      </c>
      <c r="L315" s="150">
        <f t="shared" si="65"/>
        <v>162000</v>
      </c>
      <c r="M315" s="160"/>
      <c r="N315" s="152">
        <f>IF( ISERROR(OFFSET(SECUESTRADOS!D$1,MATCH(B315,SECUESTRADOS!A$2:A376,0),0)) ,0 ,  OFFSET(SECUESTRADOS!D$1,MATCH(B315,SECUESTRADOS!A$2:A376,0),0)  )</f>
        <v>0</v>
      </c>
      <c r="O315" s="153"/>
      <c r="P315" s="154" t="b">
        <f t="shared" si="66"/>
        <v>0</v>
      </c>
      <c r="Q315" s="154" t="str">
        <f t="shared" si="67"/>
        <v>#REF!</v>
      </c>
      <c r="R315" s="130"/>
      <c r="S315" s="130"/>
      <c r="T315" s="130"/>
    </row>
    <row r="316">
      <c r="A316" s="18" t="s">
        <v>71</v>
      </c>
      <c r="B316" s="116">
        <v>2231.0</v>
      </c>
      <c r="C316" s="140">
        <v>2231.0</v>
      </c>
      <c r="D316" s="57" t="str">
        <f>IF(   ISERROR(OFFSET(PADRON!B$2,MATCH(C:C,PADRON!A$2:A376,0)-1,0,1,1) )  ,  ,    OFFSET(PADRON!B$2,MATCH(C:C,PADRON!A$2:A376,0)-1,0,1,1))</f>
        <v>OJEDA RODRIGO</v>
      </c>
      <c r="E316" s="58">
        <v>45383.0</v>
      </c>
      <c r="F316" s="145"/>
      <c r="G316" s="60" t="s">
        <v>39</v>
      </c>
      <c r="H316" s="60">
        <f>IF( ISERROR( OFFSET(   'Cuadro tarifario'!D$2  , MATCH(CONCATENATE(                 IF(F316&gt;Mes,OFFSET(NroCT!B$17, MATCH($F316,NroCT!$A$18:$A376,0),0,1,1),Periodovigente)                                                                                                                     ,A316) ,'Cuadro tarifario'!A$2:A376,0) -1 , 0 , 1 , 1) )   , 0  ,   OFFSET(   'Cuadro tarifario'!D$2  , MATCH(CONCATENATE( IF(F316&gt;Mes,OFFSET(NroCT!B$17, MATCH($F316,NroCT!$A$18:$A376,0),0,1,1),Periodovigente) ,A316) ,'Cuadro tarifario'!A$2:A376,0) -1 , 0 , 1 , 1))</f>
        <v>11000</v>
      </c>
      <c r="I316" s="61">
        <f t="shared" si="64"/>
        <v>0</v>
      </c>
      <c r="J316" s="60">
        <f t="shared" si="54"/>
        <v>0</v>
      </c>
      <c r="K316" s="62">
        <f>IF(  AND(N316&gt;0,I316=0)          ,N316 ,                         IF(  IF( F316 ,  DAYS360(DATE(YEAR(F316),MONTH(F316),1),Mes)/30  ,  DAYS360(DATE(YEAR(E316),MONTH(E316),1),Mes)/30  )  &gt;  0 , IF(F316,   DAYS360(DATE(YEAR(F316),MONTH(F316),1),Mes)/30  ,  DAYS360(DATE(YEAR(E316),MONTH(E316),1),Mes)/30) , 0)       )</f>
        <v>16</v>
      </c>
      <c r="L316" s="63">
        <f t="shared" si="65"/>
        <v>176000</v>
      </c>
      <c r="M316" s="137"/>
      <c r="N316" s="97">
        <f>IF( ISERROR(OFFSET(SECUESTRADOS!D$1,MATCH(B316,SECUESTRADOS!A$2:A376,0),0)) ,0 ,  OFFSET(SECUESTRADOS!D$1,MATCH(B316,SECUESTRADOS!A$2:A376,0),0)  )</f>
        <v>0</v>
      </c>
      <c r="O316" s="98"/>
      <c r="P316" s="99" t="b">
        <f t="shared" si="66"/>
        <v>0</v>
      </c>
      <c r="Q316" s="99" t="str">
        <f t="shared" si="67"/>
        <v>#REF!</v>
      </c>
      <c r="R316" s="130"/>
      <c r="S316" s="130"/>
      <c r="T316" s="130"/>
    </row>
    <row r="317">
      <c r="A317" s="18" t="s">
        <v>38</v>
      </c>
      <c r="B317" s="116">
        <v>2231.0</v>
      </c>
      <c r="C317" s="140">
        <v>2231.0</v>
      </c>
      <c r="D317" s="57" t="str">
        <f>IF(   ISERROR(OFFSET(PADRON!B$2,MATCH(C:C,PADRON!A$2:A376,0)-1,0,1,1) )  ,  ,    OFFSET(PADRON!B$2,MATCH(C:C,PADRON!A$2:A376,0)-1,0,1,1))</f>
        <v>OJEDA RODRIGO</v>
      </c>
      <c r="E317" s="58">
        <v>45383.0</v>
      </c>
      <c r="F317" s="145"/>
      <c r="G317" s="60" t="s">
        <v>39</v>
      </c>
      <c r="H317" s="60">
        <f>IF( ISERROR( OFFSET(   'Cuadro tarifario'!D$2  , MATCH(CONCATENATE(                 IF(F317&gt;Mes,OFFSET(NroCT!B$17, MATCH($F317,NroCT!$A$18:$A376,0),0,1,1),Periodovigente)                                                                                                                     ,A317) ,'Cuadro tarifario'!A$2:A376,0) -1 , 0 , 1 , 1) )   , 0  ,   OFFSET(   'Cuadro tarifario'!D$2  , MATCH(CONCATENATE( IF(F317&gt;Mes,OFFSET(NroCT!B$17, MATCH($F317,NroCT!$A$18:$A376,0),0,1,1),Periodovigente) ,A317) ,'Cuadro tarifario'!A$2:A376,0) -1 , 0 , 1 , 1))</f>
        <v>9000</v>
      </c>
      <c r="I317" s="61">
        <f t="shared" si="64"/>
        <v>0</v>
      </c>
      <c r="J317" s="60">
        <f t="shared" si="54"/>
        <v>0</v>
      </c>
      <c r="K317" s="62">
        <f>IF(  AND(N317&gt;0,I317=0)          ,N317 ,                         IF(  IF( F317 ,  DAYS360(DATE(YEAR(F317),MONTH(F317),1),Mes)/30  ,  DAYS360(DATE(YEAR(E317),MONTH(E317),1),Mes)/30  )  &gt;  0 , IF(F317,   DAYS360(DATE(YEAR(F317),MONTH(F317),1),Mes)/30  ,  DAYS360(DATE(YEAR(E317),MONTH(E317),1),Mes)/30) , 0)       )</f>
        <v>16</v>
      </c>
      <c r="L317" s="63">
        <f t="shared" si="65"/>
        <v>144000</v>
      </c>
      <c r="M317" s="137"/>
      <c r="N317" s="97">
        <f>IF( ISERROR(OFFSET(SECUESTRADOS!D$1,MATCH(B317,SECUESTRADOS!A$2:A376,0),0)) ,0 ,  OFFSET(SECUESTRADOS!D$1,MATCH(B317,SECUESTRADOS!A$2:A376,0),0)  )</f>
        <v>0</v>
      </c>
      <c r="O317" s="98"/>
      <c r="P317" s="99" t="b">
        <f t="shared" si="66"/>
        <v>0</v>
      </c>
      <c r="Q317" s="99" t="str">
        <f t="shared" si="67"/>
        <v>#REF!</v>
      </c>
      <c r="R317" s="130"/>
      <c r="S317" s="130"/>
      <c r="T317" s="130"/>
    </row>
    <row r="318">
      <c r="A318" s="18" t="s">
        <v>71</v>
      </c>
      <c r="B318" s="116">
        <v>2237.0</v>
      </c>
      <c r="C318" s="140">
        <v>2237.0</v>
      </c>
      <c r="D318" s="57" t="str">
        <f>IF(   ISERROR(OFFSET(PADRON!B$2,MATCH(C:C,PADRON!A$2:A376,0)-1,0,1,1) )  ,  ,    OFFSET(PADRON!B$2,MATCH(C:C,PADRON!A$2:A376,0)-1,0,1,1))</f>
        <v>GARCIA DIEGUEZ, SEBASTIAN</v>
      </c>
      <c r="E318" s="58">
        <v>45383.0</v>
      </c>
      <c r="F318" s="145"/>
      <c r="G318" s="60" t="s">
        <v>39</v>
      </c>
      <c r="H318" s="60">
        <f>IF( ISERROR( OFFSET(   'Cuadro tarifario'!D$2  , MATCH(CONCATENATE(                 IF(F318&gt;Mes,OFFSET(NroCT!B$17, MATCH($F318,NroCT!$A$18:$A376,0),0,1,1),Periodovigente)                                                                                                                     ,A318) ,'Cuadro tarifario'!A$2:A376,0) -1 , 0 , 1 , 1) )   , 0  ,   OFFSET(   'Cuadro tarifario'!D$2  , MATCH(CONCATENATE( IF(F318&gt;Mes,OFFSET(NroCT!B$17, MATCH($F318,NroCT!$A$18:$A376,0),0,1,1),Periodovigente) ,A318) ,'Cuadro tarifario'!A$2:A376,0) -1 , 0 , 1 , 1))</f>
        <v>11000</v>
      </c>
      <c r="I318" s="61">
        <f t="shared" si="64"/>
        <v>0</v>
      </c>
      <c r="J318" s="60">
        <f t="shared" si="54"/>
        <v>0</v>
      </c>
      <c r="K318" s="62">
        <f>IF(  AND(N318&gt;0,I318=0)          ,N318 ,                         IF(  IF( F318 ,  DAYS360(DATE(YEAR(F318),MONTH(F318),1),Mes)/30  ,  DAYS360(DATE(YEAR(E318),MONTH(E318),1),Mes)/30  )  &gt;  0 , IF(F318,   DAYS360(DATE(YEAR(F318),MONTH(F318),1),Mes)/30  ,  DAYS360(DATE(YEAR(E318),MONTH(E318),1),Mes)/30) , 0)       )</f>
        <v>16</v>
      </c>
      <c r="L318" s="63">
        <f t="shared" si="65"/>
        <v>176000</v>
      </c>
      <c r="M318" s="137"/>
      <c r="N318" s="97">
        <f>IF( ISERROR(OFFSET(SECUESTRADOS!D$1,MATCH(B318,SECUESTRADOS!A$2:A376,0),0)) ,0 ,  OFFSET(SECUESTRADOS!D$1,MATCH(B318,SECUESTRADOS!A$2:A376,0),0)  )</f>
        <v>0</v>
      </c>
      <c r="O318" s="98"/>
      <c r="P318" s="99" t="b">
        <f t="shared" si="66"/>
        <v>0</v>
      </c>
      <c r="Q318" s="99" t="str">
        <f t="shared" si="67"/>
        <v>#REF!</v>
      </c>
      <c r="R318" s="130"/>
      <c r="S318" s="130"/>
      <c r="T318" s="130"/>
    </row>
    <row r="319">
      <c r="A319" s="18" t="s">
        <v>38</v>
      </c>
      <c r="B319" s="116">
        <v>2237.0</v>
      </c>
      <c r="C319" s="140">
        <v>2237.0</v>
      </c>
      <c r="D319" s="57" t="str">
        <f>IF(   ISERROR(OFFSET(PADRON!B$2,MATCH(C:C,PADRON!A$2:A376,0)-1,0,1,1) )  ,  ,    OFFSET(PADRON!B$2,MATCH(C:C,PADRON!A$2:A376,0)-1,0,1,1))</f>
        <v>GARCIA DIEGUEZ, SEBASTIAN</v>
      </c>
      <c r="E319" s="58">
        <v>45383.0</v>
      </c>
      <c r="F319" s="145"/>
      <c r="G319" s="60" t="s">
        <v>39</v>
      </c>
      <c r="H319" s="60">
        <f>IF( ISERROR( OFFSET(   'Cuadro tarifario'!D$2  , MATCH(CONCATENATE(                 IF(F319&gt;Mes,OFFSET(NroCT!B$17, MATCH($F319,NroCT!$A$18:$A376,0),0,1,1),Periodovigente)                                                                                                                     ,A319) ,'Cuadro tarifario'!A$2:A376,0) -1 , 0 , 1 , 1) )   , 0  ,   OFFSET(   'Cuadro tarifario'!D$2  , MATCH(CONCATENATE( IF(F319&gt;Mes,OFFSET(NroCT!B$17, MATCH($F319,NroCT!$A$18:$A376,0),0,1,1),Periodovigente) ,A319) ,'Cuadro tarifario'!A$2:A376,0) -1 , 0 , 1 , 1))</f>
        <v>9000</v>
      </c>
      <c r="I319" s="61">
        <f t="shared" si="64"/>
        <v>0</v>
      </c>
      <c r="J319" s="60">
        <f t="shared" si="54"/>
        <v>0</v>
      </c>
      <c r="K319" s="62">
        <f>IF(  AND(N319&gt;0,I319=0)          ,N319 ,                         IF(  IF( F319 ,  DAYS360(DATE(YEAR(F319),MONTH(F319),1),Mes)/30  ,  DAYS360(DATE(YEAR(E319),MONTH(E319),1),Mes)/30  )  &gt;  0 , IF(F319,   DAYS360(DATE(YEAR(F319),MONTH(F319),1),Mes)/30  ,  DAYS360(DATE(YEAR(E319),MONTH(E319),1),Mes)/30) , 0)       )</f>
        <v>16</v>
      </c>
      <c r="L319" s="63">
        <f t="shared" si="65"/>
        <v>144000</v>
      </c>
      <c r="M319" s="137"/>
      <c r="N319" s="97">
        <f>IF( ISERROR(OFFSET(SECUESTRADOS!D$1,MATCH(B319,SECUESTRADOS!A$2:A376,0),0)) ,0 ,  OFFSET(SECUESTRADOS!D$1,MATCH(B319,SECUESTRADOS!A$2:A376,0),0)  )</f>
        <v>0</v>
      </c>
      <c r="O319" s="98"/>
      <c r="P319" s="99" t="b">
        <f t="shared" si="66"/>
        <v>0</v>
      </c>
      <c r="Q319" s="99" t="str">
        <f t="shared" si="67"/>
        <v>#REF!</v>
      </c>
      <c r="R319" s="130"/>
      <c r="S319" s="130"/>
      <c r="T319" s="130"/>
    </row>
    <row r="320">
      <c r="A320" s="18" t="s">
        <v>71</v>
      </c>
      <c r="B320" s="116">
        <v>2239.0</v>
      </c>
      <c r="C320" s="140">
        <v>2239.0</v>
      </c>
      <c r="D320" s="57" t="str">
        <f>IF(   ISERROR(OFFSET(PADRON!B$2,MATCH(C:C,PADRON!A$2:A376,0)-1,0,1,1) )  ,  ,    OFFSET(PADRON!B$2,MATCH(C:C,PADRON!A$2:A376,0)-1,0,1,1))</f>
        <v>DI FRANCESCO, GABRIEL</v>
      </c>
      <c r="E320" s="58">
        <v>45383.0</v>
      </c>
      <c r="F320" s="145"/>
      <c r="G320" s="60" t="s">
        <v>39</v>
      </c>
      <c r="H320" s="60">
        <f>IF( ISERROR( OFFSET(   'Cuadro tarifario'!D$2  , MATCH(CONCATENATE(                 IF(F320&gt;Mes,OFFSET(NroCT!B$17, MATCH($F320,NroCT!$A$18:$A376,0),0,1,1),Periodovigente)                                                                                                                     ,A320) ,'Cuadro tarifario'!A$2:A376,0) -1 , 0 , 1 , 1) )   , 0  ,   OFFSET(   'Cuadro tarifario'!D$2  , MATCH(CONCATENATE( IF(F320&gt;Mes,OFFSET(NroCT!B$17, MATCH($F320,NroCT!$A$18:$A376,0),0,1,1),Periodovigente) ,A320) ,'Cuadro tarifario'!A$2:A376,0) -1 , 0 , 1 , 1))</f>
        <v>11000</v>
      </c>
      <c r="I320" s="61">
        <f t="shared" si="64"/>
        <v>0</v>
      </c>
      <c r="J320" s="60">
        <f t="shared" si="54"/>
        <v>0</v>
      </c>
      <c r="K320" s="62">
        <f>IF(  AND(N320&gt;0,I320=0)          ,N320 ,                         IF(  IF( F320 ,  DAYS360(DATE(YEAR(F320),MONTH(F320),1),Mes)/30  ,  DAYS360(DATE(YEAR(E320),MONTH(E320),1),Mes)/30  )  &gt;  0 , IF(F320,   DAYS360(DATE(YEAR(F320),MONTH(F320),1),Mes)/30  ,  DAYS360(DATE(YEAR(E320),MONTH(E320),1),Mes)/30) , 0)       )</f>
        <v>16</v>
      </c>
      <c r="L320" s="63">
        <f t="shared" si="65"/>
        <v>176000</v>
      </c>
      <c r="M320" s="137"/>
      <c r="N320" s="97">
        <f>IF( ISERROR(OFFSET(SECUESTRADOS!D$1,MATCH(B320,SECUESTRADOS!A$2:A376,0),0)) ,0 ,  OFFSET(SECUESTRADOS!D$1,MATCH(B320,SECUESTRADOS!A$2:A376,0),0)  )</f>
        <v>0</v>
      </c>
      <c r="O320" s="98"/>
      <c r="P320" s="99" t="b">
        <f t="shared" si="66"/>
        <v>0</v>
      </c>
      <c r="Q320" s="99" t="str">
        <f t="shared" si="67"/>
        <v>#REF!</v>
      </c>
      <c r="R320" s="130"/>
      <c r="S320" s="130"/>
      <c r="T320" s="130"/>
    </row>
    <row r="321">
      <c r="A321" s="18" t="s">
        <v>38</v>
      </c>
      <c r="B321" s="116">
        <v>2239.0</v>
      </c>
      <c r="C321" s="140">
        <v>2239.0</v>
      </c>
      <c r="D321" s="57" t="str">
        <f>IF(   ISERROR(OFFSET(PADRON!B$2,MATCH(C:C,PADRON!A$2:A376,0)-1,0,1,1) )  ,  ,    OFFSET(PADRON!B$2,MATCH(C:C,PADRON!A$2:A376,0)-1,0,1,1))</f>
        <v>DI FRANCESCO, GABRIEL</v>
      </c>
      <c r="E321" s="58">
        <v>45383.0</v>
      </c>
      <c r="F321" s="145"/>
      <c r="G321" s="60" t="s">
        <v>39</v>
      </c>
      <c r="H321" s="60">
        <f>IF( ISERROR( OFFSET(   'Cuadro tarifario'!D$2  , MATCH(CONCATENATE(                 IF(F321&gt;Mes,OFFSET(NroCT!B$17, MATCH($F321,NroCT!$A$18:$A376,0),0,1,1),Periodovigente)                                                                                                                     ,A321) ,'Cuadro tarifario'!A$2:A376,0) -1 , 0 , 1 , 1) )   , 0  ,   OFFSET(   'Cuadro tarifario'!D$2  , MATCH(CONCATENATE( IF(F321&gt;Mes,OFFSET(NroCT!B$17, MATCH($F321,NroCT!$A$18:$A376,0),0,1,1),Periodovigente) ,A321) ,'Cuadro tarifario'!A$2:A376,0) -1 , 0 , 1 , 1))</f>
        <v>9000</v>
      </c>
      <c r="I321" s="61">
        <f t="shared" si="64"/>
        <v>0</v>
      </c>
      <c r="J321" s="60">
        <f t="shared" si="54"/>
        <v>0</v>
      </c>
      <c r="K321" s="62">
        <f>IF(  AND(N321&gt;0,I321=0)          ,N321 ,                         IF(  IF( F321 ,  DAYS360(DATE(YEAR(F321),MONTH(F321),1),Mes)/30  ,  DAYS360(DATE(YEAR(E321),MONTH(E321),1),Mes)/30  )  &gt;  0 , IF(F321,   DAYS360(DATE(YEAR(F321),MONTH(F321),1),Mes)/30  ,  DAYS360(DATE(YEAR(E321),MONTH(E321),1),Mes)/30) , 0)       )</f>
        <v>16</v>
      </c>
      <c r="L321" s="63">
        <f t="shared" si="65"/>
        <v>144000</v>
      </c>
      <c r="M321" s="137"/>
      <c r="N321" s="97">
        <f>IF( ISERROR(OFFSET(SECUESTRADOS!D$1,MATCH(B321,SECUESTRADOS!A$2:A376,0),0)) ,0 ,  OFFSET(SECUESTRADOS!D$1,MATCH(B321,SECUESTRADOS!A$2:A376,0),0)  )</f>
        <v>0</v>
      </c>
      <c r="O321" s="98"/>
      <c r="P321" s="99" t="b">
        <f t="shared" si="66"/>
        <v>0</v>
      </c>
      <c r="Q321" s="99" t="str">
        <f t="shared" si="67"/>
        <v>#REF!</v>
      </c>
      <c r="R321" s="130"/>
      <c r="S321" s="130"/>
      <c r="T321" s="130"/>
    </row>
    <row r="322">
      <c r="A322" s="18" t="s">
        <v>71</v>
      </c>
      <c r="B322" s="116">
        <v>2258.0</v>
      </c>
      <c r="C322" s="140">
        <v>2258.0</v>
      </c>
      <c r="D322" s="57" t="str">
        <f>IF(   ISERROR(OFFSET(PADRON!B$2,MATCH(C:C,PADRON!A$2:A376,0)-1,0,1,1) )  ,  ,    OFFSET(PADRON!B$2,MATCH(C:C,PADRON!A$2:A376,0)-1,0,1,1))</f>
        <v>BARCENA, VERONICA</v>
      </c>
      <c r="E322" s="58">
        <v>45352.0</v>
      </c>
      <c r="F322" s="145"/>
      <c r="G322" s="59" t="s">
        <v>39</v>
      </c>
      <c r="H322" s="60">
        <f>IF( ISERROR( OFFSET(   'Cuadro tarifario'!D$2  , MATCH(CONCATENATE(                 IF(F322&gt;Mes,OFFSET(NroCT!B$17, MATCH($F322,NroCT!$A$18:$A376,0),0,1,1),Periodovigente)                                                                                                                     ,A322) ,'Cuadro tarifario'!A$2:A376,0) -1 , 0 , 1 , 1) )   , 0  ,   OFFSET(   'Cuadro tarifario'!D$2  , MATCH(CONCATENATE( IF(F322&gt;Mes,OFFSET(NroCT!B$17, MATCH($F322,NroCT!$A$18:$A376,0),0,1,1),Periodovigente) ,A322) ,'Cuadro tarifario'!A$2:A376,0) -1 , 0 , 1 , 1))</f>
        <v>11000</v>
      </c>
      <c r="I322" s="61">
        <f t="shared" si="64"/>
        <v>0</v>
      </c>
      <c r="J322" s="60">
        <f t="shared" si="54"/>
        <v>0</v>
      </c>
      <c r="K322" s="62">
        <f>IF(  AND(N322&gt;0,I322=0)          ,N322 ,                         IF(  IF( F322 ,  DAYS360(DATE(YEAR(F322),MONTH(F322),1),Mes)/30  ,  DAYS360(DATE(YEAR(E322),MONTH(E322),1),Mes)/30  )  &gt;  0 , IF(F322,   DAYS360(DATE(YEAR(F322),MONTH(F322),1),Mes)/30  ,  DAYS360(DATE(YEAR(E322),MONTH(E322),1),Mes)/30) , 0)       )</f>
        <v>17</v>
      </c>
      <c r="L322" s="63">
        <f t="shared" si="65"/>
        <v>187000</v>
      </c>
      <c r="M322" s="162" t="s">
        <v>485</v>
      </c>
      <c r="N322" s="97">
        <f>IF( ISERROR(OFFSET(SECUESTRADOS!D$1,MATCH(B322,SECUESTRADOS!A$2:A376,0),0)) ,0 ,  OFFSET(SECUESTRADOS!D$1,MATCH(B322,SECUESTRADOS!A$2:A376,0),0)  )</f>
        <v>0</v>
      </c>
      <c r="O322" s="98"/>
      <c r="P322" s="99" t="b">
        <f t="shared" si="66"/>
        <v>0</v>
      </c>
      <c r="Q322" s="99" t="str">
        <f t="shared" si="67"/>
        <v>#REF!</v>
      </c>
      <c r="R322" s="130"/>
      <c r="S322" s="130"/>
      <c r="T322" s="130"/>
    </row>
    <row r="323">
      <c r="A323" s="18" t="s">
        <v>38</v>
      </c>
      <c r="B323" s="116">
        <v>2258.0</v>
      </c>
      <c r="C323" s="140">
        <v>2258.0</v>
      </c>
      <c r="D323" s="57" t="str">
        <f>IF(   ISERROR(OFFSET(PADRON!B$2,MATCH(C:C,PADRON!A$2:A376,0)-1,0,1,1) )  ,  ,    OFFSET(PADRON!B$2,MATCH(C:C,PADRON!A$2:A376,0)-1,0,1,1))</f>
        <v>BARCENA, VERONICA</v>
      </c>
      <c r="E323" s="58">
        <v>45352.0</v>
      </c>
      <c r="F323" s="145"/>
      <c r="G323" s="59" t="s">
        <v>39</v>
      </c>
      <c r="H323" s="60">
        <f>IF( ISERROR( OFFSET(   'Cuadro tarifario'!D$2  , MATCH(CONCATENATE(                 IF(F323&gt;Mes,OFFSET(NroCT!B$17, MATCH($F323,NroCT!$A$18:$A376,0),0,1,1),Periodovigente)                                                                                                                     ,A323) ,'Cuadro tarifario'!A$2:A376,0) -1 , 0 , 1 , 1) )   , 0  ,   OFFSET(   'Cuadro tarifario'!D$2  , MATCH(CONCATENATE( IF(F323&gt;Mes,OFFSET(NroCT!B$17, MATCH($F323,NroCT!$A$18:$A376,0),0,1,1),Periodovigente) ,A323) ,'Cuadro tarifario'!A$2:A376,0) -1 , 0 , 1 , 1))</f>
        <v>9000</v>
      </c>
      <c r="I323" s="61">
        <f t="shared" si="64"/>
        <v>0</v>
      </c>
      <c r="J323" s="60">
        <f t="shared" si="54"/>
        <v>0</v>
      </c>
      <c r="K323" s="62">
        <f>IF(  AND(N323&gt;0,I323=0)          ,N323 ,                         IF(  IF( F323 ,  DAYS360(DATE(YEAR(F323),MONTH(F323),1),Mes)/30  ,  DAYS360(DATE(YEAR(E323),MONTH(E323),1),Mes)/30  )  &gt;  0 , IF(F323,   DAYS360(DATE(YEAR(F323),MONTH(F323),1),Mes)/30  ,  DAYS360(DATE(YEAR(E323),MONTH(E323),1),Mes)/30) , 0)       )</f>
        <v>17</v>
      </c>
      <c r="L323" s="63">
        <f t="shared" si="65"/>
        <v>153000</v>
      </c>
      <c r="M323" s="162" t="s">
        <v>485</v>
      </c>
      <c r="N323" s="97">
        <f>IF( ISERROR(OFFSET(SECUESTRADOS!D$1,MATCH(B323,SECUESTRADOS!A$2:A376,0),0)) ,0 ,  OFFSET(SECUESTRADOS!D$1,MATCH(B323,SECUESTRADOS!A$2:A376,0),0)  )</f>
        <v>0</v>
      </c>
      <c r="O323" s="98"/>
      <c r="P323" s="99" t="b">
        <f t="shared" si="66"/>
        <v>0</v>
      </c>
      <c r="Q323" s="99" t="str">
        <f t="shared" si="67"/>
        <v>#REF!</v>
      </c>
      <c r="R323" s="130"/>
      <c r="S323" s="130"/>
      <c r="T323" s="130"/>
    </row>
    <row r="324">
      <c r="A324" s="18" t="s">
        <v>71</v>
      </c>
      <c r="B324" s="116">
        <v>2264.0</v>
      </c>
      <c r="C324" s="140">
        <v>2264.0</v>
      </c>
      <c r="D324" s="57" t="str">
        <f>IF(   ISERROR(OFFSET(PADRON!B$2,MATCH(C:C,PADRON!A$2:A376,0)-1,0,1,1) )  ,  ,    OFFSET(PADRON!B$2,MATCH(C:C,PADRON!A$2:A376,0)-1,0,1,1))</f>
        <v>KLAPPENBACH, MARIA MERCEDES</v>
      </c>
      <c r="E324" s="58">
        <v>45352.0</v>
      </c>
      <c r="F324" s="145"/>
      <c r="G324" s="59" t="s">
        <v>39</v>
      </c>
      <c r="H324" s="60">
        <f>IF( ISERROR( OFFSET(   'Cuadro tarifario'!D$2  , MATCH(CONCATENATE(                 IF(F324&gt;Mes,OFFSET(NroCT!B$17, MATCH($F324,NroCT!$A$18:$A376,0),0,1,1),Periodovigente)                                                                                                                     ,A324) ,'Cuadro tarifario'!A$2:A376,0) -1 , 0 , 1 , 1) )   , 0  ,   OFFSET(   'Cuadro tarifario'!D$2  , MATCH(CONCATENATE( IF(F324&gt;Mes,OFFSET(NroCT!B$17, MATCH($F324,NroCT!$A$18:$A376,0),0,1,1),Periodovigente) ,A324) ,'Cuadro tarifario'!A$2:A376,0) -1 , 0 , 1 , 1))</f>
        <v>11000</v>
      </c>
      <c r="I324" s="61">
        <f t="shared" si="64"/>
        <v>0</v>
      </c>
      <c r="J324" s="60">
        <f t="shared" si="54"/>
        <v>0</v>
      </c>
      <c r="K324" s="62">
        <f>IF(  AND(N324&gt;0,I324=0)          ,N324 ,                         IF(  IF( F324 ,  DAYS360(DATE(YEAR(F324),MONTH(F324),1),Mes)/30  ,  DAYS360(DATE(YEAR(E324),MONTH(E324),1),Mes)/30  )  &gt;  0 , IF(F324,   DAYS360(DATE(YEAR(F324),MONTH(F324),1),Mes)/30  ,  DAYS360(DATE(YEAR(E324),MONTH(E324),1),Mes)/30) , 0)       )</f>
        <v>17</v>
      </c>
      <c r="L324" s="63">
        <f t="shared" si="65"/>
        <v>187000</v>
      </c>
      <c r="M324" s="162" t="s">
        <v>485</v>
      </c>
      <c r="N324" s="97">
        <f>IF( ISERROR(OFFSET(SECUESTRADOS!D$1,MATCH(B324,SECUESTRADOS!A$2:A376,0),0)) ,0 ,  OFFSET(SECUESTRADOS!D$1,MATCH(B324,SECUESTRADOS!A$2:A376,0),0)  )</f>
        <v>0</v>
      </c>
      <c r="O324" s="98"/>
      <c r="P324" s="99" t="b">
        <f t="shared" si="66"/>
        <v>0</v>
      </c>
      <c r="Q324" s="99" t="str">
        <f t="shared" si="67"/>
        <v>#REF!</v>
      </c>
      <c r="R324" s="130"/>
      <c r="S324" s="130"/>
      <c r="T324" s="130"/>
    </row>
    <row r="325">
      <c r="A325" s="18" t="s">
        <v>38</v>
      </c>
      <c r="B325" s="116">
        <v>2264.0</v>
      </c>
      <c r="C325" s="140">
        <v>2264.0</v>
      </c>
      <c r="D325" s="57" t="str">
        <f>IF(   ISERROR(OFFSET(PADRON!B$2,MATCH(C:C,PADRON!A$2:A376,0)-1,0,1,1) )  ,  ,    OFFSET(PADRON!B$2,MATCH(C:C,PADRON!A$2:A376,0)-1,0,1,1))</f>
        <v>KLAPPENBACH, MARIA MERCEDES</v>
      </c>
      <c r="E325" s="58">
        <v>45352.0</v>
      </c>
      <c r="F325" s="145"/>
      <c r="G325" s="59" t="s">
        <v>39</v>
      </c>
      <c r="H325" s="60">
        <f>IF( ISERROR( OFFSET(   'Cuadro tarifario'!D$2  , MATCH(CONCATENATE(                 IF(F325&gt;Mes,OFFSET(NroCT!B$17, MATCH($F325,NroCT!$A$18:$A376,0),0,1,1),Periodovigente)                                                                                                                     ,A325) ,'Cuadro tarifario'!A$2:A376,0) -1 , 0 , 1 , 1) )   , 0  ,   OFFSET(   'Cuadro tarifario'!D$2  , MATCH(CONCATENATE( IF(F325&gt;Mes,OFFSET(NroCT!B$17, MATCH($F325,NroCT!$A$18:$A376,0),0,1,1),Periodovigente) ,A325) ,'Cuadro tarifario'!A$2:A376,0) -1 , 0 , 1 , 1))</f>
        <v>9000</v>
      </c>
      <c r="I325" s="61">
        <f t="shared" si="64"/>
        <v>0</v>
      </c>
      <c r="J325" s="60">
        <f t="shared" si="54"/>
        <v>0</v>
      </c>
      <c r="K325" s="62">
        <f>IF(  AND(N325&gt;0,I325=0)          ,N325 ,                         IF(  IF( F325 ,  DAYS360(DATE(YEAR(F325),MONTH(F325),1),Mes)/30  ,  DAYS360(DATE(YEAR(E325),MONTH(E325),1),Mes)/30  )  &gt;  0 , IF(F325,   DAYS360(DATE(YEAR(F325),MONTH(F325),1),Mes)/30  ,  DAYS360(DATE(YEAR(E325),MONTH(E325),1),Mes)/30) , 0)       )</f>
        <v>17</v>
      </c>
      <c r="L325" s="63">
        <f t="shared" si="65"/>
        <v>153000</v>
      </c>
      <c r="M325" s="162" t="s">
        <v>485</v>
      </c>
      <c r="N325" s="97">
        <f>IF( ISERROR(OFFSET(SECUESTRADOS!D$1,MATCH(B325,SECUESTRADOS!A$2:A376,0),0)) ,0 ,  OFFSET(SECUESTRADOS!D$1,MATCH(B325,SECUESTRADOS!A$2:A376,0),0)  )</f>
        <v>0</v>
      </c>
      <c r="O325" s="98"/>
      <c r="P325" s="99" t="b">
        <f t="shared" si="66"/>
        <v>0</v>
      </c>
      <c r="Q325" s="99" t="str">
        <f t="shared" si="67"/>
        <v>#REF!</v>
      </c>
      <c r="R325" s="130"/>
      <c r="S325" s="130"/>
      <c r="T325" s="130"/>
    </row>
    <row r="326" ht="15.0" customHeight="1">
      <c r="A326" s="18" t="s">
        <v>71</v>
      </c>
      <c r="B326" s="18">
        <v>1776.0</v>
      </c>
      <c r="C326" s="19">
        <v>1776.0</v>
      </c>
      <c r="D326" s="20" t="str">
        <f>IF(   ISERROR(OFFSET(PADRON!B$2,MATCH(C:C,PADRON!A$2:A376,0)-1,0,1,1) )  ,  ,    OFFSET(PADRON!B$2,MATCH(C:C,PADRON!A$2:A376,0)-1,0,1,1))</f>
        <v>POZZI, ALEJANDRA</v>
      </c>
      <c r="E326" s="21">
        <v>45323.0</v>
      </c>
      <c r="F326" s="21"/>
      <c r="G326" s="23" t="s">
        <v>39</v>
      </c>
      <c r="H326" s="24">
        <f>IF( ISERROR( OFFSET(   'Cuadro tarifario'!D$2  , MATCH(CONCATENATE(                 IF(F326&gt;Mes,OFFSET(NroCT!B$17, MATCH($F326,NroCT!$A$18:$A376,0),0,1,1),Periodovigente)                                                                                                                     ,A326) ,'Cuadro tarifario'!A$2:A376,0) -1 , 0 , 1 , 1) )   , 0  ,   OFFSET(   'Cuadro tarifario'!D$2  , MATCH(CONCATENATE( IF(F326&gt;Mes,OFFSET(NroCT!B$17, MATCH($F326,NroCT!$A$18:$A376,0),0,1,1),Periodovigente) ,A326) ,'Cuadro tarifario'!A$2:A376,0) -1 , 0 , 1 , 1))</f>
        <v>11000</v>
      </c>
      <c r="I326" s="106">
        <f t="shared" si="64"/>
        <v>0</v>
      </c>
      <c r="J326" s="107">
        <f t="shared" si="54"/>
        <v>0</v>
      </c>
      <c r="K326" s="108">
        <f>IF(  AND(N326&gt;0,I326=0)          ,N326 ,                         IF(  IF( F326 ,  DAYS360(DATE(YEAR(F326),MONTH(F326),1),Mes)/30  ,  DAYS360(DATE(YEAR(E326),MONTH(E326),1),Mes)/30  )  &gt;  0 , IF(F326,   DAYS360(DATE(YEAR(F326),MONTH(F326),1),Mes)/30  ,  DAYS360(DATE(YEAR(E326),MONTH(E326),1),Mes)/30) , 0)       )</f>
        <v>18</v>
      </c>
      <c r="L326" s="109">
        <f t="shared" si="65"/>
        <v>198000</v>
      </c>
      <c r="M326" s="110"/>
      <c r="N326" s="29">
        <f>IF( ISERROR(OFFSET(SECUESTRADOS!D$1,MATCH(B326,SECUESTRADOS!A$2:A376,0),0)) ,0 ,  OFFSET(SECUESTRADOS!D$1,MATCH(B326,SECUESTRADOS!A$2:A376,0),0)  )</f>
        <v>0</v>
      </c>
      <c r="O326" s="30"/>
      <c r="P326" s="17" t="b">
        <f t="shared" si="66"/>
        <v>0</v>
      </c>
      <c r="Q326" s="17" t="str">
        <f>IF(AND(A326=#REF!,B326=#REF!,C326=#REF!),"Repetido","")</f>
        <v>#REF!</v>
      </c>
      <c r="R326" s="31"/>
      <c r="S326" s="31"/>
      <c r="T326" s="31"/>
    </row>
    <row r="327" ht="15.0" customHeight="1">
      <c r="A327" s="18" t="s">
        <v>38</v>
      </c>
      <c r="B327" s="18">
        <v>1776.0</v>
      </c>
      <c r="C327" s="19">
        <v>1776.0</v>
      </c>
      <c r="D327" s="20" t="str">
        <f>IF(   ISERROR(OFFSET(PADRON!B$2,MATCH(C:C,PADRON!A$2:A376,0)-1,0,1,1) )  ,  ,    OFFSET(PADRON!B$2,MATCH(C:C,PADRON!A$2:A376,0)-1,0,1,1))</f>
        <v>POZZI, ALEJANDRA</v>
      </c>
      <c r="E327" s="21">
        <v>45323.0</v>
      </c>
      <c r="F327" s="21"/>
      <c r="G327" s="23" t="s">
        <v>39</v>
      </c>
      <c r="H327" s="24">
        <f>IF( ISERROR( OFFSET(   'Cuadro tarifario'!D$2  , MATCH(CONCATENATE(                 IF(F327&gt;Mes,OFFSET(NroCT!B$17, MATCH($F327,NroCT!$A$18:$A376,0),0,1,1),Periodovigente)                                                                                                                     ,A327) ,'Cuadro tarifario'!A$2:A376,0) -1 , 0 , 1 , 1) )   , 0  ,   OFFSET(   'Cuadro tarifario'!D$2  , MATCH(CONCATENATE( IF(F327&gt;Mes,OFFSET(NroCT!B$17, MATCH($F327,NroCT!$A$18:$A376,0),0,1,1),Periodovigente) ,A327) ,'Cuadro tarifario'!A$2:A376,0) -1 , 0 , 1 , 1))</f>
        <v>9000</v>
      </c>
      <c r="I327" s="106">
        <f t="shared" si="64"/>
        <v>0</v>
      </c>
      <c r="J327" s="107">
        <f t="shared" si="54"/>
        <v>0</v>
      </c>
      <c r="K327" s="108">
        <f>IF(  AND(N327&gt;0,I327=0)          ,N327 ,                         IF(  IF( F327 ,  DAYS360(DATE(YEAR(F327),MONTH(F327),1),Mes)/30  ,  DAYS360(DATE(YEAR(E327),MONTH(E327),1),Mes)/30  )  &gt;  0 , IF(F327,   DAYS360(DATE(YEAR(F327),MONTH(F327),1),Mes)/30  ,  DAYS360(DATE(YEAR(E327),MONTH(E327),1),Mes)/30) , 0)       )</f>
        <v>18</v>
      </c>
      <c r="L327" s="109">
        <f t="shared" si="65"/>
        <v>162000</v>
      </c>
      <c r="M327" s="110"/>
      <c r="N327" s="29">
        <f>IF( ISERROR(OFFSET(SECUESTRADOS!D$1,MATCH(B327,SECUESTRADOS!A$2:A376,0),0)) ,0 ,  OFFSET(SECUESTRADOS!D$1,MATCH(B327,SECUESTRADOS!A$2:A376,0),0)  )</f>
        <v>0</v>
      </c>
      <c r="O327" s="30"/>
      <c r="P327" s="17" t="b">
        <f t="shared" si="66"/>
        <v>0</v>
      </c>
      <c r="Q327" s="17" t="str">
        <f>IF(AND(A327=A326,B327=B326,C327=C326),"Repetido","")</f>
        <v/>
      </c>
      <c r="R327" s="31"/>
      <c r="S327" s="31"/>
      <c r="T327" s="31"/>
    </row>
    <row r="328" ht="15.0" customHeight="1">
      <c r="A328" s="18" t="s">
        <v>71</v>
      </c>
      <c r="B328" s="18">
        <v>1792.0</v>
      </c>
      <c r="C328" s="19">
        <v>1792.0</v>
      </c>
      <c r="D328" s="20" t="str">
        <f>IF(   ISERROR(OFFSET(PADRON!B$2,MATCH(C:C,PADRON!A$2:A376,0)-1,0,1,1) )  ,  ,    OFFSET(PADRON!B$2,MATCH(C:C,PADRON!A$2:A376,0)-1,0,1,1))</f>
        <v>FIGUEIRA, GERMÁN</v>
      </c>
      <c r="E328" s="21">
        <v>45323.0</v>
      </c>
      <c r="F328" s="58"/>
      <c r="G328" s="23" t="s">
        <v>39</v>
      </c>
      <c r="H328" s="24">
        <f>IF( ISERROR( OFFSET(   'Cuadro tarifario'!D$2  , MATCH(CONCATENATE(                 IF(F328&gt;Mes,OFFSET(NroCT!B$17, MATCH($F328,NroCT!$A$18:$A376,0),0,1,1),Periodovigente)                                                                                                                     ,A328) ,'Cuadro tarifario'!A$2:A376,0) -1 , 0 , 1 , 1) )   , 0  ,   OFFSET(   'Cuadro tarifario'!D$2  , MATCH(CONCATENATE( IF(F328&gt;Mes,OFFSET(NroCT!B$17, MATCH($F328,NroCT!$A$18:$A376,0),0,1,1),Periodovigente) ,A328) ,'Cuadro tarifario'!A$2:A376,0) -1 , 0 , 1 , 1))</f>
        <v>11000</v>
      </c>
      <c r="I328" s="106">
        <f t="shared" si="64"/>
        <v>0</v>
      </c>
      <c r="J328" s="107">
        <f t="shared" si="54"/>
        <v>0</v>
      </c>
      <c r="K328" s="108">
        <f>IF(  AND(N328&gt;0,I328=0)          ,N328 ,                         IF(  IF( F328 ,  DAYS360(DATE(YEAR(F328),MONTH(F328),1),Mes)/30  ,  DAYS360(DATE(YEAR(E328),MONTH(E328),1),Mes)/30  )  &gt;  0 , IF(F328,   DAYS360(DATE(YEAR(F328),MONTH(F328),1),Mes)/30  ,  DAYS360(DATE(YEAR(E328),MONTH(E328),1),Mes)/30) , 0)       )</f>
        <v>18</v>
      </c>
      <c r="L328" s="109">
        <f t="shared" si="65"/>
        <v>198000</v>
      </c>
      <c r="M328" s="110"/>
      <c r="N328" s="29">
        <f>IF( ISERROR(OFFSET(SECUESTRADOS!D$1,MATCH(B328,SECUESTRADOS!A$2:A376,0),0)) ,0 ,  OFFSET(SECUESTRADOS!D$1,MATCH(B328,SECUESTRADOS!A$2:A376,0),0)  )</f>
        <v>0</v>
      </c>
      <c r="O328" s="30"/>
      <c r="P328" s="17" t="b">
        <f t="shared" si="66"/>
        <v>0</v>
      </c>
      <c r="Q328" s="17" t="str">
        <f>IF(AND(A328=#REF!,B328=#REF!,C328=#REF!),"Repetido","")</f>
        <v>#REF!</v>
      </c>
      <c r="R328" s="31"/>
      <c r="S328" s="31"/>
      <c r="T328" s="31"/>
    </row>
    <row r="329" ht="15.0" customHeight="1">
      <c r="A329" s="18" t="s">
        <v>38</v>
      </c>
      <c r="B329" s="18">
        <v>1792.0</v>
      </c>
      <c r="C329" s="19">
        <v>1792.0</v>
      </c>
      <c r="D329" s="20" t="str">
        <f>IF(   ISERROR(OFFSET(PADRON!B$2,MATCH(C:C,PADRON!A$2:A376,0)-1,0,1,1) )  ,  ,    OFFSET(PADRON!B$2,MATCH(C:C,PADRON!A$2:A376,0)-1,0,1,1))</f>
        <v>FIGUEIRA, GERMÁN</v>
      </c>
      <c r="E329" s="21">
        <v>45323.0</v>
      </c>
      <c r="F329" s="58"/>
      <c r="G329" s="23" t="s">
        <v>39</v>
      </c>
      <c r="H329" s="24">
        <f>IF( ISERROR( OFFSET(   'Cuadro tarifario'!D$2  , MATCH(CONCATENATE(                 IF(F329&gt;Mes,OFFSET(NroCT!B$17, MATCH($F329,NroCT!$A$18:$A376,0),0,1,1),Periodovigente)                                                                                                                     ,A329) ,'Cuadro tarifario'!A$2:A376,0) -1 , 0 , 1 , 1) )   , 0  ,   OFFSET(   'Cuadro tarifario'!D$2  , MATCH(CONCATENATE( IF(F329&gt;Mes,OFFSET(NroCT!B$17, MATCH($F329,NroCT!$A$18:$A376,0),0,1,1),Periodovigente) ,A329) ,'Cuadro tarifario'!A$2:A376,0) -1 , 0 , 1 , 1))</f>
        <v>9000</v>
      </c>
      <c r="I329" s="106">
        <f t="shared" si="64"/>
        <v>0</v>
      </c>
      <c r="J329" s="107">
        <f t="shared" si="54"/>
        <v>0</v>
      </c>
      <c r="K329" s="108">
        <f>IF(  AND(N329&gt;0,I329=0)          ,N329 ,                         IF(  IF( F329 ,  DAYS360(DATE(YEAR(F329),MONTH(F329),1),Mes)/30  ,  DAYS360(DATE(YEAR(E329),MONTH(E329),1),Mes)/30  )  &gt;  0 , IF(F329,   DAYS360(DATE(YEAR(F329),MONTH(F329),1),Mes)/30  ,  DAYS360(DATE(YEAR(E329),MONTH(E329),1),Mes)/30) , 0)       )</f>
        <v>18</v>
      </c>
      <c r="L329" s="109">
        <f t="shared" si="65"/>
        <v>162000</v>
      </c>
      <c r="M329" s="110"/>
      <c r="N329" s="29">
        <f>IF( ISERROR(OFFSET(SECUESTRADOS!D$1,MATCH(B329,SECUESTRADOS!A$2:A376,0),0)) ,0 ,  OFFSET(SECUESTRADOS!D$1,MATCH(B329,SECUESTRADOS!A$2:A376,0),0)  )</f>
        <v>0</v>
      </c>
      <c r="O329" s="30"/>
      <c r="P329" s="17" t="b">
        <f t="shared" si="66"/>
        <v>0</v>
      </c>
      <c r="Q329" s="17" t="str">
        <f>IF(AND(A329=A328,B329=B328,C329=C328),"Repetido","")</f>
        <v/>
      </c>
      <c r="R329" s="31"/>
      <c r="S329" s="31"/>
      <c r="T329" s="31"/>
    </row>
    <row r="330" ht="15.0" customHeight="1">
      <c r="A330" s="18" t="s">
        <v>71</v>
      </c>
      <c r="B330" s="18">
        <v>1793.0</v>
      </c>
      <c r="C330" s="19">
        <v>1793.0</v>
      </c>
      <c r="D330" s="20" t="str">
        <f>IF(   ISERROR(OFFSET(PADRON!B$2,MATCH(C:C,PADRON!A$2:A376,0)-1,0,1,1) )  ,  ,    OFFSET(PADRON!B$2,MATCH(C:C,PADRON!A$2:A376,0)-1,0,1,1))</f>
        <v>ASSAD, VERÓNICA PATRICIA</v>
      </c>
      <c r="E330" s="58">
        <v>45323.0</v>
      </c>
      <c r="F330" s="58"/>
      <c r="G330" s="59" t="s">
        <v>39</v>
      </c>
      <c r="H330" s="60">
        <f>IF( ISERROR( OFFSET(   'Cuadro tarifario'!D$2  , MATCH(CONCATENATE(                 IF(F330&gt;Mes,OFFSET(NroCT!B$17, MATCH($F330,NroCT!$A$18:$A376,0),0,1,1),Periodovigente)                                                                                                                     ,A330) ,'Cuadro tarifario'!A$2:A376,0) -1 , 0 , 1 , 1) )   , 0  ,   OFFSET(   'Cuadro tarifario'!D$2  , MATCH(CONCATENATE( IF(F330&gt;Mes,OFFSET(NroCT!B$17, MATCH($F330,NroCT!$A$18:$A376,0),0,1,1),Periodovigente) ,A330) ,'Cuadro tarifario'!A$2:A376,0) -1 , 0 , 1 , 1))</f>
        <v>11000</v>
      </c>
      <c r="I330" s="61">
        <f t="shared" si="64"/>
        <v>0</v>
      </c>
      <c r="J330" s="60">
        <f t="shared" si="54"/>
        <v>0</v>
      </c>
      <c r="K330" s="62">
        <f>IF(  AND(N330&gt;0,I330=0)          ,N330 ,                         IF(  IF( F330 ,  DAYS360(DATE(YEAR(F330),MONTH(F330),1),Mes)/30  ,  DAYS360(DATE(YEAR(E330),MONTH(E330),1),Mes)/30  )  &gt;  0 , IF(F330,   DAYS360(DATE(YEAR(F330),MONTH(F330),1),Mes)/30  ,  DAYS360(DATE(YEAR(E330),MONTH(E330),1),Mes)/30) , 0)       )</f>
        <v>18</v>
      </c>
      <c r="L330" s="63">
        <f t="shared" si="65"/>
        <v>198000</v>
      </c>
      <c r="M330" s="129"/>
      <c r="N330" s="98">
        <f>IF( ISERROR(OFFSET(SECUESTRADOS!D$1,MATCH(B330,SECUESTRADOS!A$2:A376,0),0)) ,0 ,  OFFSET(SECUESTRADOS!D$1,MATCH(B330,SECUESTRADOS!A$2:A376,0),0)  )</f>
        <v>0</v>
      </c>
      <c r="O330" s="98"/>
      <c r="P330" s="98" t="b">
        <f t="shared" si="66"/>
        <v>0</v>
      </c>
      <c r="Q330" s="98" t="str">
        <f t="shared" ref="Q330:Q331" si="68">IF(AND(A330=#REF!,B330=#REF!,C330=#REF!),"Repetido","")</f>
        <v>#REF!</v>
      </c>
      <c r="R330" s="130"/>
      <c r="S330" s="130"/>
      <c r="T330" s="130"/>
    </row>
    <row r="331" ht="15.75" customHeight="1">
      <c r="A331" s="18" t="s">
        <v>38</v>
      </c>
      <c r="B331" s="18">
        <v>1793.0</v>
      </c>
      <c r="C331" s="19">
        <v>1793.0</v>
      </c>
      <c r="D331" s="20" t="str">
        <f>IF(   ISERROR(OFFSET(PADRON!B$2,MATCH(C:C,PADRON!A$2:A376,0)-1,0,1,1) )  ,  ,    OFFSET(PADRON!B$2,MATCH(C:C,PADRON!A$2:A376,0)-1,0,1,1))</f>
        <v>ASSAD, VERÓNICA PATRICIA</v>
      </c>
      <c r="E331" s="58">
        <v>45323.0</v>
      </c>
      <c r="F331" s="58"/>
      <c r="G331" s="59" t="s">
        <v>39</v>
      </c>
      <c r="H331" s="60">
        <f>IF( ISERROR( OFFSET(   'Cuadro tarifario'!D$2  , MATCH(CONCATENATE(                 IF(F331&gt;Mes,OFFSET(NroCT!B$17, MATCH($F331,NroCT!$A$18:$A376,0),0,1,1),Periodovigente)                                                                                                                     ,A331) ,'Cuadro tarifario'!A$2:A376,0) -1 , 0 , 1 , 1) )   , 0  ,   OFFSET(   'Cuadro tarifario'!D$2  , MATCH(CONCATENATE( IF(F331&gt;Mes,OFFSET(NroCT!B$17, MATCH($F331,NroCT!$A$18:$A376,0),0,1,1),Periodovigente) ,A331) ,'Cuadro tarifario'!A$2:A376,0) -1 , 0 , 1 , 1))</f>
        <v>9000</v>
      </c>
      <c r="I331" s="61">
        <f t="shared" si="64"/>
        <v>0</v>
      </c>
      <c r="J331" s="60">
        <f t="shared" si="54"/>
        <v>0</v>
      </c>
      <c r="K331" s="62">
        <f>IF(  AND(N331&gt;0,I331=0)          ,N331 ,                         IF(  IF( F331 ,  DAYS360(DATE(YEAR(F331),MONTH(F331),1),Mes)/30  ,  DAYS360(DATE(YEAR(E331),MONTH(E331),1),Mes)/30  )  &gt;  0 , IF(F331,   DAYS360(DATE(YEAR(F331),MONTH(F331),1),Mes)/30  ,  DAYS360(DATE(YEAR(E331),MONTH(E331),1),Mes)/30) , 0)       )</f>
        <v>18</v>
      </c>
      <c r="L331" s="63">
        <f t="shared" si="65"/>
        <v>162000</v>
      </c>
      <c r="M331" s="129"/>
      <c r="N331" s="98">
        <f>IF( ISERROR(OFFSET(SECUESTRADOS!D$1,MATCH(B331,SECUESTRADOS!A$2:A376,0),0)) ,0 ,  OFFSET(SECUESTRADOS!D$1,MATCH(B331,SECUESTRADOS!A$2:A376,0),0)  )</f>
        <v>0</v>
      </c>
      <c r="O331" s="98"/>
      <c r="P331" s="98" t="b">
        <f t="shared" si="66"/>
        <v>0</v>
      </c>
      <c r="Q331" s="98" t="str">
        <f t="shared" si="68"/>
        <v>#REF!</v>
      </c>
      <c r="R331" s="130"/>
      <c r="S331" s="130"/>
      <c r="T331" s="130"/>
    </row>
    <row r="332">
      <c r="A332" s="155" t="s">
        <v>71</v>
      </c>
      <c r="B332" s="142">
        <v>2190.0</v>
      </c>
      <c r="C332" s="143">
        <v>2190.0</v>
      </c>
      <c r="D332" s="144" t="str">
        <f>IF(   ISERROR(OFFSET(PADRON!B$2,MATCH(C:C,PADRON!A$2:A376,0)-1,0,1,1) )  ,  ,    OFFSET(PADRON!B$2,MATCH(C:C,PADRON!A$2:A376,0)-1,0,1,1))</f>
        <v>CEDOLA, GERMAN</v>
      </c>
      <c r="E332" s="145">
        <v>45323.0</v>
      </c>
      <c r="F332" s="145"/>
      <c r="G332" s="146" t="s">
        <v>39</v>
      </c>
      <c r="H332" s="147">
        <f>IF( ISERROR( OFFSET(   'Cuadro tarifario'!D$2  , MATCH(CONCATENATE(                 IF(F332&gt;Mes,OFFSET(NroCT!B$17, MATCH($F332,NroCT!$A$18:$A376,0),0,1,1),Periodovigente)                                                                                                                     ,A332) ,'Cuadro tarifario'!A$2:A376,0) -1 , 0 , 1 , 1) )   , 0  ,   OFFSET(   'Cuadro tarifario'!D$2  , MATCH(CONCATENATE( IF(F332&gt;Mes,OFFSET(NroCT!B$17, MATCH($F332,NroCT!$A$18:$A376,0),0,1,1),Periodovigente) ,A332) ,'Cuadro tarifario'!A$2:A376,0) -1 , 0 , 1 , 1))</f>
        <v>11000</v>
      </c>
      <c r="I332" s="148">
        <f t="shared" si="64"/>
        <v>0</v>
      </c>
      <c r="J332" s="147">
        <f t="shared" si="54"/>
        <v>0</v>
      </c>
      <c r="K332" s="149">
        <f>IF(  AND(N332&gt;0,I332=0)          ,N332 ,                         IF(  IF( F332 ,  DAYS360(DATE(YEAR(F332),MONTH(F332),1),Mes)/30  ,  DAYS360(DATE(YEAR(E332),MONTH(E332),1),Mes)/30  )  &gt;  0 , IF(F332,   DAYS360(DATE(YEAR(F332),MONTH(F332),1),Mes)/30  ,  DAYS360(DATE(YEAR(E332),MONTH(E332),1),Mes)/30) , 0)       )</f>
        <v>18</v>
      </c>
      <c r="L332" s="150">
        <f t="shared" si="65"/>
        <v>198000</v>
      </c>
      <c r="M332" s="151"/>
      <c r="N332" s="152">
        <f>IF( ISERROR(OFFSET(SECUESTRADOS!D$1,MATCH(B332,SECUESTRADOS!A$2:A376,0),0)) ,0 ,  OFFSET(SECUESTRADOS!D$1,MATCH(B332,SECUESTRADOS!A$2:A376,0),0)  )</f>
        <v>0</v>
      </c>
      <c r="O332" s="153"/>
      <c r="P332" s="154" t="b">
        <f t="shared" si="66"/>
        <v>0</v>
      </c>
      <c r="Q332" s="154" t="str">
        <f t="shared" ref="Q332:Q333" si="69">IF(AND(A332=#REF!,B332=#REF!,C332=#REF!),"Repetido","")</f>
        <v>#REF!</v>
      </c>
      <c r="R332" s="130"/>
      <c r="S332" s="130"/>
      <c r="T332" s="130"/>
    </row>
    <row r="333">
      <c r="A333" s="155" t="s">
        <v>38</v>
      </c>
      <c r="B333" s="142">
        <v>2190.0</v>
      </c>
      <c r="C333" s="143">
        <v>2190.0</v>
      </c>
      <c r="D333" s="144" t="str">
        <f>IF(   ISERROR(OFFSET(PADRON!B$2,MATCH(C:C,PADRON!A$2:A376,0)-1,0,1,1) )  ,  ,    OFFSET(PADRON!B$2,MATCH(C:C,PADRON!A$2:A376,0)-1,0,1,1))</f>
        <v>CEDOLA, GERMAN</v>
      </c>
      <c r="E333" s="145">
        <v>45323.0</v>
      </c>
      <c r="F333" s="145"/>
      <c r="G333" s="146" t="s">
        <v>39</v>
      </c>
      <c r="H333" s="147">
        <f>IF( ISERROR( OFFSET(   'Cuadro tarifario'!D$2  , MATCH(CONCATENATE(                 IF(F333&gt;Mes,OFFSET(NroCT!B$17, MATCH($F333,NroCT!$A$18:$A376,0),0,1,1),Periodovigente)                                                                                                                     ,A333) ,'Cuadro tarifario'!A$2:A376,0) -1 , 0 , 1 , 1) )   , 0  ,   OFFSET(   'Cuadro tarifario'!D$2  , MATCH(CONCATENATE( IF(F333&gt;Mes,OFFSET(NroCT!B$17, MATCH($F333,NroCT!$A$18:$A376,0),0,1,1),Periodovigente) ,A333) ,'Cuadro tarifario'!A$2:A376,0) -1 , 0 , 1 , 1))</f>
        <v>9000</v>
      </c>
      <c r="I333" s="148">
        <f t="shared" si="64"/>
        <v>0</v>
      </c>
      <c r="J333" s="147">
        <f t="shared" si="54"/>
        <v>0</v>
      </c>
      <c r="K333" s="149">
        <f>IF(  AND(N333&gt;0,I333=0)          ,N333 ,                         IF(  IF( F333 ,  DAYS360(DATE(YEAR(F333),MONTH(F333),1),Mes)/30  ,  DAYS360(DATE(YEAR(E333),MONTH(E333),1),Mes)/30  )  &gt;  0 , IF(F333,   DAYS360(DATE(YEAR(F333),MONTH(F333),1),Mes)/30  ,  DAYS360(DATE(YEAR(E333),MONTH(E333),1),Mes)/30) , 0)       )</f>
        <v>18</v>
      </c>
      <c r="L333" s="150">
        <f t="shared" si="65"/>
        <v>162000</v>
      </c>
      <c r="M333" s="151"/>
      <c r="N333" s="152">
        <f>IF( ISERROR(OFFSET(SECUESTRADOS!D$1,MATCH(B333,SECUESTRADOS!A$2:A376,0),0)) ,0 ,  OFFSET(SECUESTRADOS!D$1,MATCH(B333,SECUESTRADOS!A$2:A376,0),0)  )</f>
        <v>0</v>
      </c>
      <c r="O333" s="153"/>
      <c r="P333" s="154" t="b">
        <f t="shared" si="66"/>
        <v>0</v>
      </c>
      <c r="Q333" s="154" t="str">
        <f t="shared" si="69"/>
        <v>#REF!</v>
      </c>
      <c r="R333" s="130"/>
      <c r="S333" s="130"/>
      <c r="T333" s="130"/>
    </row>
    <row r="334" ht="15.0" customHeight="1">
      <c r="A334" s="74" t="s">
        <v>71</v>
      </c>
      <c r="B334" s="74">
        <v>1619.0</v>
      </c>
      <c r="C334" s="19">
        <v>1619.0</v>
      </c>
      <c r="D334" s="44" t="str">
        <f>if(   iserror(offset(PADRON!B$2,match(C:C,PADRON!A$2:A376,0)-1,0,1,1) )  ,  ,    offset(PADRON!B$2,match(C:C,PADRON!A$2:A376,0)-1,0,1,1))</f>
        <v>ARRASTIA, TOMAS</v>
      </c>
      <c r="E334" s="45">
        <v>45383.0</v>
      </c>
      <c r="F334" s="45"/>
      <c r="G334" s="23" t="s">
        <v>39</v>
      </c>
      <c r="H334" s="35">
        <f>IF( ISERROR( OFFSET(   'Cuadro tarifario'!D$2  , MATCH(CONCATENATE(                 IF(F334&gt;Mes,OFFSET(NroCT!B$17, MATCH($F334,NroCT!$A$18:$A376,0),0,1,1),Periodovigente)                                                                                                                     ,A334) ,'Cuadro tarifario'!A$2:A376,0) -1 , 0 , 1 , 1) )   , 0  ,   OFFSET(   'Cuadro tarifario'!D$2  , MATCH(CONCATENATE( IF(F334&gt;Mes,OFFSET(NroCT!B$17, MATCH($F334,NroCT!$A$18:$A376,0),0,1,1),Periodovigente) ,A334) ,'Cuadro tarifario'!A$2:A376,0) -1 , 0 , 1 , 1))</f>
        <v>11000</v>
      </c>
      <c r="I334" s="46">
        <f>Int(If(F334,DAYS360(          date(Year(E334),Month(E334),1),         date(Year(F334)     ,      Month(F334),1 )    )            /30,0 ))</f>
        <v>0</v>
      </c>
      <c r="J334" s="76">
        <f t="shared" si="54"/>
        <v>0</v>
      </c>
      <c r="K334" s="48">
        <f>if(  and(N334&gt;0,I334=0)          ,N334 ,                         If(  If( F334 ,  DAYS360(date(year(F334),month(F334),1),Mes)/30  ,  DAYS360(date(year(E334),month(E334),1),Mes)/30  )  &gt;  0 , If(F334,   DAYS360(date(year(F334),month(F334),1),Mes)/30  ,  DAYS360(date(year(E334),month(E334),1),Mes)/30) , 0)       )</f>
        <v>16</v>
      </c>
      <c r="L334" s="77">
        <f>If(Iserror(K:K*H:H)   ,  0   ,   K:K*H:H)</f>
        <v>176000</v>
      </c>
      <c r="M334" s="78"/>
      <c r="N334" s="29">
        <f>IF( ISERROR(OFFSET(SECUESTRADOS!D$1,MATCH(B334,SECUESTRADOS!A$2:A376,0),0)) ,0 ,  OFFSET(SECUESTRADOS!D$1,MATCH(B334,SECUESTRADOS!A$2:A376,0),0)  )</f>
        <v>0</v>
      </c>
      <c r="O334" s="30"/>
      <c r="P334" s="17" t="b">
        <f t="shared" si="66"/>
        <v>0</v>
      </c>
      <c r="Q334" s="17" t="str">
        <f>IF(AND(A334=#REF!,B334=#REF!,C334=#REF!),"Repetido","")</f>
        <v>#REF!</v>
      </c>
      <c r="R334" s="31"/>
      <c r="S334" s="31"/>
      <c r="T334" s="31"/>
    </row>
    <row r="335" ht="15.0" customHeight="1">
      <c r="A335" s="18" t="s">
        <v>38</v>
      </c>
      <c r="B335" s="17">
        <v>1619.0</v>
      </c>
      <c r="C335" s="19">
        <v>1619.0</v>
      </c>
      <c r="D335" s="20" t="str">
        <f>IF(   ISERROR(OFFSET(PADRON!B$2,MATCH(C:C,PADRON!A$2:A376,0)-1,0,1,1) )  ,  ,    OFFSET(PADRON!B$2,MATCH(C:C,PADRON!A$2:A376,0)-1,0,1,1))</f>
        <v>ARRASTIA, TOMAS</v>
      </c>
      <c r="E335" s="21">
        <v>45383.0</v>
      </c>
      <c r="F335" s="21"/>
      <c r="G335" s="23" t="s">
        <v>39</v>
      </c>
      <c r="H335" s="24">
        <f>IF( ISERROR( OFFSET(   'Cuadro tarifario'!D$2  , MATCH(CONCATENATE(                 IF(F335&gt;Mes,OFFSET(NroCT!B$17, MATCH($F335,NroCT!$A$18:$A376,0),0,1,1),Periodovigente)                                                                                                                     ,A335) ,'Cuadro tarifario'!A$2:A376,0) -1 , 0 , 1 , 1) )   , 0  ,   OFFSET(   'Cuadro tarifario'!D$2  , MATCH(CONCATENATE( IF(F335&gt;Mes,OFFSET(NroCT!B$17, MATCH($F335,NroCT!$A$18:$A376,0),0,1,1),Periodovigente) ,A335) ,'Cuadro tarifario'!A$2:A376,0) -1 , 0 , 1 , 1))</f>
        <v>9000</v>
      </c>
      <c r="I335" s="25">
        <f t="shared" ref="I335:I338" si="70">INT(IF(F335,DAYS360(          DATE(YEAR(E335),MONTH(E335),1),         DATE(YEAR(F335)     ,      MONTH(F335),1 )    )            /30,0 ))</f>
        <v>0</v>
      </c>
      <c r="J335" s="24">
        <f t="shared" si="54"/>
        <v>0</v>
      </c>
      <c r="K335" s="26">
        <f>IF(  AND(N335&gt;0,I335=0)          ,N335 ,                         IF(  IF( F335 ,  DAYS360(DATE(YEAR(F335),MONTH(F335),1),Mes)/30  ,  DAYS360(DATE(YEAR(E335),MONTH(E335),1),Mes)/30  )  &gt;  0 , IF(F335,   DAYS360(DATE(YEAR(F335),MONTH(F335),1),Mes)/30  ,  DAYS360(DATE(YEAR(E335),MONTH(E335),1),Mes)/30) , 0)       )</f>
        <v>16</v>
      </c>
      <c r="L335" s="27">
        <f t="shared" ref="L335:L338" si="71">IF(ISERROR(K:K*H:H)   ,  0   ,   K:K*H:H)</f>
        <v>144000</v>
      </c>
      <c r="M335" s="28"/>
      <c r="N335" s="29">
        <f>IF( ISERROR(OFFSET(SECUESTRADOS!D$1,MATCH(B335,SECUESTRADOS!A$2:A376,0),0)) ,0 ,  OFFSET(SECUESTRADOS!D$1,MATCH(B335,SECUESTRADOS!A$2:A376,0),0)  )</f>
        <v>0</v>
      </c>
      <c r="O335" s="30"/>
      <c r="P335" s="17" t="b">
        <f t="shared" si="66"/>
        <v>0</v>
      </c>
      <c r="Q335" s="17" t="str">
        <f>IF(AND(A335=A334,B335=B334,C335=C334),"Repetido","")</f>
        <v/>
      </c>
      <c r="R335" s="31"/>
      <c r="S335" s="31"/>
      <c r="T335" s="31"/>
    </row>
    <row r="336" ht="15.0" customHeight="1">
      <c r="A336" s="18" t="s">
        <v>71</v>
      </c>
      <c r="B336" s="18">
        <v>1795.0</v>
      </c>
      <c r="C336" s="19">
        <v>1795.0</v>
      </c>
      <c r="D336" s="20" t="str">
        <f>IF(   ISERROR(OFFSET(PADRON!B$2,MATCH(C:C,PADRON!A$2:A376,0)-1,0,1,1) )  ,  ,    OFFSET(PADRON!B$2,MATCH(C:C,PADRON!A$2:A376,0)-1,0,1,1))</f>
        <v>VERZA, RODRIGO</v>
      </c>
      <c r="E336" s="58">
        <v>45413.0</v>
      </c>
      <c r="F336" s="58"/>
      <c r="G336" s="59" t="s">
        <v>39</v>
      </c>
      <c r="H336" s="60">
        <f>IF( ISERROR( OFFSET(   'Cuadro tarifario'!D$2  , MATCH(CONCATENATE(                 IF(F336&gt;Mes,OFFSET(NroCT!B$17, MATCH($F336,NroCT!$A$18:$A376,0),0,1,1),Periodovigente)                                                                                                                     ,A336) ,'Cuadro tarifario'!A$2:A376,0) -1 , 0 , 1 , 1) )   , 0  ,   OFFSET(   'Cuadro tarifario'!D$2  , MATCH(CONCATENATE( IF(F336&gt;Mes,OFFSET(NroCT!B$17, MATCH($F336,NroCT!$A$18:$A376,0),0,1,1),Periodovigente) ,A336) ,'Cuadro tarifario'!A$2:A376,0) -1 , 0 , 1 , 1))</f>
        <v>11000</v>
      </c>
      <c r="I336" s="61">
        <f t="shared" si="70"/>
        <v>0</v>
      </c>
      <c r="J336" s="60">
        <f t="shared" si="54"/>
        <v>0</v>
      </c>
      <c r="K336" s="62">
        <f>IF(  AND(N336&gt;0,I336=0)          ,N336 ,                         IF(  IF( F336 ,  DAYS360(DATE(YEAR(F336),MONTH(F336),1),Mes)/30  ,  DAYS360(DATE(YEAR(E336),MONTH(E336),1),Mes)/30  )  &gt;  0 , IF(F336,   DAYS360(DATE(YEAR(F336),MONTH(F336),1),Mes)/30  ,  DAYS360(DATE(YEAR(E336),MONTH(E336),1),Mes)/30) , 0)       )</f>
        <v>15</v>
      </c>
      <c r="L336" s="63">
        <f t="shared" si="71"/>
        <v>165000</v>
      </c>
      <c r="M336" s="129"/>
      <c r="N336" s="98">
        <f>IF( ISERROR(OFFSET(SECUESTRADOS!D$1,MATCH(B336,SECUESTRADOS!A$2:A376,0),0)) ,0 ,  OFFSET(SECUESTRADOS!D$1,MATCH(B336,SECUESTRADOS!A$2:A376,0),0)  )</f>
        <v>0</v>
      </c>
      <c r="O336" s="98"/>
      <c r="P336" s="98" t="b">
        <f t="shared" si="66"/>
        <v>0</v>
      </c>
      <c r="Q336" s="98" t="str">
        <f t="shared" ref="Q336:Q338" si="72">IF(AND(A336=#REF!,B336=#REF!,C336=#REF!),"Repetido","")</f>
        <v>#REF!</v>
      </c>
      <c r="R336" s="130"/>
      <c r="S336" s="130"/>
      <c r="T336" s="130"/>
    </row>
    <row r="337" ht="15.0" customHeight="1">
      <c r="A337" s="18" t="s">
        <v>38</v>
      </c>
      <c r="B337" s="18">
        <v>1795.0</v>
      </c>
      <c r="C337" s="19">
        <v>1795.0</v>
      </c>
      <c r="D337" s="20" t="str">
        <f>IF(   ISERROR(OFFSET(PADRON!B$2,MATCH(C:C,PADRON!A$2:A376,0)-1,0,1,1) )  ,  ,    OFFSET(PADRON!B$2,MATCH(C:C,PADRON!A$2:A376,0)-1,0,1,1))</f>
        <v>VERZA, RODRIGO</v>
      </c>
      <c r="E337" s="58">
        <v>45413.0</v>
      </c>
      <c r="F337" s="58"/>
      <c r="G337" s="59" t="s">
        <v>39</v>
      </c>
      <c r="H337" s="60">
        <f>IF( ISERROR( OFFSET(   'Cuadro tarifario'!D$2  , MATCH(CONCATENATE(                 IF(F337&gt;Mes,OFFSET(NroCT!B$17, MATCH($F337,NroCT!$A$18:$A376,0),0,1,1),Periodovigente)                                                                                                                     ,A337) ,'Cuadro tarifario'!A$2:A376,0) -1 , 0 , 1 , 1) )   , 0  ,   OFFSET(   'Cuadro tarifario'!D$2  , MATCH(CONCATENATE( IF(F337&gt;Mes,OFFSET(NroCT!B$17, MATCH($F337,NroCT!$A$18:$A376,0),0,1,1),Periodovigente) ,A337) ,'Cuadro tarifario'!A$2:A376,0) -1 , 0 , 1 , 1))</f>
        <v>9000</v>
      </c>
      <c r="I337" s="61">
        <f t="shared" si="70"/>
        <v>0</v>
      </c>
      <c r="J337" s="60">
        <f t="shared" si="54"/>
        <v>0</v>
      </c>
      <c r="K337" s="62">
        <f>IF(  AND(N337&gt;0,I337=0)          ,N337 ,                         IF(  IF( F337 ,  DAYS360(DATE(YEAR(F337),MONTH(F337),1),Mes)/30  ,  DAYS360(DATE(YEAR(E337),MONTH(E337),1),Mes)/30  )  &gt;  0 , IF(F337,   DAYS360(DATE(YEAR(F337),MONTH(F337),1),Mes)/30  ,  DAYS360(DATE(YEAR(E337),MONTH(E337),1),Mes)/30) , 0)       )</f>
        <v>15</v>
      </c>
      <c r="L337" s="63">
        <f t="shared" si="71"/>
        <v>135000</v>
      </c>
      <c r="M337" s="129"/>
      <c r="N337" s="98">
        <f>IF( ISERROR(OFFSET(SECUESTRADOS!D$1,MATCH(B337,SECUESTRADOS!A$2:A376,0),0)) ,0 ,  OFFSET(SECUESTRADOS!D$1,MATCH(B337,SECUESTRADOS!A$2:A376,0),0)  )</f>
        <v>0</v>
      </c>
      <c r="O337" s="98"/>
      <c r="P337" s="98" t="b">
        <f t="shared" si="66"/>
        <v>0</v>
      </c>
      <c r="Q337" s="98" t="str">
        <f t="shared" si="72"/>
        <v>#REF!</v>
      </c>
      <c r="R337" s="130"/>
      <c r="S337" s="130"/>
      <c r="T337" s="130"/>
    </row>
    <row r="338" ht="15.0" customHeight="1">
      <c r="A338" s="18" t="s">
        <v>40</v>
      </c>
      <c r="B338" s="18" t="s">
        <v>477</v>
      </c>
      <c r="C338" s="19">
        <v>1795.0</v>
      </c>
      <c r="D338" s="20" t="str">
        <f>IF(   ISERROR(OFFSET(PADRON!B$2,MATCH(C:C,PADRON!A$2:A376,0)-1,0,1,1) )  ,  ,    OFFSET(PADRON!B$2,MATCH(C:C,PADRON!A$2:A376,0)-1,0,1,1))</f>
        <v>VERZA, RODRIGO</v>
      </c>
      <c r="E338" s="58">
        <v>45413.0</v>
      </c>
      <c r="F338" s="58"/>
      <c r="G338" s="59" t="s">
        <v>39</v>
      </c>
      <c r="H338" s="60">
        <f>IF( ISERROR( OFFSET(   'Cuadro tarifario'!D$2  , MATCH(CONCATENATE(                 IF(F338&gt;Mes,OFFSET(NroCT!B$17, MATCH($F338,NroCT!$A$18:$A376,0),0,1,1),Periodovigente)                                                                                                                     ,A338) ,'Cuadro tarifario'!A$2:A376,0) -1 , 0 , 1 , 1) )   , 0  ,   OFFSET(   'Cuadro tarifario'!D$2  , MATCH(CONCATENATE( IF(F338&gt;Mes,OFFSET(NroCT!B$17, MATCH($F338,NroCT!$A$18:$A376,0),0,1,1),Periodovigente) ,A338) ,'Cuadro tarifario'!A$2:A376,0) -1 , 0 , 1 , 1))</f>
        <v>12000</v>
      </c>
      <c r="I338" s="61">
        <f t="shared" si="70"/>
        <v>0</v>
      </c>
      <c r="J338" s="60">
        <f t="shared" si="54"/>
        <v>0</v>
      </c>
      <c r="K338" s="62">
        <f>IF(  AND(N338&gt;0,I338=0)          ,N338 ,                         IF(  IF( F338 ,  DAYS360(DATE(YEAR(F338),MONTH(F338),1),Mes)/30  ,  DAYS360(DATE(YEAR(E338),MONTH(E338),1),Mes)/30  )  &gt;  0 , IF(F338,   DAYS360(DATE(YEAR(F338),MONTH(F338),1),Mes)/30  ,  DAYS360(DATE(YEAR(E338),MONTH(E338),1),Mes)/30) , 0)       )</f>
        <v>15</v>
      </c>
      <c r="L338" s="63">
        <f t="shared" si="71"/>
        <v>180000</v>
      </c>
      <c r="M338" s="129"/>
      <c r="N338" s="98">
        <f>IF( ISERROR(OFFSET(SECUESTRADOS!D$1,MATCH(B338,SECUESTRADOS!A$2:A376,0),0)) ,0 ,  OFFSET(SECUESTRADOS!D$1,MATCH(B338,SECUESTRADOS!A$2:A376,0),0)  )</f>
        <v>0</v>
      </c>
      <c r="O338" s="98"/>
      <c r="P338" s="98" t="b">
        <f t="shared" si="66"/>
        <v>0</v>
      </c>
      <c r="Q338" s="98" t="str">
        <f t="shared" si="72"/>
        <v>#REF!</v>
      </c>
      <c r="R338" s="130"/>
      <c r="S338" s="130"/>
      <c r="T338" s="130"/>
    </row>
    <row r="339">
      <c r="A339" s="52"/>
      <c r="B339" s="31"/>
      <c r="C339" s="650"/>
      <c r="D339" s="165"/>
      <c r="E339" s="166"/>
      <c r="F339" s="651"/>
      <c r="G339" s="167"/>
      <c r="H339" s="168"/>
      <c r="I339" s="169"/>
      <c r="J339" s="168"/>
      <c r="K339" s="170"/>
      <c r="L339" s="171"/>
      <c r="M339" s="173"/>
      <c r="N339" s="130"/>
      <c r="O339" s="31"/>
      <c r="P339" s="31"/>
      <c r="Q339" s="31"/>
      <c r="R339" s="31"/>
      <c r="S339" s="31"/>
      <c r="T339" s="31"/>
    </row>
    <row r="340">
      <c r="A340" s="52"/>
      <c r="B340" s="31"/>
      <c r="C340" s="650"/>
      <c r="D340" s="165"/>
      <c r="E340" s="166"/>
      <c r="F340" s="651"/>
      <c r="G340" s="167"/>
      <c r="H340" s="168"/>
      <c r="I340" s="169"/>
      <c r="J340" s="168"/>
      <c r="K340" s="170"/>
      <c r="L340" s="171"/>
      <c r="M340" s="173"/>
      <c r="N340" s="130"/>
      <c r="O340" s="31"/>
      <c r="P340" s="31"/>
      <c r="Q340" s="31"/>
      <c r="R340" s="31"/>
      <c r="S340" s="31"/>
      <c r="T340" s="31"/>
    </row>
    <row r="341">
      <c r="A341" s="52"/>
      <c r="B341" s="31"/>
      <c r="C341" s="650"/>
      <c r="D341" s="165"/>
      <c r="E341" s="166"/>
      <c r="F341" s="651"/>
      <c r="G341" s="167"/>
      <c r="H341" s="168"/>
      <c r="I341" s="169"/>
      <c r="J341" s="168"/>
      <c r="K341" s="170"/>
      <c r="L341" s="171"/>
      <c r="M341" s="173"/>
      <c r="N341" s="130"/>
      <c r="O341" s="31"/>
      <c r="P341" s="31"/>
      <c r="Q341" s="31"/>
      <c r="R341" s="31"/>
      <c r="S341" s="31"/>
      <c r="T341" s="31"/>
    </row>
    <row r="342">
      <c r="A342" s="52"/>
      <c r="B342" s="31"/>
      <c r="C342" s="650"/>
      <c r="D342" s="165"/>
      <c r="E342" s="166"/>
      <c r="F342" s="651"/>
      <c r="G342" s="167"/>
      <c r="H342" s="168"/>
      <c r="I342" s="169"/>
      <c r="J342" s="168"/>
      <c r="K342" s="170"/>
      <c r="L342" s="171"/>
      <c r="M342" s="173"/>
      <c r="N342" s="130"/>
      <c r="O342" s="31"/>
      <c r="P342" s="31"/>
      <c r="Q342" s="31"/>
      <c r="R342" s="31"/>
      <c r="S342" s="31"/>
      <c r="T342" s="31"/>
    </row>
    <row r="343">
      <c r="A343" s="52"/>
      <c r="B343" s="31"/>
      <c r="C343" s="650"/>
      <c r="D343" s="165"/>
      <c r="E343" s="166"/>
      <c r="F343" s="651"/>
      <c r="G343" s="167"/>
      <c r="H343" s="168"/>
      <c r="I343" s="169"/>
      <c r="J343" s="168"/>
      <c r="K343" s="170"/>
      <c r="L343" s="171"/>
      <c r="M343" s="173"/>
      <c r="N343" s="130"/>
      <c r="O343" s="31"/>
      <c r="P343" s="31"/>
      <c r="Q343" s="31"/>
      <c r="R343" s="31"/>
      <c r="S343" s="31"/>
      <c r="T343" s="31"/>
    </row>
    <row r="344">
      <c r="A344" s="52"/>
      <c r="B344" s="31"/>
      <c r="C344" s="650"/>
      <c r="D344" s="165"/>
      <c r="E344" s="166"/>
      <c r="F344" s="651"/>
      <c r="G344" s="167"/>
      <c r="H344" s="168"/>
      <c r="I344" s="169"/>
      <c r="J344" s="168"/>
      <c r="K344" s="170"/>
      <c r="L344" s="171"/>
      <c r="M344" s="173"/>
      <c r="N344" s="130"/>
      <c r="O344" s="31"/>
      <c r="P344" s="31"/>
      <c r="Q344" s="31"/>
      <c r="R344" s="31"/>
      <c r="S344" s="31"/>
      <c r="T344" s="31"/>
    </row>
    <row r="345">
      <c r="A345" s="52"/>
      <c r="B345" s="31"/>
      <c r="C345" s="650"/>
      <c r="D345" s="165"/>
      <c r="E345" s="166"/>
      <c r="F345" s="651"/>
      <c r="G345" s="167"/>
      <c r="H345" s="168"/>
      <c r="I345" s="169"/>
      <c r="J345" s="168"/>
      <c r="K345" s="170"/>
      <c r="L345" s="171"/>
      <c r="M345" s="173"/>
      <c r="N345" s="130"/>
      <c r="O345" s="31"/>
      <c r="P345" s="31"/>
      <c r="Q345" s="31"/>
      <c r="R345" s="31"/>
      <c r="S345" s="31"/>
      <c r="T345" s="31"/>
    </row>
    <row r="346">
      <c r="A346" s="52"/>
      <c r="B346" s="31"/>
      <c r="C346" s="650"/>
      <c r="D346" s="165"/>
      <c r="E346" s="166"/>
      <c r="F346" s="651"/>
      <c r="G346" s="167"/>
      <c r="H346" s="168"/>
      <c r="I346" s="169"/>
      <c r="J346" s="168"/>
      <c r="K346" s="170"/>
      <c r="L346" s="171"/>
      <c r="M346" s="173"/>
      <c r="N346" s="130"/>
      <c r="O346" s="31"/>
      <c r="P346" s="31"/>
      <c r="Q346" s="31"/>
      <c r="R346" s="31"/>
      <c r="S346" s="31"/>
      <c r="T346" s="31"/>
    </row>
    <row r="347">
      <c r="A347" s="52"/>
      <c r="B347" s="31"/>
      <c r="C347" s="650"/>
      <c r="D347" s="165"/>
      <c r="E347" s="166"/>
      <c r="F347" s="651"/>
      <c r="G347" s="167"/>
      <c r="H347" s="168"/>
      <c r="I347" s="169"/>
      <c r="J347" s="168"/>
      <c r="K347" s="170"/>
      <c r="L347" s="171"/>
      <c r="M347" s="173"/>
      <c r="N347" s="130"/>
      <c r="O347" s="31"/>
      <c r="P347" s="31"/>
      <c r="Q347" s="31"/>
      <c r="R347" s="31"/>
      <c r="S347" s="31"/>
      <c r="T347" s="31"/>
    </row>
    <row r="348">
      <c r="A348" s="52"/>
      <c r="B348" s="31"/>
      <c r="C348" s="650"/>
      <c r="D348" s="165"/>
      <c r="E348" s="166"/>
      <c r="F348" s="651"/>
      <c r="G348" s="167"/>
      <c r="H348" s="168"/>
      <c r="I348" s="169"/>
      <c r="J348" s="168"/>
      <c r="K348" s="170"/>
      <c r="L348" s="171"/>
      <c r="M348" s="173"/>
      <c r="N348" s="130"/>
      <c r="O348" s="31"/>
      <c r="P348" s="31"/>
      <c r="Q348" s="31"/>
      <c r="R348" s="31"/>
      <c r="S348" s="31"/>
      <c r="T348" s="31"/>
    </row>
    <row r="349">
      <c r="A349" s="52"/>
      <c r="B349" s="31"/>
      <c r="C349" s="650"/>
      <c r="D349" s="165"/>
      <c r="E349" s="166"/>
      <c r="F349" s="651"/>
      <c r="G349" s="167"/>
      <c r="H349" s="168"/>
      <c r="I349" s="169"/>
      <c r="J349" s="168"/>
      <c r="K349" s="170"/>
      <c r="L349" s="171"/>
      <c r="M349" s="173"/>
      <c r="N349" s="130"/>
      <c r="O349" s="31"/>
      <c r="P349" s="31"/>
      <c r="Q349" s="31"/>
      <c r="R349" s="31"/>
      <c r="S349" s="31"/>
      <c r="T349" s="31"/>
    </row>
    <row r="350">
      <c r="A350" s="52"/>
      <c r="B350" s="31"/>
      <c r="C350" s="650"/>
      <c r="D350" s="165"/>
      <c r="E350" s="166"/>
      <c r="F350" s="651"/>
      <c r="G350" s="167"/>
      <c r="H350" s="168"/>
      <c r="I350" s="169"/>
      <c r="J350" s="168"/>
      <c r="K350" s="170"/>
      <c r="L350" s="171"/>
      <c r="M350" s="173"/>
      <c r="N350" s="130"/>
      <c r="O350" s="31"/>
      <c r="P350" s="31"/>
      <c r="Q350" s="31"/>
      <c r="R350" s="31"/>
      <c r="S350" s="31"/>
      <c r="T350" s="31"/>
    </row>
    <row r="351">
      <c r="A351" s="52"/>
      <c r="B351" s="31"/>
      <c r="C351" s="650"/>
      <c r="D351" s="165"/>
      <c r="E351" s="166"/>
      <c r="F351" s="651"/>
      <c r="G351" s="167"/>
      <c r="H351" s="168"/>
      <c r="I351" s="169"/>
      <c r="J351" s="168"/>
      <c r="K351" s="170"/>
      <c r="L351" s="171"/>
      <c r="M351" s="173"/>
      <c r="N351" s="130"/>
      <c r="O351" s="31"/>
      <c r="P351" s="31"/>
      <c r="Q351" s="31"/>
      <c r="R351" s="31"/>
      <c r="S351" s="31"/>
      <c r="T351" s="31"/>
    </row>
    <row r="352">
      <c r="A352" s="52"/>
      <c r="B352" s="31"/>
      <c r="C352" s="650"/>
      <c r="D352" s="165"/>
      <c r="E352" s="166"/>
      <c r="F352" s="651"/>
      <c r="G352" s="167"/>
      <c r="H352" s="168"/>
      <c r="I352" s="169"/>
      <c r="J352" s="168"/>
      <c r="K352" s="170"/>
      <c r="L352" s="171"/>
      <c r="M352" s="173"/>
      <c r="N352" s="130"/>
      <c r="O352" s="31"/>
      <c r="P352" s="31"/>
      <c r="Q352" s="31"/>
      <c r="R352" s="31"/>
      <c r="S352" s="31"/>
      <c r="T352" s="31"/>
    </row>
    <row r="353">
      <c r="A353" s="52"/>
      <c r="B353" s="31"/>
      <c r="C353" s="650"/>
      <c r="D353" s="165"/>
      <c r="E353" s="166"/>
      <c r="F353" s="651"/>
      <c r="G353" s="167"/>
      <c r="H353" s="168"/>
      <c r="I353" s="169"/>
      <c r="J353" s="168"/>
      <c r="K353" s="170"/>
      <c r="L353" s="171"/>
      <c r="M353" s="173"/>
      <c r="N353" s="130"/>
      <c r="O353" s="31"/>
      <c r="P353" s="31"/>
      <c r="Q353" s="31"/>
      <c r="R353" s="31"/>
      <c r="S353" s="31"/>
      <c r="T353" s="31"/>
    </row>
    <row r="354">
      <c r="A354" s="52"/>
      <c r="B354" s="31"/>
      <c r="C354" s="650"/>
      <c r="D354" s="165"/>
      <c r="E354" s="166"/>
      <c r="F354" s="651"/>
      <c r="G354" s="167"/>
      <c r="H354" s="168"/>
      <c r="I354" s="169"/>
      <c r="J354" s="168"/>
      <c r="K354" s="170"/>
      <c r="L354" s="171"/>
      <c r="M354" s="173"/>
      <c r="N354" s="130"/>
      <c r="O354" s="31"/>
      <c r="P354" s="31"/>
      <c r="Q354" s="31"/>
      <c r="R354" s="31"/>
      <c r="S354" s="31"/>
      <c r="T354" s="31"/>
    </row>
    <row r="355">
      <c r="A355" s="52"/>
      <c r="B355" s="31"/>
      <c r="C355" s="650"/>
      <c r="D355" s="165"/>
      <c r="E355" s="166"/>
      <c r="F355" s="651"/>
      <c r="G355" s="167"/>
      <c r="H355" s="168"/>
      <c r="I355" s="169"/>
      <c r="J355" s="168"/>
      <c r="K355" s="170"/>
      <c r="L355" s="171"/>
      <c r="M355" s="173"/>
      <c r="N355" s="130"/>
      <c r="O355" s="31"/>
      <c r="P355" s="31"/>
      <c r="Q355" s="31"/>
      <c r="R355" s="31"/>
      <c r="S355" s="31"/>
      <c r="T355" s="31"/>
    </row>
    <row r="356">
      <c r="A356" s="52"/>
      <c r="B356" s="31"/>
      <c r="C356" s="650"/>
      <c r="D356" s="165"/>
      <c r="E356" s="166"/>
      <c r="F356" s="651"/>
      <c r="G356" s="167"/>
      <c r="H356" s="168"/>
      <c r="I356" s="169"/>
      <c r="J356" s="168"/>
      <c r="K356" s="170"/>
      <c r="L356" s="171"/>
      <c r="M356" s="173"/>
      <c r="N356" s="130"/>
      <c r="O356" s="31"/>
      <c r="P356" s="31"/>
      <c r="Q356" s="31"/>
      <c r="R356" s="31"/>
      <c r="S356" s="31"/>
      <c r="T356" s="31"/>
    </row>
    <row r="357">
      <c r="A357" s="52"/>
      <c r="B357" s="31"/>
      <c r="C357" s="650"/>
      <c r="D357" s="165"/>
      <c r="E357" s="166"/>
      <c r="F357" s="651"/>
      <c r="G357" s="167"/>
      <c r="H357" s="168"/>
      <c r="I357" s="169"/>
      <c r="J357" s="168"/>
      <c r="K357" s="170"/>
      <c r="L357" s="171"/>
      <c r="M357" s="173"/>
      <c r="N357" s="130"/>
      <c r="O357" s="31"/>
      <c r="P357" s="31"/>
      <c r="Q357" s="31"/>
      <c r="R357" s="31"/>
      <c r="S357" s="31"/>
      <c r="T357" s="31"/>
    </row>
    <row r="358">
      <c r="A358" s="52"/>
      <c r="B358" s="31"/>
      <c r="C358" s="650"/>
      <c r="D358" s="165"/>
      <c r="E358" s="166"/>
      <c r="F358" s="651"/>
      <c r="G358" s="167"/>
      <c r="H358" s="168"/>
      <c r="I358" s="169"/>
      <c r="J358" s="168"/>
      <c r="K358" s="170"/>
      <c r="L358" s="171"/>
      <c r="M358" s="173"/>
      <c r="N358" s="130"/>
      <c r="O358" s="31"/>
      <c r="P358" s="31"/>
      <c r="Q358" s="31"/>
      <c r="R358" s="31"/>
      <c r="S358" s="31"/>
      <c r="T358" s="31"/>
    </row>
    <row r="359">
      <c r="A359" s="52"/>
      <c r="B359" s="31"/>
      <c r="C359" s="650"/>
      <c r="D359" s="165"/>
      <c r="E359" s="166"/>
      <c r="F359" s="651"/>
      <c r="G359" s="167"/>
      <c r="H359" s="168"/>
      <c r="I359" s="169"/>
      <c r="J359" s="168"/>
      <c r="K359" s="170"/>
      <c r="L359" s="171"/>
      <c r="M359" s="173"/>
      <c r="N359" s="130"/>
      <c r="O359" s="31"/>
      <c r="P359" s="31"/>
      <c r="Q359" s="31"/>
      <c r="R359" s="31"/>
      <c r="S359" s="31"/>
      <c r="T359" s="31"/>
    </row>
    <row r="360">
      <c r="A360" s="52"/>
      <c r="B360" s="31"/>
      <c r="C360" s="650"/>
      <c r="D360" s="165"/>
      <c r="E360" s="166"/>
      <c r="F360" s="651"/>
      <c r="G360" s="167"/>
      <c r="H360" s="168"/>
      <c r="I360" s="169"/>
      <c r="J360" s="168"/>
      <c r="K360" s="170"/>
      <c r="L360" s="171"/>
      <c r="M360" s="173"/>
      <c r="N360" s="130"/>
      <c r="O360" s="31"/>
      <c r="P360" s="31"/>
      <c r="Q360" s="31"/>
      <c r="R360" s="31"/>
      <c r="S360" s="31"/>
      <c r="T360" s="31"/>
    </row>
    <row r="361">
      <c r="A361" s="52"/>
      <c r="B361" s="31"/>
      <c r="C361" s="650"/>
      <c r="D361" s="165"/>
      <c r="E361" s="166"/>
      <c r="F361" s="651"/>
      <c r="G361" s="167"/>
      <c r="H361" s="168"/>
      <c r="I361" s="169"/>
      <c r="J361" s="168"/>
      <c r="K361" s="170"/>
      <c r="L361" s="171"/>
      <c r="M361" s="173"/>
      <c r="N361" s="130"/>
      <c r="O361" s="31"/>
      <c r="P361" s="31"/>
      <c r="Q361" s="31"/>
      <c r="R361" s="31"/>
      <c r="S361" s="31"/>
      <c r="T361" s="31"/>
    </row>
    <row r="362">
      <c r="A362" s="52"/>
      <c r="B362" s="31"/>
      <c r="C362" s="650"/>
      <c r="D362" s="165"/>
      <c r="E362" s="166"/>
      <c r="F362" s="651"/>
      <c r="G362" s="167"/>
      <c r="H362" s="168"/>
      <c r="I362" s="169"/>
      <c r="J362" s="168"/>
      <c r="K362" s="170"/>
      <c r="L362" s="171"/>
      <c r="M362" s="173"/>
      <c r="N362" s="130"/>
      <c r="O362" s="31"/>
      <c r="P362" s="31"/>
      <c r="Q362" s="31"/>
      <c r="R362" s="31"/>
      <c r="S362" s="31"/>
      <c r="T362" s="31"/>
    </row>
    <row r="363">
      <c r="A363" s="52"/>
      <c r="B363" s="31"/>
      <c r="C363" s="650"/>
      <c r="D363" s="165"/>
      <c r="E363" s="166"/>
      <c r="F363" s="651"/>
      <c r="G363" s="167"/>
      <c r="H363" s="168"/>
      <c r="I363" s="169"/>
      <c r="J363" s="168"/>
      <c r="K363" s="170"/>
      <c r="L363" s="171"/>
      <c r="M363" s="173"/>
      <c r="N363" s="130"/>
      <c r="O363" s="31"/>
      <c r="P363" s="31"/>
      <c r="Q363" s="31"/>
      <c r="R363" s="31"/>
      <c r="S363" s="31"/>
      <c r="T363" s="31"/>
    </row>
    <row r="364">
      <c r="A364" s="52"/>
      <c r="B364" s="31"/>
      <c r="C364" s="650"/>
      <c r="D364" s="165"/>
      <c r="E364" s="166"/>
      <c r="F364" s="651"/>
      <c r="G364" s="167"/>
      <c r="H364" s="168"/>
      <c r="I364" s="169"/>
      <c r="J364" s="168"/>
      <c r="K364" s="170"/>
      <c r="L364" s="171"/>
      <c r="M364" s="173"/>
      <c r="N364" s="130"/>
      <c r="O364" s="31"/>
      <c r="P364" s="31"/>
      <c r="Q364" s="31"/>
      <c r="R364" s="31"/>
      <c r="S364" s="31"/>
      <c r="T364" s="31"/>
    </row>
    <row r="365">
      <c r="A365" s="52"/>
      <c r="B365" s="31"/>
      <c r="C365" s="650"/>
      <c r="D365" s="165"/>
      <c r="E365" s="166"/>
      <c r="F365" s="651"/>
      <c r="G365" s="167"/>
      <c r="H365" s="168"/>
      <c r="I365" s="169"/>
      <c r="J365" s="168"/>
      <c r="K365" s="170"/>
      <c r="L365" s="171"/>
      <c r="M365" s="173"/>
      <c r="N365" s="130"/>
      <c r="O365" s="31"/>
      <c r="P365" s="31"/>
      <c r="Q365" s="31"/>
      <c r="R365" s="31"/>
      <c r="S365" s="31"/>
      <c r="T365" s="31"/>
    </row>
    <row r="366">
      <c r="A366" s="52"/>
      <c r="B366" s="31"/>
      <c r="C366" s="650"/>
      <c r="D366" s="165"/>
      <c r="E366" s="166"/>
      <c r="F366" s="651"/>
      <c r="G366" s="167"/>
      <c r="H366" s="168"/>
      <c r="I366" s="169"/>
      <c r="J366" s="168"/>
      <c r="K366" s="170"/>
      <c r="L366" s="171"/>
      <c r="M366" s="173"/>
      <c r="N366" s="130"/>
      <c r="O366" s="31"/>
      <c r="P366" s="31"/>
      <c r="Q366" s="31"/>
      <c r="R366" s="31"/>
      <c r="S366" s="31"/>
      <c r="T366" s="31"/>
    </row>
    <row r="367">
      <c r="A367" s="52"/>
      <c r="B367" s="31"/>
      <c r="C367" s="650"/>
      <c r="D367" s="165"/>
      <c r="E367" s="166"/>
      <c r="F367" s="651"/>
      <c r="G367" s="167"/>
      <c r="H367" s="168"/>
      <c r="I367" s="169"/>
      <c r="J367" s="168"/>
      <c r="K367" s="170"/>
      <c r="L367" s="171"/>
      <c r="M367" s="173"/>
      <c r="N367" s="130"/>
      <c r="O367" s="31"/>
      <c r="P367" s="31"/>
      <c r="Q367" s="31"/>
      <c r="R367" s="31"/>
      <c r="S367" s="31"/>
      <c r="T367" s="31"/>
    </row>
    <row r="368">
      <c r="A368" s="52"/>
      <c r="B368" s="31"/>
      <c r="C368" s="650"/>
      <c r="D368" s="165"/>
      <c r="E368" s="166"/>
      <c r="F368" s="651"/>
      <c r="G368" s="167"/>
      <c r="H368" s="168"/>
      <c r="I368" s="169"/>
      <c r="J368" s="168"/>
      <c r="K368" s="170"/>
      <c r="L368" s="171"/>
      <c r="M368" s="173"/>
      <c r="N368" s="130"/>
      <c r="O368" s="31"/>
      <c r="P368" s="31"/>
      <c r="Q368" s="31"/>
      <c r="R368" s="31"/>
      <c r="S368" s="31"/>
      <c r="T368" s="31"/>
    </row>
    <row r="369">
      <c r="A369" s="52"/>
      <c r="B369" s="31"/>
      <c r="C369" s="650"/>
      <c r="D369" s="165"/>
      <c r="E369" s="166"/>
      <c r="F369" s="651"/>
      <c r="G369" s="167"/>
      <c r="H369" s="168"/>
      <c r="I369" s="169"/>
      <c r="J369" s="168"/>
      <c r="K369" s="170"/>
      <c r="L369" s="171"/>
      <c r="M369" s="173"/>
      <c r="N369" s="130"/>
      <c r="O369" s="31"/>
      <c r="P369" s="31"/>
      <c r="Q369" s="31"/>
      <c r="R369" s="31"/>
      <c r="S369" s="31"/>
      <c r="T369" s="31"/>
    </row>
    <row r="370">
      <c r="A370" s="52"/>
      <c r="B370" s="31"/>
      <c r="C370" s="650"/>
      <c r="D370" s="165"/>
      <c r="E370" s="166"/>
      <c r="F370" s="651"/>
      <c r="G370" s="167"/>
      <c r="H370" s="168"/>
      <c r="I370" s="169"/>
      <c r="J370" s="168"/>
      <c r="K370" s="170"/>
      <c r="L370" s="171"/>
      <c r="M370" s="173"/>
      <c r="N370" s="130"/>
      <c r="O370" s="31"/>
      <c r="P370" s="31"/>
      <c r="Q370" s="31"/>
      <c r="R370" s="31"/>
      <c r="S370" s="31"/>
      <c r="T370" s="31"/>
    </row>
    <row r="371">
      <c r="A371" s="52"/>
      <c r="B371" s="31"/>
      <c r="C371" s="650"/>
      <c r="D371" s="165"/>
      <c r="E371" s="166"/>
      <c r="F371" s="651"/>
      <c r="G371" s="167"/>
      <c r="H371" s="168"/>
      <c r="I371" s="169"/>
      <c r="J371" s="168"/>
      <c r="K371" s="170"/>
      <c r="L371" s="171"/>
      <c r="M371" s="173"/>
      <c r="N371" s="130"/>
      <c r="O371" s="31"/>
      <c r="P371" s="31"/>
      <c r="Q371" s="31"/>
      <c r="R371" s="31"/>
      <c r="S371" s="31"/>
      <c r="T371" s="31"/>
    </row>
    <row r="372">
      <c r="A372" s="52"/>
      <c r="B372" s="31"/>
      <c r="C372" s="650"/>
      <c r="D372" s="165"/>
      <c r="E372" s="166"/>
      <c r="F372" s="651"/>
      <c r="G372" s="167"/>
      <c r="H372" s="168"/>
      <c r="I372" s="169"/>
      <c r="J372" s="168"/>
      <c r="K372" s="170"/>
      <c r="L372" s="171"/>
      <c r="M372" s="173"/>
      <c r="N372" s="130"/>
      <c r="O372" s="31"/>
      <c r="P372" s="31"/>
      <c r="Q372" s="31"/>
      <c r="R372" s="31"/>
      <c r="S372" s="31"/>
      <c r="T372" s="31"/>
    </row>
    <row r="373">
      <c r="A373" s="52"/>
      <c r="B373" s="31"/>
      <c r="C373" s="650"/>
      <c r="D373" s="165"/>
      <c r="E373" s="166"/>
      <c r="F373" s="651"/>
      <c r="G373" s="167"/>
      <c r="H373" s="168"/>
      <c r="I373" s="169"/>
      <c r="J373" s="168"/>
      <c r="K373" s="170"/>
      <c r="L373" s="171"/>
      <c r="M373" s="173"/>
      <c r="N373" s="130"/>
      <c r="O373" s="31"/>
      <c r="P373" s="31"/>
      <c r="Q373" s="31"/>
      <c r="R373" s="31"/>
      <c r="S373" s="31"/>
      <c r="T373" s="31"/>
    </row>
    <row r="374">
      <c r="A374" s="52"/>
      <c r="B374" s="31"/>
      <c r="C374" s="650"/>
      <c r="D374" s="165"/>
      <c r="E374" s="166"/>
      <c r="F374" s="651"/>
      <c r="G374" s="167"/>
      <c r="H374" s="168"/>
      <c r="I374" s="169"/>
      <c r="J374" s="168"/>
      <c r="K374" s="170"/>
      <c r="L374" s="171"/>
      <c r="M374" s="173"/>
      <c r="N374" s="130"/>
      <c r="O374" s="31"/>
      <c r="P374" s="31"/>
      <c r="Q374" s="31"/>
      <c r="R374" s="31"/>
      <c r="S374" s="31"/>
      <c r="T374" s="31"/>
    </row>
    <row r="375">
      <c r="A375" s="52"/>
      <c r="B375" s="31"/>
      <c r="C375" s="650"/>
      <c r="D375" s="165"/>
      <c r="E375" s="166"/>
      <c r="F375" s="651"/>
      <c r="G375" s="167"/>
      <c r="H375" s="168"/>
      <c r="I375" s="169"/>
      <c r="J375" s="168"/>
      <c r="K375" s="170"/>
      <c r="L375" s="171"/>
      <c r="M375" s="173"/>
      <c r="N375" s="130"/>
      <c r="O375" s="31"/>
      <c r="P375" s="31"/>
      <c r="Q375" s="31"/>
      <c r="R375" s="31"/>
      <c r="S375" s="31"/>
      <c r="T375" s="31"/>
    </row>
    <row r="376">
      <c r="A376" s="52"/>
      <c r="B376" s="31"/>
      <c r="C376" s="650"/>
      <c r="D376" s="165"/>
      <c r="E376" s="166"/>
      <c r="F376" s="651"/>
      <c r="G376" s="167"/>
      <c r="H376" s="168"/>
      <c r="I376" s="169"/>
      <c r="J376" s="168"/>
      <c r="K376" s="170"/>
      <c r="L376" s="171"/>
      <c r="M376" s="173"/>
      <c r="N376" s="130"/>
      <c r="O376" s="31"/>
      <c r="P376" s="31"/>
      <c r="Q376" s="31"/>
      <c r="R376" s="31"/>
      <c r="S376" s="31"/>
      <c r="T376" s="31"/>
    </row>
  </sheetData>
  <conditionalFormatting sqref="B142 B235 B238 B286:B338 C290:C293 C297:C333 C336:C338">
    <cfRule type="containsText" dxfId="0" priority="1" operator="containsText" text="A">
      <formula>NOT(ISERROR(SEARCH(("A"),(B142))))</formula>
    </cfRule>
  </conditionalFormatting>
  <conditionalFormatting sqref="C142 B235 B238 B286:B338 C290:C293 C297:C333 C336:C338">
    <cfRule type="containsText" dxfId="0" priority="2" operator="containsText" text="F">
      <formula>NOT(ISERROR(SEARCH(("F"),(C142))))</formula>
    </cfRule>
  </conditionalFormatting>
  <conditionalFormatting sqref="B142">
    <cfRule type="containsText" dxfId="0" priority="3" operator="containsText" text="F">
      <formula>NOT(ISERROR(SEARCH(("F"),(B142))))</formula>
    </cfRule>
  </conditionalFormatting>
  <conditionalFormatting sqref="B142 B235 B238 B286:B338">
    <cfRule type="containsText" dxfId="0" priority="4" operator="containsText" text="E">
      <formula>NOT(ISERROR(SEARCH(("E"),(B142))))</formula>
    </cfRule>
  </conditionalFormatting>
  <conditionalFormatting sqref="B19 B27:B376 C276:C376">
    <cfRule type="containsText" dxfId="1" priority="5" operator="containsText" text="K">
      <formula>NOT(ISERROR(SEARCH(("K"),(B19))))</formula>
    </cfRule>
  </conditionalFormatting>
  <conditionalFormatting sqref="B26">
    <cfRule type="containsText" dxfId="1" priority="6" operator="containsText" text="K">
      <formula>NOT(ISERROR(SEARCH(("K"),(B26))))</formula>
    </cfRule>
  </conditionalFormatting>
  <conditionalFormatting sqref="B13:B376 C276:C376">
    <cfRule type="containsText" dxfId="0" priority="7" operator="containsText" text="A">
      <formula>NOT(ISERROR(SEARCH(("A"),(B13))))</formula>
    </cfRule>
  </conditionalFormatting>
  <conditionalFormatting sqref="B13:B376 C276:C376">
    <cfRule type="containsText" dxfId="0" priority="8" operator="containsText" text="C">
      <formula>NOT(ISERROR(SEARCH(("C"),(B13))))</formula>
    </cfRule>
  </conditionalFormatting>
  <conditionalFormatting sqref="B13:B376">
    <cfRule type="containsText" dxfId="0" priority="9" operator="containsText" text="C">
      <formula>NOT(ISERROR(SEARCH(("C"),(B13))))</formula>
    </cfRule>
  </conditionalFormatting>
  <conditionalFormatting sqref="B13:B376 C276:C376">
    <cfRule type="containsText" dxfId="2" priority="10" operator="containsText" text="G">
      <formula>NOT(ISERROR(SEARCH(("G"),(B13))))</formula>
    </cfRule>
  </conditionalFormatting>
  <conditionalFormatting sqref="B13:B376 C276:C376">
    <cfRule type="containsText" dxfId="3" priority="11" operator="containsText" text="V">
      <formula>NOT(ISERROR(SEARCH(("V"),(B13))))</formula>
    </cfRule>
  </conditionalFormatting>
  <conditionalFormatting sqref="B13:B376 C276:C376">
    <cfRule type="containsText" dxfId="0" priority="12" operator="containsText" text="B">
      <formula>NOT(ISERROR(SEARCH(("B"),(B13))))</formula>
    </cfRule>
  </conditionalFormatting>
  <conditionalFormatting sqref="B13:B376 C276:C376">
    <cfRule type="containsText" dxfId="4" priority="13" operator="containsText" text="L">
      <formula>NOT(ISERROR(SEARCH(("L"),(B13))))</formula>
    </cfRule>
  </conditionalFormatting>
  <conditionalFormatting sqref="A13:B376">
    <cfRule type="containsBlanks" dxfId="5" priority="14">
      <formula>LEN(TRIM(A13))=0</formula>
    </cfRule>
  </conditionalFormatting>
  <conditionalFormatting sqref="B13:B376 C276:C376">
    <cfRule type="containsText" dxfId="0" priority="15" operator="containsText" text="D">
      <formula>NOT(ISERROR(SEARCH(("D"),(B13))))</formula>
    </cfRule>
  </conditionalFormatting>
  <conditionalFormatting sqref="A13:A376">
    <cfRule type="containsText" dxfId="1" priority="16" operator="containsText" text="cuna kayak">
      <formula>NOT(ISERROR(SEARCH(("cuna kayak"),(A13))))</formula>
    </cfRule>
  </conditionalFormatting>
  <conditionalFormatting sqref="A13:A376">
    <cfRule type="containsText" dxfId="6" priority="17" operator="containsText" text="cuna velero">
      <formula>NOT(ISERROR(SEARCH(("cuna velero"),(A13))))</formula>
    </cfRule>
  </conditionalFormatting>
  <conditionalFormatting sqref="A13:A376">
    <cfRule type="containsText" dxfId="0" priority="18" operator="containsText" text="Cuna Windsurf">
      <formula>NOT(ISERROR(SEARCH(("Cuna Windsurf"),(A13))))</formula>
    </cfRule>
  </conditionalFormatting>
  <conditionalFormatting sqref="A13:A376">
    <cfRule type="containsText" dxfId="2" priority="19" operator="containsText" text="Vela">
      <formula>NOT(ISERROR(SEARCH(("Vela"),(A13))))</formula>
    </cfRule>
  </conditionalFormatting>
  <conditionalFormatting sqref="A13:A376">
    <cfRule type="containsText" dxfId="3" priority="20" operator="containsText" text="Velero">
      <formula>NOT(ISERROR(SEARCH(("Velero"),(A13))))</formula>
    </cfRule>
  </conditionalFormatting>
  <conditionalFormatting sqref="A13:B376 C276:C376">
    <cfRule type="containsText" dxfId="5" priority="21" operator="containsText" text="-">
      <formula>NOT(ISERROR(SEARCH(("-"),(A13))))</formula>
    </cfRule>
  </conditionalFormatting>
  <conditionalFormatting sqref="A13:A376">
    <cfRule type="containsText" dxfId="4" priority="22" operator="containsText" text="Locker">
      <formula>NOT(ISERROR(SEARCH(("Locker"),(A13))))</formula>
    </cfRule>
  </conditionalFormatting>
  <conditionalFormatting sqref="A13:A376">
    <cfRule type="containsText" dxfId="4" priority="23" operator="containsText" text="Locker">
      <formula>NOT(ISERROR(SEARCH(("Locker"),(A13))))</formula>
    </cfRule>
  </conditionalFormatting>
  <conditionalFormatting sqref="A13:A376">
    <cfRule type="containsText" dxfId="4" priority="24" operator="containsText" text="Locker">
      <formula>NOT(ISERROR(SEARCH(("Locker"),(A13))))</formula>
    </cfRule>
  </conditionalFormatting>
  <conditionalFormatting sqref="A13:A376">
    <cfRule type="containsText" dxfId="4" priority="25" operator="containsText" text="Locker">
      <formula>NOT(ISERROR(SEARCH(("Locker"),(A13))))</formula>
    </cfRule>
  </conditionalFormatting>
  <conditionalFormatting sqref="A13:A376">
    <cfRule type="containsText" dxfId="4" priority="26" operator="containsText" text="Locker">
      <formula>NOT(ISERROR(SEARCH(("Locker"),(A13))))</formula>
    </cfRule>
  </conditionalFormatting>
  <conditionalFormatting sqref="A13:A376">
    <cfRule type="containsText" dxfId="4" priority="27" operator="containsText" text="Locker">
      <formula>NOT(ISERROR(SEARCH(("Locker"),(A13))))</formula>
    </cfRule>
  </conditionalFormatting>
  <conditionalFormatting sqref="A13:A376">
    <cfRule type="containsText" dxfId="4" priority="28" operator="containsText" text="Locker">
      <formula>NOT(ISERROR(SEARCH(("Locker"),(A13))))</formula>
    </cfRule>
  </conditionalFormatting>
  <conditionalFormatting sqref="A13:A376">
    <cfRule type="containsBlanks" dxfId="5" priority="29">
      <formula>LEN(TRIM(A13))=0</formula>
    </cfRule>
  </conditionalFormatting>
  <conditionalFormatting sqref="E12:F12">
    <cfRule type="containsText" dxfId="9" priority="30" operator="containsText" text="Disponible">
      <formula>NOT(ISERROR(SEARCH(("Disponible"),(E12))))</formula>
    </cfRule>
  </conditionalFormatting>
  <conditionalFormatting sqref="B12">
    <cfRule type="containsText" dxfId="0" priority="31" operator="containsText" text="A">
      <formula>NOT(ISERROR(SEARCH(("A"),(B12))))</formula>
    </cfRule>
  </conditionalFormatting>
  <conditionalFormatting sqref="B12">
    <cfRule type="containsText" dxfId="0" priority="32" operator="containsText" text="C">
      <formula>NOT(ISERROR(SEARCH(("C"),(B12))))</formula>
    </cfRule>
  </conditionalFormatting>
  <conditionalFormatting sqref="B12">
    <cfRule type="cellIs" dxfId="1" priority="33" operator="equal">
      <formula>"K"</formula>
    </cfRule>
  </conditionalFormatting>
  <conditionalFormatting sqref="B12">
    <cfRule type="containsText" dxfId="2" priority="34" operator="containsText" text="G">
      <formula>NOT(ISERROR(SEARCH(("G"),(B12))))</formula>
    </cfRule>
  </conditionalFormatting>
  <conditionalFormatting sqref="B12">
    <cfRule type="containsText" dxfId="3" priority="35" operator="containsText" text="V">
      <formula>NOT(ISERROR(SEARCH(("V"),(B12))))</formula>
    </cfRule>
  </conditionalFormatting>
  <conditionalFormatting sqref="B12">
    <cfRule type="containsText" dxfId="0" priority="36" operator="containsText" text="B">
      <formula>NOT(ISERROR(SEARCH(("B"),(B12))))</formula>
    </cfRule>
  </conditionalFormatting>
  <conditionalFormatting sqref="B12">
    <cfRule type="containsText" dxfId="4" priority="37" operator="containsText" text="L">
      <formula>NOT(ISERROR(SEARCH(("L"),(B12))))</formula>
    </cfRule>
  </conditionalFormatting>
  <conditionalFormatting sqref="A12:B12">
    <cfRule type="containsBlanks" dxfId="5" priority="38">
      <formula>LEN(TRIM(A12))=0</formula>
    </cfRule>
  </conditionalFormatting>
  <conditionalFormatting sqref="B12">
    <cfRule type="containsText" dxfId="0" priority="39" operator="containsText" text="D">
      <formula>NOT(ISERROR(SEARCH(("D"),(B12))))</formula>
    </cfRule>
  </conditionalFormatting>
  <conditionalFormatting sqref="A12">
    <cfRule type="containsText" dxfId="1" priority="40" operator="containsText" text="cuna kayak">
      <formula>NOT(ISERROR(SEARCH(("cuna kayak"),(A12))))</formula>
    </cfRule>
  </conditionalFormatting>
  <conditionalFormatting sqref="A12">
    <cfRule type="containsText" dxfId="6" priority="41" operator="containsText" text="cuna velero">
      <formula>NOT(ISERROR(SEARCH(("cuna velero"),(A12))))</formula>
    </cfRule>
  </conditionalFormatting>
  <conditionalFormatting sqref="A12">
    <cfRule type="containsText" dxfId="0" priority="42" operator="containsText" text="Cuna Windsurf">
      <formula>NOT(ISERROR(SEARCH(("Cuna Windsurf"),(A12))))</formula>
    </cfRule>
  </conditionalFormatting>
  <conditionalFormatting sqref="A12">
    <cfRule type="containsText" dxfId="2" priority="43" operator="containsText" text="Vela">
      <formula>NOT(ISERROR(SEARCH(("Vela"),(A12))))</formula>
    </cfRule>
  </conditionalFormatting>
  <conditionalFormatting sqref="A12">
    <cfRule type="containsText" dxfId="3" priority="44" operator="containsText" text="Velero">
      <formula>NOT(ISERROR(SEARCH(("Velero"),(A12))))</formula>
    </cfRule>
  </conditionalFormatting>
  <conditionalFormatting sqref="A12:B12">
    <cfRule type="containsText" dxfId="5" priority="45" operator="containsText" text="-">
      <formula>NOT(ISERROR(SEARCH(("-"),(A12))))</formula>
    </cfRule>
  </conditionalFormatting>
  <conditionalFormatting sqref="A12">
    <cfRule type="containsText" dxfId="4" priority="46" operator="containsText" text="Locker">
      <formula>NOT(ISERROR(SEARCH(("Locker"),(A12))))</formula>
    </cfRule>
  </conditionalFormatting>
  <conditionalFormatting sqref="A12">
    <cfRule type="containsBlanks" dxfId="5" priority="47">
      <formula>LEN(TRIM(A12))=0</formula>
    </cfRule>
  </conditionalFormatting>
  <conditionalFormatting sqref="E11:F11">
    <cfRule type="containsText" dxfId="9" priority="48" operator="containsText" text="Disponible">
      <formula>NOT(ISERROR(SEARCH(("Disponible"),(E11))))</formula>
    </cfRule>
  </conditionalFormatting>
  <conditionalFormatting sqref="B11">
    <cfRule type="containsText" dxfId="0" priority="49" operator="containsText" text="A">
      <formula>NOT(ISERROR(SEARCH(("A"),(B11))))</formula>
    </cfRule>
  </conditionalFormatting>
  <conditionalFormatting sqref="B11">
    <cfRule type="containsText" dxfId="0" priority="50" operator="containsText" text="C">
      <formula>NOT(ISERROR(SEARCH(("C"),(B11))))</formula>
    </cfRule>
  </conditionalFormatting>
  <conditionalFormatting sqref="B11">
    <cfRule type="cellIs" dxfId="1" priority="51" operator="equal">
      <formula>"K"</formula>
    </cfRule>
  </conditionalFormatting>
  <conditionalFormatting sqref="B11">
    <cfRule type="containsText" dxfId="2" priority="52" operator="containsText" text="G">
      <formula>NOT(ISERROR(SEARCH(("G"),(B11))))</formula>
    </cfRule>
  </conditionalFormatting>
  <conditionalFormatting sqref="B11">
    <cfRule type="containsText" dxfId="3" priority="53" operator="containsText" text="V">
      <formula>NOT(ISERROR(SEARCH(("V"),(B11))))</formula>
    </cfRule>
  </conditionalFormatting>
  <conditionalFormatting sqref="B11">
    <cfRule type="containsText" dxfId="0" priority="54" operator="containsText" text="B">
      <formula>NOT(ISERROR(SEARCH(("B"),(B11))))</formula>
    </cfRule>
  </conditionalFormatting>
  <conditionalFormatting sqref="B11">
    <cfRule type="containsText" dxfId="4" priority="55" operator="containsText" text="L">
      <formula>NOT(ISERROR(SEARCH(("L"),(B11))))</formula>
    </cfRule>
  </conditionalFormatting>
  <conditionalFormatting sqref="A11:B11">
    <cfRule type="containsBlanks" dxfId="5" priority="56">
      <formula>LEN(TRIM(A11))=0</formula>
    </cfRule>
  </conditionalFormatting>
  <conditionalFormatting sqref="B11">
    <cfRule type="containsText" dxfId="0" priority="57" operator="containsText" text="D">
      <formula>NOT(ISERROR(SEARCH(("D"),(B11))))</formula>
    </cfRule>
  </conditionalFormatting>
  <conditionalFormatting sqref="A11">
    <cfRule type="containsText" dxfId="1" priority="58" operator="containsText" text="cuna kayak">
      <formula>NOT(ISERROR(SEARCH(("cuna kayak"),(A11))))</formula>
    </cfRule>
  </conditionalFormatting>
  <conditionalFormatting sqref="A11">
    <cfRule type="containsText" dxfId="6" priority="59" operator="containsText" text="cuna velero">
      <formula>NOT(ISERROR(SEARCH(("cuna velero"),(A11))))</formula>
    </cfRule>
  </conditionalFormatting>
  <conditionalFormatting sqref="A11">
    <cfRule type="containsText" dxfId="0" priority="60" operator="containsText" text="Cuna Windsurf">
      <formula>NOT(ISERROR(SEARCH(("Cuna Windsurf"),(A11))))</formula>
    </cfRule>
  </conditionalFormatting>
  <conditionalFormatting sqref="A11">
    <cfRule type="containsText" dxfId="2" priority="61" operator="containsText" text="Vela">
      <formula>NOT(ISERROR(SEARCH(("Vela"),(A11))))</formula>
    </cfRule>
  </conditionalFormatting>
  <conditionalFormatting sqref="A11">
    <cfRule type="containsText" dxfId="3" priority="62" operator="containsText" text="Velero">
      <formula>NOT(ISERROR(SEARCH(("Velero"),(A11))))</formula>
    </cfRule>
  </conditionalFormatting>
  <conditionalFormatting sqref="A11:B11">
    <cfRule type="containsText" dxfId="5" priority="63" operator="containsText" text="-">
      <formula>NOT(ISERROR(SEARCH(("-"),(A11))))</formula>
    </cfRule>
  </conditionalFormatting>
  <conditionalFormatting sqref="A11">
    <cfRule type="containsText" dxfId="4" priority="64" operator="containsText" text="Locker">
      <formula>NOT(ISERROR(SEARCH(("Locker"),(A11))))</formula>
    </cfRule>
  </conditionalFormatting>
  <conditionalFormatting sqref="A11">
    <cfRule type="containsBlanks" dxfId="5" priority="65">
      <formula>LEN(TRIM(A11))=0</formula>
    </cfRule>
  </conditionalFormatting>
  <conditionalFormatting sqref="E10:F10">
    <cfRule type="containsText" dxfId="9" priority="66" operator="containsText" text="Disponible">
      <formula>NOT(ISERROR(SEARCH(("Disponible"),(E10))))</formula>
    </cfRule>
  </conditionalFormatting>
  <conditionalFormatting sqref="B10">
    <cfRule type="containsText" dxfId="0" priority="67" operator="containsText" text="A">
      <formula>NOT(ISERROR(SEARCH(("A"),(B10))))</formula>
    </cfRule>
  </conditionalFormatting>
  <conditionalFormatting sqref="B10">
    <cfRule type="containsText" dxfId="0" priority="68" operator="containsText" text="C">
      <formula>NOT(ISERROR(SEARCH(("C"),(B10))))</formula>
    </cfRule>
  </conditionalFormatting>
  <conditionalFormatting sqref="B10">
    <cfRule type="cellIs" dxfId="1" priority="69" operator="equal">
      <formula>"K"</formula>
    </cfRule>
  </conditionalFormatting>
  <conditionalFormatting sqref="B10">
    <cfRule type="containsText" dxfId="2" priority="70" operator="containsText" text="G">
      <formula>NOT(ISERROR(SEARCH(("G"),(B10))))</formula>
    </cfRule>
  </conditionalFormatting>
  <conditionalFormatting sqref="B10">
    <cfRule type="containsText" dxfId="3" priority="71" operator="containsText" text="V">
      <formula>NOT(ISERROR(SEARCH(("V"),(B10))))</formula>
    </cfRule>
  </conditionalFormatting>
  <conditionalFormatting sqref="B10">
    <cfRule type="containsText" dxfId="0" priority="72" operator="containsText" text="B">
      <formula>NOT(ISERROR(SEARCH(("B"),(B10))))</formula>
    </cfRule>
  </conditionalFormatting>
  <conditionalFormatting sqref="B10">
    <cfRule type="containsText" dxfId="4" priority="73" operator="containsText" text="L">
      <formula>NOT(ISERROR(SEARCH(("L"),(B10))))</formula>
    </cfRule>
  </conditionalFormatting>
  <conditionalFormatting sqref="A10:B10">
    <cfRule type="containsBlanks" dxfId="5" priority="74">
      <formula>LEN(TRIM(A10))=0</formula>
    </cfRule>
  </conditionalFormatting>
  <conditionalFormatting sqref="B10">
    <cfRule type="containsText" dxfId="0" priority="75" operator="containsText" text="D">
      <formula>NOT(ISERROR(SEARCH(("D"),(B10))))</formula>
    </cfRule>
  </conditionalFormatting>
  <conditionalFormatting sqref="A10">
    <cfRule type="containsText" dxfId="1" priority="76" operator="containsText" text="cuna kayak">
      <formula>NOT(ISERROR(SEARCH(("cuna kayak"),(A10))))</formula>
    </cfRule>
  </conditionalFormatting>
  <conditionalFormatting sqref="A10">
    <cfRule type="containsText" dxfId="6" priority="77" operator="containsText" text="cuna velero">
      <formula>NOT(ISERROR(SEARCH(("cuna velero"),(A10))))</formula>
    </cfRule>
  </conditionalFormatting>
  <conditionalFormatting sqref="A10">
    <cfRule type="containsText" dxfId="0" priority="78" operator="containsText" text="Cuna Windsurf">
      <formula>NOT(ISERROR(SEARCH(("Cuna Windsurf"),(A10))))</formula>
    </cfRule>
  </conditionalFormatting>
  <conditionalFormatting sqref="A10">
    <cfRule type="containsText" dxfId="2" priority="79" operator="containsText" text="Vela">
      <formula>NOT(ISERROR(SEARCH(("Vela"),(A10))))</formula>
    </cfRule>
  </conditionalFormatting>
  <conditionalFormatting sqref="A10">
    <cfRule type="containsText" dxfId="3" priority="80" operator="containsText" text="Velero">
      <formula>NOT(ISERROR(SEARCH(("Velero"),(A10))))</formula>
    </cfRule>
  </conditionalFormatting>
  <conditionalFormatting sqref="A10:B10">
    <cfRule type="containsText" dxfId="5" priority="81" operator="containsText" text="-">
      <formula>NOT(ISERROR(SEARCH(("-"),(A10))))</formula>
    </cfRule>
  </conditionalFormatting>
  <conditionalFormatting sqref="A10">
    <cfRule type="containsText" dxfId="4" priority="82" operator="containsText" text="Locker">
      <formula>NOT(ISERROR(SEARCH(("Locker"),(A10))))</formula>
    </cfRule>
  </conditionalFormatting>
  <conditionalFormatting sqref="A10">
    <cfRule type="containsBlanks" dxfId="5" priority="83">
      <formula>LEN(TRIM(A10))=0</formula>
    </cfRule>
  </conditionalFormatting>
  <conditionalFormatting sqref="E8:F9">
    <cfRule type="containsText" dxfId="9" priority="84" operator="containsText" text="Disponible">
      <formula>NOT(ISERROR(SEARCH(("Disponible"),(E8))))</formula>
    </cfRule>
  </conditionalFormatting>
  <conditionalFormatting sqref="B8:B9">
    <cfRule type="containsText" dxfId="0" priority="85" operator="containsText" text="A">
      <formula>NOT(ISERROR(SEARCH(("A"),(B8))))</formula>
    </cfRule>
  </conditionalFormatting>
  <conditionalFormatting sqref="B8:B9">
    <cfRule type="containsText" dxfId="0" priority="86" operator="containsText" text="C">
      <formula>NOT(ISERROR(SEARCH(("C"),(B8))))</formula>
    </cfRule>
  </conditionalFormatting>
  <conditionalFormatting sqref="B8:B9">
    <cfRule type="cellIs" dxfId="1" priority="87" operator="equal">
      <formula>"K"</formula>
    </cfRule>
  </conditionalFormatting>
  <conditionalFormatting sqref="B8:B9">
    <cfRule type="containsText" dxfId="2" priority="88" operator="containsText" text="G">
      <formula>NOT(ISERROR(SEARCH(("G"),(B8))))</formula>
    </cfRule>
  </conditionalFormatting>
  <conditionalFormatting sqref="B8:B9">
    <cfRule type="containsText" dxfId="3" priority="89" operator="containsText" text="V">
      <formula>NOT(ISERROR(SEARCH(("V"),(B8))))</formula>
    </cfRule>
  </conditionalFormatting>
  <conditionalFormatting sqref="B8:B9">
    <cfRule type="containsText" dxfId="0" priority="90" operator="containsText" text="B">
      <formula>NOT(ISERROR(SEARCH(("B"),(B8))))</formula>
    </cfRule>
  </conditionalFormatting>
  <conditionalFormatting sqref="B8:B9">
    <cfRule type="containsText" dxfId="4" priority="91" operator="containsText" text="L">
      <formula>NOT(ISERROR(SEARCH(("L"),(B8))))</formula>
    </cfRule>
  </conditionalFormatting>
  <conditionalFormatting sqref="A8:B9">
    <cfRule type="containsBlanks" dxfId="5" priority="92">
      <formula>LEN(TRIM(A8))=0</formula>
    </cfRule>
  </conditionalFormatting>
  <conditionalFormatting sqref="B8:B9">
    <cfRule type="containsText" dxfId="0" priority="93" operator="containsText" text="D">
      <formula>NOT(ISERROR(SEARCH(("D"),(B8))))</formula>
    </cfRule>
  </conditionalFormatting>
  <conditionalFormatting sqref="A8:A9">
    <cfRule type="containsText" dxfId="1" priority="94" operator="containsText" text="cuna kayak">
      <formula>NOT(ISERROR(SEARCH(("cuna kayak"),(A8))))</formula>
    </cfRule>
  </conditionalFormatting>
  <conditionalFormatting sqref="A8:A9">
    <cfRule type="containsText" dxfId="6" priority="95" operator="containsText" text="cuna velero">
      <formula>NOT(ISERROR(SEARCH(("cuna velero"),(A8))))</formula>
    </cfRule>
  </conditionalFormatting>
  <conditionalFormatting sqref="A8:A9">
    <cfRule type="containsText" dxfId="0" priority="96" operator="containsText" text="Cuna Windsurf">
      <formula>NOT(ISERROR(SEARCH(("Cuna Windsurf"),(A8))))</formula>
    </cfRule>
  </conditionalFormatting>
  <conditionalFormatting sqref="A8:A9">
    <cfRule type="containsText" dxfId="2" priority="97" operator="containsText" text="Vela">
      <formula>NOT(ISERROR(SEARCH(("Vela"),(A8))))</formula>
    </cfRule>
  </conditionalFormatting>
  <conditionalFormatting sqref="A8:A9">
    <cfRule type="containsText" dxfId="3" priority="98" operator="containsText" text="Velero">
      <formula>NOT(ISERROR(SEARCH(("Velero"),(A8))))</formula>
    </cfRule>
  </conditionalFormatting>
  <conditionalFormatting sqref="A8:B9">
    <cfRule type="containsText" dxfId="5" priority="99" operator="containsText" text="-">
      <formula>NOT(ISERROR(SEARCH(("-"),(A8))))</formula>
    </cfRule>
  </conditionalFormatting>
  <conditionalFormatting sqref="A8:A9">
    <cfRule type="containsText" dxfId="4" priority="100" operator="containsText" text="Locker">
      <formula>NOT(ISERROR(SEARCH(("Locker"),(A8))))</formula>
    </cfRule>
  </conditionalFormatting>
  <conditionalFormatting sqref="A8:A9">
    <cfRule type="containsBlanks" dxfId="5" priority="101">
      <formula>LEN(TRIM(A8))=0</formula>
    </cfRule>
  </conditionalFormatting>
  <conditionalFormatting sqref="E7:F7">
    <cfRule type="containsText" dxfId="9" priority="102" operator="containsText" text="Disponible">
      <formula>NOT(ISERROR(SEARCH(("Disponible"),(E7))))</formula>
    </cfRule>
  </conditionalFormatting>
  <conditionalFormatting sqref="B7">
    <cfRule type="containsText" dxfId="0" priority="103" operator="containsText" text="A">
      <formula>NOT(ISERROR(SEARCH(("A"),(B7))))</formula>
    </cfRule>
  </conditionalFormatting>
  <conditionalFormatting sqref="B7">
    <cfRule type="containsText" dxfId="0" priority="104" operator="containsText" text="C">
      <formula>NOT(ISERROR(SEARCH(("C"),(B7))))</formula>
    </cfRule>
  </conditionalFormatting>
  <conditionalFormatting sqref="B7">
    <cfRule type="cellIs" dxfId="1" priority="105" operator="equal">
      <formula>"K"</formula>
    </cfRule>
  </conditionalFormatting>
  <conditionalFormatting sqref="B7">
    <cfRule type="containsText" dxfId="2" priority="106" operator="containsText" text="G">
      <formula>NOT(ISERROR(SEARCH(("G"),(B7))))</formula>
    </cfRule>
  </conditionalFormatting>
  <conditionalFormatting sqref="B7">
    <cfRule type="containsText" dxfId="3" priority="107" operator="containsText" text="V">
      <formula>NOT(ISERROR(SEARCH(("V"),(B7))))</formula>
    </cfRule>
  </conditionalFormatting>
  <conditionalFormatting sqref="B7">
    <cfRule type="containsText" dxfId="0" priority="108" operator="containsText" text="B">
      <formula>NOT(ISERROR(SEARCH(("B"),(B7))))</formula>
    </cfRule>
  </conditionalFormatting>
  <conditionalFormatting sqref="B7">
    <cfRule type="containsText" dxfId="4" priority="109" operator="containsText" text="L">
      <formula>NOT(ISERROR(SEARCH(("L"),(B7))))</formula>
    </cfRule>
  </conditionalFormatting>
  <conditionalFormatting sqref="A7:B7">
    <cfRule type="containsBlanks" dxfId="5" priority="110">
      <formula>LEN(TRIM(A7))=0</formula>
    </cfRule>
  </conditionalFormatting>
  <conditionalFormatting sqref="B7">
    <cfRule type="containsText" dxfId="0" priority="111" operator="containsText" text="D">
      <formula>NOT(ISERROR(SEARCH(("D"),(B7))))</formula>
    </cfRule>
  </conditionalFormatting>
  <conditionalFormatting sqref="A7">
    <cfRule type="containsText" dxfId="1" priority="112" operator="containsText" text="cuna kayak">
      <formula>NOT(ISERROR(SEARCH(("cuna kayak"),(A7))))</formula>
    </cfRule>
  </conditionalFormatting>
  <conditionalFormatting sqref="A7">
    <cfRule type="containsText" dxfId="6" priority="113" operator="containsText" text="cuna velero">
      <formula>NOT(ISERROR(SEARCH(("cuna velero"),(A7))))</formula>
    </cfRule>
  </conditionalFormatting>
  <conditionalFormatting sqref="A7">
    <cfRule type="containsText" dxfId="0" priority="114" operator="containsText" text="Cuna Windsurf">
      <formula>NOT(ISERROR(SEARCH(("Cuna Windsurf"),(A7))))</formula>
    </cfRule>
  </conditionalFormatting>
  <conditionalFormatting sqref="A7">
    <cfRule type="containsText" dxfId="2" priority="115" operator="containsText" text="Vela">
      <formula>NOT(ISERROR(SEARCH(("Vela"),(A7))))</formula>
    </cfRule>
  </conditionalFormatting>
  <conditionalFormatting sqref="A7">
    <cfRule type="containsText" dxfId="3" priority="116" operator="containsText" text="Velero">
      <formula>NOT(ISERROR(SEARCH(("Velero"),(A7))))</formula>
    </cfRule>
  </conditionalFormatting>
  <conditionalFormatting sqref="A7:B7">
    <cfRule type="containsText" dxfId="5" priority="117" operator="containsText" text="-">
      <formula>NOT(ISERROR(SEARCH(("-"),(A7))))</formula>
    </cfRule>
  </conditionalFormatting>
  <conditionalFormatting sqref="A7">
    <cfRule type="containsText" dxfId="4" priority="118" operator="containsText" text="Locker">
      <formula>NOT(ISERROR(SEARCH(("Locker"),(A7))))</formula>
    </cfRule>
  </conditionalFormatting>
  <conditionalFormatting sqref="A7">
    <cfRule type="containsBlanks" dxfId="5" priority="119">
      <formula>LEN(TRIM(A7))=0</formula>
    </cfRule>
  </conditionalFormatting>
  <conditionalFormatting sqref="E6:F6">
    <cfRule type="containsText" dxfId="9" priority="120" operator="containsText" text="Disponible">
      <formula>NOT(ISERROR(SEARCH(("Disponible"),(E6))))</formula>
    </cfRule>
  </conditionalFormatting>
  <conditionalFormatting sqref="B6">
    <cfRule type="containsText" dxfId="0" priority="121" operator="containsText" text="A">
      <formula>NOT(ISERROR(SEARCH(("A"),(B6))))</formula>
    </cfRule>
  </conditionalFormatting>
  <conditionalFormatting sqref="B6">
    <cfRule type="containsText" dxfId="0" priority="122" operator="containsText" text="C">
      <formula>NOT(ISERROR(SEARCH(("C"),(B6))))</formula>
    </cfRule>
  </conditionalFormatting>
  <conditionalFormatting sqref="B6">
    <cfRule type="cellIs" dxfId="1" priority="123" operator="equal">
      <formula>"K"</formula>
    </cfRule>
  </conditionalFormatting>
  <conditionalFormatting sqref="B6">
    <cfRule type="containsText" dxfId="2" priority="124" operator="containsText" text="G">
      <formula>NOT(ISERROR(SEARCH(("G"),(B6))))</formula>
    </cfRule>
  </conditionalFormatting>
  <conditionalFormatting sqref="B6">
    <cfRule type="containsText" dxfId="3" priority="125" operator="containsText" text="V">
      <formula>NOT(ISERROR(SEARCH(("V"),(B6))))</formula>
    </cfRule>
  </conditionalFormatting>
  <conditionalFormatting sqref="B6">
    <cfRule type="containsText" dxfId="0" priority="126" operator="containsText" text="B">
      <formula>NOT(ISERROR(SEARCH(("B"),(B6))))</formula>
    </cfRule>
  </conditionalFormatting>
  <conditionalFormatting sqref="B6">
    <cfRule type="containsText" dxfId="4" priority="127" operator="containsText" text="L">
      <formula>NOT(ISERROR(SEARCH(("L"),(B6))))</formula>
    </cfRule>
  </conditionalFormatting>
  <conditionalFormatting sqref="A6:B6">
    <cfRule type="containsBlanks" dxfId="5" priority="128">
      <formula>LEN(TRIM(A6))=0</formula>
    </cfRule>
  </conditionalFormatting>
  <conditionalFormatting sqref="B6">
    <cfRule type="containsText" dxfId="0" priority="129" operator="containsText" text="D">
      <formula>NOT(ISERROR(SEARCH(("D"),(B6))))</formula>
    </cfRule>
  </conditionalFormatting>
  <conditionalFormatting sqref="A6">
    <cfRule type="containsText" dxfId="1" priority="130" operator="containsText" text="cuna kayak">
      <formula>NOT(ISERROR(SEARCH(("cuna kayak"),(A6))))</formula>
    </cfRule>
  </conditionalFormatting>
  <conditionalFormatting sqref="A6">
    <cfRule type="containsText" dxfId="6" priority="131" operator="containsText" text="cuna velero">
      <formula>NOT(ISERROR(SEARCH(("cuna velero"),(A6))))</formula>
    </cfRule>
  </conditionalFormatting>
  <conditionalFormatting sqref="A6">
    <cfRule type="containsText" dxfId="0" priority="132" operator="containsText" text="Cuna Windsurf">
      <formula>NOT(ISERROR(SEARCH(("Cuna Windsurf"),(A6))))</formula>
    </cfRule>
  </conditionalFormatting>
  <conditionalFormatting sqref="A6">
    <cfRule type="containsText" dxfId="2" priority="133" operator="containsText" text="Vela">
      <formula>NOT(ISERROR(SEARCH(("Vela"),(A6))))</formula>
    </cfRule>
  </conditionalFormatting>
  <conditionalFormatting sqref="A6">
    <cfRule type="containsText" dxfId="3" priority="134" operator="containsText" text="Velero">
      <formula>NOT(ISERROR(SEARCH(("Velero"),(A6))))</formula>
    </cfRule>
  </conditionalFormatting>
  <conditionalFormatting sqref="A6:B6">
    <cfRule type="containsText" dxfId="5" priority="135" operator="containsText" text="-">
      <formula>NOT(ISERROR(SEARCH(("-"),(A6))))</formula>
    </cfRule>
  </conditionalFormatting>
  <conditionalFormatting sqref="A6">
    <cfRule type="containsText" dxfId="4" priority="136" operator="containsText" text="Locker">
      <formula>NOT(ISERROR(SEARCH(("Locker"),(A6))))</formula>
    </cfRule>
  </conditionalFormatting>
  <conditionalFormatting sqref="A6">
    <cfRule type="containsBlanks" dxfId="5" priority="137">
      <formula>LEN(TRIM(A6))=0</formula>
    </cfRule>
  </conditionalFormatting>
  <conditionalFormatting sqref="E5:F5">
    <cfRule type="containsText" dxfId="9" priority="138" operator="containsText" text="Disponible">
      <formula>NOT(ISERROR(SEARCH(("Disponible"),(E5))))</formula>
    </cfRule>
  </conditionalFormatting>
  <conditionalFormatting sqref="B5">
    <cfRule type="containsText" dxfId="0" priority="139" operator="containsText" text="A">
      <formula>NOT(ISERROR(SEARCH(("A"),(B5))))</formula>
    </cfRule>
  </conditionalFormatting>
  <conditionalFormatting sqref="B5">
    <cfRule type="containsText" dxfId="0" priority="140" operator="containsText" text="C">
      <formula>NOT(ISERROR(SEARCH(("C"),(B5))))</formula>
    </cfRule>
  </conditionalFormatting>
  <conditionalFormatting sqref="B5">
    <cfRule type="cellIs" dxfId="1" priority="141" operator="equal">
      <formula>"K"</formula>
    </cfRule>
  </conditionalFormatting>
  <conditionalFormatting sqref="B5">
    <cfRule type="containsText" dxfId="2" priority="142" operator="containsText" text="G">
      <formula>NOT(ISERROR(SEARCH(("G"),(B5))))</formula>
    </cfRule>
  </conditionalFormatting>
  <conditionalFormatting sqref="B5">
    <cfRule type="containsText" dxfId="3" priority="143" operator="containsText" text="V">
      <formula>NOT(ISERROR(SEARCH(("V"),(B5))))</formula>
    </cfRule>
  </conditionalFormatting>
  <conditionalFormatting sqref="B5">
    <cfRule type="containsText" dxfId="0" priority="144" operator="containsText" text="B">
      <formula>NOT(ISERROR(SEARCH(("B"),(B5))))</formula>
    </cfRule>
  </conditionalFormatting>
  <conditionalFormatting sqref="B5">
    <cfRule type="containsText" dxfId="4" priority="145" operator="containsText" text="L">
      <formula>NOT(ISERROR(SEARCH(("L"),(B5))))</formula>
    </cfRule>
  </conditionalFormatting>
  <conditionalFormatting sqref="A5:B5">
    <cfRule type="containsBlanks" dxfId="5" priority="146">
      <formula>LEN(TRIM(A5))=0</formula>
    </cfRule>
  </conditionalFormatting>
  <conditionalFormatting sqref="B5">
    <cfRule type="containsText" dxfId="0" priority="147" operator="containsText" text="D">
      <formula>NOT(ISERROR(SEARCH(("D"),(B5))))</formula>
    </cfRule>
  </conditionalFormatting>
  <conditionalFormatting sqref="A5">
    <cfRule type="containsText" dxfId="1" priority="148" operator="containsText" text="cuna kayak">
      <formula>NOT(ISERROR(SEARCH(("cuna kayak"),(A5))))</formula>
    </cfRule>
  </conditionalFormatting>
  <conditionalFormatting sqref="A5">
    <cfRule type="containsText" dxfId="6" priority="149" operator="containsText" text="cuna velero">
      <formula>NOT(ISERROR(SEARCH(("cuna velero"),(A5))))</formula>
    </cfRule>
  </conditionalFormatting>
  <conditionalFormatting sqref="A5">
    <cfRule type="containsText" dxfId="0" priority="150" operator="containsText" text="Cuna Windsurf">
      <formula>NOT(ISERROR(SEARCH(("Cuna Windsurf"),(A5))))</formula>
    </cfRule>
  </conditionalFormatting>
  <conditionalFormatting sqref="A5">
    <cfRule type="containsText" dxfId="2" priority="151" operator="containsText" text="Vela">
      <formula>NOT(ISERROR(SEARCH(("Vela"),(A5))))</formula>
    </cfRule>
  </conditionalFormatting>
  <conditionalFormatting sqref="A5">
    <cfRule type="containsText" dxfId="3" priority="152" operator="containsText" text="Velero">
      <formula>NOT(ISERROR(SEARCH(("Velero"),(A5))))</formula>
    </cfRule>
  </conditionalFormatting>
  <conditionalFormatting sqref="A5:B5">
    <cfRule type="containsText" dxfId="5" priority="153" operator="containsText" text="-">
      <formula>NOT(ISERROR(SEARCH(("-"),(A5))))</formula>
    </cfRule>
  </conditionalFormatting>
  <conditionalFormatting sqref="A5">
    <cfRule type="containsText" dxfId="4" priority="154" operator="containsText" text="Locker">
      <formula>NOT(ISERROR(SEARCH(("Locker"),(A5))))</formula>
    </cfRule>
  </conditionalFormatting>
  <conditionalFormatting sqref="A5">
    <cfRule type="containsBlanks" dxfId="5" priority="155">
      <formula>LEN(TRIM(A5))=0</formula>
    </cfRule>
  </conditionalFormatting>
  <conditionalFormatting sqref="E4:F4">
    <cfRule type="containsText" dxfId="9" priority="156" operator="containsText" text="Disponible">
      <formula>NOT(ISERROR(SEARCH(("Disponible"),(E4))))</formula>
    </cfRule>
  </conditionalFormatting>
  <conditionalFormatting sqref="B4">
    <cfRule type="containsText" dxfId="0" priority="157" operator="containsText" text="A">
      <formula>NOT(ISERROR(SEARCH(("A"),(B4))))</formula>
    </cfRule>
  </conditionalFormatting>
  <conditionalFormatting sqref="B4">
    <cfRule type="containsText" dxfId="0" priority="158" operator="containsText" text="C">
      <formula>NOT(ISERROR(SEARCH(("C"),(B4))))</formula>
    </cfRule>
  </conditionalFormatting>
  <conditionalFormatting sqref="B4">
    <cfRule type="cellIs" dxfId="1" priority="159" operator="equal">
      <formula>"K"</formula>
    </cfRule>
  </conditionalFormatting>
  <conditionalFormatting sqref="B4">
    <cfRule type="containsText" dxfId="2" priority="160" operator="containsText" text="G">
      <formula>NOT(ISERROR(SEARCH(("G"),(B4))))</formula>
    </cfRule>
  </conditionalFormatting>
  <conditionalFormatting sqref="B4">
    <cfRule type="containsText" dxfId="3" priority="161" operator="containsText" text="V">
      <formula>NOT(ISERROR(SEARCH(("V"),(B4))))</formula>
    </cfRule>
  </conditionalFormatting>
  <conditionalFormatting sqref="B4">
    <cfRule type="containsText" dxfId="0" priority="162" operator="containsText" text="B">
      <formula>NOT(ISERROR(SEARCH(("B"),(B4))))</formula>
    </cfRule>
  </conditionalFormatting>
  <conditionalFormatting sqref="B4">
    <cfRule type="containsText" dxfId="4" priority="163" operator="containsText" text="L">
      <formula>NOT(ISERROR(SEARCH(("L"),(B4))))</formula>
    </cfRule>
  </conditionalFormatting>
  <conditionalFormatting sqref="A4:B4">
    <cfRule type="containsBlanks" dxfId="5" priority="164">
      <formula>LEN(TRIM(A4))=0</formula>
    </cfRule>
  </conditionalFormatting>
  <conditionalFormatting sqref="B4">
    <cfRule type="containsText" dxfId="0" priority="165" operator="containsText" text="D">
      <formula>NOT(ISERROR(SEARCH(("D"),(B4))))</formula>
    </cfRule>
  </conditionalFormatting>
  <conditionalFormatting sqref="A4">
    <cfRule type="containsText" dxfId="1" priority="166" operator="containsText" text="cuna kayak">
      <formula>NOT(ISERROR(SEARCH(("cuna kayak"),(A4))))</formula>
    </cfRule>
  </conditionalFormatting>
  <conditionalFormatting sqref="A4">
    <cfRule type="containsText" dxfId="6" priority="167" operator="containsText" text="cuna velero">
      <formula>NOT(ISERROR(SEARCH(("cuna velero"),(A4))))</formula>
    </cfRule>
  </conditionalFormatting>
  <conditionalFormatting sqref="A4">
    <cfRule type="containsText" dxfId="0" priority="168" operator="containsText" text="Cuna Windsurf">
      <formula>NOT(ISERROR(SEARCH(("Cuna Windsurf"),(A4))))</formula>
    </cfRule>
  </conditionalFormatting>
  <conditionalFormatting sqref="A4">
    <cfRule type="containsText" dxfId="2" priority="169" operator="containsText" text="Vela">
      <formula>NOT(ISERROR(SEARCH(("Vela"),(A4))))</formula>
    </cfRule>
  </conditionalFormatting>
  <conditionalFormatting sqref="A4">
    <cfRule type="containsText" dxfId="3" priority="170" operator="containsText" text="Velero">
      <formula>NOT(ISERROR(SEARCH(("Velero"),(A4))))</formula>
    </cfRule>
  </conditionalFormatting>
  <conditionalFormatting sqref="A4:B4">
    <cfRule type="containsText" dxfId="5" priority="171" operator="containsText" text="-">
      <formula>NOT(ISERROR(SEARCH(("-"),(A4))))</formula>
    </cfRule>
  </conditionalFormatting>
  <conditionalFormatting sqref="A4">
    <cfRule type="containsText" dxfId="4" priority="172" operator="containsText" text="Locker">
      <formula>NOT(ISERROR(SEARCH(("Locker"),(A4))))</formula>
    </cfRule>
  </conditionalFormatting>
  <conditionalFormatting sqref="A4">
    <cfRule type="containsBlanks" dxfId="5" priority="173">
      <formula>LEN(TRIM(A4))=0</formula>
    </cfRule>
  </conditionalFormatting>
  <conditionalFormatting sqref="E3:F3">
    <cfRule type="containsText" dxfId="9" priority="174" operator="containsText" text="Disponible">
      <formula>NOT(ISERROR(SEARCH(("Disponible"),(E3))))</formula>
    </cfRule>
  </conditionalFormatting>
  <conditionalFormatting sqref="B3">
    <cfRule type="containsText" dxfId="0" priority="175" operator="containsText" text="A">
      <formula>NOT(ISERROR(SEARCH(("A"),(B3))))</formula>
    </cfRule>
  </conditionalFormatting>
  <conditionalFormatting sqref="B3">
    <cfRule type="containsText" dxfId="0" priority="176" operator="containsText" text="C">
      <formula>NOT(ISERROR(SEARCH(("C"),(B3))))</formula>
    </cfRule>
  </conditionalFormatting>
  <conditionalFormatting sqref="B3">
    <cfRule type="cellIs" dxfId="1" priority="177" operator="equal">
      <formula>"K"</formula>
    </cfRule>
  </conditionalFormatting>
  <conditionalFormatting sqref="B3">
    <cfRule type="containsText" dxfId="2" priority="178" operator="containsText" text="G">
      <formula>NOT(ISERROR(SEARCH(("G"),(B3))))</formula>
    </cfRule>
  </conditionalFormatting>
  <conditionalFormatting sqref="B3">
    <cfRule type="containsText" dxfId="3" priority="179" operator="containsText" text="V">
      <formula>NOT(ISERROR(SEARCH(("V"),(B3))))</formula>
    </cfRule>
  </conditionalFormatting>
  <conditionalFormatting sqref="B3">
    <cfRule type="containsText" dxfId="0" priority="180" operator="containsText" text="B">
      <formula>NOT(ISERROR(SEARCH(("B"),(B3))))</formula>
    </cfRule>
  </conditionalFormatting>
  <conditionalFormatting sqref="B3">
    <cfRule type="containsText" dxfId="4" priority="181" operator="containsText" text="L">
      <formula>NOT(ISERROR(SEARCH(("L"),(B3))))</formula>
    </cfRule>
  </conditionalFormatting>
  <conditionalFormatting sqref="A3:B3">
    <cfRule type="containsBlanks" dxfId="5" priority="182">
      <formula>LEN(TRIM(A3))=0</formula>
    </cfRule>
  </conditionalFormatting>
  <conditionalFormatting sqref="B3">
    <cfRule type="containsText" dxfId="0" priority="183" operator="containsText" text="D">
      <formula>NOT(ISERROR(SEARCH(("D"),(B3))))</formula>
    </cfRule>
  </conditionalFormatting>
  <conditionalFormatting sqref="A3">
    <cfRule type="containsText" dxfId="1" priority="184" operator="containsText" text="cuna kayak">
      <formula>NOT(ISERROR(SEARCH(("cuna kayak"),(A3))))</formula>
    </cfRule>
  </conditionalFormatting>
  <conditionalFormatting sqref="A3">
    <cfRule type="containsText" dxfId="6" priority="185" operator="containsText" text="cuna velero">
      <formula>NOT(ISERROR(SEARCH(("cuna velero"),(A3))))</formula>
    </cfRule>
  </conditionalFormatting>
  <conditionalFormatting sqref="A3">
    <cfRule type="containsText" dxfId="0" priority="186" operator="containsText" text="Cuna Windsurf">
      <formula>NOT(ISERROR(SEARCH(("Cuna Windsurf"),(A3))))</formula>
    </cfRule>
  </conditionalFormatting>
  <conditionalFormatting sqref="A3">
    <cfRule type="containsText" dxfId="2" priority="187" operator="containsText" text="Vela">
      <formula>NOT(ISERROR(SEARCH(("Vela"),(A3))))</formula>
    </cfRule>
  </conditionalFormatting>
  <conditionalFormatting sqref="A3">
    <cfRule type="containsText" dxfId="3" priority="188" operator="containsText" text="Velero">
      <formula>NOT(ISERROR(SEARCH(("Velero"),(A3))))</formula>
    </cfRule>
  </conditionalFormatting>
  <conditionalFormatting sqref="A3:B3">
    <cfRule type="containsText" dxfId="5" priority="189" operator="containsText" text="-">
      <formula>NOT(ISERROR(SEARCH(("-"),(A3))))</formula>
    </cfRule>
  </conditionalFormatting>
  <conditionalFormatting sqref="A3">
    <cfRule type="containsText" dxfId="4" priority="190" operator="containsText" text="Locker">
      <formula>NOT(ISERROR(SEARCH(("Locker"),(A3))))</formula>
    </cfRule>
  </conditionalFormatting>
  <conditionalFormatting sqref="A3">
    <cfRule type="containsBlanks" dxfId="5" priority="191">
      <formula>LEN(TRIM(A3))=0</formula>
    </cfRule>
  </conditionalFormatting>
  <conditionalFormatting sqref="E2:F2">
    <cfRule type="containsText" dxfId="9" priority="192" operator="containsText" text="Disponible">
      <formula>NOT(ISERROR(SEARCH(("Disponible"),(E2))))</formula>
    </cfRule>
  </conditionalFormatting>
  <conditionalFormatting sqref="B2">
    <cfRule type="containsText" dxfId="0" priority="193" operator="containsText" text="A">
      <formula>NOT(ISERROR(SEARCH(("A"),(B2))))</formula>
    </cfRule>
  </conditionalFormatting>
  <conditionalFormatting sqref="B2">
    <cfRule type="containsText" dxfId="0" priority="194" operator="containsText" text="C">
      <formula>NOT(ISERROR(SEARCH(("C"),(B2))))</formula>
    </cfRule>
  </conditionalFormatting>
  <conditionalFormatting sqref="B2">
    <cfRule type="cellIs" dxfId="1" priority="195" operator="equal">
      <formula>"K"</formula>
    </cfRule>
  </conditionalFormatting>
  <conditionalFormatting sqref="B2">
    <cfRule type="containsText" dxfId="2" priority="196" operator="containsText" text="G">
      <formula>NOT(ISERROR(SEARCH(("G"),(B2))))</formula>
    </cfRule>
  </conditionalFormatting>
  <conditionalFormatting sqref="B2">
    <cfRule type="containsText" dxfId="3" priority="197" operator="containsText" text="V">
      <formula>NOT(ISERROR(SEARCH(("V"),(B2))))</formula>
    </cfRule>
  </conditionalFormatting>
  <conditionalFormatting sqref="B2">
    <cfRule type="containsText" dxfId="0" priority="198" operator="containsText" text="B">
      <formula>NOT(ISERROR(SEARCH(("B"),(B2))))</formula>
    </cfRule>
  </conditionalFormatting>
  <conditionalFormatting sqref="B2">
    <cfRule type="containsText" dxfId="4" priority="199" operator="containsText" text="L">
      <formula>NOT(ISERROR(SEARCH(("L"),(B2))))</formula>
    </cfRule>
  </conditionalFormatting>
  <conditionalFormatting sqref="A2:B2">
    <cfRule type="containsBlanks" dxfId="5" priority="200">
      <formula>LEN(TRIM(A2))=0</formula>
    </cfRule>
  </conditionalFormatting>
  <conditionalFormatting sqref="B2">
    <cfRule type="containsText" dxfId="0" priority="201" operator="containsText" text="D">
      <formula>NOT(ISERROR(SEARCH(("D"),(B2))))</formula>
    </cfRule>
  </conditionalFormatting>
  <conditionalFormatting sqref="A2">
    <cfRule type="containsText" dxfId="1" priority="202" operator="containsText" text="cuna kayak">
      <formula>NOT(ISERROR(SEARCH(("cuna kayak"),(A2))))</formula>
    </cfRule>
  </conditionalFormatting>
  <conditionalFormatting sqref="A2">
    <cfRule type="containsText" dxfId="6" priority="203" operator="containsText" text="cuna velero">
      <formula>NOT(ISERROR(SEARCH(("cuna velero"),(A2))))</formula>
    </cfRule>
  </conditionalFormatting>
  <conditionalFormatting sqref="A2">
    <cfRule type="containsText" dxfId="0" priority="204" operator="containsText" text="Cuna Windsurf">
      <formula>NOT(ISERROR(SEARCH(("Cuna Windsurf"),(A2))))</formula>
    </cfRule>
  </conditionalFormatting>
  <conditionalFormatting sqref="A2">
    <cfRule type="containsText" dxfId="2" priority="205" operator="containsText" text="Vela">
      <formula>NOT(ISERROR(SEARCH(("Vela"),(A2))))</formula>
    </cfRule>
  </conditionalFormatting>
  <conditionalFormatting sqref="A2">
    <cfRule type="containsText" dxfId="3" priority="206" operator="containsText" text="Velero">
      <formula>NOT(ISERROR(SEARCH(("Velero"),(A2))))</formula>
    </cfRule>
  </conditionalFormatting>
  <conditionalFormatting sqref="A2:B2">
    <cfRule type="containsText" dxfId="5" priority="207" operator="containsText" text="-">
      <formula>NOT(ISERROR(SEARCH(("-"),(A2))))</formula>
    </cfRule>
  </conditionalFormatting>
  <conditionalFormatting sqref="A2">
    <cfRule type="containsText" dxfId="4" priority="208" operator="containsText" text="Locker">
      <formula>NOT(ISERROR(SEARCH(("Locker"),(A2))))</formula>
    </cfRule>
  </conditionalFormatting>
  <conditionalFormatting sqref="A2">
    <cfRule type="containsBlanks" dxfId="5" priority="209">
      <formula>LEN(TRIM(A2))=0</formula>
    </cfRule>
  </conditionalFormatting>
  <dataValidations>
    <dataValidation type="custom" allowBlank="1" showErrorMessage="1" sqref="E2:E129 E131:E150 E152:E191 E193:E376">
      <formula1>OR(NOT(ISERROR(DATEVALUE(E2))), AND(ISNUMBER(E2), LEFT(CELL("format", E2))="D"))</formula1>
    </dataValidation>
    <dataValidation type="custom" allowBlank="1" showErrorMessage="1" sqref="C159">
      <formula1>U159=False</formula1>
    </dataValidation>
    <dataValidation type="list" allowBlank="1" sqref="G2:G376">
      <formula1>"Efectivo,Transferencia"</formula1>
    </dataValidation>
    <dataValidation type="list" allowBlank="1" showErrorMessage="1" sqref="A11:A12 A15 A20 A23:A24 A28:A29 A41 A46:A51 A53:A54 A57:A59 A66:A68 A70:A75 A80 A90">
      <formula1>".socio,cuna windsurf,vela,cuna kayak,velero,locker,lockerG,Der.Inscrip.,Cadete,Multa,-"</formula1>
    </dataValidation>
    <dataValidation type="list" allowBlank="1" showErrorMessage="1" sqref="A19 A22 A27 A31 A40 A42:A43 A55:A56 A82 A86 A92 A112:A113 A121 A130 A133 A136:A140 A142:A376">
      <formula1>".socio,cuna windsurf,vela,cuna kayak,velero,locker,lockerG,LockerK,Der.Inscrip.,Cadete,Multa,Depósito,Bono canon,-"</formula1>
    </dataValidation>
    <dataValidation type="custom" allowBlank="1" showErrorMessage="1" sqref="F2:F129 E130:F130 F131:F150 E151:F151 F152:F191 E192:F192 F193:F376">
      <formula1>day(E2)=1</formula1>
    </dataValidation>
    <dataValidation type="list" allowBlank="1" showErrorMessage="1" sqref="A26 A63">
      <formula1>".socio,cuna windsurf,vela,cuna kayak,velero,locker,lockerG,Der.Inscrip.,Cadete,Multa,Depósito,-"</formula1>
    </dataValidation>
    <dataValidation type="list" allowBlank="1" showErrorMessage="1" sqref="A2:A10 A13:A14 A16:A18 A21 A25 A30 A32:A39 A44:A45 A52 A60:A62 A64:A65 A69 A76:A79 A81 A83:A85 A87:A89 A91 A93:A111 A114:A120 A122:A129 A131:A132 A134:A135 A141">
      <formula1>".socio,cuna windsurf,vela,cuna kayak,velero,locker,lockerG,LockerK,Der.Inscrip.,Cadete,Multa,Depósito,-"</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B8A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75"/>
  <cols>
    <col customWidth="1" min="1" max="1" width="10.75"/>
    <col customWidth="1" min="2" max="2" width="25.25"/>
    <col customWidth="1" min="4" max="5" width="13.0"/>
  </cols>
  <sheetData>
    <row r="2" ht="36.0" customHeight="1">
      <c r="A2" s="652" t="s">
        <v>5062</v>
      </c>
      <c r="B2" s="175"/>
      <c r="C2" s="175"/>
      <c r="D2" s="175"/>
      <c r="E2" s="176"/>
    </row>
    <row r="4">
      <c r="B4" s="653" t="s">
        <v>5063</v>
      </c>
      <c r="C4" s="654">
        <f>today()</f>
        <v>45927</v>
      </c>
    </row>
    <row r="6" ht="10.5" customHeight="1"/>
    <row r="7" ht="35.25" customHeight="1">
      <c r="A7" s="655" t="str">
        <f>Concatenate("Cantidad total de vitalicios al ", day(C4),"/",Month(C4),"/",year(C4),": ",count(A9:A534))</f>
        <v>Cantidad total de vitalicios al 27/9/2025: 26</v>
      </c>
      <c r="B7" s="175"/>
      <c r="C7" s="175"/>
      <c r="D7" s="175"/>
      <c r="E7" s="176"/>
    </row>
    <row r="8" ht="28.5" customHeight="1">
      <c r="A8" s="656" t="str">
        <f>IFERROR(__xludf.DUMMYFUNCTION("query(PADRON!A:N,""Select A,B,K,N where N&gt;28 and N&lt;50 order by K desc"")"),"Nro.socio")</f>
        <v>Nro.socio</v>
      </c>
      <c r="B8" s="656" t="str">
        <f>IFERROR(__xludf.DUMMYFUNCTION("""COMPUTED_VALUE"""),"Apellido y nombre")</f>
        <v>Apellido y nombre</v>
      </c>
      <c r="C8" s="656" t="str">
        <f>IFERROR(__xludf.DUMMYFUNCTION("""COMPUTED_VALUE"""),"Fecha de alta")</f>
        <v>Fecha de alta</v>
      </c>
      <c r="D8" s="656" t="str">
        <f>IFERROR(__xludf.DUMMYFUNCTION("""COMPUTED_VALUE"""),"Antiguedad")</f>
        <v>Antiguedad</v>
      </c>
      <c r="E8" s="657" t="s">
        <v>5064</v>
      </c>
    </row>
    <row r="9">
      <c r="A9" s="353">
        <f>IFERROR(__xludf.DUMMYFUNCTION("""COMPUTED_VALUE"""),661.0)</f>
        <v>661</v>
      </c>
      <c r="B9" s="353" t="str">
        <f>IFERROR(__xludf.DUMMYFUNCTION("""COMPUTED_VALUE"""),"CASTAGNARI, CLAUDIA")</f>
        <v>CASTAGNARI, CLAUDIA</v>
      </c>
      <c r="C9" s="658">
        <f>IFERROR(__xludf.DUMMYFUNCTION("""COMPUTED_VALUE"""),34959.0)</f>
        <v>34959</v>
      </c>
      <c r="D9" s="353">
        <f>IFERROR(__xludf.DUMMYFUNCTION("""COMPUTED_VALUE"""),30.0)</f>
        <v>30</v>
      </c>
      <c r="E9" s="658">
        <f t="shared" ref="E9:E33" si="1">C9+29*365</f>
        <v>45544</v>
      </c>
    </row>
    <row r="10">
      <c r="A10" s="353">
        <f>IFERROR(__xludf.DUMMYFUNCTION("""COMPUTED_VALUE"""),610.0)</f>
        <v>610</v>
      </c>
      <c r="B10" s="353" t="str">
        <f>IFERROR(__xludf.DUMMYFUNCTION("""COMPUTED_VALUE"""),"GOUDAK, JORGE")</f>
        <v>GOUDAK, JORGE</v>
      </c>
      <c r="C10" s="658">
        <f>IFERROR(__xludf.DUMMYFUNCTION("""COMPUTED_VALUE"""),34260.0)</f>
        <v>34260</v>
      </c>
      <c r="D10" s="353">
        <f>IFERROR(__xludf.DUMMYFUNCTION("""COMPUTED_VALUE"""),31.0)</f>
        <v>31</v>
      </c>
      <c r="E10" s="658">
        <f t="shared" si="1"/>
        <v>44845</v>
      </c>
    </row>
    <row r="11">
      <c r="A11" s="353">
        <f>IFERROR(__xludf.DUMMYFUNCTION("""COMPUTED_VALUE"""),605.0)</f>
        <v>605</v>
      </c>
      <c r="B11" s="353" t="str">
        <f>IFERROR(__xludf.DUMMYFUNCTION("""COMPUTED_VALUE"""),"CAPELLINI, LUIS")</f>
        <v>CAPELLINI, LUIS</v>
      </c>
      <c r="C11" s="658">
        <f>IFERROR(__xludf.DUMMYFUNCTION("""COMPUTED_VALUE"""),34216.0)</f>
        <v>34216</v>
      </c>
      <c r="D11" s="353">
        <f>IFERROR(__xludf.DUMMYFUNCTION("""COMPUTED_VALUE"""),32.0)</f>
        <v>32</v>
      </c>
      <c r="E11" s="658">
        <f t="shared" si="1"/>
        <v>44801</v>
      </c>
    </row>
    <row r="12">
      <c r="A12" s="353">
        <f>IFERROR(__xludf.DUMMYFUNCTION("""COMPUTED_VALUE"""),598.0)</f>
        <v>598</v>
      </c>
      <c r="B12" s="353" t="str">
        <f>IFERROR(__xludf.DUMMYFUNCTION("""COMPUTED_VALUE"""),"BERMUDEZ, SANDRA")</f>
        <v>BERMUDEZ, SANDRA</v>
      </c>
      <c r="C12" s="658">
        <f>IFERROR(__xludf.DUMMYFUNCTION("""COMPUTED_VALUE"""),34028.0)</f>
        <v>34028</v>
      </c>
      <c r="D12" s="353">
        <f>IFERROR(__xludf.DUMMYFUNCTION("""COMPUTED_VALUE"""),32.0)</f>
        <v>32</v>
      </c>
      <c r="E12" s="658">
        <f t="shared" si="1"/>
        <v>44613</v>
      </c>
    </row>
    <row r="13">
      <c r="A13" s="353">
        <f>IFERROR(__xludf.DUMMYFUNCTION("""COMPUTED_VALUE"""),593.0)</f>
        <v>593</v>
      </c>
      <c r="B13" s="353" t="str">
        <f>IFERROR(__xludf.DUMMYFUNCTION("""COMPUTED_VALUE"""),"CREEVY, HUGO")</f>
        <v>CREEVY, HUGO</v>
      </c>
      <c r="C13" s="658">
        <f>IFERROR(__xludf.DUMMYFUNCTION("""COMPUTED_VALUE"""),33991.0)</f>
        <v>33991</v>
      </c>
      <c r="D13" s="353">
        <f>IFERROR(__xludf.DUMMYFUNCTION("""COMPUTED_VALUE"""),32.0)</f>
        <v>32</v>
      </c>
      <c r="E13" s="658">
        <f t="shared" si="1"/>
        <v>44576</v>
      </c>
    </row>
    <row r="14">
      <c r="A14" s="353">
        <f>IFERROR(__xludf.DUMMYFUNCTION("""COMPUTED_VALUE"""),585.0)</f>
        <v>585</v>
      </c>
      <c r="B14" s="353" t="str">
        <f>IFERROR(__xludf.DUMMYFUNCTION("""COMPUTED_VALUE"""),"FAVA, FELIX")</f>
        <v>FAVA, FELIX</v>
      </c>
      <c r="C14" s="658">
        <f>IFERROR(__xludf.DUMMYFUNCTION("""COMPUTED_VALUE"""),33971.0)</f>
        <v>33971</v>
      </c>
      <c r="D14" s="353">
        <f>IFERROR(__xludf.DUMMYFUNCTION("""COMPUTED_VALUE"""),32.0)</f>
        <v>32</v>
      </c>
      <c r="E14" s="658">
        <f t="shared" si="1"/>
        <v>44556</v>
      </c>
    </row>
    <row r="15">
      <c r="A15" s="353">
        <f>IFERROR(__xludf.DUMMYFUNCTION("""COMPUTED_VALUE"""),584.0)</f>
        <v>584</v>
      </c>
      <c r="B15" s="353" t="str">
        <f>IFERROR(__xludf.DUMMYFUNCTION("""COMPUTED_VALUE"""),"CERRUTI, MARISA")</f>
        <v>CERRUTI, MARISA</v>
      </c>
      <c r="C15" s="658">
        <f>IFERROR(__xludf.DUMMYFUNCTION("""COMPUTED_VALUE"""),33970.0)</f>
        <v>33970</v>
      </c>
      <c r="D15" s="353">
        <f>IFERROR(__xludf.DUMMYFUNCTION("""COMPUTED_VALUE"""),32.0)</f>
        <v>32</v>
      </c>
      <c r="E15" s="658">
        <f t="shared" si="1"/>
        <v>44555</v>
      </c>
    </row>
    <row r="16">
      <c r="A16" s="353">
        <f>IFERROR(__xludf.DUMMYFUNCTION("""COMPUTED_VALUE"""),580.0)</f>
        <v>580</v>
      </c>
      <c r="B16" s="353" t="str">
        <f>IFERROR(__xludf.DUMMYFUNCTION("""COMPUTED_VALUE"""),"DI LUCA, ALEJANDRO")</f>
        <v>DI LUCA, ALEJANDRO</v>
      </c>
      <c r="C16" s="658">
        <f>IFERROR(__xludf.DUMMYFUNCTION("""COMPUTED_VALUE"""),33965.0)</f>
        <v>33965</v>
      </c>
      <c r="D16" s="353">
        <f>IFERROR(__xludf.DUMMYFUNCTION("""COMPUTED_VALUE"""),32.0)</f>
        <v>32</v>
      </c>
      <c r="E16" s="658">
        <f t="shared" si="1"/>
        <v>44550</v>
      </c>
    </row>
    <row r="17">
      <c r="A17" s="353">
        <f>IFERROR(__xludf.DUMMYFUNCTION("""COMPUTED_VALUE"""),538.0)</f>
        <v>538</v>
      </c>
      <c r="B17" s="353" t="str">
        <f>IFERROR(__xludf.DUMMYFUNCTION("""COMPUTED_VALUE"""),"YAMAWAKI, JORGE")</f>
        <v>YAMAWAKI, JORGE</v>
      </c>
      <c r="C17" s="658">
        <f>IFERROR(__xludf.DUMMYFUNCTION("""COMPUTED_VALUE"""),33544.0)</f>
        <v>33544</v>
      </c>
      <c r="D17" s="353">
        <f>IFERROR(__xludf.DUMMYFUNCTION("""COMPUTED_VALUE"""),33.0)</f>
        <v>33</v>
      </c>
      <c r="E17" s="658">
        <f t="shared" si="1"/>
        <v>44129</v>
      </c>
    </row>
    <row r="18">
      <c r="A18" s="353">
        <f>IFERROR(__xludf.DUMMYFUNCTION("""COMPUTED_VALUE"""),504.0)</f>
        <v>504</v>
      </c>
      <c r="B18" s="353" t="str">
        <f>IFERROR(__xludf.DUMMYFUNCTION("""COMPUTED_VALUE"""),"BASOALTO, RAUL ALBERTO")</f>
        <v>BASOALTO, RAUL ALBERTO</v>
      </c>
      <c r="C18" s="658">
        <f>IFERROR(__xludf.DUMMYFUNCTION("""COMPUTED_VALUE"""),33181.0)</f>
        <v>33181</v>
      </c>
      <c r="D18" s="353">
        <f>IFERROR(__xludf.DUMMYFUNCTION("""COMPUTED_VALUE"""),34.0)</f>
        <v>34</v>
      </c>
      <c r="E18" s="658">
        <f t="shared" si="1"/>
        <v>43766</v>
      </c>
    </row>
    <row r="19">
      <c r="A19" s="353">
        <f>IFERROR(__xludf.DUMMYFUNCTION("""COMPUTED_VALUE"""),389.0)</f>
        <v>389</v>
      </c>
      <c r="B19" s="353" t="str">
        <f>IFERROR(__xludf.DUMMYFUNCTION("""COMPUTED_VALUE"""),"CARBAJO, SUSANA")</f>
        <v>CARBAJO, SUSANA</v>
      </c>
      <c r="C19" s="658">
        <f>IFERROR(__xludf.DUMMYFUNCTION("""COMPUTED_VALUE"""),32474.0)</f>
        <v>32474</v>
      </c>
      <c r="D19" s="353">
        <f>IFERROR(__xludf.DUMMYFUNCTION("""COMPUTED_VALUE"""),36.0)</f>
        <v>36</v>
      </c>
      <c r="E19" s="658">
        <f t="shared" si="1"/>
        <v>43059</v>
      </c>
    </row>
    <row r="20">
      <c r="A20" s="353">
        <f>IFERROR(__xludf.DUMMYFUNCTION("""COMPUTED_VALUE"""),253.0)</f>
        <v>253</v>
      </c>
      <c r="B20" s="353" t="str">
        <f>IFERROR(__xludf.DUMMYFUNCTION("""COMPUTED_VALUE"""),"MERLO, RAUL")</f>
        <v>MERLO, RAUL</v>
      </c>
      <c r="C20" s="658">
        <f>IFERROR(__xludf.DUMMYFUNCTION("""COMPUTED_VALUE"""),31959.0)</f>
        <v>31959</v>
      </c>
      <c r="D20" s="353">
        <f>IFERROR(__xludf.DUMMYFUNCTION("""COMPUTED_VALUE"""),38.0)</f>
        <v>38</v>
      </c>
      <c r="E20" s="658">
        <f t="shared" si="1"/>
        <v>42544</v>
      </c>
    </row>
    <row r="21">
      <c r="A21" s="353">
        <f>IFERROR(__xludf.DUMMYFUNCTION("""COMPUTED_VALUE"""),275.0)</f>
        <v>275</v>
      </c>
      <c r="B21" s="353" t="str">
        <f>IFERROR(__xludf.DUMMYFUNCTION("""COMPUTED_VALUE"""),"VARRONE HUGO")</f>
        <v>VARRONE HUGO</v>
      </c>
      <c r="C21" s="658">
        <f>IFERROR(__xludf.DUMMYFUNCTION("""COMPUTED_VALUE"""),31826.0)</f>
        <v>31826</v>
      </c>
      <c r="D21" s="353">
        <f>IFERROR(__xludf.DUMMYFUNCTION("""COMPUTED_VALUE"""),38.0)</f>
        <v>38</v>
      </c>
      <c r="E21" s="658">
        <f t="shared" si="1"/>
        <v>42411</v>
      </c>
    </row>
    <row r="22">
      <c r="A22" s="353">
        <f>IFERROR(__xludf.DUMMYFUNCTION("""COMPUTED_VALUE"""),184.0)</f>
        <v>184</v>
      </c>
      <c r="B22" s="353" t="str">
        <f>IFERROR(__xludf.DUMMYFUNCTION("""COMPUTED_VALUE"""),"DEFRANCO, DANIEL FABIAN")</f>
        <v>DEFRANCO, DANIEL FABIAN</v>
      </c>
      <c r="C22" s="658">
        <f>IFERROR(__xludf.DUMMYFUNCTION("""COMPUTED_VALUE"""),31787.0)</f>
        <v>31787</v>
      </c>
      <c r="D22" s="353">
        <f>IFERROR(__xludf.DUMMYFUNCTION("""COMPUTED_VALUE"""),38.0)</f>
        <v>38</v>
      </c>
      <c r="E22" s="658">
        <f t="shared" si="1"/>
        <v>42372</v>
      </c>
    </row>
    <row r="23">
      <c r="A23" s="353">
        <f>IFERROR(__xludf.DUMMYFUNCTION("""COMPUTED_VALUE"""),362.0)</f>
        <v>362</v>
      </c>
      <c r="B23" s="353" t="str">
        <f>IFERROR(__xludf.DUMMYFUNCTION("""COMPUTED_VALUE"""),"GONZALEZ, ESTELA NORA")</f>
        <v>GONZALEZ, ESTELA NORA</v>
      </c>
      <c r="C23" s="658">
        <f>IFERROR(__xludf.DUMMYFUNCTION("""COMPUTED_VALUE"""),31711.0)</f>
        <v>31711</v>
      </c>
      <c r="D23" s="353">
        <f>IFERROR(__xludf.DUMMYFUNCTION("""COMPUTED_VALUE"""),38.0)</f>
        <v>38</v>
      </c>
      <c r="E23" s="658">
        <f t="shared" si="1"/>
        <v>42296</v>
      </c>
    </row>
    <row r="24">
      <c r="A24" s="353">
        <f>IFERROR(__xludf.DUMMYFUNCTION("""COMPUTED_VALUE"""),164.0)</f>
        <v>164</v>
      </c>
      <c r="B24" s="353" t="str">
        <f>IFERROR(__xludf.DUMMYFUNCTION("""COMPUTED_VALUE"""),"MORENO,HECTOR")</f>
        <v>MORENO,HECTOR</v>
      </c>
      <c r="C24" s="658">
        <f>IFERROR(__xludf.DUMMYFUNCTION("""COMPUTED_VALUE"""),31711.0)</f>
        <v>31711</v>
      </c>
      <c r="D24" s="353">
        <f>IFERROR(__xludf.DUMMYFUNCTION("""COMPUTED_VALUE"""),38.0)</f>
        <v>38</v>
      </c>
      <c r="E24" s="658">
        <f t="shared" si="1"/>
        <v>42296</v>
      </c>
    </row>
    <row r="25">
      <c r="A25" s="353">
        <f>IFERROR(__xludf.DUMMYFUNCTION("""COMPUTED_VALUE"""),53.0)</f>
        <v>53</v>
      </c>
      <c r="B25" s="353" t="str">
        <f>IFERROR(__xludf.DUMMYFUNCTION("""COMPUTED_VALUE"""),"VARRONE LEONARDO")</f>
        <v>VARRONE LEONARDO</v>
      </c>
      <c r="C25" s="658">
        <f>IFERROR(__xludf.DUMMYFUNCTION("""COMPUTED_VALUE"""),31522.0)</f>
        <v>31522</v>
      </c>
      <c r="D25" s="353">
        <f>IFERROR(__xludf.DUMMYFUNCTION("""COMPUTED_VALUE"""),39.0)</f>
        <v>39</v>
      </c>
      <c r="E25" s="658">
        <f t="shared" si="1"/>
        <v>42107</v>
      </c>
    </row>
    <row r="26">
      <c r="A26" s="353">
        <f>IFERROR(__xludf.DUMMYFUNCTION("""COMPUTED_VALUE"""),52.0)</f>
        <v>52</v>
      </c>
      <c r="B26" s="353" t="str">
        <f>IFERROR(__xludf.DUMMYFUNCTION("""COMPUTED_VALUE"""),"VARRONE VALERIA")</f>
        <v>VARRONE VALERIA</v>
      </c>
      <c r="C26" s="658">
        <f>IFERROR(__xludf.DUMMYFUNCTION("""COMPUTED_VALUE"""),31522.0)</f>
        <v>31522</v>
      </c>
      <c r="D26" s="353">
        <f>IFERROR(__xludf.DUMMYFUNCTION("""COMPUTED_VALUE"""),39.0)</f>
        <v>39</v>
      </c>
      <c r="E26" s="658">
        <f t="shared" si="1"/>
        <v>42107</v>
      </c>
    </row>
    <row r="27">
      <c r="A27" s="353">
        <f>IFERROR(__xludf.DUMMYFUNCTION("""COMPUTED_VALUE"""),25.0)</f>
        <v>25</v>
      </c>
      <c r="B27" s="353" t="str">
        <f>IFERROR(__xludf.DUMMYFUNCTION("""COMPUTED_VALUE"""),"CABO, HECTOR ANGEL")</f>
        <v>CABO, HECTOR ANGEL</v>
      </c>
      <c r="C27" s="658">
        <f>IFERROR(__xludf.DUMMYFUNCTION("""COMPUTED_VALUE"""),31514.0)</f>
        <v>31514</v>
      </c>
      <c r="D27" s="353">
        <f>IFERROR(__xludf.DUMMYFUNCTION("""COMPUTED_VALUE"""),34.0)</f>
        <v>34</v>
      </c>
      <c r="E27" s="658">
        <f t="shared" si="1"/>
        <v>42099</v>
      </c>
    </row>
    <row r="28">
      <c r="A28" s="353">
        <f>IFERROR(__xludf.DUMMYFUNCTION("""COMPUTED_VALUE"""),14.0)</f>
        <v>14</v>
      </c>
      <c r="B28" s="353" t="str">
        <f>IFERROR(__xludf.DUMMYFUNCTION("""COMPUTED_VALUE"""),"CABRERA, RICARDO JORGE")</f>
        <v>CABRERA, RICARDO JORGE</v>
      </c>
      <c r="C28" s="658">
        <f>IFERROR(__xludf.DUMMYFUNCTION("""COMPUTED_VALUE"""),31514.0)</f>
        <v>31514</v>
      </c>
      <c r="D28" s="353">
        <f>IFERROR(__xludf.DUMMYFUNCTION("""COMPUTED_VALUE"""),39.0)</f>
        <v>39</v>
      </c>
      <c r="E28" s="658">
        <f t="shared" si="1"/>
        <v>42099</v>
      </c>
    </row>
    <row r="29">
      <c r="A29" s="353">
        <f>IFERROR(__xludf.DUMMYFUNCTION("""COMPUTED_VALUE"""),45.0)</f>
        <v>45</v>
      </c>
      <c r="B29" s="353" t="str">
        <f>IFERROR(__xludf.DUMMYFUNCTION("""COMPUTED_VALUE"""),"MANDRINI, LEOPOLDO")</f>
        <v>MANDRINI, LEOPOLDO</v>
      </c>
      <c r="C29" s="658">
        <f>IFERROR(__xludf.DUMMYFUNCTION("""COMPUTED_VALUE"""),31514.0)</f>
        <v>31514</v>
      </c>
      <c r="D29" s="353">
        <f>IFERROR(__xludf.DUMMYFUNCTION("""COMPUTED_VALUE"""),39.0)</f>
        <v>39</v>
      </c>
      <c r="E29" s="658">
        <f t="shared" si="1"/>
        <v>42099</v>
      </c>
    </row>
    <row r="30">
      <c r="A30" s="353">
        <f>IFERROR(__xludf.DUMMYFUNCTION("""COMPUTED_VALUE"""),7.0)</f>
        <v>7</v>
      </c>
      <c r="B30" s="353" t="str">
        <f>IFERROR(__xludf.DUMMYFUNCTION("""COMPUTED_VALUE"""),"MIRENDA, CRISTINA")</f>
        <v>MIRENDA, CRISTINA</v>
      </c>
      <c r="C30" s="658">
        <f>IFERROR(__xludf.DUMMYFUNCTION("""COMPUTED_VALUE"""),31514.0)</f>
        <v>31514</v>
      </c>
      <c r="D30" s="353">
        <f>IFERROR(__xludf.DUMMYFUNCTION("""COMPUTED_VALUE"""),39.0)</f>
        <v>39</v>
      </c>
      <c r="E30" s="658">
        <f t="shared" si="1"/>
        <v>42099</v>
      </c>
    </row>
    <row r="31">
      <c r="A31" s="353">
        <f>IFERROR(__xludf.DUMMYFUNCTION("""COMPUTED_VALUE"""),5.0)</f>
        <v>5</v>
      </c>
      <c r="B31" s="353" t="str">
        <f>IFERROR(__xludf.DUMMYFUNCTION("""COMPUTED_VALUE"""),"PELLEGRINI, ANDREA")</f>
        <v>PELLEGRINI, ANDREA</v>
      </c>
      <c r="C31" s="658">
        <f>IFERROR(__xludf.DUMMYFUNCTION("""COMPUTED_VALUE"""),31514.0)</f>
        <v>31514</v>
      </c>
      <c r="D31" s="353">
        <f>IFERROR(__xludf.DUMMYFUNCTION("""COMPUTED_VALUE"""),39.0)</f>
        <v>39</v>
      </c>
      <c r="E31" s="658">
        <f t="shared" si="1"/>
        <v>42099</v>
      </c>
    </row>
    <row r="32">
      <c r="A32" s="353">
        <f>IFERROR(__xludf.DUMMYFUNCTION("""COMPUTED_VALUE"""),13.0)</f>
        <v>13</v>
      </c>
      <c r="B32" s="353" t="str">
        <f>IFERROR(__xludf.DUMMYFUNCTION("""COMPUTED_VALUE"""),"PELLEGRINI, LUIS ")</f>
        <v>PELLEGRINI, LUIS </v>
      </c>
      <c r="C32" s="658">
        <f>IFERROR(__xludf.DUMMYFUNCTION("""COMPUTED_VALUE"""),31514.0)</f>
        <v>31514</v>
      </c>
      <c r="D32" s="353">
        <f>IFERROR(__xludf.DUMMYFUNCTION("""COMPUTED_VALUE"""),39.0)</f>
        <v>39</v>
      </c>
      <c r="E32" s="658">
        <f t="shared" si="1"/>
        <v>42099</v>
      </c>
    </row>
    <row r="33">
      <c r="A33" s="353">
        <f>IFERROR(__xludf.DUMMYFUNCTION("""COMPUTED_VALUE"""),12.0)</f>
        <v>12</v>
      </c>
      <c r="B33" s="353" t="str">
        <f>IFERROR(__xludf.DUMMYFUNCTION("""COMPUTED_VALUE"""),"PELLEGRINI, LUIS FABIAN")</f>
        <v>PELLEGRINI, LUIS FABIAN</v>
      </c>
      <c r="C33" s="658">
        <f>IFERROR(__xludf.DUMMYFUNCTION("""COMPUTED_VALUE"""),31514.0)</f>
        <v>31514</v>
      </c>
      <c r="D33" s="353">
        <f>IFERROR(__xludf.DUMMYFUNCTION("""COMPUTED_VALUE"""),39.0)</f>
        <v>39</v>
      </c>
      <c r="E33" s="658">
        <f t="shared" si="1"/>
        <v>42099</v>
      </c>
    </row>
    <row r="34">
      <c r="A34" s="320">
        <f>IFERROR(__xludf.DUMMYFUNCTION("""COMPUTED_VALUE"""),6.0)</f>
        <v>6</v>
      </c>
      <c r="B34" s="320" t="str">
        <f>IFERROR(__xludf.DUMMYFUNCTION("""COMPUTED_VALUE"""),"SARDO, MARIA ISABEL")</f>
        <v>SARDO, MARIA ISABEL</v>
      </c>
      <c r="C34" s="659">
        <f>IFERROR(__xludf.DUMMYFUNCTION("""COMPUTED_VALUE"""),31508.0)</f>
        <v>31508</v>
      </c>
      <c r="D34" s="320">
        <f>IFERROR(__xludf.DUMMYFUNCTION("""COMPUTED_VALUE"""),39.0)</f>
        <v>39</v>
      </c>
      <c r="E34" s="320"/>
    </row>
    <row r="35">
      <c r="A35" s="320"/>
      <c r="B35" s="320"/>
      <c r="C35" s="659"/>
      <c r="D35" s="320"/>
      <c r="E35" s="320"/>
    </row>
    <row r="36">
      <c r="A36" s="320"/>
      <c r="B36" s="320"/>
      <c r="C36" s="659"/>
      <c r="D36" s="320"/>
      <c r="E36" s="320"/>
    </row>
    <row r="37">
      <c r="A37" s="320"/>
      <c r="B37" s="320"/>
      <c r="C37" s="659"/>
      <c r="D37" s="320"/>
      <c r="E37" s="320"/>
    </row>
    <row r="38">
      <c r="A38" s="320"/>
      <c r="B38" s="320"/>
      <c r="C38" s="659"/>
      <c r="D38" s="320"/>
      <c r="E38" s="320"/>
    </row>
    <row r="39">
      <c r="A39" s="320"/>
      <c r="B39" s="320"/>
      <c r="C39" s="659"/>
      <c r="D39" s="320"/>
      <c r="E39" s="320"/>
    </row>
    <row r="40">
      <c r="A40" s="320"/>
      <c r="B40" s="320"/>
      <c r="C40" s="659"/>
      <c r="D40" s="320"/>
      <c r="E40" s="320"/>
    </row>
    <row r="41">
      <c r="A41" s="320"/>
      <c r="B41" s="320"/>
      <c r="C41" s="659"/>
      <c r="D41" s="320"/>
      <c r="E41" s="320"/>
    </row>
    <row r="42">
      <c r="A42" s="320"/>
      <c r="B42" s="320"/>
      <c r="C42" s="659"/>
      <c r="D42" s="320"/>
      <c r="E42" s="320"/>
    </row>
    <row r="43">
      <c r="A43" s="320"/>
      <c r="B43" s="320"/>
      <c r="C43" s="659"/>
      <c r="D43" s="320"/>
      <c r="E43" s="320"/>
    </row>
    <row r="44">
      <c r="A44" s="320"/>
      <c r="B44" s="320"/>
      <c r="C44" s="659"/>
      <c r="D44" s="320"/>
      <c r="E44" s="320"/>
    </row>
    <row r="45">
      <c r="A45" s="320"/>
      <c r="B45" s="320"/>
      <c r="C45" s="659"/>
      <c r="D45" s="320"/>
      <c r="E45" s="320"/>
    </row>
    <row r="46">
      <c r="A46" s="320"/>
      <c r="B46" s="320"/>
      <c r="C46" s="659"/>
      <c r="D46" s="320"/>
      <c r="E46" s="320"/>
    </row>
    <row r="47">
      <c r="A47" s="320"/>
      <c r="B47" s="320"/>
      <c r="C47" s="659"/>
      <c r="D47" s="320"/>
      <c r="E47" s="320"/>
    </row>
    <row r="48">
      <c r="A48" s="320"/>
      <c r="B48" s="320"/>
      <c r="C48" s="659"/>
      <c r="D48" s="320"/>
      <c r="E48" s="320"/>
    </row>
    <row r="49">
      <c r="A49" s="320"/>
      <c r="B49" s="320"/>
      <c r="C49" s="659"/>
      <c r="D49" s="320"/>
      <c r="E49" s="320"/>
    </row>
    <row r="50">
      <c r="A50" s="320"/>
      <c r="B50" s="320"/>
      <c r="C50" s="659"/>
      <c r="D50" s="320"/>
      <c r="E50" s="320"/>
    </row>
    <row r="51">
      <c r="A51" s="320"/>
      <c r="B51" s="320"/>
      <c r="C51" s="659"/>
      <c r="D51" s="320"/>
      <c r="E51" s="320"/>
    </row>
    <row r="52">
      <c r="A52" s="320"/>
      <c r="B52" s="320"/>
      <c r="C52" s="659"/>
      <c r="D52" s="320"/>
      <c r="E52" s="320"/>
    </row>
    <row r="53">
      <c r="A53" s="320"/>
      <c r="B53" s="320"/>
      <c r="C53" s="659"/>
      <c r="D53" s="320"/>
      <c r="E53" s="320"/>
    </row>
    <row r="54">
      <c r="A54" s="320"/>
      <c r="B54" s="320"/>
      <c r="C54" s="659"/>
      <c r="D54" s="320"/>
      <c r="E54" s="320"/>
    </row>
    <row r="55">
      <c r="A55" s="320"/>
      <c r="B55" s="320"/>
      <c r="C55" s="659"/>
      <c r="D55" s="320"/>
      <c r="E55" s="320"/>
    </row>
    <row r="56">
      <c r="A56" s="320"/>
      <c r="B56" s="320"/>
      <c r="C56" s="659"/>
      <c r="D56" s="320"/>
      <c r="E56" s="320"/>
    </row>
    <row r="57">
      <c r="A57" s="320"/>
      <c r="B57" s="320"/>
      <c r="C57" s="659"/>
      <c r="D57" s="320"/>
      <c r="E57" s="320"/>
    </row>
    <row r="58">
      <c r="A58" s="320"/>
      <c r="B58" s="320"/>
      <c r="C58" s="659"/>
      <c r="D58" s="320"/>
      <c r="E58" s="320"/>
    </row>
    <row r="59">
      <c r="A59" s="320"/>
      <c r="B59" s="320"/>
      <c r="C59" s="659"/>
      <c r="D59" s="320"/>
      <c r="E59" s="320"/>
    </row>
    <row r="60">
      <c r="A60" s="320"/>
      <c r="B60" s="320"/>
      <c r="C60" s="659"/>
      <c r="D60" s="320"/>
      <c r="E60" s="320"/>
    </row>
    <row r="61">
      <c r="A61" s="320"/>
      <c r="B61" s="320"/>
      <c r="C61" s="659"/>
      <c r="D61" s="320"/>
      <c r="E61" s="320"/>
    </row>
    <row r="62">
      <c r="A62" s="320"/>
      <c r="B62" s="320"/>
      <c r="C62" s="659"/>
      <c r="D62" s="320"/>
      <c r="E62" s="320"/>
    </row>
    <row r="63">
      <c r="A63" s="320"/>
      <c r="B63" s="320"/>
      <c r="C63" s="659"/>
      <c r="D63" s="320"/>
      <c r="E63" s="320"/>
    </row>
    <row r="64">
      <c r="A64" s="320"/>
      <c r="B64" s="320"/>
      <c r="C64" s="659"/>
      <c r="D64" s="320"/>
      <c r="E64" s="320"/>
    </row>
    <row r="65">
      <c r="A65" s="320"/>
      <c r="B65" s="320"/>
      <c r="C65" s="659"/>
      <c r="D65" s="320"/>
      <c r="E65" s="320"/>
    </row>
    <row r="66">
      <c r="A66" s="320"/>
      <c r="B66" s="320"/>
      <c r="C66" s="659"/>
      <c r="D66" s="320"/>
      <c r="E66" s="320"/>
    </row>
    <row r="67">
      <c r="A67" s="320"/>
      <c r="B67" s="320"/>
      <c r="C67" s="659"/>
      <c r="D67" s="320"/>
      <c r="E67" s="320"/>
    </row>
    <row r="68">
      <c r="A68" s="320"/>
      <c r="B68" s="320"/>
      <c r="C68" s="659"/>
      <c r="D68" s="320"/>
      <c r="E68" s="320"/>
    </row>
    <row r="69">
      <c r="A69" s="320"/>
      <c r="B69" s="320"/>
      <c r="C69" s="659"/>
      <c r="D69" s="320"/>
      <c r="E69" s="320"/>
    </row>
    <row r="70">
      <c r="A70" s="320"/>
      <c r="B70" s="320"/>
      <c r="C70" s="659"/>
      <c r="D70" s="320"/>
      <c r="E70" s="320"/>
    </row>
    <row r="71">
      <c r="A71" s="320"/>
      <c r="B71" s="320"/>
      <c r="C71" s="659"/>
      <c r="D71" s="320"/>
      <c r="E71" s="320"/>
    </row>
    <row r="72">
      <c r="A72" s="320"/>
      <c r="B72" s="320"/>
      <c r="C72" s="659"/>
      <c r="D72" s="320"/>
      <c r="E72" s="320"/>
    </row>
    <row r="73">
      <c r="A73" s="320"/>
      <c r="B73" s="320"/>
      <c r="C73" s="659"/>
      <c r="D73" s="320"/>
      <c r="E73" s="320"/>
    </row>
    <row r="74">
      <c r="A74" s="320"/>
      <c r="B74" s="320"/>
      <c r="C74" s="659"/>
      <c r="D74" s="320"/>
      <c r="E74" s="320"/>
    </row>
    <row r="75">
      <c r="A75" s="320"/>
      <c r="B75" s="320"/>
      <c r="C75" s="659"/>
      <c r="D75" s="320"/>
      <c r="E75" s="320"/>
    </row>
    <row r="76">
      <c r="A76" s="320"/>
      <c r="B76" s="320"/>
      <c r="C76" s="659"/>
      <c r="D76" s="320"/>
      <c r="E76" s="320"/>
    </row>
    <row r="77">
      <c r="A77" s="320"/>
      <c r="B77" s="320"/>
      <c r="C77" s="659"/>
      <c r="D77" s="320"/>
      <c r="E77" s="320"/>
    </row>
    <row r="78">
      <c r="A78" s="320"/>
      <c r="B78" s="320"/>
      <c r="C78" s="659"/>
      <c r="D78" s="320"/>
      <c r="E78" s="320"/>
    </row>
    <row r="79">
      <c r="A79" s="320"/>
      <c r="B79" s="320"/>
      <c r="C79" s="659"/>
      <c r="D79" s="320"/>
      <c r="E79" s="320"/>
    </row>
    <row r="80">
      <c r="A80" s="320"/>
      <c r="B80" s="320"/>
      <c r="C80" s="659"/>
      <c r="D80" s="320"/>
      <c r="E80" s="320"/>
    </row>
    <row r="81">
      <c r="A81" s="320"/>
      <c r="B81" s="320"/>
      <c r="C81" s="659"/>
      <c r="D81" s="320"/>
      <c r="E81" s="320"/>
    </row>
    <row r="82">
      <c r="A82" s="320"/>
      <c r="B82" s="320"/>
      <c r="C82" s="659"/>
      <c r="D82" s="320"/>
      <c r="E82" s="320"/>
    </row>
    <row r="83">
      <c r="A83" s="320"/>
      <c r="B83" s="320"/>
      <c r="C83" s="659"/>
      <c r="D83" s="320"/>
      <c r="E83" s="320"/>
    </row>
    <row r="84">
      <c r="A84" s="320"/>
      <c r="B84" s="320"/>
      <c r="C84" s="659"/>
      <c r="D84" s="320"/>
      <c r="E84" s="320"/>
    </row>
    <row r="85">
      <c r="A85" s="320"/>
      <c r="B85" s="320"/>
      <c r="C85" s="659"/>
      <c r="D85" s="320"/>
      <c r="E85" s="320"/>
    </row>
    <row r="86">
      <c r="A86" s="320"/>
      <c r="B86" s="320"/>
      <c r="C86" s="659"/>
      <c r="D86" s="320"/>
      <c r="E86" s="320"/>
    </row>
    <row r="87">
      <c r="A87" s="320"/>
      <c r="B87" s="320"/>
      <c r="C87" s="659"/>
      <c r="D87" s="320"/>
      <c r="E87" s="320"/>
    </row>
    <row r="88">
      <c r="A88" s="320"/>
      <c r="B88" s="320"/>
      <c r="C88" s="659"/>
      <c r="D88" s="320"/>
      <c r="E88" s="320"/>
    </row>
    <row r="89">
      <c r="A89" s="320"/>
      <c r="B89" s="320"/>
      <c r="C89" s="659"/>
      <c r="D89" s="320"/>
      <c r="E89" s="320"/>
    </row>
    <row r="90">
      <c r="A90" s="320"/>
      <c r="B90" s="320"/>
      <c r="C90" s="659"/>
      <c r="D90" s="320"/>
      <c r="E90" s="320"/>
    </row>
    <row r="91">
      <c r="A91" s="320"/>
      <c r="B91" s="320"/>
      <c r="C91" s="659"/>
      <c r="D91" s="320"/>
      <c r="E91" s="320"/>
    </row>
    <row r="92">
      <c r="A92" s="320"/>
      <c r="B92" s="320"/>
      <c r="C92" s="659"/>
      <c r="D92" s="320"/>
      <c r="E92" s="320"/>
    </row>
    <row r="93">
      <c r="A93" s="320"/>
      <c r="B93" s="320"/>
      <c r="C93" s="659"/>
      <c r="D93" s="320"/>
      <c r="E93" s="320"/>
    </row>
    <row r="94">
      <c r="A94" s="320"/>
      <c r="B94" s="320"/>
      <c r="C94" s="659"/>
      <c r="D94" s="320"/>
      <c r="E94" s="320"/>
    </row>
    <row r="95">
      <c r="A95" s="320"/>
      <c r="B95" s="320"/>
      <c r="C95" s="659"/>
      <c r="D95" s="320"/>
      <c r="E95" s="320"/>
    </row>
    <row r="96">
      <c r="A96" s="320"/>
      <c r="B96" s="320"/>
      <c r="C96" s="659"/>
      <c r="D96" s="320"/>
      <c r="E96" s="320"/>
    </row>
    <row r="97">
      <c r="A97" s="320"/>
      <c r="B97" s="320"/>
      <c r="C97" s="659"/>
      <c r="D97" s="320"/>
      <c r="E97" s="320"/>
    </row>
    <row r="98">
      <c r="A98" s="320"/>
      <c r="B98" s="320"/>
      <c r="C98" s="659"/>
      <c r="D98" s="320"/>
      <c r="E98" s="320"/>
    </row>
    <row r="99">
      <c r="A99" s="320"/>
      <c r="B99" s="320"/>
      <c r="C99" s="659"/>
      <c r="D99" s="320"/>
      <c r="E99" s="320"/>
    </row>
    <row r="100">
      <c r="A100" s="320"/>
      <c r="B100" s="320"/>
      <c r="C100" s="659"/>
      <c r="D100" s="320"/>
      <c r="E100" s="320"/>
    </row>
    <row r="101">
      <c r="A101" s="320"/>
      <c r="B101" s="320"/>
      <c r="C101" s="659"/>
      <c r="D101" s="320"/>
      <c r="E101" s="320"/>
    </row>
    <row r="102">
      <c r="A102" s="320"/>
      <c r="B102" s="320"/>
      <c r="C102" s="659"/>
      <c r="D102" s="320"/>
      <c r="E102" s="320"/>
    </row>
    <row r="103">
      <c r="A103" s="320"/>
      <c r="B103" s="320"/>
      <c r="C103" s="659"/>
      <c r="D103" s="320"/>
      <c r="E103" s="320"/>
    </row>
    <row r="104">
      <c r="A104" s="320"/>
      <c r="B104" s="320"/>
      <c r="C104" s="659"/>
      <c r="D104" s="320"/>
      <c r="E104" s="320"/>
    </row>
    <row r="105">
      <c r="A105" s="320"/>
      <c r="B105" s="320"/>
      <c r="C105" s="659"/>
      <c r="D105" s="320"/>
      <c r="E105" s="320"/>
    </row>
    <row r="106">
      <c r="A106" s="320"/>
      <c r="B106" s="320"/>
      <c r="C106" s="659"/>
      <c r="D106" s="320"/>
      <c r="E106" s="320"/>
    </row>
    <row r="107">
      <c r="A107" s="320"/>
      <c r="B107" s="320"/>
      <c r="C107" s="659"/>
      <c r="D107" s="320"/>
      <c r="E107" s="320"/>
    </row>
    <row r="108">
      <c r="A108" s="320"/>
      <c r="B108" s="320"/>
      <c r="C108" s="659"/>
      <c r="D108" s="320"/>
      <c r="E108" s="320"/>
    </row>
    <row r="109">
      <c r="A109" s="320"/>
      <c r="B109" s="320"/>
      <c r="C109" s="659"/>
      <c r="D109" s="320"/>
      <c r="E109" s="320"/>
    </row>
    <row r="110">
      <c r="A110" s="320"/>
      <c r="B110" s="320"/>
      <c r="C110" s="659"/>
      <c r="D110" s="320"/>
      <c r="E110" s="320"/>
    </row>
    <row r="111">
      <c r="A111" s="320"/>
      <c r="B111" s="320"/>
      <c r="C111" s="659"/>
      <c r="D111" s="320"/>
      <c r="E111" s="320"/>
    </row>
    <row r="112">
      <c r="A112" s="320"/>
      <c r="B112" s="320"/>
      <c r="C112" s="659"/>
      <c r="D112" s="320"/>
      <c r="E112" s="320"/>
    </row>
    <row r="113">
      <c r="A113" s="320"/>
      <c r="B113" s="320"/>
      <c r="C113" s="659"/>
      <c r="D113" s="320"/>
      <c r="E113" s="320"/>
    </row>
    <row r="114">
      <c r="A114" s="320"/>
      <c r="B114" s="320"/>
      <c r="C114" s="659"/>
      <c r="D114" s="320"/>
      <c r="E114" s="320"/>
    </row>
    <row r="115">
      <c r="A115" s="320"/>
      <c r="B115" s="320"/>
      <c r="C115" s="659"/>
      <c r="D115" s="320"/>
      <c r="E115" s="320"/>
    </row>
    <row r="116">
      <c r="A116" s="320"/>
      <c r="B116" s="320"/>
      <c r="C116" s="659"/>
      <c r="D116" s="320"/>
      <c r="E116" s="320"/>
    </row>
    <row r="117">
      <c r="A117" s="320"/>
      <c r="B117" s="320"/>
      <c r="C117" s="659"/>
      <c r="D117" s="320"/>
      <c r="E117" s="320"/>
    </row>
    <row r="118">
      <c r="A118" s="320"/>
      <c r="B118" s="320"/>
      <c r="C118" s="659"/>
      <c r="D118" s="320"/>
      <c r="E118" s="320"/>
    </row>
    <row r="119">
      <c r="A119" s="320"/>
      <c r="B119" s="320"/>
      <c r="C119" s="659"/>
      <c r="D119" s="320"/>
      <c r="E119" s="320"/>
    </row>
    <row r="120">
      <c r="A120" s="320"/>
      <c r="B120" s="320"/>
      <c r="C120" s="659"/>
      <c r="D120" s="320"/>
      <c r="E120" s="320"/>
    </row>
    <row r="121">
      <c r="A121" s="320"/>
      <c r="B121" s="320"/>
      <c r="C121" s="659"/>
      <c r="D121" s="320"/>
      <c r="E121" s="320"/>
    </row>
    <row r="122">
      <c r="A122" s="320"/>
      <c r="B122" s="320"/>
      <c r="C122" s="659"/>
      <c r="D122" s="320"/>
      <c r="E122" s="320"/>
    </row>
    <row r="123">
      <c r="A123" s="320"/>
      <c r="B123" s="320"/>
      <c r="C123" s="659"/>
      <c r="D123" s="320"/>
      <c r="E123" s="320"/>
    </row>
    <row r="124">
      <c r="A124" s="320"/>
      <c r="B124" s="320"/>
      <c r="C124" s="659"/>
      <c r="D124" s="320"/>
      <c r="E124" s="320"/>
    </row>
    <row r="125">
      <c r="A125" s="320"/>
      <c r="B125" s="320"/>
      <c r="C125" s="659"/>
      <c r="D125" s="320"/>
      <c r="E125" s="320"/>
    </row>
    <row r="126">
      <c r="A126" s="320"/>
      <c r="B126" s="320"/>
      <c r="C126" s="659"/>
      <c r="D126" s="320"/>
      <c r="E126" s="320"/>
    </row>
    <row r="127">
      <c r="A127" s="320"/>
      <c r="B127" s="320"/>
      <c r="C127" s="659"/>
      <c r="D127" s="320"/>
      <c r="E127" s="320"/>
    </row>
    <row r="128">
      <c r="A128" s="320"/>
      <c r="B128" s="320"/>
      <c r="C128" s="659"/>
      <c r="D128" s="320"/>
      <c r="E128" s="320"/>
    </row>
    <row r="129">
      <c r="A129" s="320"/>
      <c r="B129" s="320"/>
      <c r="C129" s="659"/>
      <c r="D129" s="320"/>
      <c r="E129" s="320"/>
    </row>
    <row r="130">
      <c r="A130" s="320"/>
      <c r="B130" s="320"/>
      <c r="C130" s="659"/>
      <c r="D130" s="320"/>
      <c r="E130" s="320"/>
    </row>
    <row r="131">
      <c r="A131" s="320"/>
      <c r="B131" s="320"/>
      <c r="C131" s="659"/>
      <c r="D131" s="320"/>
      <c r="E131" s="320"/>
    </row>
    <row r="132">
      <c r="A132" s="320"/>
      <c r="B132" s="320"/>
      <c r="C132" s="659"/>
      <c r="D132" s="320"/>
      <c r="E132" s="320"/>
    </row>
    <row r="133">
      <c r="A133" s="320"/>
      <c r="B133" s="320"/>
      <c r="C133" s="659"/>
      <c r="D133" s="320"/>
      <c r="E133" s="320"/>
    </row>
    <row r="134">
      <c r="A134" s="320"/>
      <c r="B134" s="320"/>
      <c r="C134" s="659"/>
      <c r="D134" s="320"/>
      <c r="E134" s="320"/>
    </row>
    <row r="135">
      <c r="A135" s="320"/>
      <c r="B135" s="320"/>
      <c r="C135" s="659"/>
      <c r="D135" s="320"/>
      <c r="E135" s="320"/>
    </row>
    <row r="136">
      <c r="A136" s="320"/>
      <c r="B136" s="320"/>
      <c r="C136" s="659"/>
      <c r="D136" s="320"/>
      <c r="E136" s="320"/>
    </row>
    <row r="137">
      <c r="A137" s="320"/>
      <c r="B137" s="320"/>
      <c r="C137" s="659"/>
      <c r="D137" s="320"/>
      <c r="E137" s="320"/>
    </row>
    <row r="138">
      <c r="A138" s="320"/>
      <c r="B138" s="320"/>
      <c r="C138" s="659"/>
      <c r="D138" s="320"/>
      <c r="E138" s="320"/>
    </row>
    <row r="139">
      <c r="A139" s="320"/>
      <c r="B139" s="320"/>
      <c r="C139" s="659"/>
      <c r="D139" s="320"/>
      <c r="E139" s="320"/>
    </row>
    <row r="140">
      <c r="A140" s="320"/>
      <c r="B140" s="320"/>
      <c r="C140" s="659"/>
      <c r="D140" s="320"/>
      <c r="E140" s="320"/>
    </row>
    <row r="141">
      <c r="A141" s="320"/>
      <c r="B141" s="320"/>
      <c r="C141" s="659"/>
      <c r="D141" s="320"/>
      <c r="E141" s="320"/>
    </row>
    <row r="142">
      <c r="A142" s="320"/>
      <c r="B142" s="320"/>
      <c r="C142" s="659"/>
      <c r="D142" s="320"/>
      <c r="E142" s="320"/>
    </row>
    <row r="143">
      <c r="A143" s="320"/>
      <c r="B143" s="320"/>
      <c r="C143" s="659"/>
      <c r="D143" s="320"/>
      <c r="E143" s="320"/>
    </row>
    <row r="144">
      <c r="A144" s="320"/>
      <c r="B144" s="320"/>
      <c r="C144" s="659"/>
      <c r="D144" s="320"/>
      <c r="E144" s="320"/>
    </row>
    <row r="145">
      <c r="A145" s="320"/>
      <c r="B145" s="320"/>
      <c r="C145" s="659"/>
      <c r="D145" s="320"/>
      <c r="E145" s="320"/>
    </row>
    <row r="146">
      <c r="A146" s="320"/>
      <c r="B146" s="320"/>
      <c r="C146" s="659"/>
      <c r="D146" s="320"/>
      <c r="E146" s="320"/>
    </row>
    <row r="147">
      <c r="A147" s="320"/>
      <c r="B147" s="320"/>
      <c r="C147" s="659"/>
      <c r="D147" s="320"/>
      <c r="E147" s="320"/>
    </row>
    <row r="148">
      <c r="A148" s="320"/>
      <c r="B148" s="320"/>
      <c r="C148" s="659"/>
      <c r="D148" s="320"/>
      <c r="E148" s="320"/>
    </row>
    <row r="149">
      <c r="A149" s="320"/>
      <c r="B149" s="320"/>
      <c r="C149" s="659"/>
      <c r="D149" s="320"/>
      <c r="E149" s="320"/>
    </row>
    <row r="150">
      <c r="A150" s="320"/>
      <c r="B150" s="320"/>
      <c r="C150" s="659"/>
      <c r="D150" s="320"/>
      <c r="E150" s="320"/>
    </row>
    <row r="151">
      <c r="A151" s="320"/>
      <c r="B151" s="320"/>
      <c r="C151" s="659"/>
      <c r="D151" s="320"/>
      <c r="E151" s="320"/>
    </row>
    <row r="152">
      <c r="A152" s="320"/>
      <c r="B152" s="320"/>
      <c r="C152" s="659"/>
      <c r="D152" s="320"/>
      <c r="E152" s="320"/>
    </row>
    <row r="153">
      <c r="A153" s="320"/>
      <c r="B153" s="320"/>
      <c r="C153" s="659"/>
      <c r="D153" s="320"/>
      <c r="E153" s="320"/>
    </row>
    <row r="154">
      <c r="A154" s="320"/>
      <c r="B154" s="320"/>
      <c r="C154" s="659"/>
      <c r="D154" s="320"/>
      <c r="E154" s="320"/>
    </row>
    <row r="155">
      <c r="A155" s="320"/>
      <c r="B155" s="320"/>
      <c r="C155" s="659"/>
      <c r="D155" s="320"/>
      <c r="E155" s="320"/>
    </row>
    <row r="156">
      <c r="A156" s="320"/>
      <c r="B156" s="320"/>
      <c r="C156" s="659"/>
      <c r="D156" s="320"/>
      <c r="E156" s="320"/>
    </row>
    <row r="157">
      <c r="A157" s="320"/>
      <c r="B157" s="320"/>
      <c r="C157" s="659"/>
      <c r="D157" s="320"/>
      <c r="E157" s="320"/>
    </row>
    <row r="158">
      <c r="A158" s="320"/>
      <c r="B158" s="320"/>
      <c r="C158" s="659"/>
      <c r="D158" s="320"/>
      <c r="E158" s="320"/>
    </row>
    <row r="159">
      <c r="A159" s="320"/>
      <c r="B159" s="320"/>
      <c r="C159" s="659"/>
      <c r="D159" s="320"/>
      <c r="E159" s="320"/>
    </row>
    <row r="160">
      <c r="A160" s="320"/>
      <c r="B160" s="320"/>
      <c r="C160" s="659"/>
      <c r="D160" s="320"/>
      <c r="E160" s="320"/>
    </row>
    <row r="161">
      <c r="A161" s="320"/>
      <c r="B161" s="320"/>
      <c r="C161" s="659"/>
      <c r="D161" s="320"/>
      <c r="E161" s="320"/>
    </row>
    <row r="162">
      <c r="A162" s="320"/>
      <c r="B162" s="320"/>
      <c r="C162" s="659"/>
      <c r="D162" s="320"/>
      <c r="E162" s="320"/>
    </row>
    <row r="163">
      <c r="A163" s="320"/>
      <c r="B163" s="320"/>
      <c r="C163" s="659"/>
      <c r="D163" s="320"/>
      <c r="E163" s="320"/>
    </row>
    <row r="164">
      <c r="A164" s="320"/>
      <c r="B164" s="320"/>
      <c r="C164" s="659"/>
      <c r="D164" s="320"/>
      <c r="E164" s="320"/>
    </row>
    <row r="165">
      <c r="A165" s="320"/>
      <c r="B165" s="320"/>
      <c r="C165" s="659"/>
      <c r="D165" s="320"/>
      <c r="E165" s="320"/>
    </row>
    <row r="166">
      <c r="A166" s="320"/>
      <c r="B166" s="320"/>
      <c r="C166" s="659"/>
      <c r="D166" s="320"/>
      <c r="E166" s="320"/>
    </row>
    <row r="167">
      <c r="A167" s="320"/>
      <c r="B167" s="320"/>
      <c r="C167" s="659"/>
      <c r="D167" s="320"/>
      <c r="E167" s="320"/>
    </row>
    <row r="168">
      <c r="A168" s="320"/>
      <c r="B168" s="320"/>
      <c r="C168" s="659"/>
      <c r="D168" s="320"/>
      <c r="E168" s="320"/>
    </row>
    <row r="169">
      <c r="A169" s="320"/>
      <c r="B169" s="320"/>
      <c r="C169" s="659"/>
      <c r="D169" s="320"/>
      <c r="E169" s="320"/>
    </row>
    <row r="170">
      <c r="A170" s="320"/>
      <c r="B170" s="320"/>
      <c r="C170" s="659"/>
      <c r="D170" s="320"/>
      <c r="E170" s="320"/>
    </row>
    <row r="171">
      <c r="A171" s="320"/>
      <c r="B171" s="320"/>
      <c r="C171" s="659"/>
      <c r="D171" s="320"/>
      <c r="E171" s="320"/>
    </row>
    <row r="172">
      <c r="A172" s="320"/>
      <c r="B172" s="320"/>
      <c r="C172" s="659"/>
      <c r="D172" s="320"/>
      <c r="E172" s="320"/>
    </row>
    <row r="173">
      <c r="A173" s="320"/>
      <c r="B173" s="320"/>
      <c r="C173" s="659"/>
      <c r="D173" s="320"/>
      <c r="E173" s="320"/>
    </row>
    <row r="174">
      <c r="A174" s="320"/>
      <c r="B174" s="320"/>
      <c r="C174" s="659"/>
      <c r="D174" s="320"/>
      <c r="E174" s="320"/>
    </row>
    <row r="175">
      <c r="A175" s="320"/>
      <c r="B175" s="320"/>
      <c r="C175" s="659"/>
      <c r="D175" s="320"/>
      <c r="E175" s="320"/>
    </row>
    <row r="176">
      <c r="A176" s="320"/>
      <c r="B176" s="320"/>
      <c r="C176" s="659"/>
      <c r="D176" s="320"/>
      <c r="E176" s="320"/>
    </row>
    <row r="177">
      <c r="A177" s="320"/>
      <c r="B177" s="320"/>
      <c r="C177" s="659"/>
      <c r="D177" s="320"/>
      <c r="E177" s="320"/>
    </row>
    <row r="178">
      <c r="A178" s="320"/>
      <c r="B178" s="320"/>
      <c r="C178" s="659"/>
      <c r="D178" s="320"/>
      <c r="E178" s="320"/>
    </row>
    <row r="179">
      <c r="A179" s="320"/>
      <c r="B179" s="320"/>
      <c r="C179" s="659"/>
      <c r="D179" s="320"/>
      <c r="E179" s="320"/>
    </row>
    <row r="180">
      <c r="A180" s="320"/>
      <c r="B180" s="320"/>
      <c r="C180" s="659"/>
      <c r="D180" s="320"/>
      <c r="E180" s="320"/>
    </row>
    <row r="181">
      <c r="A181" s="320"/>
      <c r="B181" s="320"/>
      <c r="C181" s="659"/>
      <c r="D181" s="320"/>
      <c r="E181" s="320"/>
    </row>
    <row r="182">
      <c r="A182" s="320"/>
      <c r="B182" s="320"/>
      <c r="C182" s="659"/>
      <c r="D182" s="320"/>
      <c r="E182" s="320"/>
    </row>
    <row r="183">
      <c r="A183" s="320"/>
      <c r="B183" s="320"/>
      <c r="C183" s="659"/>
      <c r="D183" s="320"/>
      <c r="E183" s="320"/>
    </row>
    <row r="184">
      <c r="A184" s="320"/>
      <c r="B184" s="320"/>
      <c r="C184" s="659"/>
      <c r="D184" s="320"/>
      <c r="E184" s="320"/>
    </row>
    <row r="185">
      <c r="A185" s="320"/>
      <c r="B185" s="320"/>
      <c r="C185" s="659"/>
      <c r="D185" s="320"/>
      <c r="E185" s="320"/>
    </row>
    <row r="186">
      <c r="A186" s="320"/>
      <c r="B186" s="320"/>
      <c r="C186" s="659"/>
      <c r="D186" s="320"/>
      <c r="E186" s="320"/>
    </row>
    <row r="187">
      <c r="A187" s="320"/>
      <c r="B187" s="320"/>
      <c r="C187" s="659"/>
      <c r="D187" s="320"/>
      <c r="E187" s="320"/>
    </row>
    <row r="188">
      <c r="A188" s="320"/>
      <c r="B188" s="320"/>
      <c r="C188" s="659"/>
      <c r="D188" s="320"/>
      <c r="E188" s="320"/>
    </row>
    <row r="189">
      <c r="A189" s="320"/>
      <c r="B189" s="320"/>
      <c r="C189" s="659"/>
      <c r="D189" s="320"/>
      <c r="E189" s="320"/>
    </row>
    <row r="190">
      <c r="A190" s="320"/>
      <c r="B190" s="320"/>
      <c r="C190" s="659"/>
      <c r="D190" s="320"/>
      <c r="E190" s="320"/>
    </row>
    <row r="191">
      <c r="A191" s="320"/>
      <c r="B191" s="320"/>
      <c r="C191" s="659"/>
      <c r="D191" s="320"/>
      <c r="E191" s="320"/>
    </row>
    <row r="192">
      <c r="A192" s="320"/>
      <c r="B192" s="320"/>
      <c r="C192" s="659"/>
      <c r="D192" s="320"/>
      <c r="E192" s="320"/>
    </row>
    <row r="193">
      <c r="A193" s="320"/>
      <c r="B193" s="320"/>
      <c r="C193" s="659"/>
      <c r="D193" s="320"/>
      <c r="E193" s="320"/>
    </row>
    <row r="194">
      <c r="A194" s="320"/>
      <c r="B194" s="320"/>
      <c r="C194" s="659"/>
      <c r="D194" s="320"/>
      <c r="E194" s="320"/>
    </row>
    <row r="195">
      <c r="A195" s="320"/>
      <c r="B195" s="320"/>
      <c r="C195" s="659"/>
      <c r="D195" s="320"/>
      <c r="E195" s="320"/>
    </row>
    <row r="196">
      <c r="A196" s="320"/>
      <c r="B196" s="320"/>
      <c r="C196" s="659"/>
      <c r="D196" s="320"/>
      <c r="E196" s="320"/>
    </row>
    <row r="197">
      <c r="A197" s="320"/>
      <c r="B197" s="320"/>
      <c r="C197" s="659"/>
      <c r="D197" s="320"/>
      <c r="E197" s="320"/>
    </row>
    <row r="198">
      <c r="A198" s="320"/>
      <c r="B198" s="320"/>
      <c r="C198" s="659"/>
      <c r="D198" s="320"/>
      <c r="E198" s="320"/>
    </row>
    <row r="199">
      <c r="A199" s="320"/>
      <c r="B199" s="320"/>
      <c r="C199" s="659"/>
      <c r="D199" s="320"/>
      <c r="E199" s="320"/>
    </row>
    <row r="200">
      <c r="A200" s="320"/>
      <c r="B200" s="320"/>
      <c r="C200" s="659"/>
      <c r="D200" s="320"/>
      <c r="E200" s="320"/>
    </row>
    <row r="201">
      <c r="A201" s="320"/>
      <c r="B201" s="320"/>
      <c r="C201" s="659"/>
      <c r="D201" s="320"/>
      <c r="E201" s="320"/>
    </row>
    <row r="202">
      <c r="A202" s="320"/>
      <c r="B202" s="320"/>
      <c r="C202" s="659"/>
      <c r="D202" s="320"/>
      <c r="E202" s="320"/>
    </row>
    <row r="203">
      <c r="A203" s="320"/>
      <c r="B203" s="320"/>
      <c r="C203" s="659"/>
      <c r="D203" s="320"/>
      <c r="E203" s="320"/>
    </row>
    <row r="204">
      <c r="A204" s="320"/>
      <c r="B204" s="320"/>
      <c r="C204" s="659"/>
      <c r="D204" s="320"/>
      <c r="E204" s="320"/>
    </row>
    <row r="205">
      <c r="A205" s="320"/>
      <c r="B205" s="320"/>
      <c r="C205" s="659"/>
      <c r="D205" s="320"/>
      <c r="E205" s="320"/>
    </row>
    <row r="206">
      <c r="A206" s="320"/>
      <c r="B206" s="320"/>
      <c r="C206" s="659"/>
      <c r="D206" s="320"/>
      <c r="E206" s="320"/>
    </row>
    <row r="207">
      <c r="A207" s="320"/>
      <c r="B207" s="320"/>
      <c r="C207" s="659"/>
      <c r="D207" s="320"/>
      <c r="E207" s="320"/>
    </row>
    <row r="208">
      <c r="A208" s="320"/>
      <c r="B208" s="320"/>
      <c r="C208" s="659"/>
      <c r="D208" s="320"/>
      <c r="E208" s="320"/>
    </row>
    <row r="209">
      <c r="A209" s="320"/>
      <c r="B209" s="320"/>
      <c r="C209" s="659"/>
      <c r="D209" s="320"/>
      <c r="E209" s="320"/>
    </row>
    <row r="210">
      <c r="A210" s="320"/>
      <c r="B210" s="320"/>
      <c r="C210" s="659"/>
      <c r="D210" s="320"/>
      <c r="E210" s="320"/>
    </row>
    <row r="211">
      <c r="A211" s="320"/>
      <c r="B211" s="320"/>
      <c r="C211" s="659"/>
      <c r="D211" s="320"/>
      <c r="E211" s="320"/>
    </row>
    <row r="212">
      <c r="A212" s="320"/>
      <c r="B212" s="320"/>
      <c r="C212" s="659"/>
      <c r="D212" s="320"/>
      <c r="E212" s="320"/>
    </row>
    <row r="213">
      <c r="A213" s="320"/>
      <c r="B213" s="320"/>
      <c r="C213" s="659"/>
      <c r="D213" s="320"/>
      <c r="E213" s="320"/>
    </row>
    <row r="214">
      <c r="A214" s="320"/>
      <c r="B214" s="320"/>
      <c r="C214" s="659"/>
      <c r="D214" s="320"/>
      <c r="E214" s="320"/>
    </row>
    <row r="215">
      <c r="A215" s="320"/>
      <c r="B215" s="320"/>
      <c r="C215" s="659"/>
      <c r="D215" s="320"/>
      <c r="E215" s="320"/>
    </row>
    <row r="216">
      <c r="A216" s="320"/>
      <c r="B216" s="320"/>
      <c r="C216" s="659"/>
      <c r="D216" s="320"/>
      <c r="E216" s="320"/>
    </row>
    <row r="217">
      <c r="A217" s="320"/>
      <c r="B217" s="320"/>
      <c r="C217" s="659"/>
      <c r="D217" s="320"/>
      <c r="E217" s="320"/>
    </row>
    <row r="218">
      <c r="A218" s="320"/>
      <c r="B218" s="320"/>
      <c r="C218" s="659"/>
      <c r="D218" s="320"/>
      <c r="E218" s="320"/>
    </row>
    <row r="219">
      <c r="A219" s="320"/>
      <c r="B219" s="320"/>
      <c r="C219" s="659"/>
      <c r="D219" s="320"/>
      <c r="E219" s="320"/>
    </row>
    <row r="220">
      <c r="A220" s="320"/>
      <c r="B220" s="320"/>
      <c r="C220" s="659"/>
      <c r="D220" s="320"/>
      <c r="E220" s="320"/>
    </row>
    <row r="221">
      <c r="A221" s="320"/>
      <c r="B221" s="320"/>
      <c r="C221" s="659"/>
      <c r="D221" s="320"/>
      <c r="E221" s="320"/>
    </row>
    <row r="222">
      <c r="A222" s="320"/>
      <c r="B222" s="320"/>
      <c r="C222" s="659"/>
      <c r="D222" s="320"/>
      <c r="E222" s="320"/>
    </row>
    <row r="223">
      <c r="A223" s="320"/>
      <c r="B223" s="320"/>
      <c r="C223" s="659"/>
      <c r="D223" s="320"/>
      <c r="E223" s="320"/>
    </row>
    <row r="224">
      <c r="A224" s="320"/>
      <c r="B224" s="320"/>
      <c r="C224" s="659"/>
      <c r="D224" s="320"/>
      <c r="E224" s="320"/>
    </row>
    <row r="225">
      <c r="A225" s="320"/>
      <c r="B225" s="320"/>
      <c r="C225" s="659"/>
      <c r="D225" s="320"/>
      <c r="E225" s="320"/>
    </row>
    <row r="226">
      <c r="A226" s="320"/>
      <c r="B226" s="320"/>
      <c r="C226" s="659"/>
      <c r="D226" s="320"/>
      <c r="E226" s="320"/>
    </row>
    <row r="227">
      <c r="A227" s="320"/>
      <c r="B227" s="320"/>
      <c r="C227" s="659"/>
      <c r="D227" s="320"/>
      <c r="E227" s="320"/>
    </row>
    <row r="228">
      <c r="A228" s="320"/>
      <c r="B228" s="320"/>
      <c r="C228" s="659"/>
      <c r="D228" s="320"/>
      <c r="E228" s="320"/>
    </row>
    <row r="229">
      <c r="A229" s="320"/>
      <c r="B229" s="320"/>
      <c r="C229" s="659"/>
      <c r="D229" s="320"/>
      <c r="E229" s="320"/>
    </row>
    <row r="230">
      <c r="A230" s="320"/>
      <c r="B230" s="320"/>
      <c r="C230" s="659"/>
      <c r="D230" s="320"/>
      <c r="E230" s="320"/>
    </row>
    <row r="231">
      <c r="A231" s="320"/>
      <c r="B231" s="320"/>
      <c r="C231" s="659"/>
      <c r="D231" s="320"/>
      <c r="E231" s="320"/>
    </row>
    <row r="232">
      <c r="A232" s="320"/>
      <c r="B232" s="320"/>
      <c r="C232" s="659"/>
      <c r="D232" s="320"/>
      <c r="E232" s="320"/>
    </row>
    <row r="233">
      <c r="A233" s="320"/>
      <c r="B233" s="320"/>
      <c r="C233" s="659"/>
      <c r="D233" s="320"/>
      <c r="E233" s="320"/>
    </row>
    <row r="234">
      <c r="A234" s="320"/>
      <c r="B234" s="320"/>
      <c r="C234" s="659"/>
      <c r="D234" s="320"/>
      <c r="E234" s="320"/>
    </row>
    <row r="235">
      <c r="A235" s="320"/>
      <c r="B235" s="320"/>
      <c r="C235" s="659"/>
      <c r="D235" s="320"/>
      <c r="E235" s="320"/>
    </row>
    <row r="236">
      <c r="A236" s="320"/>
      <c r="B236" s="320"/>
      <c r="C236" s="659"/>
      <c r="D236" s="320"/>
      <c r="E236" s="320"/>
    </row>
    <row r="237">
      <c r="A237" s="320"/>
      <c r="B237" s="320"/>
      <c r="C237" s="659"/>
      <c r="D237" s="320"/>
      <c r="E237" s="320"/>
    </row>
    <row r="238">
      <c r="A238" s="320"/>
      <c r="B238" s="320"/>
      <c r="C238" s="659"/>
      <c r="D238" s="320"/>
      <c r="E238" s="320"/>
    </row>
    <row r="239">
      <c r="A239" s="320"/>
      <c r="B239" s="320"/>
      <c r="C239" s="659"/>
      <c r="D239" s="320"/>
      <c r="E239" s="320"/>
    </row>
    <row r="240">
      <c r="A240" s="320"/>
      <c r="B240" s="320"/>
      <c r="C240" s="659"/>
      <c r="D240" s="320"/>
      <c r="E240" s="320"/>
    </row>
    <row r="241">
      <c r="A241" s="320"/>
      <c r="B241" s="320"/>
      <c r="C241" s="659"/>
      <c r="D241" s="320"/>
      <c r="E241" s="320"/>
    </row>
    <row r="242">
      <c r="A242" s="320"/>
      <c r="B242" s="320"/>
      <c r="C242" s="659"/>
      <c r="D242" s="320"/>
      <c r="E242" s="320"/>
    </row>
    <row r="243">
      <c r="A243" s="320"/>
      <c r="B243" s="320"/>
      <c r="C243" s="659"/>
      <c r="D243" s="320"/>
      <c r="E243" s="320"/>
    </row>
    <row r="244">
      <c r="A244" s="320"/>
      <c r="B244" s="320"/>
      <c r="C244" s="659"/>
      <c r="D244" s="320"/>
      <c r="E244" s="320"/>
    </row>
    <row r="245">
      <c r="A245" s="320"/>
      <c r="B245" s="320"/>
      <c r="C245" s="659"/>
      <c r="D245" s="320"/>
      <c r="E245" s="320"/>
    </row>
    <row r="246">
      <c r="A246" s="320"/>
      <c r="B246" s="320"/>
      <c r="C246" s="659"/>
      <c r="D246" s="320"/>
      <c r="E246" s="320"/>
    </row>
    <row r="247">
      <c r="A247" s="320"/>
      <c r="B247" s="320"/>
      <c r="C247" s="659"/>
      <c r="D247" s="320"/>
      <c r="E247" s="320"/>
    </row>
    <row r="248">
      <c r="A248" s="320"/>
      <c r="B248" s="320"/>
      <c r="C248" s="659"/>
      <c r="D248" s="320"/>
      <c r="E248" s="320"/>
    </row>
    <row r="249">
      <c r="A249" s="320"/>
      <c r="B249" s="320"/>
      <c r="C249" s="659"/>
      <c r="D249" s="320"/>
      <c r="E249" s="320"/>
    </row>
    <row r="250">
      <c r="A250" s="320"/>
      <c r="B250" s="320"/>
      <c r="C250" s="659"/>
      <c r="D250" s="320"/>
      <c r="E250" s="320"/>
    </row>
    <row r="251">
      <c r="A251" s="320"/>
      <c r="B251" s="320"/>
      <c r="C251" s="659"/>
      <c r="D251" s="320"/>
      <c r="E251" s="320"/>
    </row>
    <row r="252">
      <c r="A252" s="320"/>
      <c r="B252" s="320"/>
      <c r="C252" s="659"/>
      <c r="D252" s="320"/>
      <c r="E252" s="320"/>
    </row>
    <row r="253">
      <c r="A253" s="320"/>
      <c r="B253" s="320"/>
      <c r="C253" s="659"/>
      <c r="D253" s="320"/>
      <c r="E253" s="320"/>
    </row>
    <row r="254">
      <c r="A254" s="320"/>
      <c r="B254" s="320"/>
      <c r="C254" s="659"/>
      <c r="D254" s="320"/>
      <c r="E254" s="320"/>
    </row>
    <row r="255">
      <c r="A255" s="320"/>
      <c r="B255" s="320"/>
      <c r="C255" s="659"/>
      <c r="D255" s="320"/>
      <c r="E255" s="320"/>
    </row>
    <row r="256">
      <c r="A256" s="320"/>
      <c r="B256" s="320"/>
      <c r="C256" s="659"/>
      <c r="D256" s="320"/>
      <c r="E256" s="320"/>
    </row>
    <row r="257">
      <c r="A257" s="320"/>
      <c r="B257" s="320"/>
      <c r="C257" s="659"/>
      <c r="D257" s="320"/>
      <c r="E257" s="320"/>
    </row>
    <row r="258">
      <c r="A258" s="320"/>
      <c r="B258" s="320"/>
      <c r="C258" s="659"/>
      <c r="D258" s="320"/>
      <c r="E258" s="320"/>
    </row>
    <row r="259">
      <c r="A259" s="320"/>
      <c r="B259" s="320"/>
      <c r="C259" s="659"/>
      <c r="D259" s="320"/>
      <c r="E259" s="320"/>
    </row>
    <row r="260">
      <c r="A260" s="320"/>
      <c r="B260" s="320"/>
      <c r="C260" s="659"/>
      <c r="D260" s="320"/>
      <c r="E260" s="320"/>
    </row>
    <row r="261">
      <c r="A261" s="320"/>
      <c r="B261" s="320"/>
      <c r="C261" s="659"/>
      <c r="D261" s="320"/>
      <c r="E261" s="320"/>
    </row>
    <row r="262">
      <c r="A262" s="320"/>
      <c r="B262" s="320"/>
      <c r="C262" s="659"/>
      <c r="D262" s="320"/>
      <c r="E262" s="320"/>
    </row>
    <row r="263">
      <c r="A263" s="320"/>
      <c r="B263" s="320"/>
      <c r="C263" s="659"/>
      <c r="D263" s="320"/>
      <c r="E263" s="320"/>
    </row>
    <row r="264">
      <c r="A264" s="320"/>
      <c r="B264" s="320"/>
      <c r="C264" s="659"/>
      <c r="D264" s="320"/>
      <c r="E264" s="320"/>
    </row>
    <row r="265">
      <c r="A265" s="320"/>
      <c r="B265" s="320"/>
      <c r="C265" s="659"/>
      <c r="D265" s="320"/>
      <c r="E265" s="320"/>
    </row>
    <row r="266">
      <c r="A266" s="320"/>
      <c r="B266" s="320"/>
      <c r="C266" s="659"/>
      <c r="D266" s="320"/>
      <c r="E266" s="320"/>
    </row>
    <row r="267">
      <c r="A267" s="320"/>
      <c r="B267" s="320"/>
      <c r="C267" s="659"/>
      <c r="D267" s="320"/>
      <c r="E267" s="320"/>
    </row>
    <row r="268">
      <c r="A268" s="320"/>
      <c r="B268" s="320"/>
      <c r="C268" s="659"/>
      <c r="D268" s="320"/>
      <c r="E268" s="320"/>
    </row>
    <row r="269">
      <c r="A269" s="320"/>
      <c r="B269" s="320"/>
      <c r="C269" s="659"/>
      <c r="D269" s="320"/>
      <c r="E269" s="320"/>
    </row>
    <row r="270">
      <c r="A270" s="320"/>
      <c r="B270" s="320"/>
      <c r="C270" s="659"/>
      <c r="D270" s="320"/>
      <c r="E270" s="320"/>
    </row>
    <row r="271">
      <c r="A271" s="320"/>
      <c r="B271" s="320"/>
      <c r="C271" s="659"/>
      <c r="D271" s="320"/>
      <c r="E271" s="320"/>
    </row>
    <row r="272">
      <c r="A272" s="320"/>
      <c r="B272" s="320"/>
      <c r="C272" s="659"/>
      <c r="D272" s="320"/>
      <c r="E272" s="320"/>
    </row>
    <row r="273">
      <c r="A273" s="320"/>
      <c r="B273" s="320"/>
      <c r="C273" s="659"/>
      <c r="D273" s="320"/>
      <c r="E273" s="320"/>
    </row>
    <row r="274">
      <c r="A274" s="320"/>
      <c r="B274" s="320"/>
      <c r="C274" s="659"/>
      <c r="D274" s="320"/>
      <c r="E274" s="320"/>
    </row>
    <row r="275">
      <c r="A275" s="320"/>
      <c r="B275" s="320"/>
      <c r="C275" s="659"/>
      <c r="D275" s="320"/>
      <c r="E275" s="320"/>
    </row>
    <row r="276">
      <c r="A276" s="320"/>
      <c r="B276" s="320"/>
      <c r="C276" s="659"/>
      <c r="D276" s="320"/>
      <c r="E276" s="320"/>
    </row>
    <row r="277">
      <c r="A277" s="320"/>
      <c r="B277" s="320"/>
      <c r="C277" s="659"/>
      <c r="D277" s="320"/>
      <c r="E277" s="320"/>
    </row>
    <row r="278">
      <c r="A278" s="320"/>
      <c r="B278" s="320"/>
      <c r="C278" s="659"/>
      <c r="D278" s="320"/>
      <c r="E278" s="320"/>
    </row>
    <row r="279">
      <c r="A279" s="320"/>
      <c r="B279" s="320"/>
      <c r="C279" s="659"/>
      <c r="D279" s="320"/>
      <c r="E279" s="320"/>
    </row>
    <row r="280">
      <c r="A280" s="320"/>
      <c r="B280" s="320"/>
      <c r="C280" s="659"/>
      <c r="D280" s="320"/>
      <c r="E280" s="320"/>
    </row>
    <row r="281">
      <c r="A281" s="320"/>
      <c r="B281" s="320"/>
      <c r="C281" s="659"/>
      <c r="D281" s="320"/>
      <c r="E281" s="320"/>
    </row>
    <row r="282">
      <c r="A282" s="320"/>
      <c r="B282" s="320"/>
      <c r="C282" s="659"/>
      <c r="D282" s="320"/>
      <c r="E282" s="320"/>
    </row>
    <row r="283">
      <c r="A283" s="320"/>
      <c r="B283" s="320"/>
      <c r="C283" s="659"/>
      <c r="D283" s="320"/>
      <c r="E283" s="320"/>
    </row>
    <row r="284">
      <c r="A284" s="320"/>
      <c r="B284" s="320"/>
      <c r="C284" s="659"/>
      <c r="D284" s="320"/>
      <c r="E284" s="320"/>
    </row>
    <row r="285">
      <c r="A285" s="320"/>
      <c r="B285" s="320"/>
      <c r="C285" s="659"/>
      <c r="D285" s="320"/>
      <c r="E285" s="320"/>
    </row>
    <row r="286">
      <c r="A286" s="320"/>
      <c r="B286" s="320"/>
      <c r="C286" s="659"/>
      <c r="D286" s="320"/>
      <c r="E286" s="320"/>
    </row>
    <row r="287">
      <c r="A287" s="320"/>
      <c r="B287" s="320"/>
      <c r="C287" s="659"/>
      <c r="D287" s="320"/>
      <c r="E287" s="320"/>
    </row>
    <row r="288">
      <c r="A288" s="320"/>
      <c r="B288" s="320"/>
      <c r="C288" s="659"/>
      <c r="D288" s="320"/>
      <c r="E288" s="320"/>
    </row>
    <row r="289">
      <c r="A289" s="320"/>
      <c r="B289" s="320"/>
      <c r="C289" s="659"/>
      <c r="D289" s="320"/>
      <c r="E289" s="320"/>
    </row>
    <row r="290">
      <c r="A290" s="320"/>
      <c r="B290" s="320"/>
      <c r="C290" s="659"/>
      <c r="D290" s="320"/>
      <c r="E290" s="320"/>
    </row>
    <row r="291">
      <c r="A291" s="320"/>
      <c r="B291" s="320"/>
      <c r="C291" s="659"/>
      <c r="D291" s="320"/>
      <c r="E291" s="320"/>
    </row>
    <row r="292">
      <c r="A292" s="320"/>
      <c r="B292" s="320"/>
      <c r="C292" s="659"/>
      <c r="D292" s="320"/>
      <c r="E292" s="320"/>
    </row>
    <row r="293">
      <c r="A293" s="320"/>
      <c r="B293" s="320"/>
      <c r="C293" s="659"/>
      <c r="D293" s="320"/>
      <c r="E293" s="320"/>
    </row>
    <row r="294">
      <c r="A294" s="320"/>
      <c r="B294" s="320"/>
      <c r="C294" s="659"/>
      <c r="D294" s="320"/>
      <c r="E294" s="320"/>
    </row>
    <row r="295">
      <c r="A295" s="320"/>
      <c r="B295" s="320"/>
      <c r="C295" s="659"/>
      <c r="D295" s="320"/>
      <c r="E295" s="320"/>
    </row>
    <row r="296">
      <c r="A296" s="320"/>
      <c r="B296" s="320"/>
      <c r="C296" s="659"/>
      <c r="D296" s="320"/>
      <c r="E296" s="320"/>
    </row>
    <row r="297">
      <c r="A297" s="320"/>
      <c r="B297" s="320"/>
      <c r="C297" s="659"/>
      <c r="D297" s="320"/>
      <c r="E297" s="320"/>
    </row>
    <row r="298">
      <c r="A298" s="320"/>
      <c r="B298" s="320"/>
      <c r="C298" s="659"/>
      <c r="D298" s="320"/>
      <c r="E298" s="320"/>
    </row>
    <row r="299">
      <c r="A299" s="320"/>
      <c r="B299" s="320"/>
      <c r="C299" s="659"/>
      <c r="D299" s="320"/>
      <c r="E299" s="320"/>
    </row>
    <row r="300">
      <c r="A300" s="320"/>
      <c r="B300" s="320"/>
      <c r="C300" s="659"/>
      <c r="D300" s="320"/>
      <c r="E300" s="320"/>
    </row>
    <row r="301">
      <c r="A301" s="320"/>
      <c r="B301" s="320"/>
      <c r="C301" s="659"/>
      <c r="D301" s="320"/>
      <c r="E301" s="320"/>
    </row>
    <row r="302">
      <c r="A302" s="320"/>
      <c r="B302" s="320"/>
      <c r="C302" s="659"/>
      <c r="D302" s="320"/>
      <c r="E302" s="320"/>
    </row>
    <row r="303">
      <c r="A303" s="320"/>
      <c r="B303" s="320"/>
      <c r="C303" s="659"/>
      <c r="D303" s="320"/>
      <c r="E303" s="320"/>
    </row>
    <row r="304">
      <c r="A304" s="320"/>
      <c r="B304" s="320"/>
      <c r="C304" s="659"/>
      <c r="D304" s="320"/>
      <c r="E304" s="320"/>
    </row>
    <row r="305">
      <c r="A305" s="320"/>
      <c r="B305" s="320"/>
      <c r="C305" s="659"/>
      <c r="D305" s="320"/>
      <c r="E305" s="320"/>
    </row>
    <row r="306">
      <c r="A306" s="320"/>
      <c r="B306" s="320"/>
      <c r="C306" s="659"/>
      <c r="D306" s="320"/>
      <c r="E306" s="320"/>
    </row>
    <row r="307">
      <c r="A307" s="320"/>
      <c r="B307" s="320"/>
      <c r="C307" s="659"/>
      <c r="D307" s="320"/>
      <c r="E307" s="320"/>
    </row>
    <row r="308">
      <c r="A308" s="320"/>
      <c r="B308" s="320"/>
      <c r="C308" s="659"/>
      <c r="D308" s="320"/>
      <c r="E308" s="320"/>
    </row>
    <row r="309">
      <c r="A309" s="320"/>
      <c r="B309" s="320"/>
      <c r="C309" s="659"/>
      <c r="D309" s="320"/>
      <c r="E309" s="320"/>
    </row>
    <row r="310">
      <c r="A310" s="320"/>
      <c r="B310" s="320"/>
      <c r="C310" s="659"/>
      <c r="D310" s="320"/>
      <c r="E310" s="320"/>
    </row>
    <row r="311">
      <c r="A311" s="320"/>
      <c r="B311" s="320"/>
      <c r="C311" s="659"/>
      <c r="D311" s="320"/>
      <c r="E311" s="320"/>
    </row>
    <row r="312">
      <c r="A312" s="320"/>
      <c r="B312" s="320"/>
      <c r="C312" s="659"/>
      <c r="D312" s="320"/>
      <c r="E312" s="320"/>
    </row>
    <row r="313">
      <c r="A313" s="320"/>
      <c r="B313" s="320"/>
      <c r="C313" s="659"/>
      <c r="D313" s="320"/>
      <c r="E313" s="320"/>
    </row>
    <row r="314">
      <c r="A314" s="320"/>
      <c r="B314" s="320"/>
      <c r="C314" s="659"/>
      <c r="D314" s="320"/>
      <c r="E314" s="320"/>
    </row>
    <row r="315">
      <c r="A315" s="320"/>
      <c r="B315" s="320"/>
      <c r="C315" s="659"/>
      <c r="D315" s="320"/>
      <c r="E315" s="320"/>
    </row>
    <row r="316">
      <c r="A316" s="320"/>
      <c r="B316" s="320"/>
      <c r="C316" s="659"/>
      <c r="D316" s="320"/>
      <c r="E316" s="320"/>
    </row>
    <row r="317">
      <c r="A317" s="320"/>
      <c r="B317" s="320"/>
      <c r="C317" s="659"/>
      <c r="D317" s="320"/>
      <c r="E317" s="320"/>
    </row>
    <row r="318">
      <c r="A318" s="320"/>
      <c r="B318" s="320"/>
      <c r="C318" s="659"/>
      <c r="D318" s="320"/>
      <c r="E318" s="320"/>
    </row>
    <row r="319">
      <c r="A319" s="320"/>
      <c r="B319" s="320"/>
      <c r="C319" s="659"/>
      <c r="D319" s="320"/>
      <c r="E319" s="320"/>
    </row>
    <row r="320">
      <c r="A320" s="320"/>
      <c r="B320" s="320"/>
      <c r="C320" s="659"/>
      <c r="D320" s="320"/>
      <c r="E320" s="320"/>
    </row>
    <row r="321">
      <c r="A321" s="320"/>
      <c r="B321" s="320"/>
      <c r="C321" s="659"/>
      <c r="D321" s="320"/>
      <c r="E321" s="320"/>
    </row>
    <row r="322">
      <c r="A322" s="320"/>
      <c r="B322" s="320"/>
      <c r="C322" s="659"/>
      <c r="D322" s="320"/>
      <c r="E322" s="320"/>
    </row>
    <row r="323">
      <c r="A323" s="320"/>
      <c r="B323" s="320"/>
      <c r="C323" s="659"/>
      <c r="D323" s="320"/>
      <c r="E323" s="320"/>
    </row>
    <row r="324">
      <c r="A324" s="320"/>
      <c r="B324" s="320"/>
      <c r="C324" s="659"/>
      <c r="D324" s="320"/>
      <c r="E324" s="320"/>
    </row>
    <row r="325">
      <c r="A325" s="320"/>
      <c r="B325" s="320"/>
      <c r="C325" s="659"/>
      <c r="D325" s="320"/>
      <c r="E325" s="320"/>
    </row>
    <row r="326">
      <c r="A326" s="320"/>
      <c r="B326" s="320"/>
      <c r="C326" s="659"/>
      <c r="D326" s="320"/>
      <c r="E326" s="320"/>
    </row>
    <row r="327">
      <c r="A327" s="320"/>
      <c r="B327" s="320"/>
      <c r="C327" s="659"/>
      <c r="D327" s="320"/>
      <c r="E327" s="320"/>
    </row>
    <row r="328">
      <c r="A328" s="320"/>
      <c r="B328" s="320"/>
      <c r="C328" s="659"/>
      <c r="D328" s="320"/>
      <c r="E328" s="320"/>
    </row>
    <row r="329">
      <c r="A329" s="320"/>
      <c r="B329" s="320"/>
      <c r="C329" s="659"/>
      <c r="D329" s="320"/>
      <c r="E329" s="320"/>
    </row>
    <row r="330">
      <c r="A330" s="320"/>
      <c r="B330" s="320"/>
      <c r="C330" s="659"/>
      <c r="D330" s="320"/>
      <c r="E330" s="320"/>
    </row>
    <row r="331">
      <c r="A331" s="320"/>
      <c r="B331" s="320"/>
      <c r="C331" s="659"/>
      <c r="D331" s="320"/>
      <c r="E331" s="320"/>
    </row>
    <row r="332">
      <c r="A332" s="320"/>
      <c r="B332" s="320"/>
      <c r="C332" s="659"/>
      <c r="D332" s="320"/>
      <c r="E332" s="320"/>
    </row>
    <row r="333">
      <c r="A333" s="320"/>
      <c r="B333" s="320"/>
      <c r="C333" s="659"/>
      <c r="D333" s="320"/>
      <c r="E333" s="320"/>
    </row>
    <row r="334">
      <c r="A334" s="320"/>
      <c r="B334" s="320"/>
      <c r="C334" s="659"/>
      <c r="D334" s="320"/>
      <c r="E334" s="320"/>
    </row>
    <row r="335">
      <c r="A335" s="320"/>
      <c r="B335" s="320"/>
      <c r="C335" s="659"/>
      <c r="D335" s="320"/>
      <c r="E335" s="320"/>
    </row>
    <row r="336">
      <c r="A336" s="320"/>
      <c r="B336" s="320"/>
      <c r="C336" s="659"/>
      <c r="D336" s="320"/>
      <c r="E336" s="320"/>
    </row>
    <row r="337">
      <c r="A337" s="320"/>
      <c r="B337" s="320"/>
      <c r="C337" s="659"/>
      <c r="D337" s="320"/>
      <c r="E337" s="320"/>
    </row>
    <row r="338">
      <c r="A338" s="320"/>
      <c r="B338" s="320"/>
      <c r="C338" s="659"/>
      <c r="D338" s="320"/>
      <c r="E338" s="320"/>
    </row>
    <row r="339">
      <c r="A339" s="320"/>
      <c r="B339" s="320"/>
      <c r="C339" s="659"/>
      <c r="D339" s="320"/>
      <c r="E339" s="320"/>
    </row>
    <row r="340">
      <c r="A340" s="320"/>
      <c r="B340" s="320"/>
      <c r="C340" s="659"/>
      <c r="D340" s="320"/>
      <c r="E340" s="320"/>
    </row>
    <row r="341">
      <c r="A341" s="320"/>
      <c r="B341" s="320"/>
      <c r="C341" s="659"/>
      <c r="D341" s="320"/>
      <c r="E341" s="320"/>
    </row>
    <row r="342">
      <c r="A342" s="320"/>
      <c r="B342" s="320"/>
      <c r="C342" s="659"/>
      <c r="D342" s="320"/>
      <c r="E342" s="320"/>
    </row>
    <row r="343">
      <c r="A343" s="320"/>
      <c r="B343" s="320"/>
      <c r="C343" s="659"/>
      <c r="D343" s="320"/>
      <c r="E343" s="320"/>
    </row>
    <row r="344">
      <c r="A344" s="320"/>
      <c r="B344" s="320"/>
      <c r="C344" s="659"/>
      <c r="D344" s="320"/>
      <c r="E344" s="320"/>
    </row>
    <row r="345">
      <c r="A345" s="320"/>
      <c r="B345" s="320"/>
      <c r="C345" s="659"/>
      <c r="D345" s="320"/>
      <c r="E345" s="320"/>
    </row>
    <row r="346">
      <c r="A346" s="320"/>
      <c r="B346" s="320"/>
      <c r="C346" s="659"/>
      <c r="D346" s="320"/>
      <c r="E346" s="320"/>
    </row>
    <row r="347">
      <c r="A347" s="320"/>
      <c r="B347" s="320"/>
      <c r="C347" s="659"/>
      <c r="D347" s="320"/>
      <c r="E347" s="320"/>
    </row>
    <row r="348">
      <c r="A348" s="320"/>
      <c r="B348" s="320"/>
      <c r="C348" s="659"/>
      <c r="D348" s="320"/>
      <c r="E348" s="320"/>
    </row>
    <row r="349">
      <c r="A349" s="320"/>
      <c r="B349" s="320"/>
      <c r="C349" s="659"/>
      <c r="D349" s="320"/>
      <c r="E349" s="320"/>
    </row>
    <row r="350">
      <c r="A350" s="320"/>
      <c r="B350" s="320"/>
      <c r="C350" s="659"/>
      <c r="D350" s="320"/>
      <c r="E350" s="320"/>
    </row>
    <row r="351">
      <c r="A351" s="320"/>
      <c r="B351" s="320"/>
      <c r="C351" s="659"/>
      <c r="D351" s="320"/>
      <c r="E351" s="320"/>
    </row>
    <row r="352">
      <c r="A352" s="320"/>
      <c r="B352" s="320"/>
      <c r="C352" s="659"/>
      <c r="D352" s="320"/>
      <c r="E352" s="320"/>
    </row>
    <row r="353">
      <c r="A353" s="320"/>
      <c r="B353" s="320"/>
      <c r="C353" s="659"/>
      <c r="D353" s="320"/>
      <c r="E353" s="320"/>
    </row>
    <row r="354">
      <c r="A354" s="320"/>
      <c r="B354" s="320"/>
      <c r="C354" s="659"/>
      <c r="D354" s="320"/>
      <c r="E354" s="320"/>
    </row>
    <row r="355">
      <c r="A355" s="320"/>
      <c r="B355" s="320"/>
      <c r="C355" s="659"/>
      <c r="D355" s="320"/>
      <c r="E355" s="320"/>
    </row>
    <row r="356">
      <c r="A356" s="320"/>
      <c r="B356" s="320"/>
      <c r="C356" s="659"/>
      <c r="D356" s="320"/>
      <c r="E356" s="320"/>
    </row>
    <row r="357">
      <c r="A357" s="320"/>
      <c r="B357" s="320"/>
      <c r="C357" s="659"/>
      <c r="D357" s="320"/>
      <c r="E357" s="320"/>
    </row>
    <row r="358">
      <c r="A358" s="320"/>
      <c r="B358" s="320"/>
      <c r="C358" s="659"/>
      <c r="D358" s="320"/>
      <c r="E358" s="320"/>
    </row>
    <row r="359">
      <c r="A359" s="320"/>
      <c r="B359" s="320"/>
      <c r="C359" s="659"/>
      <c r="D359" s="320"/>
      <c r="E359" s="320"/>
    </row>
    <row r="360">
      <c r="A360" s="320"/>
      <c r="B360" s="320"/>
      <c r="C360" s="659"/>
      <c r="D360" s="320"/>
      <c r="E360" s="320"/>
    </row>
    <row r="361">
      <c r="A361" s="320"/>
      <c r="B361" s="320"/>
      <c r="C361" s="659"/>
      <c r="D361" s="320"/>
      <c r="E361" s="320"/>
    </row>
    <row r="362">
      <c r="A362" s="320"/>
      <c r="B362" s="320"/>
      <c r="C362" s="659"/>
      <c r="D362" s="320"/>
      <c r="E362" s="320"/>
    </row>
    <row r="363">
      <c r="A363" s="320"/>
      <c r="B363" s="320"/>
      <c r="C363" s="659"/>
      <c r="D363" s="320"/>
      <c r="E363" s="320"/>
    </row>
    <row r="364">
      <c r="A364" s="320"/>
      <c r="B364" s="320"/>
      <c r="C364" s="659"/>
      <c r="D364" s="320"/>
      <c r="E364" s="320"/>
    </row>
    <row r="365">
      <c r="A365" s="320"/>
      <c r="B365" s="320"/>
      <c r="C365" s="659"/>
      <c r="D365" s="320"/>
      <c r="E365" s="320"/>
    </row>
    <row r="366">
      <c r="A366" s="320"/>
      <c r="B366" s="320"/>
      <c r="C366" s="659"/>
      <c r="D366" s="320"/>
      <c r="E366" s="320"/>
    </row>
    <row r="367">
      <c r="A367" s="320"/>
      <c r="B367" s="320"/>
      <c r="C367" s="659"/>
      <c r="D367" s="320"/>
      <c r="E367" s="320"/>
    </row>
    <row r="368">
      <c r="A368" s="320"/>
      <c r="B368" s="320"/>
      <c r="C368" s="659"/>
      <c r="D368" s="320"/>
      <c r="E368" s="320"/>
    </row>
    <row r="369">
      <c r="A369" s="320"/>
      <c r="B369" s="320"/>
      <c r="C369" s="659"/>
      <c r="D369" s="320"/>
      <c r="E369" s="320"/>
    </row>
    <row r="370">
      <c r="A370" s="320"/>
      <c r="B370" s="320"/>
      <c r="C370" s="659"/>
      <c r="D370" s="320"/>
      <c r="E370" s="320"/>
    </row>
    <row r="371">
      <c r="A371" s="320"/>
      <c r="B371" s="320"/>
      <c r="C371" s="659"/>
      <c r="D371" s="320"/>
      <c r="E371" s="320"/>
    </row>
    <row r="372">
      <c r="A372" s="320"/>
      <c r="B372" s="320"/>
      <c r="C372" s="659"/>
      <c r="D372" s="320"/>
      <c r="E372" s="320"/>
    </row>
    <row r="373">
      <c r="A373" s="320"/>
      <c r="B373" s="320"/>
      <c r="C373" s="659"/>
      <c r="D373" s="320"/>
      <c r="E373" s="320"/>
    </row>
    <row r="374">
      <c r="A374" s="320"/>
      <c r="B374" s="320"/>
      <c r="C374" s="659"/>
      <c r="D374" s="320"/>
      <c r="E374" s="320"/>
    </row>
    <row r="375">
      <c r="A375" s="320"/>
      <c r="B375" s="320"/>
      <c r="C375" s="659"/>
      <c r="D375" s="320"/>
      <c r="E375" s="320"/>
    </row>
    <row r="376">
      <c r="A376" s="320"/>
      <c r="B376" s="320"/>
      <c r="C376" s="659"/>
      <c r="D376" s="320"/>
      <c r="E376" s="320"/>
    </row>
    <row r="377">
      <c r="A377" s="320"/>
      <c r="B377" s="320"/>
      <c r="C377" s="659"/>
      <c r="D377" s="320"/>
      <c r="E377" s="320"/>
    </row>
    <row r="378">
      <c r="A378" s="320"/>
      <c r="B378" s="320"/>
      <c r="C378" s="659"/>
      <c r="D378" s="320"/>
      <c r="E378" s="320"/>
    </row>
    <row r="379">
      <c r="A379" s="320"/>
      <c r="B379" s="320"/>
      <c r="C379" s="659"/>
      <c r="D379" s="320"/>
      <c r="E379" s="320"/>
    </row>
    <row r="380">
      <c r="A380" s="320"/>
      <c r="B380" s="320"/>
      <c r="C380" s="659"/>
      <c r="D380" s="320"/>
      <c r="E380" s="320"/>
    </row>
    <row r="381">
      <c r="A381" s="320"/>
      <c r="B381" s="320"/>
      <c r="C381" s="659"/>
      <c r="D381" s="320"/>
      <c r="E381" s="320"/>
    </row>
    <row r="382">
      <c r="A382" s="320"/>
      <c r="B382" s="320"/>
      <c r="C382" s="659"/>
      <c r="D382" s="320"/>
      <c r="E382" s="320"/>
    </row>
    <row r="383">
      <c r="A383" s="320"/>
      <c r="B383" s="320"/>
      <c r="C383" s="659"/>
      <c r="D383" s="320"/>
      <c r="E383" s="320"/>
    </row>
    <row r="384">
      <c r="A384" s="320"/>
      <c r="B384" s="320"/>
      <c r="C384" s="659"/>
      <c r="D384" s="320"/>
      <c r="E384" s="320"/>
    </row>
    <row r="385">
      <c r="A385" s="320"/>
      <c r="B385" s="320"/>
      <c r="C385" s="659"/>
      <c r="D385" s="320"/>
      <c r="E385" s="320"/>
    </row>
    <row r="386">
      <c r="A386" s="320"/>
      <c r="B386" s="320"/>
      <c r="C386" s="659"/>
      <c r="D386" s="320"/>
      <c r="E386" s="320"/>
    </row>
    <row r="387">
      <c r="A387" s="320"/>
      <c r="B387" s="320"/>
      <c r="C387" s="659"/>
      <c r="D387" s="320"/>
      <c r="E387" s="320"/>
    </row>
    <row r="388">
      <c r="A388" s="320"/>
      <c r="B388" s="320"/>
      <c r="C388" s="659"/>
      <c r="D388" s="320"/>
      <c r="E388" s="320"/>
    </row>
    <row r="389">
      <c r="A389" s="320"/>
      <c r="B389" s="320"/>
      <c r="C389" s="659"/>
      <c r="D389" s="320"/>
      <c r="E389" s="320"/>
    </row>
    <row r="390">
      <c r="A390" s="320"/>
      <c r="B390" s="320"/>
      <c r="C390" s="659"/>
      <c r="D390" s="320"/>
      <c r="E390" s="320"/>
    </row>
    <row r="391">
      <c r="A391" s="320"/>
      <c r="B391" s="320"/>
      <c r="C391" s="659"/>
      <c r="D391" s="320"/>
      <c r="E391" s="320"/>
    </row>
    <row r="392">
      <c r="A392" s="320"/>
      <c r="B392" s="320"/>
      <c r="C392" s="659"/>
      <c r="D392" s="320"/>
      <c r="E392" s="320"/>
    </row>
    <row r="393">
      <c r="A393" s="320"/>
      <c r="B393" s="320"/>
      <c r="C393" s="659"/>
      <c r="D393" s="320"/>
      <c r="E393" s="320"/>
    </row>
    <row r="394">
      <c r="A394" s="320"/>
      <c r="B394" s="320"/>
      <c r="C394" s="659"/>
      <c r="D394" s="320"/>
      <c r="E394" s="320"/>
    </row>
    <row r="395">
      <c r="A395" s="320"/>
      <c r="B395" s="320"/>
      <c r="C395" s="659"/>
      <c r="D395" s="320"/>
      <c r="E395" s="320"/>
    </row>
    <row r="396">
      <c r="A396" s="320"/>
      <c r="B396" s="320"/>
      <c r="C396" s="659"/>
      <c r="D396" s="320"/>
      <c r="E396" s="320"/>
    </row>
    <row r="397">
      <c r="A397" s="320"/>
      <c r="B397" s="320"/>
      <c r="C397" s="659"/>
      <c r="D397" s="320"/>
      <c r="E397" s="320"/>
    </row>
    <row r="398">
      <c r="A398" s="320"/>
      <c r="B398" s="320"/>
      <c r="C398" s="659"/>
      <c r="D398" s="320"/>
      <c r="E398" s="320"/>
    </row>
    <row r="399">
      <c r="A399" s="320"/>
      <c r="B399" s="320"/>
      <c r="C399" s="659"/>
      <c r="D399" s="320"/>
      <c r="E399" s="320"/>
    </row>
    <row r="400">
      <c r="A400" s="320"/>
      <c r="B400" s="320"/>
      <c r="C400" s="659"/>
      <c r="D400" s="320"/>
      <c r="E400" s="320"/>
    </row>
    <row r="401">
      <c r="A401" s="320"/>
      <c r="B401" s="320"/>
      <c r="C401" s="659"/>
      <c r="D401" s="320"/>
      <c r="E401" s="320"/>
    </row>
    <row r="402">
      <c r="A402" s="320"/>
      <c r="B402" s="320"/>
      <c r="C402" s="659"/>
      <c r="D402" s="320"/>
      <c r="E402" s="320"/>
    </row>
    <row r="403">
      <c r="A403" s="320"/>
      <c r="B403" s="320"/>
      <c r="C403" s="659"/>
      <c r="D403" s="320"/>
      <c r="E403" s="320"/>
    </row>
    <row r="404">
      <c r="A404" s="320"/>
      <c r="B404" s="320"/>
      <c r="C404" s="659"/>
      <c r="D404" s="320"/>
      <c r="E404" s="320"/>
    </row>
    <row r="405">
      <c r="A405" s="320"/>
      <c r="B405" s="320"/>
      <c r="C405" s="659"/>
      <c r="D405" s="320"/>
      <c r="E405" s="320"/>
    </row>
    <row r="406">
      <c r="A406" s="320"/>
      <c r="B406" s="320"/>
      <c r="C406" s="659"/>
      <c r="D406" s="320"/>
      <c r="E406" s="320"/>
    </row>
    <row r="407">
      <c r="A407" s="320"/>
      <c r="B407" s="320"/>
      <c r="C407" s="659"/>
      <c r="D407" s="320"/>
      <c r="E407" s="320"/>
    </row>
    <row r="408">
      <c r="A408" s="320"/>
      <c r="B408" s="320"/>
      <c r="C408" s="659"/>
      <c r="D408" s="320"/>
      <c r="E408" s="320"/>
    </row>
    <row r="409">
      <c r="A409" s="320"/>
      <c r="B409" s="320"/>
      <c r="C409" s="659"/>
      <c r="D409" s="320"/>
      <c r="E409" s="320"/>
    </row>
    <row r="410">
      <c r="A410" s="320"/>
      <c r="B410" s="320"/>
      <c r="C410" s="659"/>
      <c r="D410" s="320"/>
      <c r="E410" s="320"/>
    </row>
    <row r="411">
      <c r="A411" s="320"/>
      <c r="B411" s="320"/>
      <c r="C411" s="659"/>
      <c r="D411" s="320"/>
      <c r="E411" s="320"/>
    </row>
    <row r="412">
      <c r="A412" s="320"/>
      <c r="B412" s="320"/>
      <c r="C412" s="659"/>
      <c r="D412" s="320"/>
      <c r="E412" s="320"/>
    </row>
    <row r="413">
      <c r="A413" s="320"/>
      <c r="B413" s="320"/>
      <c r="C413" s="659"/>
      <c r="D413" s="320"/>
      <c r="E413" s="320"/>
    </row>
    <row r="414">
      <c r="A414" s="320"/>
      <c r="B414" s="320"/>
      <c r="C414" s="659"/>
      <c r="D414" s="320"/>
      <c r="E414" s="320"/>
    </row>
    <row r="415">
      <c r="A415" s="320"/>
      <c r="B415" s="320"/>
      <c r="C415" s="659"/>
      <c r="D415" s="320"/>
      <c r="E415" s="320"/>
    </row>
    <row r="416">
      <c r="A416" s="320"/>
      <c r="B416" s="320"/>
      <c r="C416" s="659"/>
      <c r="D416" s="320"/>
      <c r="E416" s="320"/>
    </row>
    <row r="417">
      <c r="A417" s="320"/>
      <c r="B417" s="320"/>
      <c r="C417" s="659"/>
      <c r="D417" s="320"/>
      <c r="E417" s="320"/>
    </row>
    <row r="418">
      <c r="A418" s="320"/>
      <c r="B418" s="320"/>
      <c r="C418" s="659"/>
      <c r="D418" s="320"/>
      <c r="E418" s="320"/>
    </row>
    <row r="419">
      <c r="A419" s="320"/>
      <c r="B419" s="320"/>
      <c r="C419" s="659"/>
      <c r="D419" s="320"/>
      <c r="E419" s="320"/>
    </row>
    <row r="420">
      <c r="A420" s="320"/>
      <c r="B420" s="320"/>
      <c r="C420" s="659"/>
      <c r="D420" s="320"/>
      <c r="E420" s="320"/>
    </row>
    <row r="421">
      <c r="A421" s="320"/>
      <c r="B421" s="320"/>
      <c r="C421" s="659"/>
      <c r="D421" s="320"/>
      <c r="E421" s="320"/>
    </row>
    <row r="422">
      <c r="A422" s="320"/>
      <c r="B422" s="320"/>
      <c r="C422" s="659"/>
      <c r="D422" s="320"/>
      <c r="E422" s="320"/>
    </row>
    <row r="423">
      <c r="A423" s="320"/>
      <c r="B423" s="320"/>
      <c r="C423" s="659"/>
      <c r="D423" s="320"/>
      <c r="E423" s="320"/>
    </row>
    <row r="424">
      <c r="A424" s="320"/>
      <c r="B424" s="320"/>
      <c r="C424" s="659"/>
      <c r="D424" s="320"/>
      <c r="E424" s="320"/>
    </row>
    <row r="425">
      <c r="A425" s="320"/>
      <c r="B425" s="320"/>
      <c r="C425" s="659"/>
      <c r="D425" s="320"/>
      <c r="E425" s="320"/>
    </row>
    <row r="426">
      <c r="A426" s="320"/>
      <c r="B426" s="320"/>
      <c r="C426" s="659"/>
      <c r="D426" s="320"/>
      <c r="E426" s="320"/>
    </row>
    <row r="427">
      <c r="A427" s="320"/>
      <c r="B427" s="320"/>
      <c r="C427" s="659"/>
      <c r="D427" s="320"/>
      <c r="E427" s="320"/>
    </row>
    <row r="428">
      <c r="A428" s="320"/>
      <c r="B428" s="320"/>
      <c r="C428" s="659"/>
      <c r="D428" s="320"/>
      <c r="E428" s="320"/>
    </row>
    <row r="429">
      <c r="A429" s="320"/>
      <c r="B429" s="320"/>
      <c r="C429" s="659"/>
      <c r="D429" s="320"/>
      <c r="E429" s="320"/>
    </row>
    <row r="430">
      <c r="A430" s="320"/>
      <c r="B430" s="320"/>
      <c r="C430" s="659"/>
      <c r="D430" s="320"/>
      <c r="E430" s="320"/>
    </row>
    <row r="431">
      <c r="A431" s="320"/>
      <c r="B431" s="320"/>
      <c r="C431" s="659"/>
      <c r="D431" s="320"/>
      <c r="E431" s="320"/>
    </row>
    <row r="432">
      <c r="A432" s="320"/>
      <c r="B432" s="320"/>
      <c r="C432" s="659"/>
      <c r="D432" s="320"/>
      <c r="E432" s="320"/>
    </row>
    <row r="433">
      <c r="A433" s="320"/>
      <c r="B433" s="320"/>
      <c r="C433" s="659"/>
      <c r="D433" s="320"/>
      <c r="E433" s="320"/>
    </row>
    <row r="434">
      <c r="A434" s="320"/>
      <c r="B434" s="320"/>
      <c r="C434" s="659"/>
      <c r="D434" s="320"/>
      <c r="E434" s="320"/>
    </row>
    <row r="435">
      <c r="A435" s="320"/>
      <c r="B435" s="320"/>
      <c r="C435" s="659"/>
      <c r="D435" s="320"/>
      <c r="E435" s="320"/>
    </row>
    <row r="436">
      <c r="A436" s="320"/>
      <c r="B436" s="320"/>
      <c r="C436" s="659"/>
      <c r="D436" s="320"/>
      <c r="E436" s="320"/>
    </row>
    <row r="437">
      <c r="A437" s="320"/>
      <c r="B437" s="320"/>
      <c r="C437" s="659"/>
      <c r="D437" s="320"/>
      <c r="E437" s="320"/>
    </row>
    <row r="438">
      <c r="A438" s="320"/>
      <c r="B438" s="320"/>
      <c r="C438" s="659"/>
      <c r="D438" s="320"/>
      <c r="E438" s="320"/>
    </row>
    <row r="439">
      <c r="A439" s="320"/>
      <c r="B439" s="320"/>
      <c r="C439" s="659"/>
      <c r="D439" s="320"/>
      <c r="E439" s="320"/>
    </row>
    <row r="440">
      <c r="A440" s="320"/>
      <c r="B440" s="320"/>
      <c r="C440" s="659"/>
      <c r="D440" s="320"/>
      <c r="E440" s="320"/>
    </row>
    <row r="441">
      <c r="A441" s="320"/>
      <c r="B441" s="320"/>
      <c r="C441" s="659"/>
      <c r="D441" s="320"/>
      <c r="E441" s="320"/>
    </row>
    <row r="442">
      <c r="A442" s="320"/>
      <c r="B442" s="320"/>
      <c r="C442" s="659"/>
      <c r="D442" s="320"/>
      <c r="E442" s="320"/>
    </row>
    <row r="443">
      <c r="A443" s="320"/>
      <c r="B443" s="320"/>
      <c r="C443" s="659"/>
      <c r="D443" s="320"/>
      <c r="E443" s="320"/>
    </row>
    <row r="444">
      <c r="A444" s="320"/>
      <c r="B444" s="320"/>
      <c r="C444" s="659"/>
      <c r="D444" s="320"/>
      <c r="E444" s="320"/>
    </row>
    <row r="445">
      <c r="A445" s="320"/>
      <c r="B445" s="320"/>
      <c r="C445" s="659"/>
      <c r="D445" s="320"/>
      <c r="E445" s="320"/>
    </row>
    <row r="446">
      <c r="A446" s="320"/>
      <c r="B446" s="320"/>
      <c r="C446" s="659"/>
      <c r="D446" s="320"/>
      <c r="E446" s="320"/>
    </row>
    <row r="447">
      <c r="A447" s="320"/>
      <c r="B447" s="320"/>
      <c r="C447" s="659"/>
      <c r="D447" s="320"/>
      <c r="E447" s="320"/>
    </row>
    <row r="448">
      <c r="A448" s="320"/>
      <c r="B448" s="320"/>
      <c r="C448" s="659"/>
      <c r="D448" s="320"/>
      <c r="E448" s="320"/>
    </row>
    <row r="449">
      <c r="A449" s="320"/>
      <c r="B449" s="320"/>
      <c r="C449" s="659"/>
      <c r="D449" s="320"/>
      <c r="E449" s="320"/>
    </row>
    <row r="450">
      <c r="A450" s="320"/>
      <c r="B450" s="320"/>
      <c r="C450" s="659"/>
      <c r="D450" s="320"/>
      <c r="E450" s="320"/>
    </row>
    <row r="451">
      <c r="A451" s="320"/>
      <c r="B451" s="320"/>
      <c r="C451" s="659"/>
      <c r="D451" s="320"/>
      <c r="E451" s="320"/>
    </row>
    <row r="452">
      <c r="A452" s="320"/>
      <c r="B452" s="320"/>
      <c r="C452" s="659"/>
      <c r="D452" s="320"/>
      <c r="E452" s="320"/>
    </row>
    <row r="453">
      <c r="A453" s="320"/>
      <c r="B453" s="320"/>
      <c r="C453" s="659"/>
      <c r="D453" s="320"/>
      <c r="E453" s="320"/>
    </row>
    <row r="454">
      <c r="A454" s="320"/>
      <c r="B454" s="320"/>
      <c r="C454" s="659"/>
      <c r="D454" s="320"/>
      <c r="E454" s="320"/>
    </row>
    <row r="455">
      <c r="A455" s="320"/>
      <c r="B455" s="320"/>
      <c r="C455" s="659"/>
      <c r="D455" s="320"/>
      <c r="E455" s="320"/>
    </row>
    <row r="456">
      <c r="A456" s="320"/>
      <c r="B456" s="320"/>
      <c r="C456" s="659"/>
      <c r="D456" s="320"/>
      <c r="E456" s="320"/>
    </row>
    <row r="457">
      <c r="A457" s="320"/>
      <c r="B457" s="320"/>
      <c r="C457" s="659"/>
      <c r="D457" s="320"/>
      <c r="E457" s="320"/>
    </row>
    <row r="458">
      <c r="A458" s="320"/>
      <c r="B458" s="320"/>
      <c r="C458" s="659"/>
      <c r="D458" s="320"/>
      <c r="E458" s="320"/>
    </row>
    <row r="459">
      <c r="A459" s="320"/>
      <c r="B459" s="320"/>
      <c r="C459" s="659"/>
      <c r="D459" s="320"/>
      <c r="E459" s="320"/>
    </row>
    <row r="460">
      <c r="A460" s="320"/>
      <c r="B460" s="320"/>
      <c r="C460" s="659"/>
      <c r="D460" s="320"/>
      <c r="E460" s="320"/>
    </row>
    <row r="461">
      <c r="A461" s="320"/>
      <c r="B461" s="320"/>
      <c r="C461" s="659"/>
      <c r="D461" s="320"/>
      <c r="E461" s="320"/>
    </row>
    <row r="462">
      <c r="A462" s="320"/>
      <c r="B462" s="320"/>
      <c r="C462" s="659"/>
      <c r="D462" s="320"/>
      <c r="E462" s="320"/>
    </row>
    <row r="463">
      <c r="A463" s="320"/>
      <c r="B463" s="320"/>
      <c r="C463" s="659"/>
      <c r="D463" s="320"/>
      <c r="E463" s="320"/>
    </row>
    <row r="464">
      <c r="A464" s="320"/>
      <c r="B464" s="320"/>
      <c r="C464" s="659"/>
      <c r="D464" s="320"/>
      <c r="E464" s="320"/>
    </row>
    <row r="465">
      <c r="A465" s="320"/>
      <c r="B465" s="320"/>
      <c r="C465" s="659"/>
      <c r="D465" s="320"/>
      <c r="E465" s="320"/>
    </row>
    <row r="466">
      <c r="A466" s="320"/>
      <c r="B466" s="320"/>
      <c r="C466" s="659"/>
      <c r="D466" s="320"/>
      <c r="E466" s="320"/>
    </row>
    <row r="467">
      <c r="A467" s="320"/>
      <c r="B467" s="320"/>
      <c r="C467" s="659"/>
      <c r="D467" s="320"/>
      <c r="E467" s="320"/>
    </row>
    <row r="468">
      <c r="A468" s="320"/>
      <c r="B468" s="320"/>
      <c r="C468" s="659"/>
      <c r="D468" s="320"/>
      <c r="E468" s="320"/>
    </row>
    <row r="469">
      <c r="A469" s="320"/>
      <c r="B469" s="320"/>
      <c r="C469" s="659"/>
      <c r="D469" s="320"/>
      <c r="E469" s="320"/>
    </row>
    <row r="470">
      <c r="A470" s="320"/>
      <c r="B470" s="320"/>
      <c r="C470" s="659"/>
      <c r="D470" s="320"/>
      <c r="E470" s="320"/>
    </row>
    <row r="471">
      <c r="A471" s="320"/>
      <c r="B471" s="320"/>
      <c r="C471" s="659"/>
      <c r="D471" s="320"/>
      <c r="E471" s="320"/>
    </row>
    <row r="472">
      <c r="A472" s="320"/>
      <c r="B472" s="320"/>
      <c r="C472" s="659"/>
      <c r="D472" s="320"/>
      <c r="E472" s="320"/>
    </row>
    <row r="473">
      <c r="A473" s="320"/>
      <c r="B473" s="320"/>
      <c r="C473" s="659"/>
      <c r="D473" s="320"/>
      <c r="E473" s="320"/>
    </row>
    <row r="474">
      <c r="A474" s="320"/>
      <c r="B474" s="320"/>
      <c r="C474" s="659"/>
      <c r="D474" s="320"/>
      <c r="E474" s="320"/>
    </row>
    <row r="475">
      <c r="A475" s="320"/>
      <c r="B475" s="320"/>
      <c r="C475" s="659"/>
      <c r="D475" s="320"/>
      <c r="E475" s="320"/>
    </row>
    <row r="476">
      <c r="A476" s="320"/>
      <c r="B476" s="320"/>
      <c r="C476" s="659"/>
      <c r="D476" s="320"/>
      <c r="E476" s="320"/>
    </row>
    <row r="477">
      <c r="A477" s="320"/>
      <c r="B477" s="320"/>
      <c r="C477" s="659"/>
      <c r="D477" s="320"/>
      <c r="E477" s="320"/>
    </row>
    <row r="478">
      <c r="A478" s="320"/>
      <c r="B478" s="320"/>
      <c r="C478" s="659"/>
      <c r="D478" s="320"/>
      <c r="E478" s="320"/>
    </row>
    <row r="479">
      <c r="A479" s="320"/>
      <c r="B479" s="320"/>
      <c r="C479" s="659"/>
      <c r="D479" s="320"/>
      <c r="E479" s="320"/>
    </row>
    <row r="480">
      <c r="A480" s="320"/>
      <c r="B480" s="320"/>
      <c r="C480" s="659"/>
      <c r="D480" s="320"/>
      <c r="E480" s="320"/>
    </row>
    <row r="481">
      <c r="A481" s="320"/>
      <c r="B481" s="320"/>
      <c r="C481" s="659"/>
      <c r="D481" s="320"/>
      <c r="E481" s="320"/>
    </row>
    <row r="482">
      <c r="A482" s="320"/>
      <c r="B482" s="320"/>
      <c r="C482" s="659"/>
      <c r="D482" s="320"/>
      <c r="E482" s="320"/>
    </row>
    <row r="483">
      <c r="A483" s="320"/>
      <c r="B483" s="320"/>
      <c r="C483" s="659"/>
      <c r="D483" s="320"/>
      <c r="E483" s="320"/>
    </row>
    <row r="484">
      <c r="A484" s="320"/>
      <c r="B484" s="320"/>
      <c r="C484" s="659"/>
      <c r="D484" s="320"/>
      <c r="E484" s="320"/>
    </row>
    <row r="485">
      <c r="A485" s="320"/>
      <c r="B485" s="320"/>
      <c r="C485" s="659"/>
      <c r="D485" s="320"/>
      <c r="E485" s="320"/>
    </row>
    <row r="486">
      <c r="A486" s="320"/>
      <c r="B486" s="320"/>
      <c r="C486" s="659"/>
      <c r="D486" s="320"/>
      <c r="E486" s="320"/>
    </row>
    <row r="487">
      <c r="A487" s="320"/>
      <c r="B487" s="320"/>
      <c r="C487" s="659"/>
      <c r="D487" s="320"/>
      <c r="E487" s="320"/>
    </row>
    <row r="488">
      <c r="A488" s="320"/>
      <c r="B488" s="320"/>
      <c r="C488" s="659"/>
      <c r="D488" s="320"/>
      <c r="E488" s="320"/>
    </row>
    <row r="489">
      <c r="A489" s="320"/>
      <c r="B489" s="320"/>
      <c r="C489" s="659"/>
      <c r="D489" s="320"/>
      <c r="E489" s="320"/>
    </row>
    <row r="490">
      <c r="A490" s="320"/>
      <c r="B490" s="320"/>
      <c r="C490" s="659"/>
      <c r="D490" s="320"/>
      <c r="E490" s="320"/>
    </row>
    <row r="491">
      <c r="A491" s="320"/>
      <c r="B491" s="320"/>
      <c r="C491" s="659"/>
      <c r="D491" s="320"/>
      <c r="E491" s="320"/>
    </row>
    <row r="492">
      <c r="A492" s="320"/>
      <c r="B492" s="320"/>
      <c r="C492" s="659"/>
      <c r="D492" s="320"/>
      <c r="E492" s="320"/>
    </row>
    <row r="493">
      <c r="A493" s="320"/>
      <c r="B493" s="320"/>
      <c r="C493" s="659"/>
      <c r="D493" s="320"/>
      <c r="E493" s="320"/>
    </row>
    <row r="494">
      <c r="A494" s="320"/>
      <c r="B494" s="320"/>
      <c r="C494" s="659"/>
      <c r="D494" s="320"/>
      <c r="E494" s="320"/>
    </row>
    <row r="495">
      <c r="A495" s="320"/>
      <c r="B495" s="320"/>
      <c r="C495" s="659"/>
      <c r="D495" s="320"/>
      <c r="E495" s="320"/>
    </row>
    <row r="496">
      <c r="A496" s="320"/>
      <c r="B496" s="320"/>
      <c r="C496" s="659"/>
      <c r="D496" s="320"/>
      <c r="E496" s="320"/>
    </row>
    <row r="497">
      <c r="A497" s="320"/>
      <c r="B497" s="320"/>
      <c r="C497" s="659"/>
      <c r="D497" s="320"/>
      <c r="E497" s="320"/>
    </row>
    <row r="498">
      <c r="A498" s="320"/>
      <c r="B498" s="320"/>
      <c r="C498" s="659"/>
      <c r="D498" s="320"/>
      <c r="E498" s="320"/>
    </row>
    <row r="499">
      <c r="A499" s="320"/>
      <c r="B499" s="320"/>
      <c r="C499" s="659"/>
      <c r="D499" s="320"/>
      <c r="E499" s="320"/>
    </row>
    <row r="500">
      <c r="A500" s="320"/>
      <c r="B500" s="320"/>
      <c r="C500" s="659"/>
      <c r="D500" s="320"/>
      <c r="E500" s="320"/>
    </row>
    <row r="501">
      <c r="A501" s="320"/>
      <c r="B501" s="320"/>
      <c r="C501" s="659"/>
      <c r="D501" s="320"/>
      <c r="E501" s="320"/>
    </row>
    <row r="502">
      <c r="A502" s="320"/>
      <c r="B502" s="320"/>
      <c r="C502" s="659"/>
      <c r="D502" s="320"/>
      <c r="E502" s="320"/>
    </row>
    <row r="503">
      <c r="A503" s="320"/>
      <c r="B503" s="320"/>
      <c r="C503" s="659"/>
      <c r="D503" s="320"/>
      <c r="E503" s="320"/>
    </row>
    <row r="504">
      <c r="A504" s="320"/>
      <c r="B504" s="320"/>
      <c r="C504" s="659"/>
      <c r="D504" s="320"/>
      <c r="E504" s="320"/>
    </row>
    <row r="505">
      <c r="A505" s="320"/>
      <c r="B505" s="320"/>
      <c r="C505" s="659"/>
      <c r="D505" s="320"/>
      <c r="E505" s="320"/>
    </row>
    <row r="506">
      <c r="A506" s="320"/>
      <c r="B506" s="320"/>
      <c r="C506" s="659"/>
      <c r="D506" s="320"/>
      <c r="E506" s="320"/>
    </row>
    <row r="507">
      <c r="A507" s="320"/>
      <c r="B507" s="320"/>
      <c r="C507" s="659"/>
      <c r="D507" s="320"/>
      <c r="E507" s="320"/>
    </row>
    <row r="508">
      <c r="A508" s="320"/>
      <c r="B508" s="320"/>
      <c r="C508" s="659"/>
      <c r="D508" s="320"/>
      <c r="E508" s="320"/>
    </row>
    <row r="509">
      <c r="A509" s="320"/>
      <c r="B509" s="320"/>
      <c r="C509" s="659"/>
      <c r="D509" s="320"/>
      <c r="E509" s="320"/>
    </row>
    <row r="510">
      <c r="A510" s="320"/>
      <c r="B510" s="320"/>
      <c r="C510" s="659"/>
      <c r="D510" s="320"/>
      <c r="E510" s="320"/>
    </row>
    <row r="511">
      <c r="A511" s="320"/>
      <c r="B511" s="320"/>
      <c r="C511" s="659"/>
      <c r="D511" s="320"/>
      <c r="E511" s="320"/>
    </row>
    <row r="512">
      <c r="A512" s="320"/>
      <c r="B512" s="320"/>
      <c r="C512" s="659"/>
      <c r="D512" s="320"/>
      <c r="E512" s="320"/>
    </row>
    <row r="513">
      <c r="A513" s="320"/>
      <c r="B513" s="320"/>
      <c r="C513" s="659"/>
      <c r="D513" s="320"/>
      <c r="E513" s="320"/>
    </row>
    <row r="514">
      <c r="A514" s="320"/>
      <c r="B514" s="320"/>
      <c r="C514" s="659"/>
      <c r="D514" s="320"/>
      <c r="E514" s="320"/>
    </row>
    <row r="515">
      <c r="A515" s="320"/>
      <c r="B515" s="320"/>
      <c r="C515" s="659"/>
      <c r="D515" s="320"/>
      <c r="E515" s="320"/>
    </row>
    <row r="516">
      <c r="A516" s="320"/>
      <c r="B516" s="320"/>
      <c r="C516" s="659"/>
      <c r="D516" s="320"/>
      <c r="E516" s="320"/>
    </row>
    <row r="517">
      <c r="A517" s="320"/>
      <c r="B517" s="320"/>
      <c r="C517" s="659"/>
      <c r="D517" s="320"/>
      <c r="E517" s="320"/>
    </row>
    <row r="518">
      <c r="A518" s="320"/>
      <c r="B518" s="320"/>
      <c r="C518" s="659"/>
      <c r="D518" s="320"/>
      <c r="E518" s="320"/>
    </row>
    <row r="519">
      <c r="A519" s="320"/>
      <c r="B519" s="320"/>
      <c r="C519" s="659"/>
      <c r="D519" s="320"/>
      <c r="E519" s="320"/>
    </row>
    <row r="520">
      <c r="A520" s="320"/>
      <c r="B520" s="320"/>
      <c r="C520" s="659"/>
      <c r="D520" s="320"/>
      <c r="E520" s="320"/>
    </row>
    <row r="521">
      <c r="A521" s="320"/>
      <c r="B521" s="320"/>
      <c r="C521" s="659"/>
      <c r="D521" s="320"/>
      <c r="E521" s="320"/>
    </row>
    <row r="522">
      <c r="A522" s="320"/>
      <c r="B522" s="320"/>
      <c r="C522" s="659"/>
      <c r="D522" s="320"/>
      <c r="E522" s="320"/>
    </row>
    <row r="523">
      <c r="A523" s="320"/>
      <c r="B523" s="320"/>
      <c r="C523" s="659"/>
      <c r="D523" s="320"/>
      <c r="E523" s="320"/>
    </row>
    <row r="524">
      <c r="A524" s="320"/>
      <c r="B524" s="320"/>
      <c r="C524" s="659"/>
      <c r="D524" s="320"/>
      <c r="E524" s="320"/>
    </row>
    <row r="525">
      <c r="A525" s="320"/>
      <c r="B525" s="320"/>
      <c r="C525" s="659"/>
      <c r="D525" s="320"/>
      <c r="E525" s="320"/>
    </row>
    <row r="526">
      <c r="A526" s="320"/>
      <c r="B526" s="320"/>
      <c r="C526" s="659"/>
      <c r="D526" s="320"/>
      <c r="E526" s="320"/>
    </row>
    <row r="527">
      <c r="A527" s="320"/>
      <c r="B527" s="320"/>
      <c r="C527" s="659"/>
      <c r="D527" s="320"/>
      <c r="E527" s="320"/>
    </row>
    <row r="528">
      <c r="A528" s="320"/>
      <c r="B528" s="320"/>
      <c r="C528" s="659"/>
      <c r="D528" s="320"/>
      <c r="E528" s="320"/>
    </row>
    <row r="529">
      <c r="A529" s="320"/>
      <c r="B529" s="320"/>
      <c r="C529" s="659"/>
      <c r="D529" s="320"/>
      <c r="E529" s="320"/>
    </row>
    <row r="530">
      <c r="A530" s="320"/>
      <c r="B530" s="320"/>
      <c r="C530" s="659"/>
      <c r="D530" s="320"/>
      <c r="E530" s="320"/>
    </row>
    <row r="531">
      <c r="A531" s="320"/>
      <c r="B531" s="320"/>
      <c r="C531" s="659"/>
      <c r="D531" s="320"/>
      <c r="E531" s="320"/>
    </row>
    <row r="532">
      <c r="A532" s="320"/>
      <c r="B532" s="320"/>
      <c r="C532" s="659"/>
      <c r="D532" s="320"/>
      <c r="E532" s="320"/>
    </row>
    <row r="533">
      <c r="A533" s="320"/>
      <c r="B533" s="320"/>
      <c r="C533" s="659"/>
      <c r="D533" s="320"/>
      <c r="E533" s="320"/>
    </row>
    <row r="534">
      <c r="A534" s="320"/>
      <c r="B534" s="320"/>
      <c r="C534" s="659"/>
      <c r="D534" s="320"/>
      <c r="E534" s="320"/>
    </row>
  </sheetData>
  <mergeCells count="2">
    <mergeCell ref="A2:E2"/>
    <mergeCell ref="A7:E7"/>
  </mergeCells>
  <dataValidations>
    <dataValidation type="custom" allowBlank="1" sqref="C4">
      <formula1>OR(NOT(ISERROR(DATEVALUE(C4))), AND(ISNUMBER(C4), LEFT(CELL("format", C4))="D"))</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2" max="2" width="15.25"/>
    <col customWidth="1" min="3" max="3" width="24.38"/>
    <col customWidth="1" min="4" max="4" width="14.5"/>
    <col customWidth="1" min="5" max="5" width="36.25"/>
    <col customWidth="1" min="6" max="6" width="28.0"/>
    <col customWidth="1" hidden="1" min="7" max="7" width="21.75"/>
  </cols>
  <sheetData>
    <row r="1">
      <c r="A1" s="509" t="s">
        <v>5065</v>
      </c>
      <c r="B1" s="509" t="s">
        <v>4731</v>
      </c>
      <c r="C1" s="514" t="s">
        <v>25</v>
      </c>
      <c r="D1" s="484" t="s">
        <v>512</v>
      </c>
      <c r="E1" s="509" t="s">
        <v>33</v>
      </c>
      <c r="F1" s="487" t="s">
        <v>4732</v>
      </c>
      <c r="G1" s="487" t="s">
        <v>4732</v>
      </c>
    </row>
    <row r="2">
      <c r="A2" s="496" t="s">
        <v>5056</v>
      </c>
      <c r="B2" s="489" t="str">
        <f>IF(iserror(vlookup(A:A,Pagos!$B$5:$L11,2,false)),"Disponible",vlookup(A:A,Pagos!$B$5:$L11,2,false))</f>
        <v>Disponible</v>
      </c>
      <c r="C2" s="490" t="str">
        <f>IF(iserror(vlookup(A:A,Pagos!$B$5:$L11,3,false)),"Disponible",vlookup(A:A,Pagos!$B$5:$L11,3,false))</f>
        <v>Disponible</v>
      </c>
      <c r="D2" s="491" t="str">
        <f>IF(iserror(vlookup(A:A,Pagos!$B$5:$L11,4,false)),"Disponible",If(vlookup(A:A,Pagos!$B$5:$L11,5,false),vlookup(A:A,Pagos!$B$5:$L11,5,false),vlookup(A:A,Pagos!$B$5:$L11,4,false)))</f>
        <v>Disponible</v>
      </c>
      <c r="E2" s="492"/>
      <c r="F2" s="493" t="str">
        <f t="shared" ref="F2:F11" si="1">IF(G2,"Sobreasignada","")</f>
        <v/>
      </c>
      <c r="G2" s="493" t="b">
        <f>If(COUNTIF(Pagos!B:B,A2)&gt;1,true,false)</f>
        <v>0</v>
      </c>
    </row>
    <row r="3">
      <c r="A3" s="496" t="s">
        <v>5059</v>
      </c>
      <c r="B3" s="489" t="str">
        <f>IF(iserror(vlookup(A:A,Pagos!$B$5:$L11,2,false)),"Disponible",vlookup(A:A,Pagos!$B$5:$L11,2,false))</f>
        <v>Disponible</v>
      </c>
      <c r="C3" s="490" t="str">
        <f>IF(iserror(vlookup(A:A,Pagos!$B$5:$L11,3,false)),"Disponible",vlookup(A:A,Pagos!$B$5:$L11,3,false))</f>
        <v>Disponible</v>
      </c>
      <c r="D3" s="491" t="str">
        <f>IF(iserror(vlookup(A:A,Pagos!$B$5:$L11,4,false)),"Disponible",If(vlookup(A:A,Pagos!$B$5:$L11,5,false),vlookup(A:A,Pagos!$B$5:$L11,5,false),vlookup(A:A,Pagos!$B$5:$L11,4,false)))</f>
        <v>Disponible</v>
      </c>
      <c r="E3" s="492"/>
      <c r="F3" s="493" t="str">
        <f t="shared" si="1"/>
        <v/>
      </c>
      <c r="G3" s="493" t="b">
        <f>If(COUNTIF(Pagos!B:B,A3)&gt;1,true,false)</f>
        <v>0</v>
      </c>
    </row>
    <row r="4">
      <c r="A4" s="496" t="s">
        <v>5066</v>
      </c>
      <c r="B4" s="489" t="str">
        <f>IF(iserror(vlookup(A:A,Pagos!$B$5:$L11,2,false)),"Disponible",vlookup(A:A,Pagos!$B$5:$L11,2,false))</f>
        <v>Disponible</v>
      </c>
      <c r="C4" s="490" t="str">
        <f>IF(iserror(vlookup(A:A,Pagos!$B$5:$L11,3,false)),"Disponible",vlookup(A:A,Pagos!$B$5:$L11,3,false))</f>
        <v>Disponible</v>
      </c>
      <c r="D4" s="491" t="str">
        <f>IF(iserror(vlookup(A:A,Pagos!$B$5:$L11,4,false)),"Disponible",If(vlookup(A:A,Pagos!$B$5:$L11,5,false),vlookup(A:A,Pagos!$B$5:$L11,5,false),vlookup(A:A,Pagos!$B$5:$L11,4,false)))</f>
        <v>Disponible</v>
      </c>
      <c r="E4" s="492"/>
      <c r="F4" s="493" t="str">
        <f t="shared" si="1"/>
        <v/>
      </c>
      <c r="G4" s="493" t="b">
        <f>If(COUNTIF(Pagos!B:B,A4)&gt;1,true,false)</f>
        <v>0</v>
      </c>
    </row>
    <row r="5">
      <c r="A5" s="496" t="s">
        <v>5067</v>
      </c>
      <c r="B5" s="489" t="str">
        <f>IF(iserror(vlookup(A:A,Pagos!$B$5:$L11,2,false)),"Disponible",vlookup(A:A,Pagos!$B$5:$L11,2,false))</f>
        <v>Disponible</v>
      </c>
      <c r="C5" s="490" t="str">
        <f>IF(iserror(vlookup(A:A,Pagos!$B$5:$L11,3,false)),"Disponible",vlookup(A:A,Pagos!$B$5:$L11,3,false))</f>
        <v>Disponible</v>
      </c>
      <c r="D5" s="491" t="str">
        <f>IF(iserror(vlookup(A:A,Pagos!$B$5:$L11,4,false)),"Disponible",If(vlookup(A:A,Pagos!$B$5:$L11,5,false),vlookup(A:A,Pagos!$B$5:$L11,5,false),vlookup(A:A,Pagos!$B$5:$L11,4,false)))</f>
        <v>Disponible</v>
      </c>
      <c r="E5" s="492"/>
      <c r="F5" s="493" t="str">
        <f t="shared" si="1"/>
        <v/>
      </c>
      <c r="G5" s="493" t="b">
        <f>If(COUNTIF(Pagos!B:B,A5)&gt;1,true,false)</f>
        <v>0</v>
      </c>
    </row>
    <row r="6">
      <c r="A6" s="496" t="s">
        <v>5068</v>
      </c>
      <c r="B6" s="489" t="str">
        <f>IF(iserror(vlookup(A:A,Pagos!$B$5:$L11,2,false)),"Disponible",vlookup(A:A,Pagos!$B$5:$L11,2,false))</f>
        <v>Disponible</v>
      </c>
      <c r="C6" s="490" t="str">
        <f>IF(iserror(vlookup(A:A,Pagos!$B$5:$L11,3,false)),"Disponible",vlookup(A:A,Pagos!$B$5:$L11,3,false))</f>
        <v>Disponible</v>
      </c>
      <c r="D6" s="491" t="str">
        <f>IF(iserror(vlookup(A:A,Pagos!$B$5:$L11,4,false)),"Disponible",If(vlookup(A:A,Pagos!$B$5:$L11,5,false),vlookup(A:A,Pagos!$B$5:$L11,5,false),vlookup(A:A,Pagos!$B$5:$L11,4,false)))</f>
        <v>Disponible</v>
      </c>
      <c r="E6" s="492"/>
      <c r="F6" s="493" t="str">
        <f t="shared" si="1"/>
        <v/>
      </c>
      <c r="G6" s="493" t="b">
        <f>If(COUNTIF(Pagos!B:B,A6)&gt;1,true,false)</f>
        <v>0</v>
      </c>
    </row>
    <row r="7">
      <c r="A7" s="496" t="s">
        <v>5069</v>
      </c>
      <c r="B7" s="489" t="str">
        <f>IF(iserror(vlookup(A:A,Pagos!$B$5:$L11,2,false)),"Disponible",vlookup(A:A,Pagos!$B$5:$L11,2,false))</f>
        <v>Disponible</v>
      </c>
      <c r="C7" s="490" t="str">
        <f>IF(iserror(vlookup(A:A,Pagos!$B$5:$L11,3,false)),"Disponible",vlookup(A:A,Pagos!$B$5:$L11,3,false))</f>
        <v>Disponible</v>
      </c>
      <c r="D7" s="491" t="str">
        <f>IF(iserror(vlookup(A:A,Pagos!$B$5:$L11,4,false)),"Disponible",If(vlookup(A:A,Pagos!$B$5:$L11,5,false),vlookup(A:A,Pagos!$B$5:$L11,5,false),vlookup(A:A,Pagos!$B$5:$L11,4,false)))</f>
        <v>Disponible</v>
      </c>
      <c r="E7" s="492"/>
      <c r="F7" s="493" t="str">
        <f t="shared" si="1"/>
        <v/>
      </c>
      <c r="G7" s="493" t="b">
        <f>If(COUNTIF(Pagos!B:B,A7)&gt;1,true,false)</f>
        <v>0</v>
      </c>
    </row>
    <row r="8">
      <c r="A8" s="496" t="s">
        <v>5070</v>
      </c>
      <c r="B8" s="489" t="str">
        <f>IF(iserror(vlookup(A:A,Pagos!$B$5:$L11,2,false)),"Disponible",vlookup(A:A,Pagos!$B$5:$L11,2,false))</f>
        <v>Disponible</v>
      </c>
      <c r="C8" s="490" t="str">
        <f>IF(iserror(vlookup(A:A,Pagos!$B$5:$L11,3,false)),"Disponible",vlookup(A:A,Pagos!$B$5:$L11,3,false))</f>
        <v>Disponible</v>
      </c>
      <c r="D8" s="491" t="str">
        <f>IF(iserror(vlookup(A:A,Pagos!$B$5:$L11,4,false)),"Disponible",If(vlookup(A:A,Pagos!$B$5:$L11,5,false),vlookup(A:A,Pagos!$B$5:$L11,5,false),vlookup(A:A,Pagos!$B$5:$L11,4,false)))</f>
        <v>Disponible</v>
      </c>
      <c r="E8" s="492"/>
      <c r="F8" s="493" t="str">
        <f t="shared" si="1"/>
        <v/>
      </c>
      <c r="G8" s="493" t="b">
        <f>If(COUNTIF(Pagos!B:B,A8)&gt;1,true,false)</f>
        <v>0</v>
      </c>
    </row>
    <row r="9">
      <c r="A9" s="496" t="s">
        <v>5071</v>
      </c>
      <c r="B9" s="489" t="str">
        <f>IF(iserror(vlookup(A:A,Pagos!$B$5:$L11,2,false)),"Disponible",vlookup(A:A,Pagos!$B$5:$L11,2,false))</f>
        <v>Disponible</v>
      </c>
      <c r="C9" s="490" t="str">
        <f>IF(iserror(vlookup(A:A,Pagos!$B$5:$L11,3,false)),"Disponible",vlookup(A:A,Pagos!$B$5:$L11,3,false))</f>
        <v>Disponible</v>
      </c>
      <c r="D9" s="491" t="str">
        <f>IF(iserror(vlookup(A:A,Pagos!$B$5:$L11,4,false)),"Disponible",If(vlookup(A:A,Pagos!$B$5:$L11,5,false),vlookup(A:A,Pagos!$B$5:$L11,5,false),vlookup(A:A,Pagos!$B$5:$L11,4,false)))</f>
        <v>Disponible</v>
      </c>
      <c r="E9" s="492"/>
      <c r="F9" s="493" t="str">
        <f t="shared" si="1"/>
        <v/>
      </c>
      <c r="G9" s="493" t="b">
        <f>If(COUNTIF(Pagos!B:B,A9)&gt;1,true,false)</f>
        <v>0</v>
      </c>
    </row>
    <row r="10">
      <c r="A10" s="496" t="s">
        <v>5072</v>
      </c>
      <c r="B10" s="489" t="str">
        <f>IF(iserror(vlookup(A:A,Pagos!$B$5:$L11,2,false)),"Disponible",vlookup(A:A,Pagos!$B$5:$L11,2,false))</f>
        <v>Disponible</v>
      </c>
      <c r="C10" s="490" t="str">
        <f>IF(iserror(vlookup(A:A,Pagos!$B$5:$L11,3,false)),"Disponible",vlookup(A:A,Pagos!$B$5:$L11,3,false))</f>
        <v>Disponible</v>
      </c>
      <c r="D10" s="491" t="str">
        <f>IF(iserror(vlookup(A:A,Pagos!$B$5:$L11,4,false)),"Disponible",If(vlookup(A:A,Pagos!$B$5:$L11,5,false),vlookup(A:A,Pagos!$B$5:$L11,5,false),vlookup(A:A,Pagos!$B$5:$L11,4,false)))</f>
        <v>Disponible</v>
      </c>
      <c r="E10" s="492"/>
      <c r="F10" s="493" t="str">
        <f t="shared" si="1"/>
        <v/>
      </c>
      <c r="G10" s="493" t="b">
        <f>If(COUNTIF(Pagos!B:B,A10)&gt;1,true,false)</f>
        <v>0</v>
      </c>
    </row>
    <row r="11">
      <c r="A11" s="496" t="s">
        <v>5073</v>
      </c>
      <c r="B11" s="489" t="str">
        <f>IF(iserror(vlookup(A:A,Pagos!$B$5:$L11,2,false)),"Disponible",vlookup(A:A,Pagos!$B$5:$L11,2,false))</f>
        <v>Disponible</v>
      </c>
      <c r="C11" s="490" t="str">
        <f>IF(iserror(vlookup(A:A,Pagos!$B$5:$L11,3,false)),"Disponible",vlookup(A:A,Pagos!$B$5:$L11,3,false))</f>
        <v>Disponible</v>
      </c>
      <c r="D11" s="491" t="str">
        <f>IF(iserror(vlookup(A:A,Pagos!$B$5:$L11,4,false)),"Disponible",If(vlookup(A:A,Pagos!$B$5:$L11,5,false),vlookup(A:A,Pagos!$B$5:$L11,5,false),vlookup(A:A,Pagos!$B$5:$L11,4,false)))</f>
        <v>Disponible</v>
      </c>
      <c r="E11" s="492"/>
      <c r="F11" s="493" t="str">
        <f t="shared" si="1"/>
        <v/>
      </c>
      <c r="G11" s="493" t="b">
        <f>If(COUNTIF(Pagos!B:B,A11)&gt;1,true,false)</f>
        <v>0</v>
      </c>
    </row>
  </sheetData>
  <conditionalFormatting sqref="E1:G1">
    <cfRule type="containsText" dxfId="19" priority="1" operator="containsText" text="Disponible">
      <formula>NOT(ISERROR(SEARCH(("Disponible"),(E1))))</formula>
    </cfRule>
  </conditionalFormatting>
  <conditionalFormatting sqref="B1:D11">
    <cfRule type="containsText" dxfId="9" priority="2" operator="containsText" text="Disponible">
      <formula>NOT(ISERROR(SEARCH(("Disponible"),(B1))))</formula>
    </cfRule>
  </conditionalFormatting>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4.88"/>
    <col customWidth="1" min="2" max="2" width="13.25"/>
    <col customWidth="1" min="3" max="3" width="26.5"/>
    <col customWidth="1" min="4" max="4" width="12.88"/>
    <col customWidth="1" min="5" max="5" width="13.38"/>
    <col customWidth="1" min="6" max="6" width="13.63"/>
    <col customWidth="1" min="7" max="8" width="10.88"/>
    <col customWidth="1" min="9" max="9" width="81.88"/>
    <col customWidth="1" min="10" max="10" width="24.38"/>
    <col customWidth="1" min="11" max="11" width="54.75"/>
  </cols>
  <sheetData>
    <row r="1">
      <c r="A1" s="660" t="s">
        <v>5074</v>
      </c>
      <c r="B1" s="661" t="s">
        <v>4731</v>
      </c>
      <c r="C1" s="662" t="s">
        <v>25</v>
      </c>
      <c r="D1" s="661" t="s">
        <v>5075</v>
      </c>
      <c r="E1" s="663" t="s">
        <v>5076</v>
      </c>
      <c r="F1" s="663" t="s">
        <v>5077</v>
      </c>
      <c r="G1" s="664" t="s">
        <v>5078</v>
      </c>
      <c r="H1" s="664" t="s">
        <v>5079</v>
      </c>
      <c r="I1" s="665" t="s">
        <v>5080</v>
      </c>
      <c r="J1" s="665" t="s">
        <v>5081</v>
      </c>
      <c r="K1" s="664" t="s">
        <v>33</v>
      </c>
    </row>
    <row r="2">
      <c r="A2" s="666" t="s">
        <v>5052</v>
      </c>
      <c r="B2" s="667">
        <v>1269.0</v>
      </c>
      <c r="C2" s="668" t="str">
        <f>If(iserror(offset(PADRON!B$1,Match(B2,PADRON!A$2:A57,0),0)),"",offset(PADRON!B$1,Match(B2,PADRON!A$2:A57,0),0))</f>
        <v>MONEDA, PABLO</v>
      </c>
      <c r="D2" s="667">
        <v>20.0</v>
      </c>
      <c r="E2" s="669">
        <v>42120.0</v>
      </c>
      <c r="F2" s="670"/>
      <c r="G2" s="671"/>
      <c r="H2" s="671"/>
      <c r="I2" s="671" t="s">
        <v>5082</v>
      </c>
      <c r="J2" s="672" t="s">
        <v>5083</v>
      </c>
      <c r="K2" s="671"/>
    </row>
    <row r="3">
      <c r="A3" s="666" t="s">
        <v>5084</v>
      </c>
      <c r="B3" s="667">
        <v>1228.0</v>
      </c>
      <c r="C3" s="668" t="str">
        <f>If(iserror(offset(PADRON!B$1,Match(B3,PADRON!A$2:A57,0),0)),"",offset(PADRON!B$1,Match(B3,PADRON!A$2:A57,0),0))</f>
        <v/>
      </c>
      <c r="D3" s="667">
        <v>7.0</v>
      </c>
      <c r="E3" s="669">
        <v>42120.0</v>
      </c>
      <c r="F3" s="670">
        <v>42125.0</v>
      </c>
      <c r="G3" s="671"/>
      <c r="H3" s="671"/>
      <c r="I3" s="671" t="s">
        <v>5085</v>
      </c>
      <c r="J3" s="672" t="s">
        <v>5083</v>
      </c>
      <c r="K3" s="671"/>
    </row>
    <row r="4">
      <c r="A4" s="666" t="s">
        <v>5086</v>
      </c>
      <c r="B4" s="667">
        <v>1220.0</v>
      </c>
      <c r="C4" s="668" t="str">
        <f>If(iserror(offset(PADRON!B$1,Match(B4,PADRON!A$2:A57,0),0)),"",offset(PADRON!B$1,Match(B4,PADRON!A$2:A57,0),0))</f>
        <v>GROBA, HORACIO</v>
      </c>
      <c r="D4" s="667">
        <v>11.0</v>
      </c>
      <c r="E4" s="669">
        <v>42120.0</v>
      </c>
      <c r="F4" s="670"/>
      <c r="G4" s="671"/>
      <c r="H4" s="671"/>
      <c r="I4" s="671" t="s">
        <v>5087</v>
      </c>
      <c r="J4" s="672" t="s">
        <v>5083</v>
      </c>
      <c r="K4" s="671"/>
    </row>
    <row r="5">
      <c r="A5" s="666" t="s">
        <v>5088</v>
      </c>
      <c r="B5" s="667">
        <v>1220.0</v>
      </c>
      <c r="C5" s="668" t="str">
        <f>If(iserror(offset(PADRON!B$1,Match(B5,PADRON!A$2:A57,0),0)),"",offset(PADRON!B$1,Match(B5,PADRON!A$2:A57,0),0))</f>
        <v>GROBA, HORACIO</v>
      </c>
      <c r="D5" s="667">
        <v>6.0</v>
      </c>
      <c r="E5" s="669">
        <v>42120.0</v>
      </c>
      <c r="F5" s="670"/>
      <c r="G5" s="671"/>
      <c r="H5" s="671"/>
      <c r="I5" s="671" t="s">
        <v>5089</v>
      </c>
      <c r="J5" s="672" t="s">
        <v>5083</v>
      </c>
      <c r="K5" s="671"/>
    </row>
    <row r="6">
      <c r="A6" s="666" t="s">
        <v>5090</v>
      </c>
      <c r="B6" s="667">
        <v>1369.0</v>
      </c>
      <c r="C6" s="668" t="str">
        <f>If(iserror(offset(PADRON!B$1,Match(B6,PADRON!A$2:A57,0),0)),"",offset(PADRON!B$1,Match(B6,PADRON!A$2:A57,0),0))</f>
        <v/>
      </c>
      <c r="D6" s="667">
        <v>7.0</v>
      </c>
      <c r="E6" s="669">
        <v>42120.0</v>
      </c>
      <c r="F6" s="670">
        <v>42125.0</v>
      </c>
      <c r="G6" s="671"/>
      <c r="H6" s="671"/>
      <c r="I6" s="671" t="s">
        <v>5091</v>
      </c>
      <c r="J6" s="672" t="s">
        <v>5083</v>
      </c>
      <c r="K6" s="671"/>
    </row>
    <row r="7">
      <c r="A7" s="666" t="s">
        <v>5092</v>
      </c>
      <c r="B7" s="667">
        <v>1044.0</v>
      </c>
      <c r="C7" s="668" t="str">
        <f>If(iserror(offset(PADRON!B$1,Match(B7,PADRON!A$2:A57,0),0)),"",offset(PADRON!B$1,Match(B7,PADRON!A$2:A57,0),0))</f>
        <v>DELIZZIA, LEONARDO</v>
      </c>
      <c r="D7" s="667">
        <v>15.0</v>
      </c>
      <c r="E7" s="669">
        <v>42120.0</v>
      </c>
      <c r="F7" s="670">
        <v>42401.0</v>
      </c>
      <c r="G7" s="671"/>
      <c r="H7" s="671"/>
      <c r="I7" s="671" t="s">
        <v>5093</v>
      </c>
      <c r="J7" s="672" t="s">
        <v>5083</v>
      </c>
      <c r="K7" s="671"/>
    </row>
    <row r="8">
      <c r="A8" s="666" t="s">
        <v>5094</v>
      </c>
      <c r="B8" s="667"/>
      <c r="C8" s="668" t="str">
        <f>If(iserror(offset(PADRON!B$1,Match(B8,PADRON!A$2:A57,0),0)),"",offset(PADRON!B$1,Match(B8,PADRON!A$2:A57,0),0))</f>
        <v/>
      </c>
      <c r="D8" s="668"/>
      <c r="E8" s="669">
        <v>41683.0</v>
      </c>
      <c r="F8" s="670"/>
      <c r="G8" s="673"/>
      <c r="H8" s="673"/>
      <c r="I8" s="673" t="s">
        <v>5095</v>
      </c>
      <c r="J8" s="672" t="s">
        <v>5083</v>
      </c>
      <c r="K8" s="671" t="s">
        <v>5096</v>
      </c>
    </row>
    <row r="9">
      <c r="A9" s="666" t="s">
        <v>5097</v>
      </c>
      <c r="B9" s="667"/>
      <c r="C9" s="668" t="str">
        <f>If(iserror(offset(PADRON!B$1,Match(B9,PADRON!A$2:A57,0),0)),"",offset(PADRON!B$1,Match(B9,PADRON!A$2:A57,0),0))</f>
        <v/>
      </c>
      <c r="D9" s="668"/>
      <c r="E9" s="669">
        <v>41683.0</v>
      </c>
      <c r="F9" s="670"/>
      <c r="G9" s="673"/>
      <c r="H9" s="673"/>
      <c r="I9" s="673" t="s">
        <v>5098</v>
      </c>
      <c r="J9" s="672" t="s">
        <v>5083</v>
      </c>
      <c r="K9" s="671" t="s">
        <v>5096</v>
      </c>
    </row>
    <row r="10">
      <c r="A10" s="666" t="s">
        <v>5099</v>
      </c>
      <c r="B10" s="667"/>
      <c r="C10" s="668" t="str">
        <f>If(iserror(offset(PADRON!B$1,Match(B10,PADRON!A$2:A57,0),0)),"",offset(PADRON!B$1,Match(B10,PADRON!A$2:A57,0),0))</f>
        <v/>
      </c>
      <c r="D10" s="668"/>
      <c r="E10" s="669">
        <v>41682.0</v>
      </c>
      <c r="F10" s="670"/>
      <c r="G10" s="674"/>
      <c r="H10" s="674"/>
      <c r="I10" s="674" t="s">
        <v>5100</v>
      </c>
      <c r="J10" s="672" t="s">
        <v>5083</v>
      </c>
      <c r="K10" s="671" t="s">
        <v>5096</v>
      </c>
    </row>
    <row r="11">
      <c r="A11" s="666" t="s">
        <v>5101</v>
      </c>
      <c r="B11" s="667"/>
      <c r="C11" s="668" t="str">
        <f>If(iserror(offset(PADRON!B$1,Match(B11,PADRON!A$2:A57,0),0)),"",offset(PADRON!B$1,Match(B11,PADRON!A$2:A57,0),0))</f>
        <v/>
      </c>
      <c r="D11" s="668"/>
      <c r="E11" s="669">
        <v>41682.0</v>
      </c>
      <c r="F11" s="670"/>
      <c r="G11" s="674"/>
      <c r="H11" s="674"/>
      <c r="I11" s="674" t="s">
        <v>5102</v>
      </c>
      <c r="J11" s="672" t="s">
        <v>5083</v>
      </c>
      <c r="K11" s="671" t="s">
        <v>5096</v>
      </c>
    </row>
    <row r="12">
      <c r="A12" s="666" t="s">
        <v>5103</v>
      </c>
      <c r="B12" s="667"/>
      <c r="C12" s="668" t="str">
        <f>If(iserror(offset(PADRON!B$1,Match(B12,PADRON!A$2:A57,0),0)),"",offset(PADRON!B$1,Match(B12,PADRON!A$2:A57,0),0))</f>
        <v/>
      </c>
      <c r="D12" s="668"/>
      <c r="E12" s="669">
        <v>41682.0</v>
      </c>
      <c r="F12" s="670"/>
      <c r="G12" s="674"/>
      <c r="H12" s="674"/>
      <c r="I12" s="674" t="s">
        <v>5104</v>
      </c>
      <c r="J12" s="672" t="s">
        <v>5083</v>
      </c>
      <c r="K12" s="671" t="s">
        <v>5096</v>
      </c>
    </row>
    <row r="13">
      <c r="A13" s="666" t="s">
        <v>5105</v>
      </c>
      <c r="B13" s="667"/>
      <c r="C13" s="668" t="str">
        <f>If(iserror(offset(PADRON!B$1,Match(B13,PADRON!A$2:A57,0),0)),"",offset(PADRON!B$1,Match(B13,PADRON!A$2:A57,0),0))</f>
        <v/>
      </c>
      <c r="D13" s="668"/>
      <c r="E13" s="675">
        <v>41741.0</v>
      </c>
      <c r="F13" s="670"/>
      <c r="G13" s="674"/>
      <c r="H13" s="674"/>
      <c r="I13" s="674" t="s">
        <v>5106</v>
      </c>
      <c r="J13" s="672" t="s">
        <v>5083</v>
      </c>
      <c r="K13" s="671" t="s">
        <v>5096</v>
      </c>
    </row>
    <row r="14">
      <c r="A14" s="666" t="s">
        <v>5107</v>
      </c>
      <c r="B14" s="667"/>
      <c r="C14" s="668" t="str">
        <f>If(iserror(offset(PADRON!B$1,Match(B14,PADRON!A$2:A57,0),0)),"",offset(PADRON!B$1,Match(B14,PADRON!A$2:A57,0),0))</f>
        <v/>
      </c>
      <c r="D14" s="668"/>
      <c r="E14" s="669">
        <v>41682.0</v>
      </c>
      <c r="F14" s="670"/>
      <c r="G14" s="673"/>
      <c r="H14" s="673"/>
      <c r="I14" s="673" t="s">
        <v>5108</v>
      </c>
      <c r="J14" s="672" t="s">
        <v>5083</v>
      </c>
      <c r="K14" s="671" t="s">
        <v>5096</v>
      </c>
    </row>
    <row r="15">
      <c r="A15" s="666" t="s">
        <v>5109</v>
      </c>
      <c r="B15" s="667"/>
      <c r="C15" s="668" t="str">
        <f>If(iserror(offset(PADRON!B$1,Match(B15,PADRON!A$2:A57,0),0)),"",offset(PADRON!B$1,Match(B15,PADRON!A$2:A57,0),0))</f>
        <v/>
      </c>
      <c r="D15" s="668"/>
      <c r="E15" s="669">
        <v>41682.0</v>
      </c>
      <c r="F15" s="670"/>
      <c r="G15" s="673"/>
      <c r="H15" s="673"/>
      <c r="I15" s="673" t="s">
        <v>5110</v>
      </c>
      <c r="J15" s="672" t="s">
        <v>5083</v>
      </c>
      <c r="K15" s="671" t="s">
        <v>5096</v>
      </c>
    </row>
    <row r="16">
      <c r="A16" s="666" t="s">
        <v>5111</v>
      </c>
      <c r="B16" s="667"/>
      <c r="C16" s="668" t="str">
        <f>If(iserror(offset(PADRON!B$1,Match(B16,PADRON!A$2:A57,0),0)),"",offset(PADRON!B$1,Match(B16,PADRON!A$2:A57,0),0))</f>
        <v/>
      </c>
      <c r="D16" s="668"/>
      <c r="E16" s="669">
        <v>42120.0</v>
      </c>
      <c r="F16" s="670">
        <v>42330.0</v>
      </c>
      <c r="G16" s="671"/>
      <c r="H16" s="671"/>
      <c r="I16" s="671" t="s">
        <v>5112</v>
      </c>
      <c r="J16" s="672" t="s">
        <v>5083</v>
      </c>
      <c r="K16" s="671" t="s">
        <v>5096</v>
      </c>
    </row>
    <row r="17">
      <c r="A17" s="666" t="s">
        <v>5113</v>
      </c>
      <c r="B17" s="667"/>
      <c r="C17" s="668" t="str">
        <f>If(iserror(offset(PADRON!B$1,Match(B17,PADRON!A$2:A57,0),0)),"",offset(PADRON!B$1,Match(B17,PADRON!A$2:A57,0),0))</f>
        <v/>
      </c>
      <c r="D17" s="668"/>
      <c r="E17" s="669">
        <v>42120.0</v>
      </c>
      <c r="F17" s="670"/>
      <c r="G17" s="671"/>
      <c r="H17" s="671"/>
      <c r="I17" s="671" t="s">
        <v>5114</v>
      </c>
      <c r="J17" s="672" t="s">
        <v>5083</v>
      </c>
      <c r="K17" s="671" t="s">
        <v>5096</v>
      </c>
    </row>
    <row r="18">
      <c r="A18" s="666" t="s">
        <v>5115</v>
      </c>
      <c r="B18" s="667">
        <v>1478.0</v>
      </c>
      <c r="C18" s="668" t="str">
        <f>If(iserror(offset(PADRON!B$1,Match(B18,PADRON!A$2:A57,0),0)),"",offset(PADRON!B$1,Match(B18,PADRON!A$2:A57,0),0))</f>
        <v>PALAVICINI, MAXIMILIANO</v>
      </c>
      <c r="D18" s="667">
        <v>5.0</v>
      </c>
      <c r="E18" s="669">
        <v>42217.0</v>
      </c>
      <c r="F18" s="670"/>
      <c r="G18" s="671"/>
      <c r="H18" s="671"/>
      <c r="I18" s="671" t="s">
        <v>5116</v>
      </c>
      <c r="J18" s="672"/>
      <c r="K18" s="671"/>
    </row>
    <row r="19">
      <c r="A19" s="666" t="s">
        <v>5117</v>
      </c>
      <c r="B19" s="667">
        <v>1366.0</v>
      </c>
      <c r="C19" s="668" t="str">
        <f>If(iserror(offset(PADRON!B$1,Match(B19,PADRON!A$2:A57,0),0)),"",offset(PADRON!B$1,Match(B19,PADRON!A$2:A57,0),0))</f>
        <v>PELLETIERI, GUSTAVO</v>
      </c>
      <c r="D19" s="667">
        <v>5.0</v>
      </c>
      <c r="E19" s="669">
        <v>43435.0</v>
      </c>
      <c r="F19" s="670">
        <v>43525.0</v>
      </c>
      <c r="G19" s="671" t="s">
        <v>5118</v>
      </c>
      <c r="H19" s="671" t="s">
        <v>5118</v>
      </c>
      <c r="I19" s="671" t="s">
        <v>5119</v>
      </c>
      <c r="J19" s="672"/>
      <c r="K19" s="671"/>
    </row>
    <row r="20">
      <c r="A20" s="666" t="s">
        <v>5120</v>
      </c>
      <c r="B20" s="667">
        <v>1296.0</v>
      </c>
      <c r="C20" s="668" t="str">
        <f>If(iserror(offset(PADRON!B$1,Match(B20,PADRON!A$2:A57,0),0)),"",offset(PADRON!B$1,Match(B20,PADRON!A$2:A57,0),0))</f>
        <v>KANDUS, CRISTIAN</v>
      </c>
      <c r="D20" s="667">
        <v>19.0</v>
      </c>
      <c r="E20" s="669">
        <v>43435.0</v>
      </c>
      <c r="F20" s="670"/>
      <c r="G20" s="671"/>
      <c r="H20" s="671"/>
      <c r="I20" s="671" t="s">
        <v>5121</v>
      </c>
      <c r="J20" s="672"/>
      <c r="K20" s="671"/>
    </row>
    <row r="21">
      <c r="A21" s="666"/>
      <c r="B21" s="667"/>
      <c r="C21" s="668" t="str">
        <f>If(iserror(offset(PADRON!B$1,Match(B21,PADRON!A$2:A57,0),0)),"",offset(PADRON!B$1,Match(B21,PADRON!A$2:A57,0),0))</f>
        <v/>
      </c>
      <c r="D21" s="668"/>
      <c r="E21" s="669"/>
      <c r="F21" s="670"/>
      <c r="G21" s="671"/>
      <c r="H21" s="671"/>
      <c r="I21" s="671"/>
      <c r="J21" s="672"/>
      <c r="K21" s="671"/>
    </row>
    <row r="22">
      <c r="A22" s="666"/>
      <c r="B22" s="667"/>
      <c r="C22" s="668" t="str">
        <f>If(iserror(offset(PADRON!B$1,Match(B22,PADRON!A$2:A57,0),0)),"",offset(PADRON!B$1,Match(B22,PADRON!A$2:A57,0),0))</f>
        <v/>
      </c>
      <c r="D22" s="668"/>
      <c r="E22" s="669"/>
      <c r="F22" s="670"/>
      <c r="G22" s="671"/>
      <c r="H22" s="671"/>
      <c r="I22" s="671"/>
      <c r="J22" s="672"/>
      <c r="K22" s="671"/>
    </row>
    <row r="23">
      <c r="A23" s="666"/>
      <c r="B23" s="667"/>
      <c r="C23" s="668" t="str">
        <f>If(iserror(offset(PADRON!B$1,Match(B23,PADRON!A$2:A57,0),0)),"",offset(PADRON!B$1,Match(B23,PADRON!A$2:A57,0),0))</f>
        <v/>
      </c>
      <c r="D23" s="668"/>
      <c r="E23" s="669"/>
      <c r="F23" s="670"/>
      <c r="G23" s="671"/>
      <c r="H23" s="671"/>
      <c r="I23" s="671"/>
      <c r="J23" s="672"/>
      <c r="K23" s="671"/>
    </row>
    <row r="24">
      <c r="A24" s="666"/>
      <c r="B24" s="667"/>
      <c r="C24" s="668" t="str">
        <f>If(iserror(offset(PADRON!B$1,Match(B24,PADRON!A$2:A57,0),0)),"",offset(PADRON!B$1,Match(B24,PADRON!A$2:A57,0),0))</f>
        <v/>
      </c>
      <c r="D24" s="668"/>
      <c r="E24" s="669"/>
      <c r="F24" s="670"/>
      <c r="G24" s="671"/>
      <c r="H24" s="671"/>
      <c r="I24" s="671"/>
      <c r="J24" s="672"/>
      <c r="K24" s="671"/>
    </row>
    <row r="25">
      <c r="A25" s="666"/>
      <c r="B25" s="667"/>
      <c r="C25" s="668" t="str">
        <f>If(iserror(offset(PADRON!B$1,Match(B25,PADRON!A$2:A57,0),0)),"",offset(PADRON!B$1,Match(B25,PADRON!A$2:A57,0),0))</f>
        <v/>
      </c>
      <c r="D25" s="668"/>
      <c r="E25" s="669"/>
      <c r="F25" s="670"/>
      <c r="G25" s="671"/>
      <c r="H25" s="671"/>
      <c r="I25" s="671"/>
      <c r="J25" s="672"/>
      <c r="K25" s="671"/>
    </row>
    <row r="26">
      <c r="A26" s="666"/>
      <c r="B26" s="667"/>
      <c r="C26" s="668" t="str">
        <f>If(iserror(offset(PADRON!B$1,Match(B26,PADRON!A$2:A57,0),0)),"",offset(PADRON!B$1,Match(B26,PADRON!A$2:A57,0),0))</f>
        <v/>
      </c>
      <c r="D26" s="668"/>
      <c r="E26" s="669"/>
      <c r="F26" s="670"/>
      <c r="G26" s="671"/>
      <c r="H26" s="671"/>
      <c r="I26" s="671"/>
      <c r="J26" s="672"/>
      <c r="K26" s="671"/>
    </row>
    <row r="27">
      <c r="A27" s="666"/>
      <c r="B27" s="667"/>
      <c r="C27" s="668" t="str">
        <f>If(iserror(offset(PADRON!B$1,Match(B27,PADRON!A$2:A57,0),0)),"",offset(PADRON!B$1,Match(B27,PADRON!A$2:A57,0),0))</f>
        <v/>
      </c>
      <c r="D27" s="668"/>
      <c r="E27" s="669"/>
      <c r="F27" s="670"/>
      <c r="G27" s="671"/>
      <c r="H27" s="671"/>
      <c r="I27" s="671"/>
      <c r="J27" s="672"/>
      <c r="K27" s="671"/>
    </row>
    <row r="28">
      <c r="A28" s="666"/>
      <c r="B28" s="667"/>
      <c r="C28" s="668" t="str">
        <f>If(iserror(offset(PADRON!B$1,Match(B28,PADRON!A$2:A57,0),0)),"",offset(PADRON!B$1,Match(B28,PADRON!A$2:A57,0),0))</f>
        <v/>
      </c>
      <c r="D28" s="668"/>
      <c r="E28" s="669"/>
      <c r="F28" s="670"/>
      <c r="G28" s="671"/>
      <c r="H28" s="671"/>
      <c r="I28" s="671"/>
      <c r="J28" s="672"/>
      <c r="K28" s="671"/>
    </row>
    <row r="29">
      <c r="A29" s="666"/>
      <c r="B29" s="667"/>
      <c r="C29" s="668" t="str">
        <f>If(iserror(offset(PADRON!B$1,Match(B29,PADRON!A$2:A57,0),0)),"",offset(PADRON!B$1,Match(B29,PADRON!A$2:A57,0),0))</f>
        <v/>
      </c>
      <c r="D29" s="668"/>
      <c r="E29" s="669"/>
      <c r="F29" s="670"/>
      <c r="G29" s="671"/>
      <c r="H29" s="671"/>
      <c r="I29" s="671"/>
      <c r="J29" s="672"/>
      <c r="K29" s="671"/>
    </row>
    <row r="30">
      <c r="A30" s="666"/>
      <c r="B30" s="667"/>
      <c r="C30" s="668" t="str">
        <f>If(iserror(offset(PADRON!B$1,Match(B30,PADRON!A$2:A57,0),0)),"",offset(PADRON!B$1,Match(B30,PADRON!A$2:A57,0),0))</f>
        <v/>
      </c>
      <c r="D30" s="668"/>
      <c r="E30" s="669"/>
      <c r="F30" s="670"/>
      <c r="G30" s="671"/>
      <c r="H30" s="671"/>
      <c r="I30" s="671"/>
      <c r="J30" s="672"/>
      <c r="K30" s="671"/>
    </row>
    <row r="31">
      <c r="A31" s="666"/>
      <c r="B31" s="667"/>
      <c r="C31" s="668" t="str">
        <f>If(iserror(offset(PADRON!B$1,Match(B31,PADRON!A$2:A57,0),0)),"",offset(PADRON!B$1,Match(B31,PADRON!A$2:A57,0),0))</f>
        <v/>
      </c>
      <c r="D31" s="668"/>
      <c r="E31" s="669"/>
      <c r="F31" s="670"/>
      <c r="G31" s="671"/>
      <c r="H31" s="671"/>
      <c r="I31" s="671"/>
      <c r="J31" s="672"/>
      <c r="K31" s="671"/>
    </row>
    <row r="32">
      <c r="A32" s="666"/>
      <c r="B32" s="667"/>
      <c r="C32" s="668" t="str">
        <f>If(iserror(offset(PADRON!B$1,Match(B32,PADRON!A$2:A57,0),0)),"",offset(PADRON!B$1,Match(B32,PADRON!A$2:A57,0),0))</f>
        <v/>
      </c>
      <c r="D32" s="668"/>
      <c r="E32" s="669"/>
      <c r="F32" s="670"/>
      <c r="G32" s="671"/>
      <c r="H32" s="671"/>
      <c r="I32" s="671"/>
      <c r="J32" s="672"/>
      <c r="K32" s="671"/>
    </row>
    <row r="33">
      <c r="A33" s="666"/>
      <c r="B33" s="667"/>
      <c r="C33" s="668" t="str">
        <f>If(iserror(offset(PADRON!B$1,Match(B33,PADRON!A$2:A57,0),0)),"",offset(PADRON!B$1,Match(B33,PADRON!A$2:A57,0),0))</f>
        <v/>
      </c>
      <c r="D33" s="668"/>
      <c r="E33" s="669"/>
      <c r="F33" s="670"/>
      <c r="G33" s="671"/>
      <c r="H33" s="671"/>
      <c r="I33" s="671"/>
      <c r="J33" s="672"/>
      <c r="K33" s="671"/>
    </row>
    <row r="34">
      <c r="A34" s="666"/>
      <c r="B34" s="667"/>
      <c r="C34" s="668" t="str">
        <f>If(iserror(offset(PADRON!B$1,Match(B34,PADRON!A$2:A57,0),0)),"",offset(PADRON!B$1,Match(B34,PADRON!A$2:A57,0),0))</f>
        <v/>
      </c>
      <c r="D34" s="668"/>
      <c r="E34" s="669"/>
      <c r="F34" s="670"/>
      <c r="G34" s="671"/>
      <c r="H34" s="671"/>
      <c r="I34" s="671"/>
      <c r="J34" s="672"/>
      <c r="K34" s="671"/>
    </row>
    <row r="35">
      <c r="A35" s="666"/>
      <c r="B35" s="667"/>
      <c r="C35" s="668" t="str">
        <f>If(iserror(offset(PADRON!B$1,Match(B35,PADRON!A$2:A57,0),0)),"",offset(PADRON!B$1,Match(B35,PADRON!A$2:A57,0),0))</f>
        <v/>
      </c>
      <c r="D35" s="668"/>
      <c r="E35" s="669"/>
      <c r="F35" s="670"/>
      <c r="G35" s="671"/>
      <c r="H35" s="671"/>
      <c r="I35" s="671"/>
      <c r="J35" s="672"/>
      <c r="K35" s="671"/>
    </row>
    <row r="36">
      <c r="A36" s="666"/>
      <c r="B36" s="667"/>
      <c r="C36" s="668" t="str">
        <f>If(iserror(offset(PADRON!B$1,Match(B36,PADRON!A$2:A57,0),0)),"",offset(PADRON!B$1,Match(B36,PADRON!A$2:A57,0),0))</f>
        <v/>
      </c>
      <c r="D36" s="668"/>
      <c r="E36" s="669"/>
      <c r="F36" s="670"/>
      <c r="G36" s="671"/>
      <c r="H36" s="671"/>
      <c r="I36" s="671"/>
      <c r="J36" s="672"/>
      <c r="K36" s="671"/>
    </row>
    <row r="37">
      <c r="A37" s="666"/>
      <c r="B37" s="667"/>
      <c r="C37" s="668" t="str">
        <f>If(iserror(offset(PADRON!B$1,Match(B37,PADRON!A$2:A57,0),0)),"",offset(PADRON!B$1,Match(B37,PADRON!A$2:A57,0),0))</f>
        <v/>
      </c>
      <c r="D37" s="668"/>
      <c r="E37" s="669"/>
      <c r="F37" s="670"/>
      <c r="G37" s="671"/>
      <c r="H37" s="671"/>
      <c r="I37" s="671"/>
      <c r="J37" s="672"/>
      <c r="K37" s="671"/>
    </row>
    <row r="38">
      <c r="A38" s="666"/>
      <c r="B38" s="667"/>
      <c r="C38" s="668" t="str">
        <f>If(iserror(offset(PADRON!B$1,Match(B38,PADRON!A$2:A57,0),0)),"",offset(PADRON!B$1,Match(B38,PADRON!A$2:A57,0),0))</f>
        <v/>
      </c>
      <c r="D38" s="668"/>
      <c r="E38" s="669"/>
      <c r="F38" s="670"/>
      <c r="G38" s="671"/>
      <c r="H38" s="671"/>
      <c r="I38" s="671"/>
      <c r="J38" s="672"/>
      <c r="K38" s="671"/>
    </row>
    <row r="39">
      <c r="A39" s="666"/>
      <c r="B39" s="667"/>
      <c r="C39" s="668" t="str">
        <f>If(iserror(offset(PADRON!B$1,Match(B39,PADRON!A$2:A57,0),0)),"",offset(PADRON!B$1,Match(B39,PADRON!A$2:A57,0),0))</f>
        <v/>
      </c>
      <c r="D39" s="668"/>
      <c r="E39" s="669"/>
      <c r="F39" s="670"/>
      <c r="G39" s="671"/>
      <c r="H39" s="671"/>
      <c r="I39" s="671"/>
      <c r="J39" s="672"/>
      <c r="K39" s="671"/>
    </row>
    <row r="40">
      <c r="A40" s="666"/>
      <c r="B40" s="667"/>
      <c r="C40" s="668" t="str">
        <f>If(iserror(offset(PADRON!B$1,Match(B40,PADRON!A$2:A57,0),0)),"",offset(PADRON!B$1,Match(B40,PADRON!A$2:A57,0),0))</f>
        <v/>
      </c>
      <c r="D40" s="668"/>
      <c r="E40" s="669"/>
      <c r="F40" s="670"/>
      <c r="G40" s="671"/>
      <c r="H40" s="671"/>
      <c r="I40" s="671"/>
      <c r="J40" s="672"/>
      <c r="K40" s="671"/>
    </row>
    <row r="41">
      <c r="A41" s="666"/>
      <c r="B41" s="667"/>
      <c r="C41" s="668" t="str">
        <f>If(iserror(offset(PADRON!B$1,Match(B41,PADRON!A$2:A57,0),0)),"",offset(PADRON!B$1,Match(B41,PADRON!A$2:A57,0),0))</f>
        <v/>
      </c>
      <c r="D41" s="668"/>
      <c r="E41" s="669"/>
      <c r="F41" s="670"/>
      <c r="G41" s="671"/>
      <c r="H41" s="671"/>
      <c r="I41" s="671"/>
      <c r="J41" s="672"/>
      <c r="K41" s="671"/>
    </row>
    <row r="42">
      <c r="A42" s="666"/>
      <c r="B42" s="667"/>
      <c r="C42" s="668" t="str">
        <f>If(iserror(offset(PADRON!B$1,Match(B42,PADRON!A$2:A57,0),0)),"",offset(PADRON!B$1,Match(B42,PADRON!A$2:A57,0),0))</f>
        <v/>
      </c>
      <c r="D42" s="668"/>
      <c r="E42" s="669"/>
      <c r="F42" s="670"/>
      <c r="G42" s="671"/>
      <c r="H42" s="671"/>
      <c r="I42" s="671"/>
      <c r="J42" s="672"/>
      <c r="K42" s="671"/>
    </row>
    <row r="43">
      <c r="A43" s="666"/>
      <c r="B43" s="667"/>
      <c r="C43" s="668" t="str">
        <f>If(iserror(offset(PADRON!B$1,Match(B43,PADRON!A$2:A57,0),0)),"",offset(PADRON!B$1,Match(B43,PADRON!A$2:A57,0),0))</f>
        <v/>
      </c>
      <c r="D43" s="668"/>
      <c r="E43" s="669"/>
      <c r="F43" s="670"/>
      <c r="G43" s="671"/>
      <c r="H43" s="671"/>
      <c r="I43" s="671"/>
      <c r="J43" s="672"/>
      <c r="K43" s="671"/>
    </row>
    <row r="44">
      <c r="A44" s="666"/>
      <c r="B44" s="667"/>
      <c r="C44" s="668" t="str">
        <f>If(iserror(offset(PADRON!B$1,Match(B44,PADRON!A$2:A57,0),0)),"",offset(PADRON!B$1,Match(B44,PADRON!A$2:A57,0),0))</f>
        <v/>
      </c>
      <c r="D44" s="668"/>
      <c r="E44" s="669"/>
      <c r="F44" s="670"/>
      <c r="G44" s="671"/>
      <c r="H44" s="671"/>
      <c r="I44" s="671"/>
      <c r="J44" s="672"/>
      <c r="K44" s="671"/>
    </row>
    <row r="45">
      <c r="A45" s="666"/>
      <c r="B45" s="667"/>
      <c r="C45" s="668" t="str">
        <f>If(iserror(offset(PADRON!B$1,Match(B45,PADRON!A$2:A57,0),0)),"",offset(PADRON!B$1,Match(B45,PADRON!A$2:A57,0),0))</f>
        <v/>
      </c>
      <c r="D45" s="668"/>
      <c r="E45" s="669"/>
      <c r="F45" s="670"/>
      <c r="G45" s="671"/>
      <c r="H45" s="671"/>
      <c r="I45" s="671"/>
      <c r="J45" s="672"/>
      <c r="K45" s="671"/>
    </row>
    <row r="46">
      <c r="A46" s="666"/>
      <c r="B46" s="667"/>
      <c r="C46" s="668" t="str">
        <f>If(iserror(offset(PADRON!B$1,Match(B46,PADRON!A$2:A57,0),0)),"",offset(PADRON!B$1,Match(B46,PADRON!A$2:A57,0),0))</f>
        <v/>
      </c>
      <c r="D46" s="668"/>
      <c r="E46" s="669"/>
      <c r="F46" s="670"/>
      <c r="G46" s="671"/>
      <c r="H46" s="671"/>
      <c r="I46" s="671"/>
      <c r="J46" s="672"/>
      <c r="K46" s="671"/>
    </row>
    <row r="47">
      <c r="A47" s="666"/>
      <c r="B47" s="667"/>
      <c r="C47" s="668" t="str">
        <f>If(iserror(offset(PADRON!B$1,Match(B47,PADRON!A$2:A57,0),0)),"",offset(PADRON!B$1,Match(B47,PADRON!A$2:A57,0),0))</f>
        <v/>
      </c>
      <c r="D47" s="668"/>
      <c r="E47" s="669"/>
      <c r="F47" s="670"/>
      <c r="G47" s="671"/>
      <c r="H47" s="671"/>
      <c r="I47" s="671"/>
      <c r="J47" s="672"/>
      <c r="K47" s="671"/>
    </row>
    <row r="48">
      <c r="A48" s="666"/>
      <c r="B48" s="667"/>
      <c r="C48" s="668" t="str">
        <f>If(iserror(offset(PADRON!B$1,Match(B48,PADRON!A$2:A57,0),0)),"",offset(PADRON!B$1,Match(B48,PADRON!A$2:A57,0),0))</f>
        <v/>
      </c>
      <c r="D48" s="668"/>
      <c r="E48" s="669"/>
      <c r="F48" s="670"/>
      <c r="G48" s="671"/>
      <c r="H48" s="671"/>
      <c r="I48" s="671"/>
      <c r="J48" s="672"/>
      <c r="K48" s="671"/>
    </row>
    <row r="49">
      <c r="A49" s="666"/>
      <c r="B49" s="667"/>
      <c r="C49" s="668" t="str">
        <f>If(iserror(offset(PADRON!B$1,Match(B49,PADRON!A$2:A57,0),0)),"",offset(PADRON!B$1,Match(B49,PADRON!A$2:A57,0),0))</f>
        <v/>
      </c>
      <c r="D49" s="668"/>
      <c r="E49" s="669"/>
      <c r="F49" s="670"/>
      <c r="G49" s="671"/>
      <c r="H49" s="671"/>
      <c r="I49" s="671"/>
      <c r="J49" s="672"/>
      <c r="K49" s="671"/>
    </row>
    <row r="50">
      <c r="A50" s="666"/>
      <c r="B50" s="667"/>
      <c r="C50" s="668" t="str">
        <f>If(iserror(offset(PADRON!B$1,Match(B50,PADRON!A$2:A57,0),0)),"",offset(PADRON!B$1,Match(B50,PADRON!A$2:A57,0),0))</f>
        <v/>
      </c>
      <c r="D50" s="668"/>
      <c r="E50" s="669"/>
      <c r="F50" s="670"/>
      <c r="G50" s="671"/>
      <c r="H50" s="671"/>
      <c r="I50" s="671"/>
      <c r="J50" s="672"/>
      <c r="K50" s="671"/>
    </row>
    <row r="51">
      <c r="A51" s="666"/>
      <c r="B51" s="667"/>
      <c r="C51" s="668" t="str">
        <f>If(iserror(offset(PADRON!B$1,Match(B51,PADRON!A$2:A57,0),0)),"",offset(PADRON!B$1,Match(B51,PADRON!A$2:A57,0),0))</f>
        <v/>
      </c>
      <c r="D51" s="668"/>
      <c r="E51" s="669"/>
      <c r="F51" s="670"/>
      <c r="G51" s="671"/>
      <c r="H51" s="671"/>
      <c r="I51" s="671"/>
      <c r="J51" s="672"/>
      <c r="K51" s="671"/>
    </row>
    <row r="52">
      <c r="A52" s="666"/>
      <c r="B52" s="667"/>
      <c r="C52" s="668" t="str">
        <f>If(iserror(offset(PADRON!B$1,Match(B52,PADRON!A$2:A57,0),0)),"",offset(PADRON!B$1,Match(B52,PADRON!A$2:A57,0),0))</f>
        <v/>
      </c>
      <c r="D52" s="668"/>
      <c r="E52" s="669"/>
      <c r="F52" s="670"/>
      <c r="G52" s="671"/>
      <c r="H52" s="671"/>
      <c r="I52" s="671"/>
      <c r="J52" s="672"/>
      <c r="K52" s="671"/>
    </row>
    <row r="53">
      <c r="A53" s="666"/>
      <c r="B53" s="667"/>
      <c r="C53" s="668" t="str">
        <f>If(iserror(offset(PADRON!B$1,Match(B53,PADRON!A$2:A57,0),0)),"",offset(PADRON!B$1,Match(B53,PADRON!A$2:A57,0),0))</f>
        <v/>
      </c>
      <c r="D53" s="668"/>
      <c r="E53" s="669"/>
      <c r="F53" s="670"/>
      <c r="G53" s="671"/>
      <c r="H53" s="671"/>
      <c r="I53" s="671"/>
      <c r="J53" s="672"/>
      <c r="K53" s="671"/>
    </row>
    <row r="54">
      <c r="A54" s="666"/>
      <c r="B54" s="667"/>
      <c r="C54" s="668" t="str">
        <f>If(iserror(offset(PADRON!B$1,Match(B54,PADRON!A$2:A57,0),0)),"",offset(PADRON!B$1,Match(B54,PADRON!A$2:A57,0),0))</f>
        <v/>
      </c>
      <c r="D54" s="668"/>
      <c r="E54" s="669"/>
      <c r="F54" s="670"/>
      <c r="G54" s="671"/>
      <c r="H54" s="671"/>
      <c r="I54" s="671"/>
      <c r="J54" s="672"/>
      <c r="K54" s="671"/>
    </row>
    <row r="55">
      <c r="A55" s="666"/>
      <c r="B55" s="667"/>
      <c r="C55" s="668" t="str">
        <f>If(iserror(offset(PADRON!B$1,Match(B55,PADRON!A$2:A57,0),0)),"",offset(PADRON!B$1,Match(B55,PADRON!A$2:A57,0),0))</f>
        <v/>
      </c>
      <c r="D55" s="668"/>
      <c r="E55" s="669"/>
      <c r="F55" s="670"/>
      <c r="G55" s="671"/>
      <c r="H55" s="671"/>
      <c r="I55" s="671"/>
      <c r="J55" s="672"/>
      <c r="K55" s="671"/>
    </row>
    <row r="56">
      <c r="A56" s="666"/>
      <c r="B56" s="667"/>
      <c r="C56" s="668" t="str">
        <f>If(iserror(offset(PADRON!B$1,Match(B56,PADRON!A$2:A57,0),0)),"",offset(PADRON!B$1,Match(B56,PADRON!A$2:A57,0),0))</f>
        <v/>
      </c>
      <c r="D56" s="668"/>
      <c r="E56" s="669"/>
      <c r="F56" s="670"/>
      <c r="G56" s="671"/>
      <c r="H56" s="671"/>
      <c r="I56" s="671"/>
      <c r="J56" s="672"/>
      <c r="K56" s="671"/>
    </row>
    <row r="57">
      <c r="A57" s="666"/>
      <c r="B57" s="667"/>
      <c r="C57" s="668" t="str">
        <f>If(iserror(offset(PADRON!B$1,Match(B57,PADRON!A$2:A57,0),0)),"",offset(PADRON!B$1,Match(B57,PADRON!A$2:A57,0),0))</f>
        <v/>
      </c>
      <c r="D57" s="668"/>
      <c r="E57" s="669"/>
      <c r="F57" s="670"/>
      <c r="G57" s="671"/>
      <c r="H57" s="671"/>
      <c r="I57" s="671"/>
      <c r="J57" s="672"/>
      <c r="K57" s="671"/>
    </row>
  </sheetData>
  <conditionalFormatting sqref="J1:K1">
    <cfRule type="containsText" dxfId="19" priority="1" operator="containsText" text="Disponible">
      <formula>NOT(ISERROR(SEARCH(("Disponible"),(J1))))</formula>
    </cfRule>
  </conditionalFormatting>
  <conditionalFormatting sqref="B1:C57 E10:E12 G10:I13">
    <cfRule type="containsText" dxfId="9" priority="2" operator="containsText" text="Disponible">
      <formula>NOT(ISERROR(SEARCH(("Disponible"),(B1))))</formula>
    </cfRule>
  </conditionalFormatting>
  <conditionalFormatting sqref="D2:D57">
    <cfRule type="containsText" dxfId="9" priority="3" operator="containsText" text="Disponible">
      <formula>NOT(ISERROR(SEARCH(("Disponible"),(D2))))</formula>
    </cfRule>
  </conditionalFormatting>
  <dataValidations>
    <dataValidation type="custom" allowBlank="1" showErrorMessage="1" sqref="F2:F17 E18:F57">
      <formula1>OR(NOT(ISERROR(DATEVALUE(E2))), AND(ISNUMBER(E2), LEFT(CELL("format", E2))="D"))</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88"/>
    <col customWidth="1" min="2" max="2" width="18.38"/>
    <col customWidth="1" min="3" max="3" width="20.5"/>
    <col customWidth="1" min="4" max="4" width="12.38"/>
    <col customWidth="1" min="5" max="5" width="12.88"/>
    <col customWidth="1" min="6" max="6" width="11.63"/>
    <col customWidth="1" min="7" max="7" width="19.5"/>
    <col customWidth="1" min="8" max="8" width="184.63"/>
    <col customWidth="1" min="9" max="9" width="39.5"/>
  </cols>
  <sheetData>
    <row r="1">
      <c r="A1" s="661" t="s">
        <v>5122</v>
      </c>
      <c r="B1" s="661" t="s">
        <v>4731</v>
      </c>
      <c r="C1" s="662" t="s">
        <v>25</v>
      </c>
      <c r="D1" s="661" t="s">
        <v>4282</v>
      </c>
      <c r="E1" s="661" t="s">
        <v>5075</v>
      </c>
      <c r="F1" s="676" t="str">
        <f>Concatenate("Deuda (",sum(F2:F20)," $)")</f>
        <v>Deuda (0 $)</v>
      </c>
      <c r="G1" s="661" t="s">
        <v>5076</v>
      </c>
      <c r="H1" s="665" t="s">
        <v>5080</v>
      </c>
      <c r="I1" s="665" t="s">
        <v>5081</v>
      </c>
    </row>
    <row r="2">
      <c r="A2" s="677" t="s">
        <v>5123</v>
      </c>
      <c r="B2" s="668" t="str">
        <f>if(   iserror(offset(Pagos!C:C,match($A:$A,Pagos!$B:$B,0)-1,0,1,1) )  ,If(A:A="","", "Reintegrado o sin dueño")  ,    offset(Pagos!C:C,match($A:$A,Pagos!$B:$B,0)-1,0,1,1))</f>
        <v>Reintegrado o sin dueño</v>
      </c>
      <c r="C2" s="668" t="str">
        <f>if(   iserror(offset(Pagos!D:D,match($A:$A,Pagos!$B:$B,0)-1,0,1,1) )  ,  ,    offset(Pagos!D:D,match($A:$A,Pagos!$B:$B,0)-1,0,1,1))</f>
        <v/>
      </c>
      <c r="D2" s="678" t="str">
        <f>if(   iserror(offset(Pagos!E:E,match($A:$A,Pagos!$B:$B,0)-1,0,1,1) )  ,  ,    offset(Pagos!E:E,match($A:$A,Pagos!$B:$B,0)-1,0,1,1))</f>
        <v/>
      </c>
      <c r="E2" s="668" t="str">
        <f>if(   iserror(offset(Pagos!K:K,match($A:$A,Pagos!$B:$B,0)-1,0,1,1) )  ,  ,    offset(Pagos!K:K,match($A:$A,Pagos!$B:$B,0)-1,0,1,1))</f>
        <v/>
      </c>
      <c r="F2" s="668" t="str">
        <f>if(   iserror(offset(Pagos!L:L,match($A:$A,Pagos!$B:$B,0)-1,0,1,1) )  ,  ,    offset(Pagos!L:L,match($A:$A,Pagos!$B:$B,0)-1,0,1,1))</f>
        <v/>
      </c>
      <c r="G2" s="679">
        <v>41579.0</v>
      </c>
      <c r="H2" s="680"/>
      <c r="I2" s="673" t="s">
        <v>5124</v>
      </c>
    </row>
    <row r="3">
      <c r="A3" s="677" t="s">
        <v>5055</v>
      </c>
      <c r="B3" s="668" t="str">
        <f>if(   iserror(offset(Pagos!C:C,match($A:$A,Pagos!$B:$B,0)-1,0,1,1) )  ,If(A:A="","", "Reintegrado o sin dueño")  ,    offset(Pagos!C:C,match($A:$A,Pagos!$B:$B,0)-1,0,1,1))</f>
        <v>Reintegrado o sin dueño</v>
      </c>
      <c r="C3" s="668" t="str">
        <f>if(   iserror(offset(Pagos!D:D,match($A:$A,Pagos!$B:$B,0)-1,0,1,1) )  ,  ,    offset(Pagos!D:D,match($A:$A,Pagos!$B:$B,0)-1,0,1,1))</f>
        <v/>
      </c>
      <c r="D3" s="678" t="str">
        <f>if(   iserror(offset(Pagos!E:E,match($A:$A,Pagos!$B:$B,0)-1,0,1,1) )  ,  ,    offset(Pagos!E:E,match($A:$A,Pagos!$B:$B,0)-1,0,1,1))</f>
        <v/>
      </c>
      <c r="E3" s="668" t="str">
        <f>if(   iserror(offset(Pagos!K:K,match($A:$A,Pagos!$B:$B,0)-1,0,1,1) )  ,  ,    offset(Pagos!K:K,match($A:$A,Pagos!$B:$B,0)-1,0,1,1))</f>
        <v/>
      </c>
      <c r="F3" s="668" t="str">
        <f>if(   iserror(offset(Pagos!L:L,match($A:$A,Pagos!$B:$B,0)-1,0,1,1) )  ,  ,    offset(Pagos!L:L,match($A:$A,Pagos!$B:$B,0)-1,0,1,1))</f>
        <v/>
      </c>
      <c r="G3" s="679">
        <v>41579.0</v>
      </c>
      <c r="H3" s="680"/>
      <c r="I3" s="673" t="s">
        <v>5125</v>
      </c>
    </row>
    <row r="4">
      <c r="A4" s="666" t="s">
        <v>5051</v>
      </c>
      <c r="B4" s="668" t="str">
        <f>if(   iserror(offset(Pagos!C:C,match($A:$A,Pagos!$B:$B,0)-1,0,1,1) )  ,If(A:A="","", "Reintegrado o sin dueño")  ,    offset(Pagos!C:C,match($A:$A,Pagos!$B:$B,0)-1,0,1,1))</f>
        <v>Reintegrado o sin dueño</v>
      </c>
      <c r="C4" s="668" t="str">
        <f>if(   iserror(offset(Pagos!D:D,match($A:$A,Pagos!$B:$B,0)-1,0,1,1) )  ,  ,    offset(Pagos!D:D,match($A:$A,Pagos!$B:$B,0)-1,0,1,1))</f>
        <v/>
      </c>
      <c r="D4" s="678" t="str">
        <f>if(   iserror(offset(Pagos!E:E,match($A:$A,Pagos!$B:$B,0)-1,0,1,1) )  ,  ,    offset(Pagos!E:E,match($A:$A,Pagos!$B:$B,0)-1,0,1,1))</f>
        <v/>
      </c>
      <c r="E4" s="668" t="str">
        <f>if(   iserror(offset(Pagos!K:K,match($A:$A,Pagos!$B:$B,0)-1,0,1,1) )  ,  ,    offset(Pagos!K:K,match($A:$A,Pagos!$B:$B,0)-1,0,1,1))</f>
        <v/>
      </c>
      <c r="F4" s="668" t="str">
        <f>if(   iserror(offset(Pagos!L:L,match($A:$A,Pagos!$B:$B,0)-1,0,1,1) )  ,  ,    offset(Pagos!L:L,match($A:$A,Pagos!$B:$B,0)-1,0,1,1))</f>
        <v/>
      </c>
      <c r="G4" s="681">
        <v>41579.0</v>
      </c>
      <c r="H4" s="682"/>
      <c r="I4" s="683" t="s">
        <v>5125</v>
      </c>
    </row>
    <row r="5">
      <c r="A5" s="666" t="s">
        <v>5094</v>
      </c>
      <c r="B5" s="668" t="str">
        <f>if(   iserror(offset(Pagos!C:C,match($A:$A,Pagos!$B:$B,0)-1,0,1,1) )  ,If(A:A="","", "Reintegrado o sin dueño")  ,    offset(Pagos!C:C,match($A:$A,Pagos!$B:$B,0)-1,0,1,1))</f>
        <v>Reintegrado o sin dueño</v>
      </c>
      <c r="C5" s="668" t="str">
        <f>if(   iserror(offset(Pagos!D:D,match($A:$A,Pagos!$B:$B,0)-1,0,1,1) )  ,  ,    offset(Pagos!D:D,match($A:$A,Pagos!$B:$B,0)-1,0,1,1))</f>
        <v/>
      </c>
      <c r="D5" s="678" t="str">
        <f>if(   iserror(offset(Pagos!E:E,match($A:$A,Pagos!$B:$B,0)-1,0,1,1) )  ,  ,    offset(Pagos!E:E,match($A:$A,Pagos!$B:$B,0)-1,0,1,1))</f>
        <v/>
      </c>
      <c r="E5" s="668" t="str">
        <f>if(   iserror(offset(Pagos!K:K,match($A:$A,Pagos!$B:$B,0)-1,0,1,1) )  ,  ,    offset(Pagos!K:K,match($A:$A,Pagos!$B:$B,0)-1,0,1,1))</f>
        <v/>
      </c>
      <c r="F5" s="668" t="str">
        <f>if(   iserror(offset(Pagos!L:L,match($A:$A,Pagos!$B:$B,0)-1,0,1,1) )  ,  ,    offset(Pagos!L:L,match($A:$A,Pagos!$B:$B,0)-1,0,1,1))</f>
        <v/>
      </c>
      <c r="G5" s="679">
        <v>41683.0</v>
      </c>
      <c r="H5" s="673" t="s">
        <v>5095</v>
      </c>
      <c r="I5" s="680"/>
    </row>
    <row r="6">
      <c r="A6" s="666" t="s">
        <v>5097</v>
      </c>
      <c r="B6" s="668" t="str">
        <f>if(   iserror(offset(Pagos!C:C,match($A:$A,Pagos!$B:$B,0)-1,0,1,1) )  ,If(A:A="","", "Reintegrado o sin dueño")  ,    offset(Pagos!C:C,match($A:$A,Pagos!$B:$B,0)-1,0,1,1))</f>
        <v>Reintegrado o sin dueño</v>
      </c>
      <c r="C6" s="668" t="str">
        <f>if(   iserror(offset(Pagos!D:D,match($A:$A,Pagos!$B:$B,0)-1,0,1,1) )  ,  ,    offset(Pagos!D:D,match($A:$A,Pagos!$B:$B,0)-1,0,1,1))</f>
        <v/>
      </c>
      <c r="D6" s="678" t="str">
        <f>if(   iserror(offset(Pagos!E:E,match($A:$A,Pagos!$B:$B,0)-1,0,1,1) )  ,  ,    offset(Pagos!E:E,match($A:$A,Pagos!$B:$B,0)-1,0,1,1))</f>
        <v/>
      </c>
      <c r="E6" s="668" t="str">
        <f>if(   iserror(offset(Pagos!K:K,match($A:$A,Pagos!$B:$B,0)-1,0,1,1) )  ,  ,    offset(Pagos!K:K,match($A:$A,Pagos!$B:$B,0)-1,0,1,1))</f>
        <v/>
      </c>
      <c r="F6" s="668" t="str">
        <f>if(   iserror(offset(Pagos!L:L,match($A:$A,Pagos!$B:$B,0)-1,0,1,1) )  ,  ,    offset(Pagos!L:L,match($A:$A,Pagos!$B:$B,0)-1,0,1,1))</f>
        <v/>
      </c>
      <c r="G6" s="679">
        <v>41683.0</v>
      </c>
      <c r="H6" s="673" t="s">
        <v>5098</v>
      </c>
      <c r="I6" s="680"/>
    </row>
    <row r="7">
      <c r="A7" s="666" t="s">
        <v>5099</v>
      </c>
      <c r="B7" s="668" t="str">
        <f>if(   iserror(offset(Pagos!C:C,match($A:$A,Pagos!$B:$B,0)-1,0,1,1) )  ,If(A:A="","", "Reintegrado o sin dueño")  ,    offset(Pagos!C:C,match($A:$A,Pagos!$B:$B,0)-1,0,1,1))</f>
        <v>Reintegrado o sin dueño</v>
      </c>
      <c r="C7" s="668" t="str">
        <f>if(   iserror(offset(Pagos!D:D,match($A:$A,Pagos!$B:$B,0)-1,0,1,1) )  ,  ,    offset(Pagos!D:D,match($A:$A,Pagos!$B:$B,0)-1,0,1,1))</f>
        <v/>
      </c>
      <c r="D7" s="678" t="str">
        <f>if(   iserror(offset(Pagos!E:E,match($A:$A,Pagos!$B:$B,0)-1,0,1,1) )  ,  ,    offset(Pagos!E:E,match($A:$A,Pagos!$B:$B,0)-1,0,1,1))</f>
        <v/>
      </c>
      <c r="E7" s="668" t="str">
        <f>if(   iserror(offset(Pagos!K:K,match($A:$A,Pagos!$B:$B,0)-1,0,1,1) )  ,  ,    offset(Pagos!K:K,match($A:$A,Pagos!$B:$B,0)-1,0,1,1))</f>
        <v/>
      </c>
      <c r="F7" s="668" t="str">
        <f>if(   iserror(offset(Pagos!L:L,match($A:$A,Pagos!$B:$B,0)-1,0,1,1) )  ,  ,    offset(Pagos!L:L,match($A:$A,Pagos!$B:$B,0)-1,0,1,1))</f>
        <v/>
      </c>
      <c r="G7" s="679">
        <v>41682.0</v>
      </c>
      <c r="H7" s="674" t="s">
        <v>5100</v>
      </c>
      <c r="I7" s="684"/>
    </row>
    <row r="8">
      <c r="A8" s="666" t="s">
        <v>5101</v>
      </c>
      <c r="B8" s="668" t="str">
        <f>if(   iserror(offset(Pagos!C:C,match($A:$A,Pagos!$B:$B,0)-1,0,1,1) )  ,If(A:A="","", "Reintegrado o sin dueño")  ,    offset(Pagos!C:C,match($A:$A,Pagos!$B:$B,0)-1,0,1,1))</f>
        <v>Reintegrado o sin dueño</v>
      </c>
      <c r="C8" s="668" t="str">
        <f>if(   iserror(offset(Pagos!D:D,match($A:$A,Pagos!$B:$B,0)-1,0,1,1) )  ,  ,    offset(Pagos!D:D,match($A:$A,Pagos!$B:$B,0)-1,0,1,1))</f>
        <v/>
      </c>
      <c r="D8" s="678" t="str">
        <f>if(   iserror(offset(Pagos!E:E,match($A:$A,Pagos!$B:$B,0)-1,0,1,1) )  ,  ,    offset(Pagos!E:E,match($A:$A,Pagos!$B:$B,0)-1,0,1,1))</f>
        <v/>
      </c>
      <c r="E8" s="668" t="str">
        <f>if(   iserror(offset(Pagos!K:K,match($A:$A,Pagos!$B:$B,0)-1,0,1,1) )  ,  ,    offset(Pagos!K:K,match($A:$A,Pagos!$B:$B,0)-1,0,1,1))</f>
        <v/>
      </c>
      <c r="F8" s="668" t="str">
        <f>if(   iserror(offset(Pagos!L:L,match($A:$A,Pagos!$B:$B,0)-1,0,1,1) )  ,  ,    offset(Pagos!L:L,match($A:$A,Pagos!$B:$B,0)-1,0,1,1))</f>
        <v/>
      </c>
      <c r="G8" s="679">
        <v>41682.0</v>
      </c>
      <c r="H8" s="674" t="s">
        <v>5102</v>
      </c>
      <c r="I8" s="684"/>
    </row>
    <row r="9">
      <c r="A9" s="666" t="s">
        <v>5103</v>
      </c>
      <c r="B9" s="668" t="str">
        <f>if(   iserror(offset(Pagos!C:C,match($A:$A,Pagos!$B:$B,0)-1,0,1,1) )  ,If(A:A="","", "Reintegrado o sin dueño")  ,    offset(Pagos!C:C,match($A:$A,Pagos!$B:$B,0)-1,0,1,1))</f>
        <v>Reintegrado o sin dueño</v>
      </c>
      <c r="C9" s="668" t="str">
        <f>if(   iserror(offset(Pagos!D:D,match($A:$A,Pagos!$B:$B,0)-1,0,1,1) )  ,  ,    offset(Pagos!D:D,match($A:$A,Pagos!$B:$B,0)-1,0,1,1))</f>
        <v/>
      </c>
      <c r="D9" s="678" t="str">
        <f>if(   iserror(offset(Pagos!E:E,match($A:$A,Pagos!$B:$B,0)-1,0,1,1) )  ,  ,    offset(Pagos!E:E,match($A:$A,Pagos!$B:$B,0)-1,0,1,1))</f>
        <v/>
      </c>
      <c r="E9" s="668" t="str">
        <f>if(   iserror(offset(Pagos!K:K,match($A:$A,Pagos!$B:$B,0)-1,0,1,1) )  ,  ,    offset(Pagos!K:K,match($A:$A,Pagos!$B:$B,0)-1,0,1,1))</f>
        <v/>
      </c>
      <c r="F9" s="668" t="str">
        <f>if(   iserror(offset(Pagos!L:L,match($A:$A,Pagos!$B:$B,0)-1,0,1,1) )  ,  ,    offset(Pagos!L:L,match($A:$A,Pagos!$B:$B,0)-1,0,1,1))</f>
        <v/>
      </c>
      <c r="G9" s="679">
        <v>41682.0</v>
      </c>
      <c r="H9" s="674" t="s">
        <v>5104</v>
      </c>
      <c r="I9" s="684"/>
    </row>
    <row r="10" ht="25.5" customHeight="1">
      <c r="A10" s="666" t="s">
        <v>5105</v>
      </c>
      <c r="B10" s="668" t="str">
        <f>if(   iserror(offset(Pagos!C:C,match($A:$A,Pagos!$B:$B,0)-1,0,1,1) )  ,If(A:A="","", "Reintegrado o sin dueño")  ,    offset(Pagos!C:C,match($A:$A,Pagos!$B:$B,0)-1,0,1,1))</f>
        <v>Reintegrado o sin dueño</v>
      </c>
      <c r="C10" s="668" t="str">
        <f>if(   iserror(offset(Pagos!D:D,match($A:$A,Pagos!$B:$B,0)-1,0,1,1) )  ,  ,    offset(Pagos!D:D,match($A:$A,Pagos!$B:$B,0)-1,0,1,1))</f>
        <v/>
      </c>
      <c r="D10" s="678" t="str">
        <f>if(   iserror(offset(Pagos!E:E,match($A:$A,Pagos!$B:$B,0)-1,0,1,1) )  ,  ,    offset(Pagos!E:E,match($A:$A,Pagos!$B:$B,0)-1,0,1,1))</f>
        <v/>
      </c>
      <c r="E10" s="668" t="str">
        <f>if(   iserror(offset(Pagos!K:K,match($A:$A,Pagos!$B:$B,0)-1,0,1,1) )  ,  ,    offset(Pagos!K:K,match($A:$A,Pagos!$B:$B,0)-1,0,1,1))</f>
        <v/>
      </c>
      <c r="F10" s="668" t="str">
        <f>if(   iserror(offset(Pagos!L:L,match($A:$A,Pagos!$B:$B,0)-1,0,1,1) )  ,  ,    offset(Pagos!L:L,match($A:$A,Pagos!$B:$B,0)-1,0,1,1))</f>
        <v/>
      </c>
      <c r="G10" s="681">
        <v>41741.0</v>
      </c>
      <c r="H10" s="674" t="s">
        <v>5106</v>
      </c>
      <c r="I10" s="682"/>
    </row>
    <row r="11">
      <c r="A11" s="666" t="s">
        <v>5107</v>
      </c>
      <c r="B11" s="668" t="str">
        <f>if(   iserror(offset(Pagos!C:C,match($A:$A,Pagos!$B:$B,0)-1,0,1,1) )  ,If(A:A="","", "Reintegrado o sin dueño")  ,    offset(Pagos!C:C,match($A:$A,Pagos!$B:$B,0)-1,0,1,1))</f>
        <v>Reintegrado o sin dueño</v>
      </c>
      <c r="C11" s="668" t="str">
        <f>if(   iserror(offset(Pagos!D:D,match($A:$A,Pagos!$B:$B,0)-1,0,1,1) )  ,  ,    offset(Pagos!D:D,match($A:$A,Pagos!$B:$B,0)-1,0,1,1))</f>
        <v/>
      </c>
      <c r="D11" s="678" t="str">
        <f>if(   iserror(offset(Pagos!E:E,match($A:$A,Pagos!$B:$B,0)-1,0,1,1) )  ,  ,    offset(Pagos!E:E,match($A:$A,Pagos!$B:$B,0)-1,0,1,1))</f>
        <v/>
      </c>
      <c r="E11" s="668" t="str">
        <f>if(   iserror(offset(Pagos!K:K,match($A:$A,Pagos!$B:$B,0)-1,0,1,1) )  ,  ,    offset(Pagos!K:K,match($A:$A,Pagos!$B:$B,0)-1,0,1,1))</f>
        <v/>
      </c>
      <c r="F11" s="668" t="str">
        <f>if(   iserror(offset(Pagos!L:L,match($A:$A,Pagos!$B:$B,0)-1,0,1,1) )  ,  ,    offset(Pagos!L:L,match($A:$A,Pagos!$B:$B,0)-1,0,1,1))</f>
        <v/>
      </c>
      <c r="G11" s="679">
        <v>41682.0</v>
      </c>
      <c r="H11" s="673" t="s">
        <v>5108</v>
      </c>
      <c r="I11" s="680"/>
    </row>
    <row r="12">
      <c r="A12" s="666" t="s">
        <v>5109</v>
      </c>
      <c r="B12" s="668" t="str">
        <f>if(   iserror(offset(Pagos!C:C,match($A:$A,Pagos!$B:$B,0)-1,0,1,1) )  ,If(A:A="","", "Reintegrado o sin dueño")  ,    offset(Pagos!C:C,match($A:$A,Pagos!$B:$B,0)-1,0,1,1))</f>
        <v>Reintegrado o sin dueño</v>
      </c>
      <c r="C12" s="668" t="str">
        <f>if(   iserror(offset(Pagos!D:D,match($A:$A,Pagos!$B:$B,0)-1,0,1,1) )  ,  ,    offset(Pagos!D:D,match($A:$A,Pagos!$B:$B,0)-1,0,1,1))</f>
        <v/>
      </c>
      <c r="D12" s="678" t="str">
        <f>if(   iserror(offset(Pagos!E:E,match($A:$A,Pagos!$B:$B,0)-1,0,1,1) )  ,  ,    offset(Pagos!E:E,match($A:$A,Pagos!$B:$B,0)-1,0,1,1))</f>
        <v/>
      </c>
      <c r="E12" s="668" t="str">
        <f>if(   iserror(offset(Pagos!K:K,match($A:$A,Pagos!$B:$B,0)-1,0,1,1) )  ,  ,    offset(Pagos!K:K,match($A:$A,Pagos!$B:$B,0)-1,0,1,1))</f>
        <v/>
      </c>
      <c r="F12" s="668" t="str">
        <f>if(   iserror(offset(Pagos!L:L,match($A:$A,Pagos!$B:$B,0)-1,0,1,1) )  ,  ,    offset(Pagos!L:L,match($A:$A,Pagos!$B:$B,0)-1,0,1,1))</f>
        <v/>
      </c>
      <c r="G12" s="679">
        <v>41682.0</v>
      </c>
      <c r="H12" s="673" t="s">
        <v>5110</v>
      </c>
      <c r="I12" s="680"/>
    </row>
    <row r="13">
      <c r="A13" s="666" t="s">
        <v>5052</v>
      </c>
      <c r="B13" s="667">
        <v>1269.0</v>
      </c>
      <c r="C13" s="667" t="s">
        <v>5126</v>
      </c>
      <c r="D13" s="685">
        <v>41530.0</v>
      </c>
      <c r="E13" s="668" t="str">
        <f>if(   iserror(offset(Pagos!K:K,match($A:$A,Pagos!$B:$B,0)-1,0,1,1) )  ,  ,    offset(Pagos!K:K,match($A:$A,Pagos!$B:$B,0)-1,0,1,1))</f>
        <v/>
      </c>
      <c r="F13" s="668" t="str">
        <f>if(   iserror(offset(Pagos!L:L,match($A:$A,Pagos!$B:$B,0)-1,0,1,1) )  ,  ,    offset(Pagos!L:L,match($A:$A,Pagos!$B:$B,0)-1,0,1,1))</f>
        <v/>
      </c>
      <c r="G13" s="679">
        <v>42120.0</v>
      </c>
      <c r="H13" s="671" t="s">
        <v>5082</v>
      </c>
      <c r="I13" s="671" t="s">
        <v>5083</v>
      </c>
    </row>
    <row r="14">
      <c r="A14" s="666" t="s">
        <v>5084</v>
      </c>
      <c r="B14" s="667">
        <v>1228.0</v>
      </c>
      <c r="C14" s="667" t="s">
        <v>5127</v>
      </c>
      <c r="D14" s="685">
        <v>41913.0</v>
      </c>
      <c r="E14" s="668" t="str">
        <f>if(   iserror(offset(Pagos!K:K,match($A:$A,Pagos!$B:$B,0)-1,0,1,1) )  ,  ,    offset(Pagos!K:K,match($A:$A,Pagos!$B:$B,0)-1,0,1,1))</f>
        <v/>
      </c>
      <c r="F14" s="668" t="str">
        <f>if(   iserror(offset(Pagos!L:L,match($A:$A,Pagos!$B:$B,0)-1,0,1,1) )  ,  ,    offset(Pagos!L:L,match($A:$A,Pagos!$B:$B,0)-1,0,1,1))</f>
        <v/>
      </c>
      <c r="G14" s="679">
        <v>42120.0</v>
      </c>
      <c r="H14" s="671" t="s">
        <v>5085</v>
      </c>
      <c r="I14" s="671" t="s">
        <v>5083</v>
      </c>
    </row>
    <row r="15">
      <c r="A15" s="666" t="s">
        <v>5111</v>
      </c>
      <c r="B15" s="667" t="s">
        <v>5128</v>
      </c>
      <c r="C15" s="667"/>
      <c r="D15" s="678" t="str">
        <f>if(   iserror(offset(Pagos!E:E,match($A:$A,Pagos!$B:$B,0)-1,0,1,1) )  ,  ,    offset(Pagos!E:E,match($A:$A,Pagos!$B:$B,0)-1,0,1,1))</f>
        <v/>
      </c>
      <c r="E15" s="668" t="str">
        <f>if(   iserror(offset(Pagos!K:K,match($A:$A,Pagos!$B:$B,0)-1,0,1,1) )  ,  ,    offset(Pagos!K:K,match($A:$A,Pagos!$B:$B,0)-1,0,1,1))</f>
        <v/>
      </c>
      <c r="F15" s="668" t="str">
        <f>if(   iserror(offset(Pagos!L:L,match($A:$A,Pagos!$B:$B,0)-1,0,1,1) )  ,  ,    offset(Pagos!L:L,match($A:$A,Pagos!$B:$B,0)-1,0,1,1))</f>
        <v/>
      </c>
      <c r="G15" s="679">
        <v>42120.0</v>
      </c>
      <c r="H15" s="671" t="s">
        <v>5129</v>
      </c>
      <c r="I15" s="671" t="s">
        <v>5083</v>
      </c>
    </row>
    <row r="16">
      <c r="A16" s="666" t="s">
        <v>5113</v>
      </c>
      <c r="B16" s="667" t="s">
        <v>5128</v>
      </c>
      <c r="C16" s="667"/>
      <c r="D16" s="678" t="str">
        <f>if(   iserror(offset(Pagos!E:E,match($A:$A,Pagos!$B:$B,0)-1,0,1,1) )  ,  ,    offset(Pagos!E:E,match($A:$A,Pagos!$B:$B,0)-1,0,1,1))</f>
        <v/>
      </c>
      <c r="E16" s="668" t="str">
        <f>if(   iserror(offset(Pagos!K:K,match($A:$A,Pagos!$B:$B,0)-1,0,1,1) )  ,  ,    offset(Pagos!K:K,match($A:$A,Pagos!$B:$B,0)-1,0,1,1))</f>
        <v/>
      </c>
      <c r="F16" s="668" t="str">
        <f>if(   iserror(offset(Pagos!L:L,match($A:$A,Pagos!$B:$B,0)-1,0,1,1) )  ,  ,    offset(Pagos!L:L,match($A:$A,Pagos!$B:$B,0)-1,0,1,1))</f>
        <v/>
      </c>
      <c r="G16" s="679">
        <v>42120.0</v>
      </c>
      <c r="H16" s="671" t="s">
        <v>5114</v>
      </c>
      <c r="I16" s="671" t="s">
        <v>5083</v>
      </c>
    </row>
    <row r="17">
      <c r="A17" s="666" t="s">
        <v>5086</v>
      </c>
      <c r="B17" s="667">
        <v>1220.0</v>
      </c>
      <c r="C17" s="667" t="s">
        <v>5130</v>
      </c>
      <c r="D17" s="685">
        <v>41804.0</v>
      </c>
      <c r="E17" s="668" t="str">
        <f>if(   iserror(offset(Pagos!K:K,match($A:$A,Pagos!$B:$B,0)-1,0,1,1) )  ,  ,    offset(Pagos!K:K,match($A:$A,Pagos!$B:$B,0)-1,0,1,1))</f>
        <v/>
      </c>
      <c r="F17" s="668" t="str">
        <f>if(   iserror(offset(Pagos!L:L,match($A:$A,Pagos!$B:$B,0)-1,0,1,1) )  ,  ,    offset(Pagos!L:L,match($A:$A,Pagos!$B:$B,0)-1,0,1,1))</f>
        <v/>
      </c>
      <c r="G17" s="679">
        <v>42121.0</v>
      </c>
      <c r="H17" s="671" t="s">
        <v>5087</v>
      </c>
      <c r="I17" s="671" t="s">
        <v>5083</v>
      </c>
    </row>
    <row r="18">
      <c r="A18" s="666" t="s">
        <v>5088</v>
      </c>
      <c r="B18" s="667">
        <v>1220.0</v>
      </c>
      <c r="C18" s="667" t="s">
        <v>5130</v>
      </c>
      <c r="D18" s="685">
        <v>41944.0</v>
      </c>
      <c r="E18" s="668" t="str">
        <f>if(   iserror(offset(Pagos!K:K,match($A:$A,Pagos!$B:$B,0)-1,0,1,1) )  ,  ,    offset(Pagos!K:K,match($A:$A,Pagos!$B:$B,0)-1,0,1,1))</f>
        <v/>
      </c>
      <c r="F18" s="668" t="str">
        <f>if(   iserror(offset(Pagos!L:L,match($A:$A,Pagos!$B:$B,0)-1,0,1,1) )  ,  ,    offset(Pagos!L:L,match($A:$A,Pagos!$B:$B,0)-1,0,1,1))</f>
        <v/>
      </c>
      <c r="G18" s="679">
        <v>42121.0</v>
      </c>
      <c r="H18" s="671" t="s">
        <v>5089</v>
      </c>
      <c r="I18" s="671" t="s">
        <v>5083</v>
      </c>
    </row>
    <row r="19">
      <c r="A19" s="666" t="s">
        <v>5090</v>
      </c>
      <c r="B19" s="667">
        <v>1369.0</v>
      </c>
      <c r="C19" s="667" t="s">
        <v>5131</v>
      </c>
      <c r="D19" s="685">
        <v>41913.0</v>
      </c>
      <c r="E19" s="668" t="str">
        <f>if(   iserror(offset(Pagos!K:K,match($A:$A,Pagos!$B:$B,0)-1,0,1,1) )  ,  ,    offset(Pagos!K:K,match($A:$A,Pagos!$B:$B,0)-1,0,1,1))</f>
        <v/>
      </c>
      <c r="F19" s="668" t="str">
        <f>if(   iserror(offset(Pagos!L:L,match($A:$A,Pagos!$B:$B,0)-1,0,1,1) )  ,  ,    offset(Pagos!L:L,match($A:$A,Pagos!$B:$B,0)-1,0,1,1))</f>
        <v/>
      </c>
      <c r="G19" s="679">
        <v>42121.0</v>
      </c>
      <c r="H19" s="671" t="s">
        <v>5091</v>
      </c>
      <c r="I19" s="671" t="s">
        <v>5083</v>
      </c>
    </row>
    <row r="20">
      <c r="A20" s="666" t="s">
        <v>5092</v>
      </c>
      <c r="B20" s="667">
        <v>1044.0</v>
      </c>
      <c r="C20" s="667" t="s">
        <v>5132</v>
      </c>
      <c r="D20" s="685">
        <v>41671.0</v>
      </c>
      <c r="E20" s="668" t="str">
        <f>if(   iserror(offset(Pagos!K:K,match($A:$A,Pagos!$B:$B,0)-1,0,1,1) )  ,  ,    offset(Pagos!K:K,match($A:$A,Pagos!$B:$B,0)-1,0,1,1))</f>
        <v/>
      </c>
      <c r="F20" s="668" t="str">
        <f>if(   iserror(offset(Pagos!L:L,match($A:$A,Pagos!$B:$B,0)-1,0,1,1) )  ,  ,    offset(Pagos!L:L,match($A:$A,Pagos!$B:$B,0)-1,0,1,1))</f>
        <v/>
      </c>
      <c r="G20" s="679">
        <v>42121.0</v>
      </c>
      <c r="H20" s="671" t="s">
        <v>5093</v>
      </c>
      <c r="I20" s="671" t="s">
        <v>5083</v>
      </c>
    </row>
  </sheetData>
  <conditionalFormatting sqref="I1">
    <cfRule type="containsText" dxfId="19" priority="1" operator="containsText" text="Disponible">
      <formula>NOT(ISERROR(SEARCH(("Disponible"),(I1))))</formula>
    </cfRule>
  </conditionalFormatting>
  <conditionalFormatting sqref="B1:D20">
    <cfRule type="containsText" dxfId="9" priority="2" operator="containsText" text="Disponible">
      <formula>NOT(ISERROR(SEARCH(("Disponible"),(B1))))</formula>
    </cfRule>
  </conditionalFormatting>
  <conditionalFormatting sqref="E2:F20">
    <cfRule type="containsText" dxfId="9" priority="3" operator="containsText" text="Disponible">
      <formula>NOT(ISERROR(SEARCH(("Disponible"),(E2))))</formula>
    </cfRule>
  </conditionalFormatting>
  <conditionalFormatting sqref="G7:G9">
    <cfRule type="containsText" dxfId="9" priority="4" operator="containsText" text="Disponible">
      <formula>NOT(ISERROR(SEARCH(("Disponible"),(G7))))</formula>
    </cfRule>
  </conditionalFormatting>
  <conditionalFormatting sqref="H7:H10">
    <cfRule type="containsText" dxfId="9" priority="5" operator="containsText" text="Disponible">
      <formula>NOT(ISERROR(SEARCH(("Disponible"),(H7))))</formula>
    </cfRule>
  </conditionalFormatting>
  <conditionalFormatting sqref="I7:I9">
    <cfRule type="containsText" dxfId="9" priority="6" operator="containsText" text="Disponible">
      <formula>NOT(ISERROR(SEARCH(("Disponible"),(I7))))</formula>
    </cfRule>
  </conditionalFormatting>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21.75"/>
    <col customWidth="1" min="2" max="2" width="18.38"/>
  </cols>
  <sheetData>
    <row r="1" ht="25.5" customHeight="1">
      <c r="A1" s="686" t="s">
        <v>494</v>
      </c>
      <c r="B1" s="687" t="s">
        <v>5133</v>
      </c>
    </row>
    <row r="2">
      <c r="A2" s="688" t="s">
        <v>5134</v>
      </c>
      <c r="B2" s="689">
        <v>26.0</v>
      </c>
    </row>
    <row r="3">
      <c r="A3" s="688" t="s">
        <v>5135</v>
      </c>
      <c r="B3" s="690">
        <v>45870.0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hidden="1" min="1" max="1" width="30.25"/>
    <col customWidth="1" min="2" max="2" width="12.63"/>
    <col customWidth="1" min="3" max="3" width="26.63"/>
    <col customWidth="1" min="4" max="4" width="9.25"/>
    <col customWidth="1" min="5" max="5" width="10.5"/>
  </cols>
  <sheetData>
    <row r="1" ht="18.75" customHeight="1">
      <c r="A1" s="691" t="s">
        <v>5136</v>
      </c>
      <c r="B1" s="692" t="s">
        <v>5137</v>
      </c>
      <c r="C1" s="693" t="s">
        <v>494</v>
      </c>
      <c r="D1" s="694" t="s">
        <v>5138</v>
      </c>
      <c r="E1" s="692" t="s">
        <v>5139</v>
      </c>
    </row>
    <row r="2">
      <c r="A2" s="695" t="str">
        <f t="shared" ref="A2:A216" si="1">concatenate(B2,C2)</f>
        <v>1.Socio</v>
      </c>
      <c r="B2" s="696">
        <v>1.0</v>
      </c>
      <c r="C2" s="697" t="s">
        <v>5140</v>
      </c>
      <c r="D2" s="696">
        <v>50.0</v>
      </c>
      <c r="E2" s="696">
        <v>20.0</v>
      </c>
    </row>
    <row r="3">
      <c r="A3" s="695" t="str">
        <f t="shared" si="1"/>
        <v>1cuna Kayak</v>
      </c>
      <c r="B3" s="696">
        <v>1.0</v>
      </c>
      <c r="C3" s="697" t="s">
        <v>5141</v>
      </c>
      <c r="D3" s="696">
        <v>50.0</v>
      </c>
      <c r="E3" s="696">
        <v>10.0</v>
      </c>
    </row>
    <row r="4">
      <c r="A4" s="695" t="str">
        <f t="shared" si="1"/>
        <v>1cuna windsurf</v>
      </c>
      <c r="B4" s="696">
        <v>1.0</v>
      </c>
      <c r="C4" s="697" t="s">
        <v>40</v>
      </c>
      <c r="D4" s="696">
        <v>50.0</v>
      </c>
      <c r="E4" s="696">
        <v>10.0</v>
      </c>
    </row>
    <row r="5">
      <c r="A5" s="695" t="str">
        <f t="shared" si="1"/>
        <v>1Locker</v>
      </c>
      <c r="B5" s="696">
        <v>1.0</v>
      </c>
      <c r="C5" s="697" t="s">
        <v>5065</v>
      </c>
      <c r="D5" s="696">
        <v>10.0</v>
      </c>
      <c r="E5" s="696">
        <v>10.0</v>
      </c>
    </row>
    <row r="6">
      <c r="A6" s="695" t="str">
        <f t="shared" si="1"/>
        <v>1Vela</v>
      </c>
      <c r="B6" s="696">
        <v>1.0</v>
      </c>
      <c r="C6" s="697" t="s">
        <v>5142</v>
      </c>
      <c r="D6" s="696">
        <v>15.0</v>
      </c>
      <c r="E6" s="696">
        <v>10.0</v>
      </c>
    </row>
    <row r="7">
      <c r="A7" s="695" t="str">
        <f t="shared" si="1"/>
        <v>1Velero</v>
      </c>
      <c r="B7" s="696">
        <v>1.0</v>
      </c>
      <c r="C7" s="697" t="s">
        <v>693</v>
      </c>
      <c r="D7" s="696">
        <v>40.0</v>
      </c>
      <c r="E7" s="696">
        <v>10.0</v>
      </c>
    </row>
    <row r="8">
      <c r="A8" s="695" t="str">
        <f t="shared" si="1"/>
        <v>1Der.Inscrip.</v>
      </c>
      <c r="B8" s="696">
        <v>1.0</v>
      </c>
      <c r="C8" s="697" t="s">
        <v>492</v>
      </c>
      <c r="D8" s="696">
        <v>20.0</v>
      </c>
      <c r="E8" s="696">
        <v>10.0</v>
      </c>
    </row>
    <row r="9">
      <c r="A9" s="695" t="str">
        <f t="shared" si="1"/>
        <v>1Cadete</v>
      </c>
      <c r="B9" s="696">
        <v>1.0</v>
      </c>
      <c r="C9" s="697" t="s">
        <v>447</v>
      </c>
      <c r="D9" s="696">
        <v>30.0</v>
      </c>
      <c r="E9" s="696">
        <v>10.0</v>
      </c>
    </row>
    <row r="10">
      <c r="A10" s="695" t="str">
        <f t="shared" si="1"/>
        <v>1Multa</v>
      </c>
      <c r="B10" s="696">
        <v>1.0</v>
      </c>
      <c r="C10" s="697" t="s">
        <v>502</v>
      </c>
      <c r="D10" s="696">
        <v>50.0</v>
      </c>
      <c r="E10" s="696">
        <v>10.0</v>
      </c>
    </row>
    <row r="11">
      <c r="A11" s="698" t="str">
        <f t="shared" si="1"/>
        <v>2.Socio</v>
      </c>
      <c r="B11" s="699">
        <v>2.0</v>
      </c>
      <c r="C11" s="700" t="s">
        <v>5140</v>
      </c>
      <c r="D11" s="699">
        <v>70.0</v>
      </c>
      <c r="E11" s="699">
        <v>20.0</v>
      </c>
    </row>
    <row r="12">
      <c r="A12" s="698" t="str">
        <f t="shared" si="1"/>
        <v>2cuna Kayak</v>
      </c>
      <c r="B12" s="699">
        <v>2.0</v>
      </c>
      <c r="C12" s="700" t="s">
        <v>5141</v>
      </c>
      <c r="D12" s="699">
        <v>70.0</v>
      </c>
      <c r="E12" s="699">
        <v>10.0</v>
      </c>
    </row>
    <row r="13">
      <c r="A13" s="698" t="str">
        <f t="shared" si="1"/>
        <v>2cuna windsurf</v>
      </c>
      <c r="B13" s="699">
        <v>2.0</v>
      </c>
      <c r="C13" s="700" t="s">
        <v>40</v>
      </c>
      <c r="D13" s="699">
        <v>70.0</v>
      </c>
      <c r="E13" s="699">
        <v>10.0</v>
      </c>
    </row>
    <row r="14">
      <c r="A14" s="698" t="str">
        <f t="shared" si="1"/>
        <v>2Locker</v>
      </c>
      <c r="B14" s="699">
        <v>2.0</v>
      </c>
      <c r="C14" s="700" t="s">
        <v>5065</v>
      </c>
      <c r="D14" s="699">
        <v>15.0</v>
      </c>
      <c r="E14" s="699">
        <v>10.0</v>
      </c>
    </row>
    <row r="15">
      <c r="A15" s="698" t="str">
        <f t="shared" si="1"/>
        <v>2lockerG</v>
      </c>
      <c r="B15" s="699">
        <v>2.0</v>
      </c>
      <c r="C15" s="700" t="s">
        <v>52</v>
      </c>
      <c r="D15" s="699">
        <v>20.0</v>
      </c>
      <c r="E15" s="699">
        <v>10.0</v>
      </c>
    </row>
    <row r="16">
      <c r="A16" s="698" t="str">
        <f t="shared" si="1"/>
        <v>2Vela</v>
      </c>
      <c r="B16" s="699">
        <v>2.0</v>
      </c>
      <c r="C16" s="700" t="s">
        <v>5142</v>
      </c>
      <c r="D16" s="699">
        <v>20.0</v>
      </c>
      <c r="E16" s="699">
        <v>10.0</v>
      </c>
    </row>
    <row r="17">
      <c r="A17" s="698" t="str">
        <f t="shared" si="1"/>
        <v>2Velero</v>
      </c>
      <c r="B17" s="699">
        <v>2.0</v>
      </c>
      <c r="C17" s="700" t="s">
        <v>693</v>
      </c>
      <c r="D17" s="699">
        <v>70.0</v>
      </c>
      <c r="E17" s="699">
        <v>10.0</v>
      </c>
    </row>
    <row r="18">
      <c r="A18" s="698" t="str">
        <f t="shared" si="1"/>
        <v>2Der.Inscrip.</v>
      </c>
      <c r="B18" s="699">
        <v>2.0</v>
      </c>
      <c r="C18" s="700" t="s">
        <v>492</v>
      </c>
      <c r="D18" s="699">
        <v>20.0</v>
      </c>
      <c r="E18" s="699">
        <v>10.0</v>
      </c>
    </row>
    <row r="19">
      <c r="A19" s="698" t="str">
        <f t="shared" si="1"/>
        <v>2Cadete</v>
      </c>
      <c r="B19" s="699">
        <v>2.0</v>
      </c>
      <c r="C19" s="700" t="s">
        <v>447</v>
      </c>
      <c r="D19" s="699">
        <v>50.0</v>
      </c>
      <c r="E19" s="699">
        <v>10.0</v>
      </c>
    </row>
    <row r="20">
      <c r="A20" s="698" t="str">
        <f t="shared" si="1"/>
        <v>2Multa</v>
      </c>
      <c r="B20" s="699">
        <v>2.0</v>
      </c>
      <c r="C20" s="700" t="s">
        <v>502</v>
      </c>
      <c r="D20" s="699">
        <v>70.0</v>
      </c>
      <c r="E20" s="699">
        <v>10.0</v>
      </c>
    </row>
    <row r="21">
      <c r="A21" s="701" t="str">
        <f t="shared" si="1"/>
        <v>3.Socio</v>
      </c>
      <c r="B21" s="702">
        <v>3.0</v>
      </c>
      <c r="C21" s="703" t="s">
        <v>5140</v>
      </c>
      <c r="D21" s="702">
        <v>100.0</v>
      </c>
      <c r="E21" s="702">
        <v>20.0</v>
      </c>
    </row>
    <row r="22">
      <c r="A22" s="701" t="str">
        <f t="shared" si="1"/>
        <v>3cuna Kayak</v>
      </c>
      <c r="B22" s="702">
        <v>3.0</v>
      </c>
      <c r="C22" s="703" t="s">
        <v>5141</v>
      </c>
      <c r="D22" s="702">
        <v>70.0</v>
      </c>
      <c r="E22" s="702">
        <v>10.0</v>
      </c>
    </row>
    <row r="23">
      <c r="A23" s="701" t="str">
        <f t="shared" si="1"/>
        <v>3cuna windsurf</v>
      </c>
      <c r="B23" s="702">
        <v>3.0</v>
      </c>
      <c r="C23" s="703" t="s">
        <v>40</v>
      </c>
      <c r="D23" s="702">
        <v>70.0</v>
      </c>
      <c r="E23" s="702">
        <v>10.0</v>
      </c>
    </row>
    <row r="24">
      <c r="A24" s="701" t="str">
        <f t="shared" si="1"/>
        <v>3Locker</v>
      </c>
      <c r="B24" s="702">
        <v>3.0</v>
      </c>
      <c r="C24" s="703" t="s">
        <v>5065</v>
      </c>
      <c r="D24" s="702">
        <v>15.0</v>
      </c>
      <c r="E24" s="702">
        <v>10.0</v>
      </c>
    </row>
    <row r="25">
      <c r="A25" s="701" t="str">
        <f t="shared" si="1"/>
        <v>3lockerG</v>
      </c>
      <c r="B25" s="702">
        <v>3.0</v>
      </c>
      <c r="C25" s="703" t="s">
        <v>52</v>
      </c>
      <c r="D25" s="702">
        <v>20.0</v>
      </c>
      <c r="E25" s="702">
        <v>10.0</v>
      </c>
    </row>
    <row r="26">
      <c r="A26" s="701" t="str">
        <f t="shared" si="1"/>
        <v>3lockerK</v>
      </c>
      <c r="B26" s="702">
        <v>3.0</v>
      </c>
      <c r="C26" s="703" t="s">
        <v>501</v>
      </c>
      <c r="D26" s="702">
        <v>70.0</v>
      </c>
      <c r="E26" s="702">
        <v>10.0</v>
      </c>
    </row>
    <row r="27">
      <c r="A27" s="701" t="str">
        <f t="shared" si="1"/>
        <v>3Vela</v>
      </c>
      <c r="B27" s="702">
        <v>3.0</v>
      </c>
      <c r="C27" s="703" t="s">
        <v>5142</v>
      </c>
      <c r="D27" s="702">
        <v>20.0</v>
      </c>
      <c r="E27" s="702">
        <v>10.0</v>
      </c>
    </row>
    <row r="28">
      <c r="A28" s="701" t="str">
        <f t="shared" si="1"/>
        <v>3Velero</v>
      </c>
      <c r="B28" s="702">
        <v>3.0</v>
      </c>
      <c r="C28" s="703" t="s">
        <v>693</v>
      </c>
      <c r="D28" s="702">
        <v>70.0</v>
      </c>
      <c r="E28" s="702">
        <v>10.0</v>
      </c>
    </row>
    <row r="29">
      <c r="A29" s="701" t="str">
        <f t="shared" si="1"/>
        <v>3Der.Inscrip.</v>
      </c>
      <c r="B29" s="702">
        <v>3.0</v>
      </c>
      <c r="C29" s="703" t="s">
        <v>492</v>
      </c>
      <c r="D29" s="702">
        <v>20.0</v>
      </c>
      <c r="E29" s="702">
        <v>10.0</v>
      </c>
    </row>
    <row r="30">
      <c r="A30" s="701" t="str">
        <f t="shared" si="1"/>
        <v>3Cadete</v>
      </c>
      <c r="B30" s="702">
        <v>3.0</v>
      </c>
      <c r="C30" s="703" t="s">
        <v>447</v>
      </c>
      <c r="D30" s="702">
        <v>70.0</v>
      </c>
      <c r="E30" s="702">
        <v>10.0</v>
      </c>
    </row>
    <row r="31">
      <c r="A31" s="701" t="str">
        <f t="shared" si="1"/>
        <v>3Multa</v>
      </c>
      <c r="B31" s="702">
        <v>3.0</v>
      </c>
      <c r="C31" s="703" t="s">
        <v>502</v>
      </c>
      <c r="D31" s="702">
        <v>100.0</v>
      </c>
      <c r="E31" s="702">
        <v>10.0</v>
      </c>
    </row>
    <row r="32">
      <c r="A32" s="704" t="str">
        <f t="shared" si="1"/>
        <v>4.Socio</v>
      </c>
      <c r="B32" s="705">
        <v>4.0</v>
      </c>
      <c r="C32" s="706" t="s">
        <v>5140</v>
      </c>
      <c r="D32" s="705">
        <v>130.0</v>
      </c>
      <c r="E32" s="705">
        <v>20.0</v>
      </c>
    </row>
    <row r="33">
      <c r="A33" s="704" t="str">
        <f t="shared" si="1"/>
        <v>4cuna Kayak</v>
      </c>
      <c r="B33" s="705">
        <v>4.0</v>
      </c>
      <c r="C33" s="706" t="s">
        <v>5141</v>
      </c>
      <c r="D33" s="705">
        <v>100.0</v>
      </c>
      <c r="E33" s="705">
        <v>10.0</v>
      </c>
    </row>
    <row r="34">
      <c r="A34" s="704" t="str">
        <f t="shared" si="1"/>
        <v>4cuna windsurf</v>
      </c>
      <c r="B34" s="705">
        <v>4.0</v>
      </c>
      <c r="C34" s="706" t="s">
        <v>40</v>
      </c>
      <c r="D34" s="705">
        <v>100.0</v>
      </c>
      <c r="E34" s="705">
        <v>10.0</v>
      </c>
    </row>
    <row r="35">
      <c r="A35" s="704" t="str">
        <f t="shared" si="1"/>
        <v>4Locker</v>
      </c>
      <c r="B35" s="705">
        <v>4.0</v>
      </c>
      <c r="C35" s="706" t="s">
        <v>5065</v>
      </c>
      <c r="D35" s="705">
        <v>21.0</v>
      </c>
      <c r="E35" s="705">
        <v>10.0</v>
      </c>
    </row>
    <row r="36">
      <c r="A36" s="704" t="str">
        <f t="shared" si="1"/>
        <v>4lockerG</v>
      </c>
      <c r="B36" s="705">
        <v>4.0</v>
      </c>
      <c r="C36" s="706" t="s">
        <v>52</v>
      </c>
      <c r="D36" s="705">
        <v>27.0</v>
      </c>
      <c r="E36" s="705">
        <v>10.0</v>
      </c>
    </row>
    <row r="37">
      <c r="A37" s="704" t="str">
        <f t="shared" si="1"/>
        <v>4lockerK</v>
      </c>
      <c r="B37" s="705">
        <v>4.0</v>
      </c>
      <c r="C37" s="706" t="s">
        <v>501</v>
      </c>
      <c r="D37" s="705">
        <v>100.0</v>
      </c>
      <c r="E37" s="705">
        <v>10.0</v>
      </c>
    </row>
    <row r="38">
      <c r="A38" s="704" t="str">
        <f t="shared" si="1"/>
        <v>4Vela</v>
      </c>
      <c r="B38" s="705">
        <v>4.0</v>
      </c>
      <c r="C38" s="706" t="s">
        <v>5142</v>
      </c>
      <c r="D38" s="705">
        <v>21.0</v>
      </c>
      <c r="E38" s="705">
        <v>10.0</v>
      </c>
    </row>
    <row r="39">
      <c r="A39" s="704" t="str">
        <f t="shared" si="1"/>
        <v>4Velero</v>
      </c>
      <c r="B39" s="705">
        <v>4.0</v>
      </c>
      <c r="C39" s="706" t="s">
        <v>693</v>
      </c>
      <c r="D39" s="705">
        <v>100.0</v>
      </c>
      <c r="E39" s="705">
        <v>10.0</v>
      </c>
    </row>
    <row r="40">
      <c r="A40" s="704" t="str">
        <f t="shared" si="1"/>
        <v>4Der.Inscrip.</v>
      </c>
      <c r="B40" s="705">
        <v>4.0</v>
      </c>
      <c r="C40" s="706" t="s">
        <v>492</v>
      </c>
      <c r="D40" s="705">
        <v>50.0</v>
      </c>
      <c r="E40" s="705">
        <v>10.0</v>
      </c>
    </row>
    <row r="41">
      <c r="A41" s="704" t="str">
        <f t="shared" si="1"/>
        <v>4Cadete</v>
      </c>
      <c r="B41" s="705">
        <v>4.0</v>
      </c>
      <c r="C41" s="706" t="s">
        <v>447</v>
      </c>
      <c r="D41" s="705">
        <v>100.0</v>
      </c>
      <c r="E41" s="705">
        <v>10.0</v>
      </c>
    </row>
    <row r="42">
      <c r="A42" s="704" t="str">
        <f t="shared" si="1"/>
        <v>4Multa</v>
      </c>
      <c r="B42" s="705">
        <v>4.0</v>
      </c>
      <c r="C42" s="706" t="s">
        <v>502</v>
      </c>
      <c r="D42" s="705">
        <v>130.0</v>
      </c>
      <c r="E42" s="705">
        <v>10.0</v>
      </c>
    </row>
    <row r="43">
      <c r="A43" s="704" t="str">
        <f t="shared" si="1"/>
        <v>4Depósito</v>
      </c>
      <c r="B43" s="705">
        <v>4.0</v>
      </c>
      <c r="C43" s="706" t="s">
        <v>5143</v>
      </c>
      <c r="D43" s="705">
        <v>40.0</v>
      </c>
      <c r="E43" s="705">
        <v>0.0</v>
      </c>
    </row>
    <row r="44">
      <c r="A44" s="707" t="str">
        <f t="shared" si="1"/>
        <v>5.Socio</v>
      </c>
      <c r="B44" s="708">
        <v>5.0</v>
      </c>
      <c r="C44" s="709" t="s">
        <v>5140</v>
      </c>
      <c r="D44" s="708">
        <v>150.0</v>
      </c>
      <c r="E44" s="708">
        <v>20.0</v>
      </c>
    </row>
    <row r="45">
      <c r="A45" s="707" t="str">
        <f t="shared" si="1"/>
        <v>5cuna Kayak</v>
      </c>
      <c r="B45" s="708">
        <v>5.0</v>
      </c>
      <c r="C45" s="709" t="s">
        <v>5141</v>
      </c>
      <c r="D45" s="708">
        <v>100.0</v>
      </c>
      <c r="E45" s="708">
        <v>10.0</v>
      </c>
    </row>
    <row r="46">
      <c r="A46" s="707" t="str">
        <f t="shared" si="1"/>
        <v>5cuna windsurf</v>
      </c>
      <c r="B46" s="708">
        <v>5.0</v>
      </c>
      <c r="C46" s="709" t="s">
        <v>40</v>
      </c>
      <c r="D46" s="708">
        <v>100.0</v>
      </c>
      <c r="E46" s="708">
        <v>10.0</v>
      </c>
    </row>
    <row r="47">
      <c r="A47" s="707" t="str">
        <f t="shared" si="1"/>
        <v>5Locker</v>
      </c>
      <c r="B47" s="708">
        <v>5.0</v>
      </c>
      <c r="C47" s="709" t="s">
        <v>5065</v>
      </c>
      <c r="D47" s="708">
        <v>21.0</v>
      </c>
      <c r="E47" s="708">
        <v>10.0</v>
      </c>
    </row>
    <row r="48">
      <c r="A48" s="707" t="str">
        <f t="shared" si="1"/>
        <v>5lockerG</v>
      </c>
      <c r="B48" s="708">
        <v>5.0</v>
      </c>
      <c r="C48" s="709" t="s">
        <v>52</v>
      </c>
      <c r="D48" s="708">
        <v>27.0</v>
      </c>
      <c r="E48" s="708">
        <v>10.0</v>
      </c>
    </row>
    <row r="49">
      <c r="A49" s="707" t="str">
        <f t="shared" si="1"/>
        <v>5lockerK</v>
      </c>
      <c r="B49" s="708">
        <v>5.0</v>
      </c>
      <c r="C49" s="709" t="s">
        <v>501</v>
      </c>
      <c r="D49" s="708">
        <v>100.0</v>
      </c>
      <c r="E49" s="708">
        <v>10.0</v>
      </c>
    </row>
    <row r="50">
      <c r="A50" s="707" t="str">
        <f t="shared" si="1"/>
        <v>5Vela</v>
      </c>
      <c r="B50" s="708">
        <v>5.0</v>
      </c>
      <c r="C50" s="709" t="s">
        <v>5142</v>
      </c>
      <c r="D50" s="708">
        <v>21.0</v>
      </c>
      <c r="E50" s="708">
        <v>10.0</v>
      </c>
    </row>
    <row r="51">
      <c r="A51" s="707" t="str">
        <f t="shared" si="1"/>
        <v>5Velero</v>
      </c>
      <c r="B51" s="708">
        <v>5.0</v>
      </c>
      <c r="C51" s="709" t="s">
        <v>693</v>
      </c>
      <c r="D51" s="708">
        <v>100.0</v>
      </c>
      <c r="E51" s="708">
        <v>10.0</v>
      </c>
    </row>
    <row r="52">
      <c r="A52" s="707" t="str">
        <f t="shared" si="1"/>
        <v>5Der.Inscrip.</v>
      </c>
      <c r="B52" s="708">
        <v>5.0</v>
      </c>
      <c r="C52" s="709" t="s">
        <v>492</v>
      </c>
      <c r="D52" s="708">
        <v>60.0</v>
      </c>
      <c r="E52" s="708">
        <v>10.0</v>
      </c>
    </row>
    <row r="53">
      <c r="A53" s="707" t="str">
        <f t="shared" si="1"/>
        <v>5Cadete</v>
      </c>
      <c r="B53" s="708">
        <v>5.0</v>
      </c>
      <c r="C53" s="709" t="s">
        <v>447</v>
      </c>
      <c r="D53" s="708">
        <v>120.0</v>
      </c>
      <c r="E53" s="708">
        <v>10.0</v>
      </c>
    </row>
    <row r="54">
      <c r="A54" s="707" t="str">
        <f t="shared" si="1"/>
        <v>5Multa</v>
      </c>
      <c r="B54" s="708">
        <v>5.0</v>
      </c>
      <c r="C54" s="709" t="s">
        <v>502</v>
      </c>
      <c r="D54" s="708">
        <v>150.0</v>
      </c>
      <c r="E54" s="708">
        <v>10.0</v>
      </c>
    </row>
    <row r="55">
      <c r="A55" s="707" t="str">
        <f t="shared" si="1"/>
        <v>5Depósito</v>
      </c>
      <c r="B55" s="708">
        <v>5.0</v>
      </c>
      <c r="C55" s="709" t="s">
        <v>5143</v>
      </c>
      <c r="D55" s="708">
        <v>40.0</v>
      </c>
      <c r="E55" s="708">
        <v>0.0</v>
      </c>
    </row>
    <row r="56">
      <c r="A56" s="710" t="str">
        <f t="shared" si="1"/>
        <v>6.Socio</v>
      </c>
      <c r="B56" s="711">
        <v>6.0</v>
      </c>
      <c r="C56" s="712" t="s">
        <v>5140</v>
      </c>
      <c r="D56" s="713">
        <v>200.0</v>
      </c>
      <c r="E56" s="711">
        <v>20.0</v>
      </c>
    </row>
    <row r="57">
      <c r="A57" s="710" t="str">
        <f t="shared" si="1"/>
        <v>6Cuna Kayak</v>
      </c>
      <c r="B57" s="711">
        <v>6.0</v>
      </c>
      <c r="C57" s="712" t="s">
        <v>5144</v>
      </c>
      <c r="D57" s="713">
        <v>130.0</v>
      </c>
      <c r="E57" s="711">
        <v>10.0</v>
      </c>
    </row>
    <row r="58">
      <c r="A58" s="710" t="str">
        <f t="shared" si="1"/>
        <v>6Cuna windsurf</v>
      </c>
      <c r="B58" s="711">
        <v>6.0</v>
      </c>
      <c r="C58" s="712" t="s">
        <v>5145</v>
      </c>
      <c r="D58" s="713">
        <v>130.0</v>
      </c>
      <c r="E58" s="711">
        <v>10.0</v>
      </c>
    </row>
    <row r="59">
      <c r="A59" s="710" t="str">
        <f t="shared" si="1"/>
        <v>6Locker</v>
      </c>
      <c r="B59" s="711">
        <v>6.0</v>
      </c>
      <c r="C59" s="712" t="s">
        <v>5065</v>
      </c>
      <c r="D59" s="713">
        <v>21.0</v>
      </c>
      <c r="E59" s="711">
        <v>10.0</v>
      </c>
    </row>
    <row r="60">
      <c r="A60" s="710" t="str">
        <f t="shared" si="1"/>
        <v>6lockerG</v>
      </c>
      <c r="B60" s="711">
        <v>6.0</v>
      </c>
      <c r="C60" s="712" t="s">
        <v>52</v>
      </c>
      <c r="D60" s="713">
        <v>27.0</v>
      </c>
      <c r="E60" s="711">
        <v>10.0</v>
      </c>
    </row>
    <row r="61">
      <c r="A61" s="710" t="str">
        <f t="shared" si="1"/>
        <v>6lockerK</v>
      </c>
      <c r="B61" s="711">
        <v>6.0</v>
      </c>
      <c r="C61" s="712" t="s">
        <v>501</v>
      </c>
      <c r="D61" s="713">
        <v>130.0</v>
      </c>
      <c r="E61" s="711">
        <v>10.0</v>
      </c>
    </row>
    <row r="62">
      <c r="A62" s="710" t="str">
        <f t="shared" si="1"/>
        <v>6Vela</v>
      </c>
      <c r="B62" s="711">
        <v>6.0</v>
      </c>
      <c r="C62" s="712" t="s">
        <v>5142</v>
      </c>
      <c r="D62" s="713">
        <v>21.0</v>
      </c>
      <c r="E62" s="711">
        <v>10.0</v>
      </c>
    </row>
    <row r="63">
      <c r="A63" s="710" t="str">
        <f t="shared" si="1"/>
        <v>6Velero</v>
      </c>
      <c r="B63" s="711">
        <v>6.0</v>
      </c>
      <c r="C63" s="712" t="s">
        <v>693</v>
      </c>
      <c r="D63" s="713">
        <v>130.0</v>
      </c>
      <c r="E63" s="711">
        <v>10.0</v>
      </c>
    </row>
    <row r="64">
      <c r="A64" s="710" t="str">
        <f t="shared" si="1"/>
        <v>6Der.Inscrip.</v>
      </c>
      <c r="B64" s="711">
        <v>6.0</v>
      </c>
      <c r="C64" s="712" t="s">
        <v>492</v>
      </c>
      <c r="D64" s="713">
        <v>60.0</v>
      </c>
      <c r="E64" s="711">
        <v>10.0</v>
      </c>
    </row>
    <row r="65">
      <c r="A65" s="710" t="str">
        <f t="shared" si="1"/>
        <v>6Cadete</v>
      </c>
      <c r="B65" s="711">
        <v>6.0</v>
      </c>
      <c r="C65" s="712" t="s">
        <v>447</v>
      </c>
      <c r="D65" s="713">
        <v>150.0</v>
      </c>
      <c r="E65" s="711">
        <v>10.0</v>
      </c>
    </row>
    <row r="66">
      <c r="A66" s="710" t="str">
        <f t="shared" si="1"/>
        <v>6Multa</v>
      </c>
      <c r="B66" s="711">
        <v>6.0</v>
      </c>
      <c r="C66" s="712" t="s">
        <v>502</v>
      </c>
      <c r="D66" s="713">
        <v>200.0</v>
      </c>
      <c r="E66" s="711">
        <v>10.0</v>
      </c>
    </row>
    <row r="67">
      <c r="A67" s="710" t="str">
        <f t="shared" si="1"/>
        <v>6Depósito</v>
      </c>
      <c r="B67" s="711">
        <v>6.0</v>
      </c>
      <c r="C67" s="712" t="s">
        <v>5143</v>
      </c>
      <c r="D67" s="713">
        <v>50.0</v>
      </c>
      <c r="E67" s="711">
        <v>0.0</v>
      </c>
    </row>
    <row r="68">
      <c r="A68" s="710" t="str">
        <f t="shared" si="1"/>
        <v>6Invitado (Varón)</v>
      </c>
      <c r="B68" s="711">
        <v>6.0</v>
      </c>
      <c r="C68" s="712" t="s">
        <v>5146</v>
      </c>
      <c r="D68" s="713">
        <v>50.0</v>
      </c>
      <c r="E68" s="711">
        <v>0.0</v>
      </c>
    </row>
    <row r="69">
      <c r="A69" s="710" t="str">
        <f t="shared" si="1"/>
        <v>6Invitado mujer</v>
      </c>
      <c r="B69" s="711">
        <v>6.0</v>
      </c>
      <c r="C69" s="712" t="s">
        <v>5147</v>
      </c>
      <c r="D69" s="713">
        <v>25.0</v>
      </c>
      <c r="E69" s="711">
        <v>0.0</v>
      </c>
    </row>
    <row r="70">
      <c r="A70" s="714" t="str">
        <f t="shared" si="1"/>
        <v>7.Socio</v>
      </c>
      <c r="B70" s="715">
        <v>7.0</v>
      </c>
      <c r="C70" s="716" t="s">
        <v>5140</v>
      </c>
      <c r="D70" s="717">
        <v>250.0</v>
      </c>
      <c r="E70" s="715">
        <v>20.0</v>
      </c>
    </row>
    <row r="71">
      <c r="A71" s="714" t="str">
        <f t="shared" si="1"/>
        <v>7Cuna Kayak</v>
      </c>
      <c r="B71" s="715">
        <v>7.0</v>
      </c>
      <c r="C71" s="716" t="s">
        <v>5144</v>
      </c>
      <c r="D71" s="717">
        <v>150.0</v>
      </c>
      <c r="E71" s="715">
        <v>10.0</v>
      </c>
    </row>
    <row r="72">
      <c r="A72" s="714" t="str">
        <f t="shared" si="1"/>
        <v>7Cuna windsurf</v>
      </c>
      <c r="B72" s="715">
        <v>7.0</v>
      </c>
      <c r="C72" s="716" t="s">
        <v>5145</v>
      </c>
      <c r="D72" s="717">
        <v>150.0</v>
      </c>
      <c r="E72" s="715">
        <v>10.0</v>
      </c>
    </row>
    <row r="73">
      <c r="A73" s="714" t="str">
        <f t="shared" si="1"/>
        <v>7Locker</v>
      </c>
      <c r="B73" s="715">
        <v>7.0</v>
      </c>
      <c r="C73" s="716" t="s">
        <v>5065</v>
      </c>
      <c r="D73" s="717">
        <v>21.0</v>
      </c>
      <c r="E73" s="715">
        <v>10.0</v>
      </c>
    </row>
    <row r="74">
      <c r="A74" s="714" t="str">
        <f t="shared" si="1"/>
        <v>7lockerG</v>
      </c>
      <c r="B74" s="715">
        <v>7.0</v>
      </c>
      <c r="C74" s="716" t="s">
        <v>52</v>
      </c>
      <c r="D74" s="717">
        <v>27.0</v>
      </c>
      <c r="E74" s="715">
        <v>10.0</v>
      </c>
    </row>
    <row r="75">
      <c r="A75" s="714" t="str">
        <f t="shared" si="1"/>
        <v>7lockerK</v>
      </c>
      <c r="B75" s="715">
        <v>7.0</v>
      </c>
      <c r="C75" s="716" t="s">
        <v>501</v>
      </c>
      <c r="D75" s="717">
        <v>150.0</v>
      </c>
      <c r="E75" s="715">
        <v>10.0</v>
      </c>
    </row>
    <row r="76">
      <c r="A76" s="714" t="str">
        <f t="shared" si="1"/>
        <v>7Vela</v>
      </c>
      <c r="B76" s="715">
        <v>7.0</v>
      </c>
      <c r="C76" s="716" t="s">
        <v>5142</v>
      </c>
      <c r="D76" s="717">
        <v>21.0</v>
      </c>
      <c r="E76" s="715">
        <v>10.0</v>
      </c>
    </row>
    <row r="77">
      <c r="A77" s="714" t="str">
        <f t="shared" si="1"/>
        <v>7Velero</v>
      </c>
      <c r="B77" s="715">
        <v>7.0</v>
      </c>
      <c r="C77" s="716" t="s">
        <v>693</v>
      </c>
      <c r="D77" s="717">
        <v>150.0</v>
      </c>
      <c r="E77" s="715">
        <v>10.0</v>
      </c>
    </row>
    <row r="78">
      <c r="A78" s="714" t="str">
        <f t="shared" si="1"/>
        <v>7Der.Inscrip.</v>
      </c>
      <c r="B78" s="715">
        <v>7.0</v>
      </c>
      <c r="C78" s="716" t="s">
        <v>492</v>
      </c>
      <c r="D78" s="717">
        <v>60.0</v>
      </c>
      <c r="E78" s="715">
        <v>10.0</v>
      </c>
    </row>
    <row r="79">
      <c r="A79" s="714" t="str">
        <f t="shared" si="1"/>
        <v>7Cadete</v>
      </c>
      <c r="B79" s="715">
        <v>7.0</v>
      </c>
      <c r="C79" s="716" t="s">
        <v>447</v>
      </c>
      <c r="D79" s="717">
        <v>150.0</v>
      </c>
      <c r="E79" s="715">
        <v>10.0</v>
      </c>
    </row>
    <row r="80">
      <c r="A80" s="714" t="str">
        <f t="shared" si="1"/>
        <v>7Multa</v>
      </c>
      <c r="B80" s="715">
        <v>7.0</v>
      </c>
      <c r="C80" s="716" t="s">
        <v>502</v>
      </c>
      <c r="D80" s="717">
        <v>200.0</v>
      </c>
      <c r="E80" s="715">
        <v>10.0</v>
      </c>
    </row>
    <row r="81">
      <c r="A81" s="714" t="str">
        <f t="shared" si="1"/>
        <v>7Depósito</v>
      </c>
      <c r="B81" s="715">
        <v>7.0</v>
      </c>
      <c r="C81" s="716" t="s">
        <v>5143</v>
      </c>
      <c r="D81" s="717">
        <v>50.0</v>
      </c>
      <c r="E81" s="715">
        <v>0.0</v>
      </c>
    </row>
    <row r="82">
      <c r="A82" s="714" t="str">
        <f t="shared" si="1"/>
        <v>7Invitado (Varón)</v>
      </c>
      <c r="B82" s="715">
        <v>7.0</v>
      </c>
      <c r="C82" s="716" t="s">
        <v>5146</v>
      </c>
      <c r="D82" s="717">
        <v>50.0</v>
      </c>
      <c r="E82" s="715">
        <v>0.0</v>
      </c>
    </row>
    <row r="83">
      <c r="A83" s="714" t="str">
        <f t="shared" si="1"/>
        <v>7Invitado mujer</v>
      </c>
      <c r="B83" s="715">
        <v>7.0</v>
      </c>
      <c r="C83" s="716" t="s">
        <v>5147</v>
      </c>
      <c r="D83" s="717">
        <v>25.0</v>
      </c>
      <c r="E83" s="715">
        <v>0.0</v>
      </c>
    </row>
    <row r="84">
      <c r="A84" s="718" t="str">
        <f t="shared" si="1"/>
        <v>8.Socio</v>
      </c>
      <c r="B84" s="719">
        <v>8.0</v>
      </c>
      <c r="C84" s="720" t="s">
        <v>5140</v>
      </c>
      <c r="D84" s="721">
        <v>300.0</v>
      </c>
      <c r="E84" s="719">
        <v>20.0</v>
      </c>
    </row>
    <row r="85">
      <c r="A85" s="718" t="str">
        <f t="shared" si="1"/>
        <v>8Cuna Kayak</v>
      </c>
      <c r="B85" s="719">
        <v>8.0</v>
      </c>
      <c r="C85" s="720" t="s">
        <v>5144</v>
      </c>
      <c r="D85" s="721">
        <v>200.0</v>
      </c>
      <c r="E85" s="719">
        <v>10.0</v>
      </c>
    </row>
    <row r="86">
      <c r="A86" s="718" t="str">
        <f t="shared" si="1"/>
        <v>8Cuna windsurf</v>
      </c>
      <c r="B86" s="719">
        <v>8.0</v>
      </c>
      <c r="C86" s="720" t="s">
        <v>5145</v>
      </c>
      <c r="D86" s="721">
        <v>200.0</v>
      </c>
      <c r="E86" s="719">
        <v>10.0</v>
      </c>
    </row>
    <row r="87">
      <c r="A87" s="718" t="str">
        <f t="shared" si="1"/>
        <v>8Locker</v>
      </c>
      <c r="B87" s="719">
        <v>8.0</v>
      </c>
      <c r="C87" s="720" t="s">
        <v>5065</v>
      </c>
      <c r="D87" s="721">
        <v>32.0</v>
      </c>
      <c r="E87" s="719">
        <v>10.0</v>
      </c>
    </row>
    <row r="88">
      <c r="A88" s="718" t="str">
        <f t="shared" si="1"/>
        <v>8lockerG</v>
      </c>
      <c r="B88" s="719">
        <v>8.0</v>
      </c>
      <c r="C88" s="720" t="s">
        <v>52</v>
      </c>
      <c r="D88" s="721">
        <v>38.0</v>
      </c>
      <c r="E88" s="719">
        <v>10.0</v>
      </c>
    </row>
    <row r="89">
      <c r="A89" s="718" t="str">
        <f t="shared" si="1"/>
        <v>8lockerK</v>
      </c>
      <c r="B89" s="719">
        <v>8.0</v>
      </c>
      <c r="C89" s="720" t="s">
        <v>501</v>
      </c>
      <c r="D89" s="721">
        <v>64.0</v>
      </c>
      <c r="E89" s="719">
        <v>10.0</v>
      </c>
    </row>
    <row r="90">
      <c r="A90" s="718" t="str">
        <f t="shared" si="1"/>
        <v>8Vela</v>
      </c>
      <c r="B90" s="719">
        <v>8.0</v>
      </c>
      <c r="C90" s="720" t="s">
        <v>5142</v>
      </c>
      <c r="D90" s="721">
        <v>32.0</v>
      </c>
      <c r="E90" s="719">
        <v>10.0</v>
      </c>
    </row>
    <row r="91">
      <c r="A91" s="718" t="str">
        <f t="shared" si="1"/>
        <v>8Velero</v>
      </c>
      <c r="B91" s="719">
        <v>8.0</v>
      </c>
      <c r="C91" s="720" t="s">
        <v>693</v>
      </c>
      <c r="D91" s="721">
        <v>200.0</v>
      </c>
      <c r="E91" s="719">
        <v>10.0</v>
      </c>
    </row>
    <row r="92">
      <c r="A92" s="718" t="str">
        <f t="shared" si="1"/>
        <v>8Der.Inscrip.</v>
      </c>
      <c r="B92" s="719">
        <v>8.0</v>
      </c>
      <c r="C92" s="720" t="s">
        <v>492</v>
      </c>
      <c r="D92" s="721">
        <v>100.0</v>
      </c>
      <c r="E92" s="719">
        <v>10.0</v>
      </c>
    </row>
    <row r="93">
      <c r="A93" s="718" t="str">
        <f t="shared" si="1"/>
        <v>8Cadete</v>
      </c>
      <c r="B93" s="719">
        <v>8.0</v>
      </c>
      <c r="C93" s="720" t="s">
        <v>447</v>
      </c>
      <c r="D93" s="721">
        <v>200.0</v>
      </c>
      <c r="E93" s="719">
        <v>10.0</v>
      </c>
    </row>
    <row r="94">
      <c r="A94" s="718" t="str">
        <f t="shared" si="1"/>
        <v>8Multa</v>
      </c>
      <c r="B94" s="719">
        <v>8.0</v>
      </c>
      <c r="C94" s="720" t="s">
        <v>502</v>
      </c>
      <c r="D94" s="721">
        <v>300.0</v>
      </c>
      <c r="E94" s="719">
        <v>10.0</v>
      </c>
    </row>
    <row r="95">
      <c r="A95" s="718" t="str">
        <f t="shared" si="1"/>
        <v>8Depósito</v>
      </c>
      <c r="B95" s="719">
        <v>8.0</v>
      </c>
      <c r="C95" s="720" t="s">
        <v>5143</v>
      </c>
      <c r="D95" s="721">
        <v>100.0</v>
      </c>
      <c r="E95" s="719">
        <v>0.0</v>
      </c>
    </row>
    <row r="96">
      <c r="A96" s="718" t="str">
        <f t="shared" si="1"/>
        <v>8Invitado (Varón)</v>
      </c>
      <c r="B96" s="719">
        <v>8.0</v>
      </c>
      <c r="C96" s="720" t="s">
        <v>5146</v>
      </c>
      <c r="D96" s="721">
        <v>65.0</v>
      </c>
      <c r="E96" s="719">
        <v>0.0</v>
      </c>
    </row>
    <row r="97">
      <c r="A97" s="718" t="str">
        <f t="shared" si="1"/>
        <v>8Invitado mujer</v>
      </c>
      <c r="B97" s="719">
        <v>8.0</v>
      </c>
      <c r="C97" s="720" t="s">
        <v>5147</v>
      </c>
      <c r="D97" s="721">
        <v>35.0</v>
      </c>
      <c r="E97" s="719">
        <v>0.0</v>
      </c>
    </row>
    <row r="98">
      <c r="A98" s="722" t="str">
        <f t="shared" si="1"/>
        <v>9.Socio</v>
      </c>
      <c r="B98" s="723">
        <v>9.0</v>
      </c>
      <c r="C98" s="724" t="s">
        <v>5140</v>
      </c>
      <c r="D98" s="725">
        <v>350.0</v>
      </c>
      <c r="E98" s="723">
        <v>20.0</v>
      </c>
    </row>
    <row r="99">
      <c r="A99" s="722" t="str">
        <f t="shared" si="1"/>
        <v>9Cuna Kayak</v>
      </c>
      <c r="B99" s="723">
        <v>9.0</v>
      </c>
      <c r="C99" s="724" t="s">
        <v>5144</v>
      </c>
      <c r="D99" s="725">
        <v>200.0</v>
      </c>
      <c r="E99" s="723">
        <v>10.0</v>
      </c>
    </row>
    <row r="100">
      <c r="A100" s="722" t="str">
        <f t="shared" si="1"/>
        <v>9Cuna windsurf</v>
      </c>
      <c r="B100" s="723">
        <v>9.0</v>
      </c>
      <c r="C100" s="724" t="s">
        <v>5145</v>
      </c>
      <c r="D100" s="725">
        <v>200.0</v>
      </c>
      <c r="E100" s="723">
        <v>10.0</v>
      </c>
    </row>
    <row r="101">
      <c r="A101" s="722" t="str">
        <f t="shared" si="1"/>
        <v>9Locker</v>
      </c>
      <c r="B101" s="723">
        <v>9.0</v>
      </c>
      <c r="C101" s="724" t="s">
        <v>5065</v>
      </c>
      <c r="D101" s="725">
        <v>32.0</v>
      </c>
      <c r="E101" s="723">
        <v>10.0</v>
      </c>
    </row>
    <row r="102">
      <c r="A102" s="722" t="str">
        <f t="shared" si="1"/>
        <v>9lockerG</v>
      </c>
      <c r="B102" s="723">
        <v>9.0</v>
      </c>
      <c r="C102" s="724" t="s">
        <v>52</v>
      </c>
      <c r="D102" s="725">
        <v>38.0</v>
      </c>
      <c r="E102" s="723">
        <v>10.0</v>
      </c>
    </row>
    <row r="103">
      <c r="A103" s="722" t="str">
        <f t="shared" si="1"/>
        <v>9lockerK</v>
      </c>
      <c r="B103" s="723">
        <v>9.0</v>
      </c>
      <c r="C103" s="724" t="s">
        <v>501</v>
      </c>
      <c r="D103" s="725">
        <v>64.0</v>
      </c>
      <c r="E103" s="723">
        <v>10.0</v>
      </c>
    </row>
    <row r="104">
      <c r="A104" s="722" t="str">
        <f t="shared" si="1"/>
        <v>9Vela</v>
      </c>
      <c r="B104" s="723">
        <v>9.0</v>
      </c>
      <c r="C104" s="724" t="s">
        <v>5142</v>
      </c>
      <c r="D104" s="725">
        <v>32.0</v>
      </c>
      <c r="E104" s="723">
        <v>10.0</v>
      </c>
    </row>
    <row r="105">
      <c r="A105" s="722" t="str">
        <f t="shared" si="1"/>
        <v>9Velero</v>
      </c>
      <c r="B105" s="723">
        <v>9.0</v>
      </c>
      <c r="C105" s="724" t="s">
        <v>693</v>
      </c>
      <c r="D105" s="725">
        <v>200.0</v>
      </c>
      <c r="E105" s="723">
        <v>10.0</v>
      </c>
    </row>
    <row r="106">
      <c r="A106" s="722" t="str">
        <f t="shared" si="1"/>
        <v>9Der.Inscrip.</v>
      </c>
      <c r="B106" s="723">
        <v>9.0</v>
      </c>
      <c r="C106" s="724" t="s">
        <v>492</v>
      </c>
      <c r="D106" s="725">
        <v>100.0</v>
      </c>
      <c r="E106" s="723">
        <v>10.0</v>
      </c>
    </row>
    <row r="107">
      <c r="A107" s="722" t="str">
        <f t="shared" si="1"/>
        <v>9Cadete</v>
      </c>
      <c r="B107" s="723">
        <v>9.0</v>
      </c>
      <c r="C107" s="724" t="s">
        <v>447</v>
      </c>
      <c r="D107" s="725">
        <v>200.0</v>
      </c>
      <c r="E107" s="723">
        <v>10.0</v>
      </c>
    </row>
    <row r="108">
      <c r="A108" s="722" t="str">
        <f t="shared" si="1"/>
        <v>9Multa</v>
      </c>
      <c r="B108" s="723">
        <v>9.0</v>
      </c>
      <c r="C108" s="724" t="s">
        <v>502</v>
      </c>
      <c r="D108" s="725">
        <v>300.0</v>
      </c>
      <c r="E108" s="723">
        <v>10.0</v>
      </c>
    </row>
    <row r="109">
      <c r="A109" s="722" t="str">
        <f t="shared" si="1"/>
        <v>9Depósito</v>
      </c>
      <c r="B109" s="723">
        <v>9.0</v>
      </c>
      <c r="C109" s="724" t="s">
        <v>5143</v>
      </c>
      <c r="D109" s="725">
        <v>100.0</v>
      </c>
      <c r="E109" s="723">
        <v>0.0</v>
      </c>
    </row>
    <row r="110">
      <c r="A110" s="722" t="str">
        <f t="shared" si="1"/>
        <v>9Invitado (Varón)</v>
      </c>
      <c r="B110" s="723">
        <v>9.0</v>
      </c>
      <c r="C110" s="724" t="s">
        <v>5146</v>
      </c>
      <c r="D110" s="725">
        <v>65.0</v>
      </c>
      <c r="E110" s="723">
        <v>0.0</v>
      </c>
    </row>
    <row r="111">
      <c r="A111" s="722" t="str">
        <f t="shared" si="1"/>
        <v>9Invitado mujer</v>
      </c>
      <c r="B111" s="723">
        <v>9.0</v>
      </c>
      <c r="C111" s="724" t="s">
        <v>5147</v>
      </c>
      <c r="D111" s="725">
        <v>35.0</v>
      </c>
      <c r="E111" s="723">
        <v>0.0</v>
      </c>
    </row>
    <row r="112">
      <c r="A112" s="726" t="str">
        <f t="shared" si="1"/>
        <v>10.Socio</v>
      </c>
      <c r="B112" s="727">
        <v>10.0</v>
      </c>
      <c r="C112" s="728" t="s">
        <v>5140</v>
      </c>
      <c r="D112" s="729">
        <v>350.0</v>
      </c>
      <c r="E112" s="727">
        <v>20.0</v>
      </c>
    </row>
    <row r="113">
      <c r="A113" s="726" t="str">
        <f t="shared" si="1"/>
        <v>10Cuna Kayak</v>
      </c>
      <c r="B113" s="727">
        <v>10.0</v>
      </c>
      <c r="C113" s="728" t="s">
        <v>5144</v>
      </c>
      <c r="D113" s="729">
        <v>250.0</v>
      </c>
      <c r="E113" s="727">
        <v>10.0</v>
      </c>
    </row>
    <row r="114">
      <c r="A114" s="726" t="str">
        <f t="shared" si="1"/>
        <v>10Cuna windsurf</v>
      </c>
      <c r="B114" s="727">
        <v>10.0</v>
      </c>
      <c r="C114" s="728" t="s">
        <v>5145</v>
      </c>
      <c r="D114" s="729">
        <v>250.0</v>
      </c>
      <c r="E114" s="727">
        <v>10.0</v>
      </c>
    </row>
    <row r="115">
      <c r="A115" s="726" t="str">
        <f t="shared" si="1"/>
        <v>10Locker</v>
      </c>
      <c r="B115" s="727">
        <v>10.0</v>
      </c>
      <c r="C115" s="728" t="s">
        <v>5065</v>
      </c>
      <c r="D115" s="729">
        <v>32.0</v>
      </c>
      <c r="E115" s="727">
        <v>10.0</v>
      </c>
    </row>
    <row r="116">
      <c r="A116" s="726" t="str">
        <f t="shared" si="1"/>
        <v>10lockerG</v>
      </c>
      <c r="B116" s="727">
        <v>10.0</v>
      </c>
      <c r="C116" s="728" t="s">
        <v>52</v>
      </c>
      <c r="D116" s="729">
        <v>38.0</v>
      </c>
      <c r="E116" s="727">
        <v>10.0</v>
      </c>
    </row>
    <row r="117">
      <c r="A117" s="726" t="str">
        <f t="shared" si="1"/>
        <v>10lockerK</v>
      </c>
      <c r="B117" s="727">
        <v>10.0</v>
      </c>
      <c r="C117" s="728" t="s">
        <v>501</v>
      </c>
      <c r="D117" s="729">
        <v>64.0</v>
      </c>
      <c r="E117" s="727">
        <v>10.0</v>
      </c>
    </row>
    <row r="118">
      <c r="A118" s="726" t="str">
        <f t="shared" si="1"/>
        <v>10Vela</v>
      </c>
      <c r="B118" s="727">
        <v>10.0</v>
      </c>
      <c r="C118" s="728" t="s">
        <v>5142</v>
      </c>
      <c r="D118" s="729">
        <v>32.0</v>
      </c>
      <c r="E118" s="727">
        <v>10.0</v>
      </c>
    </row>
    <row r="119">
      <c r="A119" s="726" t="str">
        <f t="shared" si="1"/>
        <v>10Velero</v>
      </c>
      <c r="B119" s="727">
        <v>10.0</v>
      </c>
      <c r="C119" s="728" t="s">
        <v>693</v>
      </c>
      <c r="D119" s="729">
        <v>250.0</v>
      </c>
      <c r="E119" s="727">
        <v>10.0</v>
      </c>
    </row>
    <row r="120">
      <c r="A120" s="726" t="str">
        <f t="shared" si="1"/>
        <v>10Der.Inscrip.</v>
      </c>
      <c r="B120" s="727">
        <v>10.0</v>
      </c>
      <c r="C120" s="728" t="s">
        <v>492</v>
      </c>
      <c r="D120" s="729">
        <v>100.0</v>
      </c>
      <c r="E120" s="727">
        <v>10.0</v>
      </c>
    </row>
    <row r="121">
      <c r="A121" s="726" t="str">
        <f t="shared" si="1"/>
        <v>10Cadete</v>
      </c>
      <c r="B121" s="727">
        <v>10.0</v>
      </c>
      <c r="C121" s="728" t="s">
        <v>447</v>
      </c>
      <c r="D121" s="729">
        <v>200.0</v>
      </c>
      <c r="E121" s="727">
        <v>10.0</v>
      </c>
    </row>
    <row r="122">
      <c r="A122" s="726" t="str">
        <f t="shared" si="1"/>
        <v>10Multa</v>
      </c>
      <c r="B122" s="727">
        <v>10.0</v>
      </c>
      <c r="C122" s="728" t="s">
        <v>502</v>
      </c>
      <c r="D122" s="729">
        <v>300.0</v>
      </c>
      <c r="E122" s="727">
        <v>10.0</v>
      </c>
    </row>
    <row r="123">
      <c r="A123" s="726" t="str">
        <f t="shared" si="1"/>
        <v>10Depósito</v>
      </c>
      <c r="B123" s="727">
        <v>10.0</v>
      </c>
      <c r="C123" s="728" t="s">
        <v>5143</v>
      </c>
      <c r="D123" s="729">
        <v>100.0</v>
      </c>
      <c r="E123" s="727">
        <v>0.0</v>
      </c>
    </row>
    <row r="124">
      <c r="A124" s="726" t="str">
        <f t="shared" si="1"/>
        <v>10Invitado (Varón)</v>
      </c>
      <c r="B124" s="727">
        <v>10.0</v>
      </c>
      <c r="C124" s="728" t="s">
        <v>5146</v>
      </c>
      <c r="D124" s="729">
        <v>65.0</v>
      </c>
      <c r="E124" s="727">
        <v>0.0</v>
      </c>
    </row>
    <row r="125">
      <c r="A125" s="726" t="str">
        <f t="shared" si="1"/>
        <v>10Invitado mujer</v>
      </c>
      <c r="B125" s="727">
        <v>10.0</v>
      </c>
      <c r="C125" s="728" t="s">
        <v>5147</v>
      </c>
      <c r="D125" s="729">
        <v>35.0</v>
      </c>
      <c r="E125" s="727">
        <v>0.0</v>
      </c>
    </row>
    <row r="126">
      <c r="A126" s="726" t="str">
        <f t="shared" si="1"/>
        <v>10Bono canon</v>
      </c>
      <c r="B126" s="727">
        <v>10.0</v>
      </c>
      <c r="C126" s="728" t="s">
        <v>38</v>
      </c>
      <c r="D126" s="729">
        <v>200.0</v>
      </c>
      <c r="E126" s="727">
        <v>5.0</v>
      </c>
    </row>
    <row r="127">
      <c r="A127" s="730" t="str">
        <f t="shared" si="1"/>
        <v>11.Socio</v>
      </c>
      <c r="B127" s="731">
        <v>11.0</v>
      </c>
      <c r="C127" s="732" t="s">
        <v>5140</v>
      </c>
      <c r="D127" s="733">
        <v>350.0</v>
      </c>
      <c r="E127" s="731">
        <v>20.0</v>
      </c>
    </row>
    <row r="128">
      <c r="A128" s="730" t="str">
        <f t="shared" si="1"/>
        <v>11Cuna Kayak</v>
      </c>
      <c r="B128" s="731">
        <v>11.0</v>
      </c>
      <c r="C128" s="732" t="s">
        <v>5144</v>
      </c>
      <c r="D128" s="733">
        <v>250.0</v>
      </c>
      <c r="E128" s="731">
        <v>10.0</v>
      </c>
    </row>
    <row r="129">
      <c r="A129" s="730" t="str">
        <f t="shared" si="1"/>
        <v>11Cuna windsurf</v>
      </c>
      <c r="B129" s="731">
        <v>11.0</v>
      </c>
      <c r="C129" s="732" t="s">
        <v>5145</v>
      </c>
      <c r="D129" s="733">
        <v>250.0</v>
      </c>
      <c r="E129" s="731">
        <v>10.0</v>
      </c>
    </row>
    <row r="130">
      <c r="A130" s="730" t="str">
        <f t="shared" si="1"/>
        <v>11Locker</v>
      </c>
      <c r="B130" s="731">
        <v>11.0</v>
      </c>
      <c r="C130" s="732" t="s">
        <v>5065</v>
      </c>
      <c r="D130" s="733">
        <v>34.0</v>
      </c>
      <c r="E130" s="731">
        <v>10.0</v>
      </c>
    </row>
    <row r="131">
      <c r="A131" s="730" t="str">
        <f t="shared" si="1"/>
        <v>11lockerG</v>
      </c>
      <c r="B131" s="731">
        <v>11.0</v>
      </c>
      <c r="C131" s="732" t="s">
        <v>52</v>
      </c>
      <c r="D131" s="733">
        <v>42.0</v>
      </c>
      <c r="E131" s="731">
        <v>10.0</v>
      </c>
    </row>
    <row r="132">
      <c r="A132" s="730" t="str">
        <f t="shared" si="1"/>
        <v>11lockerK</v>
      </c>
      <c r="B132" s="731">
        <v>11.0</v>
      </c>
      <c r="C132" s="732" t="s">
        <v>501</v>
      </c>
      <c r="D132" s="733">
        <v>64.0</v>
      </c>
      <c r="E132" s="731">
        <v>10.0</v>
      </c>
    </row>
    <row r="133">
      <c r="A133" s="730" t="str">
        <f t="shared" si="1"/>
        <v>11Vela</v>
      </c>
      <c r="B133" s="731">
        <v>11.0</v>
      </c>
      <c r="C133" s="732" t="s">
        <v>5142</v>
      </c>
      <c r="D133" s="733">
        <v>34.0</v>
      </c>
      <c r="E133" s="731">
        <v>10.0</v>
      </c>
    </row>
    <row r="134">
      <c r="A134" s="730" t="str">
        <f t="shared" si="1"/>
        <v>11Velero</v>
      </c>
      <c r="B134" s="731">
        <v>11.0</v>
      </c>
      <c r="C134" s="732" t="s">
        <v>693</v>
      </c>
      <c r="D134" s="733">
        <v>250.0</v>
      </c>
      <c r="E134" s="731">
        <v>10.0</v>
      </c>
    </row>
    <row r="135">
      <c r="A135" s="730" t="str">
        <f t="shared" si="1"/>
        <v>11Der.Inscrip.</v>
      </c>
      <c r="B135" s="731">
        <v>11.0</v>
      </c>
      <c r="C135" s="732" t="s">
        <v>492</v>
      </c>
      <c r="D135" s="733">
        <v>100.0</v>
      </c>
      <c r="E135" s="731">
        <v>10.0</v>
      </c>
    </row>
    <row r="136">
      <c r="A136" s="730" t="str">
        <f t="shared" si="1"/>
        <v>11Cadete</v>
      </c>
      <c r="B136" s="731">
        <v>11.0</v>
      </c>
      <c r="C136" s="732" t="s">
        <v>447</v>
      </c>
      <c r="D136" s="733">
        <v>200.0</v>
      </c>
      <c r="E136" s="731">
        <v>10.0</v>
      </c>
    </row>
    <row r="137">
      <c r="A137" s="730" t="str">
        <f t="shared" si="1"/>
        <v>11Multa</v>
      </c>
      <c r="B137" s="731">
        <v>11.0</v>
      </c>
      <c r="C137" s="732" t="s">
        <v>502</v>
      </c>
      <c r="D137" s="733">
        <v>300.0</v>
      </c>
      <c r="E137" s="731">
        <v>10.0</v>
      </c>
    </row>
    <row r="138">
      <c r="A138" s="730" t="str">
        <f t="shared" si="1"/>
        <v>11Depósito</v>
      </c>
      <c r="B138" s="731">
        <v>11.0</v>
      </c>
      <c r="C138" s="732" t="s">
        <v>5143</v>
      </c>
      <c r="D138" s="733">
        <v>100.0</v>
      </c>
      <c r="E138" s="731">
        <v>0.0</v>
      </c>
    </row>
    <row r="139">
      <c r="A139" s="730" t="str">
        <f t="shared" si="1"/>
        <v>11Invitado (Varón)</v>
      </c>
      <c r="B139" s="731">
        <v>11.0</v>
      </c>
      <c r="C139" s="732" t="s">
        <v>5146</v>
      </c>
      <c r="D139" s="733">
        <v>100.0</v>
      </c>
      <c r="E139" s="731">
        <v>0.0</v>
      </c>
    </row>
    <row r="140">
      <c r="A140" s="730" t="str">
        <f t="shared" si="1"/>
        <v>11Invitado mujer</v>
      </c>
      <c r="B140" s="731">
        <v>11.0</v>
      </c>
      <c r="C140" s="732" t="s">
        <v>5147</v>
      </c>
      <c r="D140" s="733">
        <v>100.0</v>
      </c>
      <c r="E140" s="731">
        <v>0.0</v>
      </c>
    </row>
    <row r="141">
      <c r="A141" s="730" t="str">
        <f t="shared" si="1"/>
        <v>11Bono canon</v>
      </c>
      <c r="B141" s="731">
        <v>11.0</v>
      </c>
      <c r="C141" s="732" t="s">
        <v>38</v>
      </c>
      <c r="D141" s="733">
        <v>200.0</v>
      </c>
      <c r="E141" s="731">
        <v>5.0</v>
      </c>
    </row>
    <row r="142">
      <c r="A142" s="734" t="str">
        <f t="shared" si="1"/>
        <v>12.Socio</v>
      </c>
      <c r="B142" s="735">
        <v>12.0</v>
      </c>
      <c r="C142" s="736" t="s">
        <v>5140</v>
      </c>
      <c r="D142" s="737">
        <v>500.0</v>
      </c>
      <c r="E142" s="735">
        <v>20.0</v>
      </c>
    </row>
    <row r="143">
      <c r="A143" s="734" t="str">
        <f t="shared" si="1"/>
        <v>12Cuna Kayak</v>
      </c>
      <c r="B143" s="735">
        <v>12.0</v>
      </c>
      <c r="C143" s="736" t="s">
        <v>5144</v>
      </c>
      <c r="D143" s="737">
        <v>350.0</v>
      </c>
      <c r="E143" s="735">
        <v>10.0</v>
      </c>
    </row>
    <row r="144">
      <c r="A144" s="734" t="str">
        <f t="shared" si="1"/>
        <v>12Cuna windsurf</v>
      </c>
      <c r="B144" s="735">
        <v>12.0</v>
      </c>
      <c r="C144" s="736" t="s">
        <v>5145</v>
      </c>
      <c r="D144" s="737">
        <v>350.0</v>
      </c>
      <c r="E144" s="735">
        <v>10.0</v>
      </c>
    </row>
    <row r="145">
      <c r="A145" s="734" t="str">
        <f t="shared" si="1"/>
        <v>12Locker</v>
      </c>
      <c r="B145" s="735">
        <v>12.0</v>
      </c>
      <c r="C145" s="736" t="s">
        <v>5065</v>
      </c>
      <c r="D145" s="737">
        <v>45.0</v>
      </c>
      <c r="E145" s="735">
        <v>10.0</v>
      </c>
    </row>
    <row r="146">
      <c r="A146" s="734" t="str">
        <f t="shared" si="1"/>
        <v>12lockerG</v>
      </c>
      <c r="B146" s="735">
        <v>12.0</v>
      </c>
      <c r="C146" s="736" t="s">
        <v>52</v>
      </c>
      <c r="D146" s="737">
        <f>648/12</f>
        <v>54</v>
      </c>
      <c r="E146" s="735">
        <v>10.0</v>
      </c>
    </row>
    <row r="147">
      <c r="A147" s="734" t="str">
        <f t="shared" si="1"/>
        <v>12lockerK</v>
      </c>
      <c r="B147" s="735">
        <v>12.0</v>
      </c>
      <c r="C147" s="736" t="s">
        <v>501</v>
      </c>
      <c r="D147" s="737">
        <v>64.0</v>
      </c>
      <c r="E147" s="735">
        <v>10.0</v>
      </c>
    </row>
    <row r="148">
      <c r="A148" s="734" t="str">
        <f t="shared" si="1"/>
        <v>12Vela</v>
      </c>
      <c r="B148" s="735">
        <v>12.0</v>
      </c>
      <c r="C148" s="736" t="s">
        <v>5142</v>
      </c>
      <c r="D148" s="737">
        <v>45.0</v>
      </c>
      <c r="E148" s="735">
        <v>10.0</v>
      </c>
    </row>
    <row r="149">
      <c r="A149" s="734" t="str">
        <f t="shared" si="1"/>
        <v>12Velero</v>
      </c>
      <c r="B149" s="735">
        <v>12.0</v>
      </c>
      <c r="C149" s="736" t="s">
        <v>693</v>
      </c>
      <c r="D149" s="737">
        <v>350.0</v>
      </c>
      <c r="E149" s="735">
        <v>10.0</v>
      </c>
    </row>
    <row r="150">
      <c r="A150" s="734" t="str">
        <f t="shared" si="1"/>
        <v>12Der.Inscrip.</v>
      </c>
      <c r="B150" s="735">
        <v>12.0</v>
      </c>
      <c r="C150" s="736" t="s">
        <v>492</v>
      </c>
      <c r="D150" s="737">
        <v>100.0</v>
      </c>
      <c r="E150" s="735">
        <v>10.0</v>
      </c>
    </row>
    <row r="151">
      <c r="A151" s="734" t="str">
        <f t="shared" si="1"/>
        <v>12Cadete</v>
      </c>
      <c r="B151" s="735">
        <v>12.0</v>
      </c>
      <c r="C151" s="736" t="s">
        <v>447</v>
      </c>
      <c r="D151" s="737">
        <v>200.0</v>
      </c>
      <c r="E151" s="735">
        <v>10.0</v>
      </c>
    </row>
    <row r="152">
      <c r="A152" s="734" t="str">
        <f t="shared" si="1"/>
        <v>12Multa</v>
      </c>
      <c r="B152" s="735">
        <v>12.0</v>
      </c>
      <c r="C152" s="736" t="s">
        <v>502</v>
      </c>
      <c r="D152" s="737">
        <v>300.0</v>
      </c>
      <c r="E152" s="735">
        <v>10.0</v>
      </c>
    </row>
    <row r="153">
      <c r="A153" s="734" t="str">
        <f t="shared" si="1"/>
        <v>12Depósito</v>
      </c>
      <c r="B153" s="735">
        <v>12.0</v>
      </c>
      <c r="C153" s="736" t="s">
        <v>5143</v>
      </c>
      <c r="D153" s="737">
        <v>100.0</v>
      </c>
      <c r="E153" s="735">
        <v>0.0</v>
      </c>
    </row>
    <row r="154">
      <c r="A154" s="734" t="str">
        <f t="shared" si="1"/>
        <v>12Invitado (Varón)</v>
      </c>
      <c r="B154" s="735">
        <v>12.0</v>
      </c>
      <c r="C154" s="736" t="s">
        <v>5146</v>
      </c>
      <c r="D154" s="737">
        <v>150.0</v>
      </c>
      <c r="E154" s="735">
        <v>0.0</v>
      </c>
    </row>
    <row r="155">
      <c r="A155" s="734" t="str">
        <f t="shared" si="1"/>
        <v>12Invitado mujer</v>
      </c>
      <c r="B155" s="735">
        <v>12.0</v>
      </c>
      <c r="C155" s="736" t="s">
        <v>5147</v>
      </c>
      <c r="D155" s="737">
        <v>150.0</v>
      </c>
      <c r="E155" s="735">
        <v>0.0</v>
      </c>
    </row>
    <row r="156">
      <c r="A156" s="734" t="str">
        <f t="shared" si="1"/>
        <v>12Bono canon</v>
      </c>
      <c r="B156" s="735">
        <v>12.0</v>
      </c>
      <c r="C156" s="736" t="s">
        <v>38</v>
      </c>
      <c r="D156" s="737">
        <v>200.0</v>
      </c>
      <c r="E156" s="735">
        <v>5.0</v>
      </c>
    </row>
    <row r="157">
      <c r="A157" s="738" t="str">
        <f t="shared" si="1"/>
        <v>13.Socio</v>
      </c>
      <c r="B157" s="739">
        <v>13.0</v>
      </c>
      <c r="C157" s="740" t="s">
        <v>5140</v>
      </c>
      <c r="D157" s="741">
        <v>600.0</v>
      </c>
      <c r="E157" s="739">
        <v>20.0</v>
      </c>
    </row>
    <row r="158">
      <c r="A158" s="738" t="str">
        <f t="shared" si="1"/>
        <v>13Cuna Kayak</v>
      </c>
      <c r="B158" s="739">
        <v>13.0</v>
      </c>
      <c r="C158" s="740" t="s">
        <v>5144</v>
      </c>
      <c r="D158" s="741">
        <v>450.0</v>
      </c>
      <c r="E158" s="739">
        <v>10.0</v>
      </c>
    </row>
    <row r="159">
      <c r="A159" s="738" t="str">
        <f t="shared" si="1"/>
        <v>13Cuna windsurf</v>
      </c>
      <c r="B159" s="739">
        <v>13.0</v>
      </c>
      <c r="C159" s="740" t="s">
        <v>5145</v>
      </c>
      <c r="D159" s="741">
        <v>450.0</v>
      </c>
      <c r="E159" s="739">
        <v>10.0</v>
      </c>
    </row>
    <row r="160">
      <c r="A160" s="738" t="str">
        <f t="shared" si="1"/>
        <v>13Locker</v>
      </c>
      <c r="B160" s="739">
        <v>13.0</v>
      </c>
      <c r="C160" s="740" t="s">
        <v>5065</v>
      </c>
      <c r="D160" s="741">
        <v>66.0</v>
      </c>
      <c r="E160" s="739">
        <v>10.0</v>
      </c>
    </row>
    <row r="161">
      <c r="A161" s="738" t="str">
        <f t="shared" si="1"/>
        <v>13lockerG</v>
      </c>
      <c r="B161" s="739">
        <v>13.0</v>
      </c>
      <c r="C161" s="740" t="s">
        <v>52</v>
      </c>
      <c r="D161" s="741">
        <v>75.0</v>
      </c>
      <c r="E161" s="739">
        <v>10.0</v>
      </c>
    </row>
    <row r="162">
      <c r="A162" s="738" t="str">
        <f t="shared" si="1"/>
        <v>13lockerK</v>
      </c>
      <c r="B162" s="739">
        <v>13.0</v>
      </c>
      <c r="C162" s="740" t="s">
        <v>501</v>
      </c>
      <c r="D162" s="741">
        <v>75.0</v>
      </c>
      <c r="E162" s="739">
        <v>10.0</v>
      </c>
    </row>
    <row r="163">
      <c r="A163" s="738" t="str">
        <f t="shared" si="1"/>
        <v>13Vela</v>
      </c>
      <c r="B163" s="739">
        <v>13.0</v>
      </c>
      <c r="C163" s="740" t="s">
        <v>5142</v>
      </c>
      <c r="D163" s="741">
        <v>75.0</v>
      </c>
      <c r="E163" s="739">
        <v>10.0</v>
      </c>
    </row>
    <row r="164">
      <c r="A164" s="738" t="str">
        <f t="shared" si="1"/>
        <v>13Velero</v>
      </c>
      <c r="B164" s="739">
        <v>13.0</v>
      </c>
      <c r="C164" s="740" t="s">
        <v>693</v>
      </c>
      <c r="D164" s="741">
        <v>450.0</v>
      </c>
      <c r="E164" s="739">
        <v>10.0</v>
      </c>
    </row>
    <row r="165">
      <c r="A165" s="738" t="str">
        <f t="shared" si="1"/>
        <v>13Der.Inscrip.</v>
      </c>
      <c r="B165" s="739">
        <v>13.0</v>
      </c>
      <c r="C165" s="740" t="s">
        <v>492</v>
      </c>
      <c r="D165" s="741">
        <v>150.0</v>
      </c>
      <c r="E165" s="739">
        <v>10.0</v>
      </c>
    </row>
    <row r="166">
      <c r="A166" s="738" t="str">
        <f t="shared" si="1"/>
        <v>13Cadete</v>
      </c>
      <c r="B166" s="739">
        <v>13.0</v>
      </c>
      <c r="C166" s="740" t="s">
        <v>447</v>
      </c>
      <c r="D166" s="741">
        <v>250.0</v>
      </c>
      <c r="E166" s="739">
        <v>10.0</v>
      </c>
    </row>
    <row r="167">
      <c r="A167" s="738" t="str">
        <f t="shared" si="1"/>
        <v>13Multa</v>
      </c>
      <c r="B167" s="739">
        <v>13.0</v>
      </c>
      <c r="C167" s="740" t="s">
        <v>502</v>
      </c>
      <c r="D167" s="741">
        <v>360.0</v>
      </c>
      <c r="E167" s="739">
        <v>10.0</v>
      </c>
    </row>
    <row r="168">
      <c r="A168" s="738" t="str">
        <f t="shared" si="1"/>
        <v>13Depósito</v>
      </c>
      <c r="B168" s="739">
        <v>13.0</v>
      </c>
      <c r="C168" s="740" t="s">
        <v>5143</v>
      </c>
      <c r="D168" s="741">
        <v>150.0</v>
      </c>
      <c r="E168" s="739">
        <v>0.0</v>
      </c>
    </row>
    <row r="169">
      <c r="A169" s="738" t="str">
        <f t="shared" si="1"/>
        <v>13Invitado (Varón)</v>
      </c>
      <c r="B169" s="739">
        <v>13.0</v>
      </c>
      <c r="C169" s="740" t="s">
        <v>5146</v>
      </c>
      <c r="D169" s="741">
        <v>200.0</v>
      </c>
      <c r="E169" s="739">
        <v>0.0</v>
      </c>
    </row>
    <row r="170">
      <c r="A170" s="738" t="str">
        <f t="shared" si="1"/>
        <v>13Invitado mujer</v>
      </c>
      <c r="B170" s="739">
        <v>13.0</v>
      </c>
      <c r="C170" s="740" t="s">
        <v>5147</v>
      </c>
      <c r="D170" s="741">
        <v>200.0</v>
      </c>
      <c r="E170" s="739">
        <v>0.0</v>
      </c>
    </row>
    <row r="171">
      <c r="A171" s="738" t="str">
        <f t="shared" si="1"/>
        <v>13Bono canon</v>
      </c>
      <c r="B171" s="739">
        <v>13.0</v>
      </c>
      <c r="C171" s="740" t="s">
        <v>38</v>
      </c>
      <c r="D171" s="741">
        <v>200.0</v>
      </c>
      <c r="E171" s="739">
        <v>5.0</v>
      </c>
    </row>
    <row r="172">
      <c r="A172" s="742" t="str">
        <f t="shared" si="1"/>
        <v>14.Socio</v>
      </c>
      <c r="B172" s="743">
        <v>14.0</v>
      </c>
      <c r="C172" s="742" t="s">
        <v>5140</v>
      </c>
      <c r="D172" s="744">
        <v>600.0</v>
      </c>
      <c r="E172" s="743">
        <v>20.0</v>
      </c>
    </row>
    <row r="173">
      <c r="A173" s="742" t="str">
        <f t="shared" si="1"/>
        <v>14Cuna Kayak</v>
      </c>
      <c r="B173" s="743">
        <v>14.0</v>
      </c>
      <c r="C173" s="742" t="s">
        <v>5144</v>
      </c>
      <c r="D173" s="744">
        <v>450.0</v>
      </c>
      <c r="E173" s="743">
        <v>10.0</v>
      </c>
    </row>
    <row r="174">
      <c r="A174" s="742" t="str">
        <f t="shared" si="1"/>
        <v>14Cuna windsurf</v>
      </c>
      <c r="B174" s="743">
        <v>14.0</v>
      </c>
      <c r="C174" s="742" t="s">
        <v>5145</v>
      </c>
      <c r="D174" s="744">
        <v>450.0</v>
      </c>
      <c r="E174" s="743">
        <v>10.0</v>
      </c>
    </row>
    <row r="175">
      <c r="A175" s="742" t="str">
        <f t="shared" si="1"/>
        <v>14Locker</v>
      </c>
      <c r="B175" s="743">
        <v>14.0</v>
      </c>
      <c r="C175" s="742" t="s">
        <v>5065</v>
      </c>
      <c r="D175" s="744">
        <v>66.0</v>
      </c>
      <c r="E175" s="743">
        <v>10.0</v>
      </c>
    </row>
    <row r="176">
      <c r="A176" s="742" t="str">
        <f t="shared" si="1"/>
        <v>14lockerG</v>
      </c>
      <c r="B176" s="743">
        <v>14.0</v>
      </c>
      <c r="C176" s="742" t="s">
        <v>52</v>
      </c>
      <c r="D176" s="744">
        <v>75.0</v>
      </c>
      <c r="E176" s="743">
        <v>10.0</v>
      </c>
    </row>
    <row r="177">
      <c r="A177" s="742" t="str">
        <f t="shared" si="1"/>
        <v>14lockerK</v>
      </c>
      <c r="B177" s="743">
        <v>14.0</v>
      </c>
      <c r="C177" s="742" t="s">
        <v>501</v>
      </c>
      <c r="D177" s="744">
        <v>75.0</v>
      </c>
      <c r="E177" s="743">
        <v>10.0</v>
      </c>
    </row>
    <row r="178">
      <c r="A178" s="742" t="str">
        <f t="shared" si="1"/>
        <v>14Vela</v>
      </c>
      <c r="B178" s="743">
        <v>14.0</v>
      </c>
      <c r="C178" s="742" t="s">
        <v>5142</v>
      </c>
      <c r="D178" s="744">
        <v>75.0</v>
      </c>
      <c r="E178" s="743">
        <v>10.0</v>
      </c>
    </row>
    <row r="179">
      <c r="A179" s="742" t="str">
        <f t="shared" si="1"/>
        <v>14Velero</v>
      </c>
      <c r="B179" s="743">
        <v>14.0</v>
      </c>
      <c r="C179" s="742" t="s">
        <v>693</v>
      </c>
      <c r="D179" s="744">
        <v>450.0</v>
      </c>
      <c r="E179" s="743">
        <v>10.0</v>
      </c>
    </row>
    <row r="180">
      <c r="A180" s="742" t="str">
        <f t="shared" si="1"/>
        <v>14Der.Inscrip.</v>
      </c>
      <c r="B180" s="743">
        <v>14.0</v>
      </c>
      <c r="C180" s="742" t="s">
        <v>492</v>
      </c>
      <c r="D180" s="744">
        <v>1000.0</v>
      </c>
      <c r="E180" s="743">
        <v>10.0</v>
      </c>
    </row>
    <row r="181">
      <c r="A181" s="742" t="str">
        <f t="shared" si="1"/>
        <v>14Cadete</v>
      </c>
      <c r="B181" s="743">
        <v>14.0</v>
      </c>
      <c r="C181" s="742" t="s">
        <v>447</v>
      </c>
      <c r="D181" s="744">
        <v>250.0</v>
      </c>
      <c r="E181" s="743">
        <v>10.0</v>
      </c>
    </row>
    <row r="182">
      <c r="A182" s="742" t="str">
        <f t="shared" si="1"/>
        <v>14Multa</v>
      </c>
      <c r="B182" s="743">
        <v>14.0</v>
      </c>
      <c r="C182" s="742" t="s">
        <v>502</v>
      </c>
      <c r="D182" s="744">
        <v>360.0</v>
      </c>
      <c r="E182" s="743">
        <v>10.0</v>
      </c>
    </row>
    <row r="183">
      <c r="A183" s="742" t="str">
        <f t="shared" si="1"/>
        <v>14Depósito</v>
      </c>
      <c r="B183" s="743">
        <v>14.0</v>
      </c>
      <c r="C183" s="742" t="s">
        <v>5143</v>
      </c>
      <c r="D183" s="744">
        <v>150.0</v>
      </c>
      <c r="E183" s="743">
        <v>0.0</v>
      </c>
    </row>
    <row r="184">
      <c r="A184" s="742" t="str">
        <f t="shared" si="1"/>
        <v>14Invitado</v>
      </c>
      <c r="B184" s="743">
        <v>14.0</v>
      </c>
      <c r="C184" s="742" t="s">
        <v>5148</v>
      </c>
      <c r="D184" s="744">
        <v>300.0</v>
      </c>
      <c r="E184" s="743">
        <v>0.0</v>
      </c>
    </row>
    <row r="185">
      <c r="A185" s="742" t="str">
        <f t="shared" si="1"/>
        <v>14Invitado c/acceso a bajada náutica</v>
      </c>
      <c r="B185" s="743">
        <v>14.0</v>
      </c>
      <c r="C185" s="742" t="s">
        <v>5149</v>
      </c>
      <c r="D185" s="744">
        <v>500.0</v>
      </c>
      <c r="E185" s="743">
        <v>0.0</v>
      </c>
    </row>
    <row r="186">
      <c r="A186" s="742" t="str">
        <f t="shared" si="1"/>
        <v>14Bono canon</v>
      </c>
      <c r="B186" s="743">
        <v>14.0</v>
      </c>
      <c r="C186" s="742" t="s">
        <v>38</v>
      </c>
      <c r="D186" s="744">
        <v>200.0</v>
      </c>
      <c r="E186" s="743">
        <v>5.0</v>
      </c>
    </row>
    <row r="187">
      <c r="A187" s="745" t="str">
        <f t="shared" si="1"/>
        <v>15.Socio</v>
      </c>
      <c r="B187" s="746">
        <v>15.0</v>
      </c>
      <c r="C187" s="745" t="s">
        <v>5140</v>
      </c>
      <c r="D187" s="747">
        <v>600.0</v>
      </c>
      <c r="E187" s="746">
        <v>20.0</v>
      </c>
    </row>
    <row r="188">
      <c r="A188" s="745" t="str">
        <f t="shared" si="1"/>
        <v>15Cuna Kayak</v>
      </c>
      <c r="B188" s="746">
        <v>15.0</v>
      </c>
      <c r="C188" s="745" t="s">
        <v>5144</v>
      </c>
      <c r="D188" s="747">
        <v>450.0</v>
      </c>
      <c r="E188" s="746">
        <v>10.0</v>
      </c>
    </row>
    <row r="189">
      <c r="A189" s="745" t="str">
        <f t="shared" si="1"/>
        <v>15Cuna windsurf</v>
      </c>
      <c r="B189" s="746">
        <v>15.0</v>
      </c>
      <c r="C189" s="745" t="s">
        <v>5145</v>
      </c>
      <c r="D189" s="747">
        <v>450.0</v>
      </c>
      <c r="E189" s="746">
        <v>10.0</v>
      </c>
    </row>
    <row r="190">
      <c r="A190" s="745" t="str">
        <f t="shared" si="1"/>
        <v>15Locker</v>
      </c>
      <c r="B190" s="746">
        <v>15.0</v>
      </c>
      <c r="C190" s="745" t="s">
        <v>5065</v>
      </c>
      <c r="D190" s="747">
        <v>66.0</v>
      </c>
      <c r="E190" s="746">
        <v>10.0</v>
      </c>
    </row>
    <row r="191">
      <c r="A191" s="745" t="str">
        <f t="shared" si="1"/>
        <v>15lockerG</v>
      </c>
      <c r="B191" s="746">
        <v>15.0</v>
      </c>
      <c r="C191" s="745" t="s">
        <v>52</v>
      </c>
      <c r="D191" s="747">
        <v>75.0</v>
      </c>
      <c r="E191" s="746">
        <v>10.0</v>
      </c>
    </row>
    <row r="192">
      <c r="A192" s="745" t="str">
        <f t="shared" si="1"/>
        <v>15lockerK</v>
      </c>
      <c r="B192" s="746">
        <v>15.0</v>
      </c>
      <c r="C192" s="745" t="s">
        <v>501</v>
      </c>
      <c r="D192" s="747">
        <v>75.0</v>
      </c>
      <c r="E192" s="746">
        <v>10.0</v>
      </c>
    </row>
    <row r="193">
      <c r="A193" s="745" t="str">
        <f t="shared" si="1"/>
        <v>15Vela</v>
      </c>
      <c r="B193" s="746">
        <v>15.0</v>
      </c>
      <c r="C193" s="745" t="s">
        <v>5142</v>
      </c>
      <c r="D193" s="747">
        <v>75.0</v>
      </c>
      <c r="E193" s="746">
        <v>10.0</v>
      </c>
    </row>
    <row r="194">
      <c r="A194" s="745" t="str">
        <f t="shared" si="1"/>
        <v>15Velero</v>
      </c>
      <c r="B194" s="746">
        <v>15.0</v>
      </c>
      <c r="C194" s="745" t="s">
        <v>693</v>
      </c>
      <c r="D194" s="747">
        <v>450.0</v>
      </c>
      <c r="E194" s="746">
        <v>10.0</v>
      </c>
    </row>
    <row r="195">
      <c r="A195" s="745" t="str">
        <f t="shared" si="1"/>
        <v>15Der.Inscrip.</v>
      </c>
      <c r="B195" s="746">
        <v>15.0</v>
      </c>
      <c r="C195" s="745" t="s">
        <v>492</v>
      </c>
      <c r="D195" s="747">
        <v>1500.0</v>
      </c>
      <c r="E195" s="746">
        <v>10.0</v>
      </c>
    </row>
    <row r="196">
      <c r="A196" s="745" t="str">
        <f t="shared" si="1"/>
        <v>15Cadete</v>
      </c>
      <c r="B196" s="746">
        <v>15.0</v>
      </c>
      <c r="C196" s="745" t="s">
        <v>447</v>
      </c>
      <c r="D196" s="747">
        <v>250.0</v>
      </c>
      <c r="E196" s="746">
        <v>10.0</v>
      </c>
    </row>
    <row r="197">
      <c r="A197" s="745" t="str">
        <f t="shared" si="1"/>
        <v>15Multa</v>
      </c>
      <c r="B197" s="746">
        <v>15.0</v>
      </c>
      <c r="C197" s="745" t="s">
        <v>502</v>
      </c>
      <c r="D197" s="747">
        <v>360.0</v>
      </c>
      <c r="E197" s="746">
        <v>10.0</v>
      </c>
    </row>
    <row r="198">
      <c r="A198" s="745" t="str">
        <f t="shared" si="1"/>
        <v>15Depósito</v>
      </c>
      <c r="B198" s="746">
        <v>15.0</v>
      </c>
      <c r="C198" s="745" t="s">
        <v>5143</v>
      </c>
      <c r="D198" s="747">
        <v>150.0</v>
      </c>
      <c r="E198" s="746">
        <v>0.0</v>
      </c>
    </row>
    <row r="199">
      <c r="A199" s="745" t="str">
        <f t="shared" si="1"/>
        <v>15Invitado</v>
      </c>
      <c r="B199" s="746">
        <v>15.0</v>
      </c>
      <c r="C199" s="745" t="s">
        <v>5148</v>
      </c>
      <c r="D199" s="747">
        <v>300.0</v>
      </c>
      <c r="E199" s="746">
        <v>0.0</v>
      </c>
    </row>
    <row r="200">
      <c r="A200" s="745" t="str">
        <f t="shared" si="1"/>
        <v>15Invitado c/acceso a bajada náutica</v>
      </c>
      <c r="B200" s="746">
        <v>15.0</v>
      </c>
      <c r="C200" s="745" t="s">
        <v>5149</v>
      </c>
      <c r="D200" s="747">
        <v>500.0</v>
      </c>
      <c r="E200" s="746">
        <v>0.0</v>
      </c>
    </row>
    <row r="201">
      <c r="A201" s="745" t="str">
        <f t="shared" si="1"/>
        <v>15Bono canon</v>
      </c>
      <c r="B201" s="746">
        <v>15.0</v>
      </c>
      <c r="C201" s="745" t="s">
        <v>38</v>
      </c>
      <c r="D201" s="747">
        <v>200.0</v>
      </c>
      <c r="E201" s="746">
        <v>5.0</v>
      </c>
    </row>
    <row r="202">
      <c r="A202" s="748" t="str">
        <f t="shared" si="1"/>
        <v>16.Socio</v>
      </c>
      <c r="B202" s="748">
        <v>16.0</v>
      </c>
      <c r="C202" s="749" t="s">
        <v>5140</v>
      </c>
      <c r="D202" s="750">
        <v>600.0</v>
      </c>
      <c r="E202" s="751">
        <v>20.0</v>
      </c>
    </row>
    <row r="203">
      <c r="A203" s="748" t="str">
        <f t="shared" si="1"/>
        <v>16Cuna Kayak</v>
      </c>
      <c r="B203" s="748">
        <v>16.0</v>
      </c>
      <c r="C203" s="749" t="s">
        <v>5144</v>
      </c>
      <c r="D203" s="750">
        <v>450.0</v>
      </c>
      <c r="E203" s="751">
        <v>10.0</v>
      </c>
    </row>
    <row r="204">
      <c r="A204" s="748" t="str">
        <f t="shared" si="1"/>
        <v>16Cuna windsurf</v>
      </c>
      <c r="B204" s="748">
        <v>16.0</v>
      </c>
      <c r="C204" s="749" t="s">
        <v>5145</v>
      </c>
      <c r="D204" s="750">
        <v>450.0</v>
      </c>
      <c r="E204" s="751">
        <v>10.0</v>
      </c>
    </row>
    <row r="205">
      <c r="A205" s="748" t="str">
        <f t="shared" si="1"/>
        <v>16Locker</v>
      </c>
      <c r="B205" s="748">
        <v>16.0</v>
      </c>
      <c r="C205" s="749" t="s">
        <v>5065</v>
      </c>
      <c r="D205" s="752">
        <v>86.0</v>
      </c>
      <c r="E205" s="751">
        <v>10.0</v>
      </c>
    </row>
    <row r="206">
      <c r="A206" s="748" t="str">
        <f t="shared" si="1"/>
        <v>16lockerG</v>
      </c>
      <c r="B206" s="748">
        <v>16.0</v>
      </c>
      <c r="C206" s="749" t="s">
        <v>52</v>
      </c>
      <c r="D206" s="752">
        <v>95.0</v>
      </c>
      <c r="E206" s="751">
        <v>10.0</v>
      </c>
    </row>
    <row r="207">
      <c r="A207" s="748" t="str">
        <f t="shared" si="1"/>
        <v>16lockerK</v>
      </c>
      <c r="B207" s="748">
        <v>16.0</v>
      </c>
      <c r="C207" s="749" t="s">
        <v>501</v>
      </c>
      <c r="D207" s="752">
        <v>95.0</v>
      </c>
      <c r="E207" s="751">
        <v>10.0</v>
      </c>
    </row>
    <row r="208">
      <c r="A208" s="748" t="str">
        <f t="shared" si="1"/>
        <v>16Vela</v>
      </c>
      <c r="B208" s="748">
        <v>16.0</v>
      </c>
      <c r="C208" s="749" t="s">
        <v>5142</v>
      </c>
      <c r="D208" s="752">
        <f>1140/12</f>
        <v>95</v>
      </c>
      <c r="E208" s="751">
        <v>10.0</v>
      </c>
    </row>
    <row r="209">
      <c r="A209" s="748" t="str">
        <f t="shared" si="1"/>
        <v>16Velero</v>
      </c>
      <c r="B209" s="748">
        <v>16.0</v>
      </c>
      <c r="C209" s="749" t="s">
        <v>693</v>
      </c>
      <c r="D209" s="750">
        <v>450.0</v>
      </c>
      <c r="E209" s="751">
        <v>10.0</v>
      </c>
    </row>
    <row r="210">
      <c r="A210" s="748" t="str">
        <f t="shared" si="1"/>
        <v>16Der.Inscrip.</v>
      </c>
      <c r="B210" s="748">
        <v>16.0</v>
      </c>
      <c r="C210" s="749" t="s">
        <v>492</v>
      </c>
      <c r="D210" s="750">
        <v>1500.0</v>
      </c>
      <c r="E210" s="751">
        <v>10.0</v>
      </c>
    </row>
    <row r="211">
      <c r="A211" s="748" t="str">
        <f t="shared" si="1"/>
        <v>16Cadete</v>
      </c>
      <c r="B211" s="748">
        <v>16.0</v>
      </c>
      <c r="C211" s="749" t="s">
        <v>447</v>
      </c>
      <c r="D211" s="750">
        <v>250.0</v>
      </c>
      <c r="E211" s="751">
        <v>10.0</v>
      </c>
    </row>
    <row r="212">
      <c r="A212" s="748" t="str">
        <f t="shared" si="1"/>
        <v>16Multa</v>
      </c>
      <c r="B212" s="748">
        <v>16.0</v>
      </c>
      <c r="C212" s="749" t="s">
        <v>502</v>
      </c>
      <c r="D212" s="750">
        <v>360.0</v>
      </c>
      <c r="E212" s="751">
        <v>10.0</v>
      </c>
    </row>
    <row r="213">
      <c r="A213" s="748" t="str">
        <f t="shared" si="1"/>
        <v>16Depósito</v>
      </c>
      <c r="B213" s="748">
        <v>16.0</v>
      </c>
      <c r="C213" s="749" t="s">
        <v>5143</v>
      </c>
      <c r="D213" s="750">
        <v>150.0</v>
      </c>
      <c r="E213" s="751">
        <v>0.0</v>
      </c>
    </row>
    <row r="214">
      <c r="A214" s="748" t="str">
        <f t="shared" si="1"/>
        <v>16Invitado</v>
      </c>
      <c r="B214" s="748">
        <v>16.0</v>
      </c>
      <c r="C214" s="749" t="s">
        <v>5148</v>
      </c>
      <c r="D214" s="750">
        <v>300.0</v>
      </c>
      <c r="E214" s="751">
        <v>0.0</v>
      </c>
    </row>
    <row r="215">
      <c r="A215" s="748" t="str">
        <f t="shared" si="1"/>
        <v>16Invitado c/acceso a bajada náutica</v>
      </c>
      <c r="B215" s="748">
        <v>16.0</v>
      </c>
      <c r="C215" s="749" t="s">
        <v>5149</v>
      </c>
      <c r="D215" s="750">
        <v>500.0</v>
      </c>
      <c r="E215" s="751">
        <v>0.0</v>
      </c>
    </row>
    <row r="216">
      <c r="A216" s="748" t="str">
        <f t="shared" si="1"/>
        <v>16Bono canon</v>
      </c>
      <c r="B216" s="748">
        <v>16.0</v>
      </c>
      <c r="C216" s="749" t="s">
        <v>38</v>
      </c>
      <c r="D216" s="750">
        <v>200.0</v>
      </c>
      <c r="E216" s="751">
        <v>5.0</v>
      </c>
    </row>
    <row r="217">
      <c r="A217" s="753" t="str">
        <f t="shared" ref="A217:A369" si="2">CONCATENATE(B217,C217)</f>
        <v>17.Socio</v>
      </c>
      <c r="B217" s="754">
        <v>17.0</v>
      </c>
      <c r="C217" s="755" t="s">
        <v>5140</v>
      </c>
      <c r="D217" s="756">
        <v>720.0</v>
      </c>
      <c r="E217" s="753">
        <v>20.0</v>
      </c>
    </row>
    <row r="218">
      <c r="A218" s="753" t="str">
        <f t="shared" si="2"/>
        <v>17Cuna Kayak</v>
      </c>
      <c r="B218" s="754">
        <v>17.0</v>
      </c>
      <c r="C218" s="755" t="s">
        <v>5144</v>
      </c>
      <c r="D218" s="756">
        <v>540.0</v>
      </c>
      <c r="E218" s="753">
        <v>10.0</v>
      </c>
    </row>
    <row r="219">
      <c r="A219" s="753" t="str">
        <f t="shared" si="2"/>
        <v>17Cuna windsurf</v>
      </c>
      <c r="B219" s="754">
        <v>17.0</v>
      </c>
      <c r="C219" s="755" t="s">
        <v>5145</v>
      </c>
      <c r="D219" s="756">
        <v>540.0</v>
      </c>
      <c r="E219" s="753">
        <v>10.0</v>
      </c>
    </row>
    <row r="220">
      <c r="A220" s="753" t="str">
        <f t="shared" si="2"/>
        <v>17Locker</v>
      </c>
      <c r="B220" s="754">
        <v>17.0</v>
      </c>
      <c r="C220" s="755" t="s">
        <v>5065</v>
      </c>
      <c r="D220" s="757">
        <v>86.0</v>
      </c>
      <c r="E220" s="753">
        <v>10.0</v>
      </c>
    </row>
    <row r="221">
      <c r="A221" s="753" t="str">
        <f t="shared" si="2"/>
        <v>17lockerG</v>
      </c>
      <c r="B221" s="754">
        <v>17.0</v>
      </c>
      <c r="C221" s="755" t="s">
        <v>52</v>
      </c>
      <c r="D221" s="757">
        <v>95.0</v>
      </c>
      <c r="E221" s="753">
        <v>10.0</v>
      </c>
    </row>
    <row r="222">
      <c r="A222" s="753" t="str">
        <f t="shared" si="2"/>
        <v>17lockerK</v>
      </c>
      <c r="B222" s="754">
        <v>17.0</v>
      </c>
      <c r="C222" s="755" t="s">
        <v>501</v>
      </c>
      <c r="D222" s="757">
        <v>95.0</v>
      </c>
      <c r="E222" s="753">
        <v>10.0</v>
      </c>
    </row>
    <row r="223">
      <c r="A223" s="753" t="str">
        <f t="shared" si="2"/>
        <v>17Vela</v>
      </c>
      <c r="B223" s="754">
        <v>17.0</v>
      </c>
      <c r="C223" s="755" t="s">
        <v>5142</v>
      </c>
      <c r="D223" s="757">
        <f>1140/12</f>
        <v>95</v>
      </c>
      <c r="E223" s="753">
        <v>10.0</v>
      </c>
    </row>
    <row r="224">
      <c r="A224" s="753" t="str">
        <f t="shared" si="2"/>
        <v>17Velero</v>
      </c>
      <c r="B224" s="754">
        <v>17.0</v>
      </c>
      <c r="C224" s="755" t="s">
        <v>693</v>
      </c>
      <c r="D224" s="756">
        <v>540.0</v>
      </c>
      <c r="E224" s="753">
        <v>10.0</v>
      </c>
    </row>
    <row r="225">
      <c r="A225" s="753" t="str">
        <f t="shared" si="2"/>
        <v>17Der.Inscrip.</v>
      </c>
      <c r="B225" s="754">
        <v>17.0</v>
      </c>
      <c r="C225" s="755" t="s">
        <v>492</v>
      </c>
      <c r="D225" s="757">
        <v>1500.0</v>
      </c>
      <c r="E225" s="753">
        <v>10.0</v>
      </c>
    </row>
    <row r="226">
      <c r="A226" s="753" t="str">
        <f t="shared" si="2"/>
        <v>17Cadete</v>
      </c>
      <c r="B226" s="754">
        <v>17.0</v>
      </c>
      <c r="C226" s="755" t="s">
        <v>447</v>
      </c>
      <c r="D226" s="757">
        <v>250.0</v>
      </c>
      <c r="E226" s="753">
        <v>10.0</v>
      </c>
    </row>
    <row r="227">
      <c r="A227" s="753" t="str">
        <f t="shared" si="2"/>
        <v>17Multa</v>
      </c>
      <c r="B227" s="754">
        <v>17.0</v>
      </c>
      <c r="C227" s="755" t="s">
        <v>502</v>
      </c>
      <c r="D227" s="757">
        <v>360.0</v>
      </c>
      <c r="E227" s="753">
        <v>10.0</v>
      </c>
    </row>
    <row r="228">
      <c r="A228" s="753" t="str">
        <f t="shared" si="2"/>
        <v>17Depósito</v>
      </c>
      <c r="B228" s="754">
        <v>17.0</v>
      </c>
      <c r="C228" s="755" t="s">
        <v>5143</v>
      </c>
      <c r="D228" s="757">
        <v>150.0</v>
      </c>
      <c r="E228" s="753">
        <v>0.0</v>
      </c>
    </row>
    <row r="229">
      <c r="A229" s="753" t="str">
        <f t="shared" si="2"/>
        <v>17Invitado</v>
      </c>
      <c r="B229" s="754">
        <v>17.0</v>
      </c>
      <c r="C229" s="755" t="s">
        <v>5148</v>
      </c>
      <c r="D229" s="756">
        <v>350.0</v>
      </c>
      <c r="E229" s="753">
        <v>0.0</v>
      </c>
    </row>
    <row r="230">
      <c r="A230" s="753" t="str">
        <f t="shared" si="2"/>
        <v>17Invitado c/acceso a bajada náutica</v>
      </c>
      <c r="B230" s="754">
        <v>17.0</v>
      </c>
      <c r="C230" s="755" t="s">
        <v>5149</v>
      </c>
      <c r="D230" s="757">
        <v>500.0</v>
      </c>
      <c r="E230" s="753">
        <v>0.0</v>
      </c>
    </row>
    <row r="231">
      <c r="A231" s="753" t="str">
        <f t="shared" si="2"/>
        <v>17Bono canon</v>
      </c>
      <c r="B231" s="754">
        <v>17.0</v>
      </c>
      <c r="C231" s="755" t="s">
        <v>38</v>
      </c>
      <c r="D231" s="756">
        <v>270.0</v>
      </c>
      <c r="E231" s="753">
        <v>5.0</v>
      </c>
    </row>
    <row r="232">
      <c r="A232" s="758" t="str">
        <f t="shared" si="2"/>
        <v>18.Socio</v>
      </c>
      <c r="B232" s="759">
        <v>18.0</v>
      </c>
      <c r="C232" s="760" t="s">
        <v>5140</v>
      </c>
      <c r="D232" s="761">
        <v>720.0</v>
      </c>
      <c r="E232" s="758">
        <v>20.0</v>
      </c>
    </row>
    <row r="233">
      <c r="A233" s="762" t="str">
        <f t="shared" si="2"/>
        <v>18Cuna Kayak</v>
      </c>
      <c r="B233" s="763">
        <v>18.0</v>
      </c>
      <c r="C233" s="764" t="s">
        <v>5144</v>
      </c>
      <c r="D233" s="765">
        <v>540.0</v>
      </c>
      <c r="E233" s="762">
        <v>10.0</v>
      </c>
    </row>
    <row r="234">
      <c r="A234" s="762" t="str">
        <f t="shared" si="2"/>
        <v>18Cuna windsurf</v>
      </c>
      <c r="B234" s="763">
        <v>18.0</v>
      </c>
      <c r="C234" s="764" t="s">
        <v>5145</v>
      </c>
      <c r="D234" s="765">
        <v>540.0</v>
      </c>
      <c r="E234" s="762">
        <v>10.0</v>
      </c>
    </row>
    <row r="235">
      <c r="A235" s="762" t="str">
        <f t="shared" si="2"/>
        <v>18Locker</v>
      </c>
      <c r="B235" s="763">
        <v>18.0</v>
      </c>
      <c r="C235" s="764" t="s">
        <v>5065</v>
      </c>
      <c r="D235" s="765">
        <v>86.0</v>
      </c>
      <c r="E235" s="762">
        <v>10.0</v>
      </c>
    </row>
    <row r="236">
      <c r="A236" s="762" t="str">
        <f t="shared" si="2"/>
        <v>18lockerG</v>
      </c>
      <c r="B236" s="763">
        <v>18.0</v>
      </c>
      <c r="C236" s="764" t="s">
        <v>52</v>
      </c>
      <c r="D236" s="765">
        <v>95.0</v>
      </c>
      <c r="E236" s="762">
        <v>10.0</v>
      </c>
    </row>
    <row r="237">
      <c r="A237" s="762" t="str">
        <f t="shared" si="2"/>
        <v>18lockerK</v>
      </c>
      <c r="B237" s="763">
        <v>18.0</v>
      </c>
      <c r="C237" s="764" t="s">
        <v>501</v>
      </c>
      <c r="D237" s="765">
        <v>95.0</v>
      </c>
      <c r="E237" s="762">
        <v>10.0</v>
      </c>
    </row>
    <row r="238">
      <c r="A238" s="762" t="str">
        <f t="shared" si="2"/>
        <v>18Vela</v>
      </c>
      <c r="B238" s="763">
        <v>18.0</v>
      </c>
      <c r="C238" s="764" t="s">
        <v>5142</v>
      </c>
      <c r="D238" s="765">
        <f>1140/12</f>
        <v>95</v>
      </c>
      <c r="E238" s="762">
        <v>10.0</v>
      </c>
    </row>
    <row r="239">
      <c r="A239" s="762" t="str">
        <f t="shared" si="2"/>
        <v>18Velero</v>
      </c>
      <c r="B239" s="763">
        <v>18.0</v>
      </c>
      <c r="C239" s="764" t="s">
        <v>693</v>
      </c>
      <c r="D239" s="765">
        <v>540.0</v>
      </c>
      <c r="E239" s="762">
        <v>10.0</v>
      </c>
    </row>
    <row r="240">
      <c r="A240" s="762" t="str">
        <f t="shared" si="2"/>
        <v>18Der.Inscrip.</v>
      </c>
      <c r="B240" s="763">
        <v>18.0</v>
      </c>
      <c r="C240" s="764" t="s">
        <v>492</v>
      </c>
      <c r="D240" s="766">
        <v>2500.0</v>
      </c>
      <c r="E240" s="762">
        <v>10.0</v>
      </c>
    </row>
    <row r="241">
      <c r="A241" s="762" t="str">
        <f t="shared" si="2"/>
        <v>18Cadete</v>
      </c>
      <c r="B241" s="763">
        <v>18.0</v>
      </c>
      <c r="C241" s="764" t="s">
        <v>447</v>
      </c>
      <c r="D241" s="765">
        <v>250.0</v>
      </c>
      <c r="E241" s="762">
        <v>10.0</v>
      </c>
    </row>
    <row r="242">
      <c r="A242" s="762" t="str">
        <f t="shared" si="2"/>
        <v>18Multa</v>
      </c>
      <c r="B242" s="763">
        <v>18.0</v>
      </c>
      <c r="C242" s="764" t="s">
        <v>502</v>
      </c>
      <c r="D242" s="765">
        <v>360.0</v>
      </c>
      <c r="E242" s="762">
        <v>10.0</v>
      </c>
    </row>
    <row r="243">
      <c r="A243" s="762" t="str">
        <f t="shared" si="2"/>
        <v>18Depósito</v>
      </c>
      <c r="B243" s="763">
        <v>18.0</v>
      </c>
      <c r="C243" s="764" t="s">
        <v>5143</v>
      </c>
      <c r="D243" s="765">
        <v>150.0</v>
      </c>
      <c r="E243" s="762">
        <v>0.0</v>
      </c>
    </row>
    <row r="244">
      <c r="A244" s="762" t="str">
        <f t="shared" si="2"/>
        <v>18Invitado</v>
      </c>
      <c r="B244" s="763">
        <v>18.0</v>
      </c>
      <c r="C244" s="764" t="s">
        <v>5148</v>
      </c>
      <c r="D244" s="765">
        <v>350.0</v>
      </c>
      <c r="E244" s="762">
        <v>0.0</v>
      </c>
    </row>
    <row r="245">
      <c r="A245" s="762" t="str">
        <f t="shared" si="2"/>
        <v>18Invitado c/acceso a bajada náutica</v>
      </c>
      <c r="B245" s="763">
        <v>18.0</v>
      </c>
      <c r="C245" s="764" t="s">
        <v>5149</v>
      </c>
      <c r="D245" s="765">
        <v>500.0</v>
      </c>
      <c r="E245" s="762">
        <v>0.0</v>
      </c>
    </row>
    <row r="246">
      <c r="A246" s="762" t="str">
        <f t="shared" si="2"/>
        <v>18Bono canon</v>
      </c>
      <c r="B246" s="763">
        <v>18.0</v>
      </c>
      <c r="C246" s="764" t="s">
        <v>38</v>
      </c>
      <c r="D246" s="765">
        <v>270.0</v>
      </c>
      <c r="E246" s="762">
        <v>5.0</v>
      </c>
    </row>
    <row r="247">
      <c r="A247" s="767" t="str">
        <f t="shared" si="2"/>
        <v>19.Socio</v>
      </c>
      <c r="B247" s="768">
        <v>19.0</v>
      </c>
      <c r="C247" s="769" t="s">
        <v>5140</v>
      </c>
      <c r="D247" s="770">
        <v>720.0</v>
      </c>
      <c r="E247" s="767">
        <v>20.0</v>
      </c>
    </row>
    <row r="248">
      <c r="A248" s="771" t="str">
        <f t="shared" si="2"/>
        <v>19Cuna Kayak</v>
      </c>
      <c r="B248" s="772">
        <v>19.0</v>
      </c>
      <c r="C248" s="773" t="s">
        <v>5144</v>
      </c>
      <c r="D248" s="774">
        <v>540.0</v>
      </c>
      <c r="E248" s="771">
        <v>10.0</v>
      </c>
    </row>
    <row r="249">
      <c r="A249" s="771" t="str">
        <f t="shared" si="2"/>
        <v>19Cuna windsurf</v>
      </c>
      <c r="B249" s="772">
        <v>19.0</v>
      </c>
      <c r="C249" s="773" t="s">
        <v>5145</v>
      </c>
      <c r="D249" s="774">
        <v>540.0</v>
      </c>
      <c r="E249" s="771">
        <v>10.0</v>
      </c>
    </row>
    <row r="250">
      <c r="A250" s="771" t="str">
        <f t="shared" si="2"/>
        <v>19Locker</v>
      </c>
      <c r="B250" s="772">
        <v>19.0</v>
      </c>
      <c r="C250" s="773" t="s">
        <v>5065</v>
      </c>
      <c r="D250" s="775">
        <v>120.0</v>
      </c>
      <c r="E250" s="771">
        <v>10.0</v>
      </c>
    </row>
    <row r="251">
      <c r="A251" s="771" t="str">
        <f t="shared" si="2"/>
        <v>19lockerG</v>
      </c>
      <c r="B251" s="772">
        <v>19.0</v>
      </c>
      <c r="C251" s="773" t="s">
        <v>52</v>
      </c>
      <c r="D251" s="775">
        <v>135.0</v>
      </c>
      <c r="E251" s="771">
        <v>10.0</v>
      </c>
    </row>
    <row r="252">
      <c r="A252" s="771" t="str">
        <f t="shared" si="2"/>
        <v>19lockerK</v>
      </c>
      <c r="B252" s="772">
        <v>19.0</v>
      </c>
      <c r="C252" s="773" t="s">
        <v>501</v>
      </c>
      <c r="D252" s="775">
        <v>135.0</v>
      </c>
      <c r="E252" s="771">
        <v>10.0</v>
      </c>
    </row>
    <row r="253">
      <c r="A253" s="771" t="str">
        <f t="shared" si="2"/>
        <v>19Vela</v>
      </c>
      <c r="B253" s="772">
        <v>19.0</v>
      </c>
      <c r="C253" s="773" t="s">
        <v>5142</v>
      </c>
      <c r="D253" s="775">
        <v>135.0</v>
      </c>
      <c r="E253" s="771">
        <v>10.0</v>
      </c>
    </row>
    <row r="254">
      <c r="A254" s="771" t="str">
        <f t="shared" si="2"/>
        <v>19Velero</v>
      </c>
      <c r="B254" s="772">
        <v>19.0</v>
      </c>
      <c r="C254" s="773" t="s">
        <v>693</v>
      </c>
      <c r="D254" s="774">
        <v>540.0</v>
      </c>
      <c r="E254" s="771">
        <v>10.0</v>
      </c>
    </row>
    <row r="255">
      <c r="A255" s="771" t="str">
        <f t="shared" si="2"/>
        <v>19Der.Inscrip.</v>
      </c>
      <c r="B255" s="772">
        <v>19.0</v>
      </c>
      <c r="C255" s="773" t="s">
        <v>492</v>
      </c>
      <c r="D255" s="775">
        <v>2500.0</v>
      </c>
      <c r="E255" s="771">
        <v>10.0</v>
      </c>
    </row>
    <row r="256">
      <c r="A256" s="771" t="str">
        <f t="shared" si="2"/>
        <v>19Cadete</v>
      </c>
      <c r="B256" s="772">
        <v>19.0</v>
      </c>
      <c r="C256" s="773" t="s">
        <v>447</v>
      </c>
      <c r="D256" s="774">
        <v>250.0</v>
      </c>
      <c r="E256" s="771">
        <v>10.0</v>
      </c>
    </row>
    <row r="257">
      <c r="A257" s="771" t="str">
        <f t="shared" si="2"/>
        <v>19Multa</v>
      </c>
      <c r="B257" s="772">
        <v>19.0</v>
      </c>
      <c r="C257" s="773" t="s">
        <v>502</v>
      </c>
      <c r="D257" s="774">
        <v>360.0</v>
      </c>
      <c r="E257" s="771">
        <v>10.0</v>
      </c>
    </row>
    <row r="258">
      <c r="A258" s="771" t="str">
        <f t="shared" si="2"/>
        <v>19Depósito</v>
      </c>
      <c r="B258" s="772">
        <v>19.0</v>
      </c>
      <c r="C258" s="773" t="s">
        <v>5143</v>
      </c>
      <c r="D258" s="774">
        <v>150.0</v>
      </c>
      <c r="E258" s="771">
        <v>0.0</v>
      </c>
    </row>
    <row r="259">
      <c r="A259" s="771" t="str">
        <f t="shared" si="2"/>
        <v>19Invitado</v>
      </c>
      <c r="B259" s="772">
        <v>19.0</v>
      </c>
      <c r="C259" s="773" t="s">
        <v>5148</v>
      </c>
      <c r="D259" s="774">
        <v>350.0</v>
      </c>
      <c r="E259" s="771">
        <v>0.0</v>
      </c>
    </row>
    <row r="260">
      <c r="A260" s="771" t="str">
        <f t="shared" si="2"/>
        <v>19Invitado c/acceso a bajada náutica</v>
      </c>
      <c r="B260" s="772">
        <v>19.0</v>
      </c>
      <c r="C260" s="773" t="s">
        <v>5149</v>
      </c>
      <c r="D260" s="774">
        <v>500.0</v>
      </c>
      <c r="E260" s="771">
        <v>0.0</v>
      </c>
    </row>
    <row r="261">
      <c r="A261" s="771" t="str">
        <f t="shared" si="2"/>
        <v>19Bono canon</v>
      </c>
      <c r="B261" s="772">
        <v>19.0</v>
      </c>
      <c r="C261" s="773" t="s">
        <v>38</v>
      </c>
      <c r="D261" s="774">
        <v>270.0</v>
      </c>
      <c r="E261" s="771">
        <v>5.0</v>
      </c>
    </row>
    <row r="262">
      <c r="A262" s="776" t="str">
        <f t="shared" si="2"/>
        <v>20.Socio</v>
      </c>
      <c r="B262" s="777">
        <v>20.0</v>
      </c>
      <c r="C262" s="778" t="s">
        <v>5140</v>
      </c>
      <c r="D262" s="779">
        <v>720.0</v>
      </c>
      <c r="E262" s="776">
        <v>20.0</v>
      </c>
    </row>
    <row r="263">
      <c r="A263" s="780" t="str">
        <f t="shared" si="2"/>
        <v>20Cuna Kayak</v>
      </c>
      <c r="B263" s="781">
        <v>20.0</v>
      </c>
      <c r="C263" s="782" t="s">
        <v>5144</v>
      </c>
      <c r="D263" s="783">
        <v>540.0</v>
      </c>
      <c r="E263" s="780">
        <v>10.0</v>
      </c>
    </row>
    <row r="264">
      <c r="A264" s="780" t="str">
        <f t="shared" si="2"/>
        <v>20Cuna windsurf</v>
      </c>
      <c r="B264" s="781">
        <v>20.0</v>
      </c>
      <c r="C264" s="782" t="s">
        <v>5145</v>
      </c>
      <c r="D264" s="783">
        <v>540.0</v>
      </c>
      <c r="E264" s="780">
        <v>10.0</v>
      </c>
    </row>
    <row r="265">
      <c r="A265" s="780" t="str">
        <f t="shared" si="2"/>
        <v>20Locker</v>
      </c>
      <c r="B265" s="781">
        <v>20.0</v>
      </c>
      <c r="C265" s="782" t="s">
        <v>5065</v>
      </c>
      <c r="D265" s="784">
        <v>120.0</v>
      </c>
      <c r="E265" s="780">
        <v>10.0</v>
      </c>
    </row>
    <row r="266">
      <c r="A266" s="780" t="str">
        <f t="shared" si="2"/>
        <v>20lockerG</v>
      </c>
      <c r="B266" s="781">
        <v>20.0</v>
      </c>
      <c r="C266" s="782" t="s">
        <v>52</v>
      </c>
      <c r="D266" s="784">
        <v>135.0</v>
      </c>
      <c r="E266" s="780">
        <v>10.0</v>
      </c>
    </row>
    <row r="267">
      <c r="A267" s="780" t="str">
        <f t="shared" si="2"/>
        <v>20lockerK</v>
      </c>
      <c r="B267" s="781">
        <v>20.0</v>
      </c>
      <c r="C267" s="782" t="s">
        <v>501</v>
      </c>
      <c r="D267" s="784">
        <v>135.0</v>
      </c>
      <c r="E267" s="780">
        <v>10.0</v>
      </c>
    </row>
    <row r="268">
      <c r="A268" s="780" t="str">
        <f t="shared" si="2"/>
        <v>20Vela</v>
      </c>
      <c r="B268" s="781">
        <v>20.0</v>
      </c>
      <c r="C268" s="782" t="s">
        <v>5142</v>
      </c>
      <c r="D268" s="784">
        <v>135.0</v>
      </c>
      <c r="E268" s="780">
        <v>10.0</v>
      </c>
    </row>
    <row r="269">
      <c r="A269" s="780" t="str">
        <f t="shared" si="2"/>
        <v>20Velero</v>
      </c>
      <c r="B269" s="781">
        <v>20.0</v>
      </c>
      <c r="C269" s="782" t="s">
        <v>693</v>
      </c>
      <c r="D269" s="783">
        <v>540.0</v>
      </c>
      <c r="E269" s="780">
        <v>10.0</v>
      </c>
    </row>
    <row r="270">
      <c r="A270" s="780" t="str">
        <f t="shared" si="2"/>
        <v>20Der.Inscrip.</v>
      </c>
      <c r="B270" s="781">
        <v>20.0</v>
      </c>
      <c r="C270" s="782" t="s">
        <v>492</v>
      </c>
      <c r="D270" s="784">
        <v>2500.0</v>
      </c>
      <c r="E270" s="780">
        <v>10.0</v>
      </c>
    </row>
    <row r="271">
      <c r="A271" s="780" t="str">
        <f t="shared" si="2"/>
        <v>20Cadete</v>
      </c>
      <c r="B271" s="781">
        <v>20.0</v>
      </c>
      <c r="C271" s="782" t="s">
        <v>447</v>
      </c>
      <c r="D271" s="783">
        <v>250.0</v>
      </c>
      <c r="E271" s="780">
        <v>10.0</v>
      </c>
    </row>
    <row r="272">
      <c r="A272" s="780" t="str">
        <f t="shared" si="2"/>
        <v>20Multa</v>
      </c>
      <c r="B272" s="781">
        <v>20.0</v>
      </c>
      <c r="C272" s="782" t="s">
        <v>502</v>
      </c>
      <c r="D272" s="783">
        <v>360.0</v>
      </c>
      <c r="E272" s="780">
        <v>10.0</v>
      </c>
    </row>
    <row r="273">
      <c r="A273" s="780" t="str">
        <f t="shared" si="2"/>
        <v>20Depósito</v>
      </c>
      <c r="B273" s="781">
        <v>20.0</v>
      </c>
      <c r="C273" s="782" t="s">
        <v>5143</v>
      </c>
      <c r="D273" s="783">
        <v>150.0</v>
      </c>
      <c r="E273" s="780">
        <v>0.0</v>
      </c>
    </row>
    <row r="274">
      <c r="A274" s="780" t="str">
        <f t="shared" si="2"/>
        <v>20Invitado</v>
      </c>
      <c r="B274" s="781">
        <v>20.0</v>
      </c>
      <c r="C274" s="782" t="s">
        <v>5148</v>
      </c>
      <c r="D274" s="783">
        <v>350.0</v>
      </c>
      <c r="E274" s="780">
        <v>0.0</v>
      </c>
    </row>
    <row r="275">
      <c r="A275" s="780" t="str">
        <f t="shared" si="2"/>
        <v>20Invitado c/acceso a bajada náutica</v>
      </c>
      <c r="B275" s="781">
        <v>20.0</v>
      </c>
      <c r="C275" s="782" t="s">
        <v>5149</v>
      </c>
      <c r="D275" s="783">
        <v>500.0</v>
      </c>
      <c r="E275" s="780">
        <v>0.0</v>
      </c>
    </row>
    <row r="276">
      <c r="A276" s="780" t="str">
        <f t="shared" si="2"/>
        <v>20Bono canon</v>
      </c>
      <c r="B276" s="781">
        <v>20.0</v>
      </c>
      <c r="C276" s="782" t="s">
        <v>38</v>
      </c>
      <c r="D276" s="784">
        <v>470.0</v>
      </c>
      <c r="E276" s="780">
        <v>5.0</v>
      </c>
    </row>
    <row r="277">
      <c r="A277" s="785" t="str">
        <f t="shared" si="2"/>
        <v>21.Socio</v>
      </c>
      <c r="B277" s="786">
        <v>21.0</v>
      </c>
      <c r="C277" s="787" t="s">
        <v>5140</v>
      </c>
      <c r="D277" s="788">
        <v>920.0</v>
      </c>
      <c r="E277" s="785">
        <v>20.0</v>
      </c>
    </row>
    <row r="278">
      <c r="A278" s="789" t="str">
        <f t="shared" si="2"/>
        <v>21Cuna Kayak</v>
      </c>
      <c r="B278" s="790">
        <v>21.0</v>
      </c>
      <c r="C278" s="791" t="s">
        <v>5144</v>
      </c>
      <c r="D278" s="792">
        <v>700.0</v>
      </c>
      <c r="E278" s="789">
        <v>10.0</v>
      </c>
    </row>
    <row r="279">
      <c r="A279" s="789" t="str">
        <f t="shared" si="2"/>
        <v>21Cuna windsurf</v>
      </c>
      <c r="B279" s="790">
        <v>21.0</v>
      </c>
      <c r="C279" s="791" t="s">
        <v>5145</v>
      </c>
      <c r="D279" s="792">
        <v>700.0</v>
      </c>
      <c r="E279" s="789">
        <v>10.0</v>
      </c>
    </row>
    <row r="280">
      <c r="A280" s="789" t="str">
        <f t="shared" si="2"/>
        <v>21Locker</v>
      </c>
      <c r="B280" s="790">
        <v>21.0</v>
      </c>
      <c r="C280" s="791" t="s">
        <v>5065</v>
      </c>
      <c r="D280" s="792">
        <v>150.0</v>
      </c>
      <c r="E280" s="789">
        <v>10.0</v>
      </c>
    </row>
    <row r="281">
      <c r="A281" s="789" t="str">
        <f t="shared" si="2"/>
        <v>21lockerG</v>
      </c>
      <c r="B281" s="790">
        <v>21.0</v>
      </c>
      <c r="C281" s="791" t="s">
        <v>52</v>
      </c>
      <c r="D281" s="792">
        <v>170.0</v>
      </c>
      <c r="E281" s="789">
        <v>10.0</v>
      </c>
    </row>
    <row r="282">
      <c r="A282" s="789" t="str">
        <f t="shared" si="2"/>
        <v>21lockerK</v>
      </c>
      <c r="B282" s="790">
        <v>21.0</v>
      </c>
      <c r="C282" s="791" t="s">
        <v>501</v>
      </c>
      <c r="D282" s="792">
        <v>170.0</v>
      </c>
      <c r="E282" s="789">
        <v>10.0</v>
      </c>
    </row>
    <row r="283">
      <c r="A283" s="789" t="str">
        <f t="shared" si="2"/>
        <v>21Vela</v>
      </c>
      <c r="B283" s="790">
        <v>21.0</v>
      </c>
      <c r="C283" s="791" t="s">
        <v>5142</v>
      </c>
      <c r="D283" s="792">
        <v>170.0</v>
      </c>
      <c r="E283" s="789">
        <v>10.0</v>
      </c>
    </row>
    <row r="284">
      <c r="A284" s="789" t="str">
        <f t="shared" si="2"/>
        <v>21Velero</v>
      </c>
      <c r="B284" s="790">
        <v>21.0</v>
      </c>
      <c r="C284" s="791" t="s">
        <v>693</v>
      </c>
      <c r="D284" s="792">
        <v>700.0</v>
      </c>
      <c r="E284" s="789">
        <v>10.0</v>
      </c>
    </row>
    <row r="285">
      <c r="A285" s="789" t="str">
        <f t="shared" si="2"/>
        <v>21Der.Inscrip.</v>
      </c>
      <c r="B285" s="790">
        <v>21.0</v>
      </c>
      <c r="C285" s="791" t="s">
        <v>492</v>
      </c>
      <c r="D285" s="792">
        <v>2500.0</v>
      </c>
      <c r="E285" s="789">
        <v>10.0</v>
      </c>
    </row>
    <row r="286">
      <c r="A286" s="789" t="str">
        <f t="shared" si="2"/>
        <v>21Cadete</v>
      </c>
      <c r="B286" s="790">
        <v>21.0</v>
      </c>
      <c r="C286" s="791" t="s">
        <v>447</v>
      </c>
      <c r="D286" s="793">
        <v>250.0</v>
      </c>
      <c r="E286" s="789">
        <v>10.0</v>
      </c>
    </row>
    <row r="287">
      <c r="A287" s="789" t="str">
        <f t="shared" si="2"/>
        <v>21Multa</v>
      </c>
      <c r="B287" s="790">
        <v>21.0</v>
      </c>
      <c r="C287" s="791" t="s">
        <v>502</v>
      </c>
      <c r="D287" s="793">
        <v>360.0</v>
      </c>
      <c r="E287" s="789">
        <v>10.0</v>
      </c>
    </row>
    <row r="288">
      <c r="A288" s="789" t="str">
        <f t="shared" si="2"/>
        <v>21Depósito</v>
      </c>
      <c r="B288" s="790">
        <v>21.0</v>
      </c>
      <c r="C288" s="791" t="s">
        <v>5143</v>
      </c>
      <c r="D288" s="793">
        <v>150.0</v>
      </c>
      <c r="E288" s="789">
        <v>0.0</v>
      </c>
    </row>
    <row r="289">
      <c r="A289" s="789" t="str">
        <f t="shared" si="2"/>
        <v>21Invitado</v>
      </c>
      <c r="B289" s="790">
        <v>21.0</v>
      </c>
      <c r="C289" s="791" t="s">
        <v>5148</v>
      </c>
      <c r="D289" s="793">
        <v>350.0</v>
      </c>
      <c r="E289" s="789">
        <v>0.0</v>
      </c>
    </row>
    <row r="290">
      <c r="A290" s="789" t="str">
        <f t="shared" si="2"/>
        <v>21Invitado c/acceso a bajada náutica</v>
      </c>
      <c r="B290" s="790">
        <v>21.0</v>
      </c>
      <c r="C290" s="791" t="s">
        <v>5149</v>
      </c>
      <c r="D290" s="793">
        <v>500.0</v>
      </c>
      <c r="E290" s="789">
        <v>0.0</v>
      </c>
    </row>
    <row r="291">
      <c r="A291" s="789" t="str">
        <f t="shared" si="2"/>
        <v>21Bono canon</v>
      </c>
      <c r="B291" s="790">
        <v>21.0</v>
      </c>
      <c r="C291" s="791" t="s">
        <v>38</v>
      </c>
      <c r="D291" s="792">
        <v>600.0</v>
      </c>
      <c r="E291" s="789">
        <v>5.0</v>
      </c>
    </row>
    <row r="292">
      <c r="A292" s="794" t="str">
        <f t="shared" si="2"/>
        <v>22.Socio</v>
      </c>
      <c r="B292" s="795">
        <v>22.0</v>
      </c>
      <c r="C292" s="796" t="s">
        <v>5140</v>
      </c>
      <c r="D292" s="797">
        <v>920.0</v>
      </c>
      <c r="E292" s="794">
        <v>20.0</v>
      </c>
    </row>
    <row r="293">
      <c r="A293" s="798" t="str">
        <f t="shared" si="2"/>
        <v>22Cuna Kayak</v>
      </c>
      <c r="B293" s="799">
        <v>22.0</v>
      </c>
      <c r="C293" s="800" t="s">
        <v>5144</v>
      </c>
      <c r="D293" s="801">
        <v>700.0</v>
      </c>
      <c r="E293" s="798">
        <v>10.0</v>
      </c>
    </row>
    <row r="294">
      <c r="A294" s="798" t="str">
        <f t="shared" si="2"/>
        <v>22Cuna windsurf</v>
      </c>
      <c r="B294" s="799">
        <v>22.0</v>
      </c>
      <c r="C294" s="800" t="s">
        <v>5145</v>
      </c>
      <c r="D294" s="801">
        <v>700.0</v>
      </c>
      <c r="E294" s="798">
        <v>10.0</v>
      </c>
    </row>
    <row r="295">
      <c r="A295" s="798" t="str">
        <f t="shared" si="2"/>
        <v>22Locker</v>
      </c>
      <c r="B295" s="799">
        <v>22.0</v>
      </c>
      <c r="C295" s="800" t="s">
        <v>5065</v>
      </c>
      <c r="D295" s="801">
        <v>150.0</v>
      </c>
      <c r="E295" s="798">
        <v>10.0</v>
      </c>
    </row>
    <row r="296">
      <c r="A296" s="798" t="str">
        <f t="shared" si="2"/>
        <v>22lockerG</v>
      </c>
      <c r="B296" s="799">
        <v>22.0</v>
      </c>
      <c r="C296" s="800" t="s">
        <v>52</v>
      </c>
      <c r="D296" s="801">
        <v>170.0</v>
      </c>
      <c r="E296" s="798">
        <v>10.0</v>
      </c>
    </row>
    <row r="297">
      <c r="A297" s="798" t="str">
        <f t="shared" si="2"/>
        <v>22lockerK</v>
      </c>
      <c r="B297" s="799">
        <v>22.0</v>
      </c>
      <c r="C297" s="800" t="s">
        <v>501</v>
      </c>
      <c r="D297" s="801">
        <v>170.0</v>
      </c>
      <c r="E297" s="798">
        <v>10.0</v>
      </c>
    </row>
    <row r="298">
      <c r="A298" s="798" t="str">
        <f t="shared" si="2"/>
        <v>22Vela</v>
      </c>
      <c r="B298" s="799">
        <v>22.0</v>
      </c>
      <c r="C298" s="800" t="s">
        <v>5142</v>
      </c>
      <c r="D298" s="801">
        <v>170.0</v>
      </c>
      <c r="E298" s="798">
        <v>10.0</v>
      </c>
    </row>
    <row r="299">
      <c r="A299" s="798" t="str">
        <f t="shared" si="2"/>
        <v>22Velero</v>
      </c>
      <c r="B299" s="799">
        <v>22.0</v>
      </c>
      <c r="C299" s="800" t="s">
        <v>693</v>
      </c>
      <c r="D299" s="801">
        <v>700.0</v>
      </c>
      <c r="E299" s="798">
        <v>10.0</v>
      </c>
    </row>
    <row r="300">
      <c r="A300" s="798" t="str">
        <f t="shared" si="2"/>
        <v>22Der.Inscrip.</v>
      </c>
      <c r="B300" s="799">
        <v>22.0</v>
      </c>
      <c r="C300" s="800" t="s">
        <v>492</v>
      </c>
      <c r="D300" s="801">
        <v>3000.0</v>
      </c>
      <c r="E300" s="798">
        <v>10.0</v>
      </c>
    </row>
    <row r="301">
      <c r="A301" s="798" t="str">
        <f t="shared" si="2"/>
        <v>22Cadete</v>
      </c>
      <c r="B301" s="799">
        <v>22.0</v>
      </c>
      <c r="C301" s="800" t="s">
        <v>447</v>
      </c>
      <c r="D301" s="802">
        <v>250.0</v>
      </c>
      <c r="E301" s="798">
        <v>10.0</v>
      </c>
    </row>
    <row r="302">
      <c r="A302" s="798" t="str">
        <f t="shared" si="2"/>
        <v>22Multa</v>
      </c>
      <c r="B302" s="799">
        <v>22.0</v>
      </c>
      <c r="C302" s="800" t="s">
        <v>502</v>
      </c>
      <c r="D302" s="802">
        <v>360.0</v>
      </c>
      <c r="E302" s="798">
        <v>10.0</v>
      </c>
    </row>
    <row r="303">
      <c r="A303" s="798" t="str">
        <f t="shared" si="2"/>
        <v>22Depósito</v>
      </c>
      <c r="B303" s="799">
        <v>22.0</v>
      </c>
      <c r="C303" s="800" t="s">
        <v>5143</v>
      </c>
      <c r="D303" s="802">
        <v>150.0</v>
      </c>
      <c r="E303" s="798">
        <v>0.0</v>
      </c>
    </row>
    <row r="304">
      <c r="A304" s="798" t="str">
        <f t="shared" si="2"/>
        <v>22Invitado</v>
      </c>
      <c r="B304" s="799">
        <v>22.0</v>
      </c>
      <c r="C304" s="800" t="s">
        <v>5148</v>
      </c>
      <c r="D304" s="802">
        <v>350.0</v>
      </c>
      <c r="E304" s="798">
        <v>0.0</v>
      </c>
    </row>
    <row r="305">
      <c r="A305" s="798" t="str">
        <f t="shared" si="2"/>
        <v>22Invitado c/acceso a bajada náutica</v>
      </c>
      <c r="B305" s="799">
        <v>22.0</v>
      </c>
      <c r="C305" s="800" t="s">
        <v>5149</v>
      </c>
      <c r="D305" s="802">
        <v>500.0</v>
      </c>
      <c r="E305" s="798">
        <v>0.0</v>
      </c>
    </row>
    <row r="306">
      <c r="A306" s="798" t="str">
        <f t="shared" si="2"/>
        <v>22Bono canon</v>
      </c>
      <c r="B306" s="799">
        <v>22.0</v>
      </c>
      <c r="C306" s="800" t="s">
        <v>38</v>
      </c>
      <c r="D306" s="801">
        <v>750.0</v>
      </c>
      <c r="E306" s="798">
        <v>5.0</v>
      </c>
    </row>
    <row r="307">
      <c r="A307" s="803" t="str">
        <f t="shared" si="2"/>
        <v>23.Socio</v>
      </c>
      <c r="B307" s="804">
        <v>23.0</v>
      </c>
      <c r="C307" s="805" t="s">
        <v>5140</v>
      </c>
      <c r="D307" s="806">
        <v>1300.0</v>
      </c>
      <c r="E307" s="803">
        <v>20.0</v>
      </c>
    </row>
    <row r="308">
      <c r="A308" s="807" t="str">
        <f t="shared" si="2"/>
        <v>23Cuna Kayak</v>
      </c>
      <c r="B308" s="808">
        <v>23.0</v>
      </c>
      <c r="C308" s="809" t="s">
        <v>5144</v>
      </c>
      <c r="D308" s="810">
        <v>1100.0</v>
      </c>
      <c r="E308" s="807">
        <v>10.0</v>
      </c>
    </row>
    <row r="309">
      <c r="A309" s="807" t="str">
        <f t="shared" si="2"/>
        <v>23Cuna windsurf</v>
      </c>
      <c r="B309" s="808">
        <v>23.0</v>
      </c>
      <c r="C309" s="809" t="s">
        <v>5145</v>
      </c>
      <c r="D309" s="810">
        <v>1100.0</v>
      </c>
      <c r="E309" s="807">
        <v>10.0</v>
      </c>
    </row>
    <row r="310">
      <c r="A310" s="807" t="str">
        <f t="shared" si="2"/>
        <v>23Locker</v>
      </c>
      <c r="B310" s="808">
        <v>23.0</v>
      </c>
      <c r="C310" s="809" t="s">
        <v>5065</v>
      </c>
      <c r="D310" s="810">
        <v>290.0</v>
      </c>
      <c r="E310" s="807">
        <v>10.0</v>
      </c>
    </row>
    <row r="311">
      <c r="A311" s="807" t="str">
        <f t="shared" si="2"/>
        <v>23lockerG</v>
      </c>
      <c r="B311" s="808">
        <v>23.0</v>
      </c>
      <c r="C311" s="809" t="s">
        <v>52</v>
      </c>
      <c r="D311" s="810">
        <v>350.0</v>
      </c>
      <c r="E311" s="807">
        <v>10.0</v>
      </c>
    </row>
    <row r="312">
      <c r="A312" s="807" t="str">
        <f t="shared" si="2"/>
        <v>23lockerK</v>
      </c>
      <c r="B312" s="808">
        <v>23.0</v>
      </c>
      <c r="C312" s="809" t="s">
        <v>501</v>
      </c>
      <c r="D312" s="810">
        <v>350.0</v>
      </c>
      <c r="E312" s="807">
        <v>10.0</v>
      </c>
    </row>
    <row r="313">
      <c r="A313" s="807" t="str">
        <f t="shared" si="2"/>
        <v>23Vela</v>
      </c>
      <c r="B313" s="808">
        <v>23.0</v>
      </c>
      <c r="C313" s="809" t="s">
        <v>5142</v>
      </c>
      <c r="D313" s="810">
        <v>350.0</v>
      </c>
      <c r="E313" s="807">
        <v>10.0</v>
      </c>
    </row>
    <row r="314">
      <c r="A314" s="807" t="str">
        <f t="shared" si="2"/>
        <v>23Velero</v>
      </c>
      <c r="B314" s="808">
        <v>23.0</v>
      </c>
      <c r="C314" s="809" t="s">
        <v>693</v>
      </c>
      <c r="D314" s="810">
        <v>1100.0</v>
      </c>
      <c r="E314" s="807">
        <v>10.0</v>
      </c>
    </row>
    <row r="315">
      <c r="A315" s="807" t="str">
        <f t="shared" si="2"/>
        <v>23Der.Inscrip.</v>
      </c>
      <c r="B315" s="808">
        <v>23.0</v>
      </c>
      <c r="C315" s="809" t="s">
        <v>492</v>
      </c>
      <c r="D315" s="810">
        <v>4000.0</v>
      </c>
      <c r="E315" s="807">
        <v>10.0</v>
      </c>
    </row>
    <row r="316">
      <c r="A316" s="807" t="str">
        <f t="shared" si="2"/>
        <v>23Cadete</v>
      </c>
      <c r="B316" s="808">
        <v>23.0</v>
      </c>
      <c r="C316" s="809" t="s">
        <v>447</v>
      </c>
      <c r="D316" s="811">
        <v>250.0</v>
      </c>
      <c r="E316" s="807">
        <v>10.0</v>
      </c>
    </row>
    <row r="317">
      <c r="A317" s="807" t="str">
        <f t="shared" si="2"/>
        <v>23Multa</v>
      </c>
      <c r="B317" s="808">
        <v>23.0</v>
      </c>
      <c r="C317" s="809" t="s">
        <v>502</v>
      </c>
      <c r="D317" s="811">
        <v>360.0</v>
      </c>
      <c r="E317" s="807">
        <v>10.0</v>
      </c>
    </row>
    <row r="318">
      <c r="A318" s="807" t="str">
        <f t="shared" si="2"/>
        <v>23Depósito</v>
      </c>
      <c r="B318" s="808">
        <v>23.0</v>
      </c>
      <c r="C318" s="809" t="s">
        <v>5143</v>
      </c>
      <c r="D318" s="811">
        <v>150.0</v>
      </c>
      <c r="E318" s="807">
        <v>0.0</v>
      </c>
    </row>
    <row r="319">
      <c r="A319" s="807" t="str">
        <f t="shared" si="2"/>
        <v>23Invitado</v>
      </c>
      <c r="B319" s="808">
        <v>23.0</v>
      </c>
      <c r="C319" s="809" t="s">
        <v>5148</v>
      </c>
      <c r="D319" s="810">
        <v>900.0</v>
      </c>
      <c r="E319" s="807">
        <v>0.0</v>
      </c>
    </row>
    <row r="320">
      <c r="A320" s="807" t="str">
        <f t="shared" si="2"/>
        <v>23Invitado c/acceso a bajada náutica</v>
      </c>
      <c r="B320" s="808">
        <v>23.0</v>
      </c>
      <c r="C320" s="809" t="s">
        <v>5149</v>
      </c>
      <c r="D320" s="810">
        <v>1000.0</v>
      </c>
      <c r="E320" s="807">
        <v>0.0</v>
      </c>
    </row>
    <row r="321">
      <c r="A321" s="807" t="str">
        <f t="shared" si="2"/>
        <v>23Bono canon</v>
      </c>
      <c r="B321" s="808">
        <v>23.0</v>
      </c>
      <c r="C321" s="809" t="s">
        <v>38</v>
      </c>
      <c r="D321" s="810">
        <v>750.0</v>
      </c>
      <c r="E321" s="807">
        <v>5.0</v>
      </c>
    </row>
    <row r="322">
      <c r="A322" s="812" t="str">
        <f t="shared" si="2"/>
        <v>24.Socio</v>
      </c>
      <c r="B322" s="813">
        <v>24.0</v>
      </c>
      <c r="C322" s="814" t="s">
        <v>5140</v>
      </c>
      <c r="D322" s="815">
        <v>1300.0</v>
      </c>
      <c r="E322" s="812">
        <v>20.0</v>
      </c>
    </row>
    <row r="323">
      <c r="A323" s="816" t="str">
        <f t="shared" si="2"/>
        <v>24Cuna Kayak</v>
      </c>
      <c r="B323" s="817">
        <v>24.0</v>
      </c>
      <c r="C323" s="818" t="s">
        <v>5144</v>
      </c>
      <c r="D323" s="819">
        <v>1300.0</v>
      </c>
      <c r="E323" s="816">
        <v>10.0</v>
      </c>
    </row>
    <row r="324">
      <c r="A324" s="816" t="str">
        <f t="shared" si="2"/>
        <v>24Cuna windsurf</v>
      </c>
      <c r="B324" s="817">
        <v>24.0</v>
      </c>
      <c r="C324" s="818" t="s">
        <v>5145</v>
      </c>
      <c r="D324" s="819">
        <v>1300.0</v>
      </c>
      <c r="E324" s="816">
        <v>10.0</v>
      </c>
    </row>
    <row r="325">
      <c r="A325" s="816" t="str">
        <f t="shared" si="2"/>
        <v>24Locker</v>
      </c>
      <c r="B325" s="817">
        <v>24.0</v>
      </c>
      <c r="C325" s="818" t="s">
        <v>5065</v>
      </c>
      <c r="D325" s="819">
        <v>325.0</v>
      </c>
      <c r="E325" s="816">
        <v>10.0</v>
      </c>
    </row>
    <row r="326">
      <c r="A326" s="816" t="str">
        <f t="shared" si="2"/>
        <v>24lockerG</v>
      </c>
      <c r="B326" s="817">
        <v>24.0</v>
      </c>
      <c r="C326" s="818" t="s">
        <v>52</v>
      </c>
      <c r="D326" s="819">
        <v>400.0</v>
      </c>
      <c r="E326" s="816">
        <v>10.0</v>
      </c>
    </row>
    <row r="327">
      <c r="A327" s="816" t="str">
        <f t="shared" si="2"/>
        <v>24lockerK</v>
      </c>
      <c r="B327" s="817">
        <v>24.0</v>
      </c>
      <c r="C327" s="818" t="s">
        <v>501</v>
      </c>
      <c r="D327" s="819">
        <v>400.0</v>
      </c>
      <c r="E327" s="816">
        <v>10.0</v>
      </c>
    </row>
    <row r="328">
      <c r="A328" s="816" t="str">
        <f t="shared" si="2"/>
        <v>24Vela</v>
      </c>
      <c r="B328" s="817">
        <v>24.0</v>
      </c>
      <c r="C328" s="818" t="s">
        <v>5142</v>
      </c>
      <c r="D328" s="819">
        <v>400.0</v>
      </c>
      <c r="E328" s="816">
        <v>10.0</v>
      </c>
    </row>
    <row r="329">
      <c r="A329" s="816" t="str">
        <f t="shared" si="2"/>
        <v>24Velero</v>
      </c>
      <c r="B329" s="817">
        <v>24.0</v>
      </c>
      <c r="C329" s="818" t="s">
        <v>693</v>
      </c>
      <c r="D329" s="819">
        <v>1300.0</v>
      </c>
      <c r="E329" s="816">
        <v>10.0</v>
      </c>
    </row>
    <row r="330">
      <c r="A330" s="816" t="str">
        <f t="shared" si="2"/>
        <v>24Der.Inscrip.</v>
      </c>
      <c r="B330" s="817">
        <v>24.0</v>
      </c>
      <c r="C330" s="818" t="s">
        <v>492</v>
      </c>
      <c r="D330" s="819">
        <v>4000.0</v>
      </c>
      <c r="E330" s="816">
        <v>10.0</v>
      </c>
    </row>
    <row r="331">
      <c r="A331" s="816" t="str">
        <f t="shared" si="2"/>
        <v>24Cadete</v>
      </c>
      <c r="B331" s="817">
        <v>24.0</v>
      </c>
      <c r="C331" s="818" t="s">
        <v>447</v>
      </c>
      <c r="D331" s="820">
        <v>250.0</v>
      </c>
      <c r="E331" s="816">
        <v>10.0</v>
      </c>
    </row>
    <row r="332">
      <c r="A332" s="816" t="str">
        <f t="shared" si="2"/>
        <v>24Multa</v>
      </c>
      <c r="B332" s="817">
        <v>24.0</v>
      </c>
      <c r="C332" s="818" t="s">
        <v>502</v>
      </c>
      <c r="D332" s="820">
        <v>360.0</v>
      </c>
      <c r="E332" s="816">
        <v>10.0</v>
      </c>
    </row>
    <row r="333">
      <c r="A333" s="816" t="str">
        <f t="shared" si="2"/>
        <v>24Depósito</v>
      </c>
      <c r="B333" s="817">
        <v>24.0</v>
      </c>
      <c r="C333" s="818" t="s">
        <v>5143</v>
      </c>
      <c r="D333" s="820">
        <v>150.0</v>
      </c>
      <c r="E333" s="816">
        <v>0.0</v>
      </c>
    </row>
    <row r="334">
      <c r="A334" s="816" t="str">
        <f t="shared" si="2"/>
        <v>24Invitado</v>
      </c>
      <c r="B334" s="817">
        <v>24.0</v>
      </c>
      <c r="C334" s="818" t="s">
        <v>5148</v>
      </c>
      <c r="D334" s="819">
        <v>1100.0</v>
      </c>
      <c r="E334" s="816">
        <v>0.0</v>
      </c>
    </row>
    <row r="335">
      <c r="A335" s="816" t="str">
        <f t="shared" si="2"/>
        <v>24Alumnos</v>
      </c>
      <c r="B335" s="817">
        <v>24.0</v>
      </c>
      <c r="C335" s="821" t="s">
        <v>5150</v>
      </c>
      <c r="D335" s="819">
        <v>800.0</v>
      </c>
      <c r="E335" s="817">
        <v>0.0</v>
      </c>
    </row>
    <row r="336">
      <c r="A336" s="816" t="str">
        <f t="shared" si="2"/>
        <v>24Invitado c/acceso a bajada náutica</v>
      </c>
      <c r="B336" s="817">
        <v>24.0</v>
      </c>
      <c r="C336" s="818" t="s">
        <v>5149</v>
      </c>
      <c r="D336" s="819">
        <v>1500.0</v>
      </c>
      <c r="E336" s="816">
        <v>0.0</v>
      </c>
    </row>
    <row r="337">
      <c r="A337" s="816" t="str">
        <f t="shared" si="2"/>
        <v>24Bono canon</v>
      </c>
      <c r="B337" s="817">
        <v>24.0</v>
      </c>
      <c r="C337" s="818" t="s">
        <v>38</v>
      </c>
      <c r="D337" s="819">
        <v>1150.0</v>
      </c>
      <c r="E337" s="816">
        <v>5.0</v>
      </c>
    </row>
    <row r="338">
      <c r="A338" s="822" t="str">
        <f t="shared" si="2"/>
        <v>25.Socio</v>
      </c>
      <c r="B338" s="822">
        <v>25.0</v>
      </c>
      <c r="C338" s="823" t="s">
        <v>5140</v>
      </c>
      <c r="D338" s="824">
        <v>1650.0</v>
      </c>
      <c r="E338" s="825">
        <v>20.0</v>
      </c>
    </row>
    <row r="339">
      <c r="A339" s="826" t="str">
        <f t="shared" si="2"/>
        <v>25Cuna Kayak</v>
      </c>
      <c r="B339" s="826">
        <v>25.0</v>
      </c>
      <c r="C339" s="827" t="s">
        <v>5144</v>
      </c>
      <c r="D339" s="828">
        <v>1650.0</v>
      </c>
      <c r="E339" s="829">
        <v>10.0</v>
      </c>
    </row>
    <row r="340">
      <c r="A340" s="826" t="str">
        <f t="shared" si="2"/>
        <v>25Cuna windsurf</v>
      </c>
      <c r="B340" s="826">
        <v>25.0</v>
      </c>
      <c r="C340" s="827" t="s">
        <v>5145</v>
      </c>
      <c r="D340" s="828">
        <v>1650.0</v>
      </c>
      <c r="E340" s="829">
        <v>10.0</v>
      </c>
    </row>
    <row r="341">
      <c r="A341" s="826" t="str">
        <f t="shared" si="2"/>
        <v>25Locker</v>
      </c>
      <c r="B341" s="826">
        <v>25.0</v>
      </c>
      <c r="C341" s="827" t="s">
        <v>5065</v>
      </c>
      <c r="D341" s="830">
        <v>325.0</v>
      </c>
      <c r="E341" s="829">
        <v>10.0</v>
      </c>
    </row>
    <row r="342">
      <c r="A342" s="826" t="str">
        <f t="shared" si="2"/>
        <v>25lockerG</v>
      </c>
      <c r="B342" s="826">
        <v>25.0</v>
      </c>
      <c r="C342" s="827" t="s">
        <v>52</v>
      </c>
      <c r="D342" s="830">
        <v>400.0</v>
      </c>
      <c r="E342" s="829">
        <v>10.0</v>
      </c>
    </row>
    <row r="343">
      <c r="A343" s="826" t="str">
        <f t="shared" si="2"/>
        <v>25lockerK</v>
      </c>
      <c r="B343" s="826">
        <v>25.0</v>
      </c>
      <c r="C343" s="827" t="s">
        <v>501</v>
      </c>
      <c r="D343" s="830">
        <v>400.0</v>
      </c>
      <c r="E343" s="829">
        <v>10.0</v>
      </c>
    </row>
    <row r="344">
      <c r="A344" s="826" t="str">
        <f t="shared" si="2"/>
        <v>25Vela</v>
      </c>
      <c r="B344" s="826">
        <v>25.0</v>
      </c>
      <c r="C344" s="827" t="s">
        <v>5142</v>
      </c>
      <c r="D344" s="830">
        <v>400.0</v>
      </c>
      <c r="E344" s="829">
        <v>10.0</v>
      </c>
    </row>
    <row r="345">
      <c r="A345" s="826" t="str">
        <f t="shared" si="2"/>
        <v>25Velero</v>
      </c>
      <c r="B345" s="826">
        <v>25.0</v>
      </c>
      <c r="C345" s="827" t="s">
        <v>693</v>
      </c>
      <c r="D345" s="828">
        <v>1650.0</v>
      </c>
      <c r="E345" s="829">
        <v>10.0</v>
      </c>
    </row>
    <row r="346">
      <c r="A346" s="826" t="str">
        <f t="shared" si="2"/>
        <v>25Der.Inscrip.</v>
      </c>
      <c r="B346" s="826">
        <v>25.0</v>
      </c>
      <c r="C346" s="827" t="s">
        <v>492</v>
      </c>
      <c r="D346" s="830">
        <v>4000.0</v>
      </c>
      <c r="E346" s="829">
        <v>10.0</v>
      </c>
    </row>
    <row r="347">
      <c r="A347" s="826" t="str">
        <f t="shared" si="2"/>
        <v>25Cadete</v>
      </c>
      <c r="B347" s="826">
        <v>25.0</v>
      </c>
      <c r="C347" s="827" t="s">
        <v>447</v>
      </c>
      <c r="D347" s="830">
        <v>250.0</v>
      </c>
      <c r="E347" s="829">
        <v>10.0</v>
      </c>
    </row>
    <row r="348">
      <c r="A348" s="826" t="str">
        <f t="shared" si="2"/>
        <v>25Multa</v>
      </c>
      <c r="B348" s="826">
        <v>25.0</v>
      </c>
      <c r="C348" s="827" t="s">
        <v>502</v>
      </c>
      <c r="D348" s="830">
        <v>360.0</v>
      </c>
      <c r="E348" s="829">
        <v>10.0</v>
      </c>
    </row>
    <row r="349">
      <c r="A349" s="826" t="str">
        <f t="shared" si="2"/>
        <v>25Depósito</v>
      </c>
      <c r="B349" s="826">
        <v>25.0</v>
      </c>
      <c r="C349" s="827" t="s">
        <v>5143</v>
      </c>
      <c r="D349" s="830">
        <v>150.0</v>
      </c>
      <c r="E349" s="829">
        <v>0.0</v>
      </c>
    </row>
    <row r="350">
      <c r="A350" s="826" t="str">
        <f t="shared" si="2"/>
        <v>25Invitado</v>
      </c>
      <c r="B350" s="826">
        <v>25.0</v>
      </c>
      <c r="C350" s="827" t="s">
        <v>5148</v>
      </c>
      <c r="D350" s="828">
        <v>1300.0</v>
      </c>
      <c r="E350" s="829">
        <v>0.0</v>
      </c>
    </row>
    <row r="351">
      <c r="A351" s="826" t="str">
        <f t="shared" si="2"/>
        <v>25Alumnos</v>
      </c>
      <c r="B351" s="826">
        <v>25.0</v>
      </c>
      <c r="C351" s="827" t="s">
        <v>5150</v>
      </c>
      <c r="D351" s="830">
        <v>800.0</v>
      </c>
      <c r="E351" s="829">
        <v>0.0</v>
      </c>
    </row>
    <row r="352">
      <c r="A352" s="826" t="str">
        <f t="shared" si="2"/>
        <v>25Invitado c/acceso a bajada náutica</v>
      </c>
      <c r="B352" s="826">
        <v>25.0</v>
      </c>
      <c r="C352" s="827" t="s">
        <v>5149</v>
      </c>
      <c r="D352" s="830">
        <v>1500.0</v>
      </c>
      <c r="E352" s="829">
        <v>0.0</v>
      </c>
    </row>
    <row r="353">
      <c r="A353" s="826" t="str">
        <f t="shared" si="2"/>
        <v>25Bono canon</v>
      </c>
      <c r="B353" s="826">
        <v>25.0</v>
      </c>
      <c r="C353" s="827" t="s">
        <v>38</v>
      </c>
      <c r="D353" s="830">
        <v>1150.0</v>
      </c>
      <c r="E353" s="829">
        <v>5.0</v>
      </c>
    </row>
    <row r="354">
      <c r="A354" s="831" t="str">
        <f t="shared" si="2"/>
        <v>26.Socio</v>
      </c>
      <c r="B354" s="831">
        <v>26.0</v>
      </c>
      <c r="C354" s="832" t="s">
        <v>5140</v>
      </c>
      <c r="D354" s="833">
        <v>11000.0</v>
      </c>
      <c r="E354" s="831">
        <v>0.0</v>
      </c>
    </row>
    <row r="355">
      <c r="A355" s="834" t="str">
        <f t="shared" si="2"/>
        <v>26Cuna Kayak</v>
      </c>
      <c r="B355" s="834">
        <v>26.0</v>
      </c>
      <c r="C355" s="835" t="s">
        <v>5144</v>
      </c>
      <c r="D355" s="836">
        <v>12000.0</v>
      </c>
      <c r="E355" s="834">
        <v>0.0</v>
      </c>
    </row>
    <row r="356">
      <c r="A356" s="834" t="str">
        <f t="shared" si="2"/>
        <v>26Cuna windsurf</v>
      </c>
      <c r="B356" s="834">
        <v>26.0</v>
      </c>
      <c r="C356" s="835" t="s">
        <v>5145</v>
      </c>
      <c r="D356" s="837">
        <v>12000.0</v>
      </c>
      <c r="E356" s="834">
        <v>0.0</v>
      </c>
    </row>
    <row r="357">
      <c r="A357" s="834" t="str">
        <f t="shared" si="2"/>
        <v>26Locker</v>
      </c>
      <c r="B357" s="834">
        <v>26.0</v>
      </c>
      <c r="C357" s="835" t="s">
        <v>5065</v>
      </c>
      <c r="D357" s="837">
        <v>3600.0</v>
      </c>
      <c r="E357" s="834">
        <v>0.0</v>
      </c>
    </row>
    <row r="358">
      <c r="A358" s="834" t="str">
        <f t="shared" si="2"/>
        <v>26lockerG</v>
      </c>
      <c r="B358" s="834">
        <v>26.0</v>
      </c>
      <c r="C358" s="835" t="s">
        <v>52</v>
      </c>
      <c r="D358" s="837">
        <v>4000.0</v>
      </c>
      <c r="E358" s="834">
        <v>0.0</v>
      </c>
    </row>
    <row r="359">
      <c r="A359" s="834" t="str">
        <f t="shared" si="2"/>
        <v>26lockerK</v>
      </c>
      <c r="B359" s="834">
        <v>26.0</v>
      </c>
      <c r="C359" s="835" t="s">
        <v>501</v>
      </c>
      <c r="D359" s="837">
        <v>3600.0</v>
      </c>
      <c r="E359" s="834">
        <v>0.0</v>
      </c>
    </row>
    <row r="360">
      <c r="A360" s="834" t="str">
        <f t="shared" si="2"/>
        <v>26Vela</v>
      </c>
      <c r="B360" s="834">
        <v>26.0</v>
      </c>
      <c r="C360" s="835" t="s">
        <v>5142</v>
      </c>
      <c r="D360" s="837">
        <v>4000.0</v>
      </c>
      <c r="E360" s="834">
        <v>0.0</v>
      </c>
    </row>
    <row r="361">
      <c r="A361" s="834" t="str">
        <f t="shared" si="2"/>
        <v>26Velero</v>
      </c>
      <c r="B361" s="834">
        <v>26.0</v>
      </c>
      <c r="C361" s="835" t="s">
        <v>693</v>
      </c>
      <c r="D361" s="837">
        <v>12000.0</v>
      </c>
      <c r="E361" s="834">
        <v>0.0</v>
      </c>
    </row>
    <row r="362">
      <c r="A362" s="834" t="str">
        <f t="shared" si="2"/>
        <v>26Der.Inscrip.</v>
      </c>
      <c r="B362" s="834">
        <v>26.0</v>
      </c>
      <c r="C362" s="835" t="s">
        <v>492</v>
      </c>
      <c r="D362" s="837">
        <v>30000.0</v>
      </c>
      <c r="E362" s="834">
        <v>0.0</v>
      </c>
    </row>
    <row r="363">
      <c r="A363" s="834" t="str">
        <f t="shared" si="2"/>
        <v>26Cadete</v>
      </c>
      <c r="B363" s="834">
        <v>26.0</v>
      </c>
      <c r="C363" s="835" t="s">
        <v>447</v>
      </c>
      <c r="D363" s="837">
        <v>10000.0</v>
      </c>
      <c r="E363" s="834">
        <v>0.0</v>
      </c>
    </row>
    <row r="364">
      <c r="A364" s="834" t="str">
        <f t="shared" si="2"/>
        <v>26Multa</v>
      </c>
      <c r="B364" s="834">
        <v>26.0</v>
      </c>
      <c r="C364" s="835" t="s">
        <v>502</v>
      </c>
      <c r="D364" s="837">
        <v>1150.0</v>
      </c>
      <c r="E364" s="834">
        <v>0.0</v>
      </c>
    </row>
    <row r="365">
      <c r="A365" s="834" t="str">
        <f t="shared" si="2"/>
        <v>26Depósito</v>
      </c>
      <c r="B365" s="834">
        <v>26.0</v>
      </c>
      <c r="C365" s="835" t="s">
        <v>5143</v>
      </c>
      <c r="D365" s="837">
        <v>1150.0</v>
      </c>
      <c r="E365" s="834">
        <v>0.0</v>
      </c>
    </row>
    <row r="366">
      <c r="A366" s="834" t="str">
        <f t="shared" si="2"/>
        <v>26Invitado</v>
      </c>
      <c r="B366" s="834">
        <v>26.0</v>
      </c>
      <c r="C366" s="835" t="s">
        <v>5148</v>
      </c>
      <c r="D366" s="837">
        <v>6000.0</v>
      </c>
      <c r="E366" s="834">
        <v>0.0</v>
      </c>
    </row>
    <row r="367">
      <c r="A367" s="834" t="str">
        <f t="shared" si="2"/>
        <v>26Alumnos</v>
      </c>
      <c r="B367" s="834">
        <v>26.0</v>
      </c>
      <c r="C367" s="835" t="s">
        <v>5150</v>
      </c>
      <c r="D367" s="837">
        <v>3000.0</v>
      </c>
      <c r="E367" s="834">
        <v>0.0</v>
      </c>
    </row>
    <row r="368">
      <c r="A368" s="834" t="str">
        <f t="shared" si="2"/>
        <v>26Invitado c/acceso a bajada náutica</v>
      </c>
      <c r="B368" s="834">
        <v>26.0</v>
      </c>
      <c r="C368" s="835" t="s">
        <v>5149</v>
      </c>
      <c r="D368" s="837">
        <v>20000.0</v>
      </c>
      <c r="E368" s="834">
        <v>0.0</v>
      </c>
    </row>
    <row r="369">
      <c r="A369" s="834" t="str">
        <f t="shared" si="2"/>
        <v>26Bono canon</v>
      </c>
      <c r="B369" s="834">
        <v>26.0</v>
      </c>
      <c r="C369" s="835" t="s">
        <v>38</v>
      </c>
      <c r="D369" s="837">
        <v>9000.0</v>
      </c>
      <c r="E369" s="834">
        <v>0.0</v>
      </c>
    </row>
    <row r="370">
      <c r="A370" s="834"/>
      <c r="B370" s="834"/>
      <c r="C370" s="835"/>
      <c r="D370" s="837"/>
      <c r="E370" s="834"/>
    </row>
    <row r="371">
      <c r="A371" s="834"/>
      <c r="B371" s="834"/>
      <c r="C371" s="835"/>
      <c r="D371" s="837"/>
      <c r="E371" s="834"/>
    </row>
    <row r="372">
      <c r="A372" s="834"/>
      <c r="B372" s="834"/>
      <c r="C372" s="835"/>
      <c r="D372" s="837"/>
      <c r="E372" s="834"/>
    </row>
    <row r="373">
      <c r="A373" s="834"/>
      <c r="B373" s="834"/>
      <c r="C373" s="835"/>
      <c r="D373" s="837"/>
      <c r="E373" s="834"/>
    </row>
    <row r="374">
      <c r="A374" s="834"/>
      <c r="B374" s="834"/>
      <c r="C374" s="835"/>
      <c r="D374" s="837"/>
      <c r="E374" s="834"/>
    </row>
    <row r="375">
      <c r="A375" s="834"/>
      <c r="B375" s="834"/>
      <c r="C375" s="835"/>
      <c r="D375" s="837"/>
      <c r="E375" s="834"/>
    </row>
    <row r="376">
      <c r="A376" s="834"/>
      <c r="B376" s="834"/>
      <c r="C376" s="835"/>
      <c r="D376" s="837"/>
      <c r="E376" s="834"/>
    </row>
    <row r="377">
      <c r="A377" s="834"/>
      <c r="B377" s="834"/>
      <c r="C377" s="835"/>
      <c r="D377" s="837"/>
      <c r="E377" s="834"/>
    </row>
    <row r="378">
      <c r="A378" s="834"/>
      <c r="B378" s="834"/>
      <c r="C378" s="835"/>
      <c r="D378" s="837"/>
      <c r="E378" s="834"/>
    </row>
    <row r="379">
      <c r="A379" s="834"/>
      <c r="B379" s="834"/>
      <c r="C379" s="835"/>
      <c r="D379" s="837"/>
      <c r="E379" s="834"/>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2" max="2" width="13.75"/>
    <col customWidth="1" min="3" max="3" width="13.5"/>
  </cols>
  <sheetData>
    <row r="1" ht="24.0" customHeight="1">
      <c r="A1" s="838" t="s">
        <v>5151</v>
      </c>
      <c r="B1" s="838" t="s">
        <v>5152</v>
      </c>
      <c r="C1" s="838" t="s">
        <v>4275</v>
      </c>
    </row>
    <row r="2">
      <c r="A2" s="839">
        <v>1.0</v>
      </c>
      <c r="B2" s="839" t="s">
        <v>5153</v>
      </c>
      <c r="C2" s="839" t="s">
        <v>5154</v>
      </c>
    </row>
    <row r="3">
      <c r="A3" s="839">
        <v>2.0</v>
      </c>
      <c r="B3" s="839" t="s">
        <v>5155</v>
      </c>
      <c r="C3" s="839" t="s">
        <v>5156</v>
      </c>
    </row>
    <row r="4">
      <c r="A4" s="839">
        <v>3.0</v>
      </c>
      <c r="B4" s="839" t="s">
        <v>5157</v>
      </c>
      <c r="C4" s="840">
        <v>41883.0</v>
      </c>
    </row>
    <row r="5">
      <c r="A5" s="841">
        <v>4.0</v>
      </c>
      <c r="B5" s="840">
        <v>41913.0</v>
      </c>
      <c r="C5" s="840">
        <v>42217.0</v>
      </c>
    </row>
    <row r="6">
      <c r="A6" s="841">
        <v>5.0</v>
      </c>
      <c r="B6" s="840">
        <v>42248.0</v>
      </c>
      <c r="C6" s="840">
        <v>42370.0</v>
      </c>
    </row>
    <row r="7">
      <c r="A7" s="841">
        <v>6.0</v>
      </c>
      <c r="B7" s="840">
        <v>42401.0</v>
      </c>
      <c r="C7" s="840">
        <v>42583.0</v>
      </c>
    </row>
    <row r="8">
      <c r="A8" s="841">
        <v>7.0</v>
      </c>
      <c r="B8" s="840">
        <v>42614.0</v>
      </c>
      <c r="C8" s="840">
        <v>42675.0</v>
      </c>
    </row>
    <row r="9">
      <c r="A9" s="841">
        <v>8.0</v>
      </c>
      <c r="B9" s="840">
        <v>42705.0</v>
      </c>
      <c r="C9" s="840">
        <v>42948.0</v>
      </c>
    </row>
    <row r="10">
      <c r="A10" s="841">
        <v>9.0</v>
      </c>
      <c r="B10" s="840">
        <v>42979.0</v>
      </c>
      <c r="C10" s="840">
        <v>42979.0</v>
      </c>
    </row>
    <row r="11">
      <c r="A11" s="841">
        <v>10.0</v>
      </c>
      <c r="B11" s="840">
        <v>43009.0</v>
      </c>
      <c r="C11" s="840">
        <v>43070.0</v>
      </c>
    </row>
    <row r="12">
      <c r="A12" s="841">
        <v>11.0</v>
      </c>
      <c r="B12" s="840">
        <v>43101.0</v>
      </c>
      <c r="C12" s="840">
        <v>43466.0</v>
      </c>
    </row>
    <row r="13">
      <c r="A13" s="841">
        <v>12.0</v>
      </c>
      <c r="B13" s="840">
        <v>43497.0</v>
      </c>
      <c r="C13" s="840">
        <v>43709.0</v>
      </c>
    </row>
    <row r="14">
      <c r="A14" s="841">
        <v>13.0</v>
      </c>
      <c r="B14" s="840">
        <v>43739.0</v>
      </c>
      <c r="C14" s="840">
        <v>44074.0</v>
      </c>
    </row>
    <row r="15">
      <c r="A15" s="841">
        <v>14.0</v>
      </c>
      <c r="B15" s="840">
        <v>44075.0</v>
      </c>
      <c r="C15" s="840">
        <v>44136.0</v>
      </c>
    </row>
    <row r="16">
      <c r="A16" s="841">
        <v>15.0</v>
      </c>
      <c r="B16" s="840">
        <v>44166.0</v>
      </c>
      <c r="C16" s="840">
        <v>44166.0</v>
      </c>
    </row>
    <row r="17">
      <c r="A17" s="841">
        <v>16.0</v>
      </c>
      <c r="B17" s="840">
        <v>44197.0</v>
      </c>
      <c r="C17" s="840">
        <v>44501.0</v>
      </c>
    </row>
    <row r="18">
      <c r="A18" s="841">
        <v>18.0</v>
      </c>
      <c r="B18" s="840">
        <v>44531.0</v>
      </c>
      <c r="C18" s="840">
        <v>44531.0</v>
      </c>
    </row>
    <row r="19">
      <c r="A19" s="841">
        <v>19.0</v>
      </c>
      <c r="B19" s="840">
        <v>44562.0</v>
      </c>
      <c r="C19" s="840">
        <v>44562.0</v>
      </c>
    </row>
    <row r="20">
      <c r="A20" s="841">
        <v>20.0</v>
      </c>
      <c r="B20" s="840">
        <v>44593.0</v>
      </c>
      <c r="C20" s="840">
        <v>44682.0</v>
      </c>
    </row>
    <row r="21">
      <c r="A21" s="841">
        <v>21.0</v>
      </c>
      <c r="B21" s="840">
        <v>44713.0</v>
      </c>
      <c r="C21" s="840">
        <v>44774.0</v>
      </c>
    </row>
    <row r="22">
      <c r="A22" s="841">
        <v>22.0</v>
      </c>
      <c r="B22" s="840">
        <v>44805.0</v>
      </c>
      <c r="C22" s="840">
        <v>44866.0</v>
      </c>
    </row>
    <row r="23">
      <c r="A23" s="841">
        <v>23.0</v>
      </c>
      <c r="B23" s="840">
        <v>44896.0</v>
      </c>
      <c r="C23" s="840">
        <v>44927.0</v>
      </c>
    </row>
    <row r="24">
      <c r="A24" s="841">
        <v>24.0</v>
      </c>
      <c r="B24" s="840">
        <v>44958.0</v>
      </c>
      <c r="C24" s="840">
        <v>45017.0</v>
      </c>
    </row>
    <row r="25">
      <c r="A25" s="841">
        <v>25.0</v>
      </c>
      <c r="B25" s="840">
        <v>45047.0</v>
      </c>
      <c r="C25" s="842">
        <v>45139.0</v>
      </c>
    </row>
    <row r="26">
      <c r="A26" s="841">
        <v>26.0</v>
      </c>
      <c r="B26" s="840">
        <v>45170.0</v>
      </c>
      <c r="C26" s="842">
        <v>45200.0</v>
      </c>
    </row>
    <row r="27">
      <c r="A27" s="841">
        <v>27.0</v>
      </c>
      <c r="B27" s="840">
        <v>45200.0</v>
      </c>
      <c r="C27" s="842">
        <v>45231.0</v>
      </c>
    </row>
    <row r="28">
      <c r="A28" s="841">
        <v>28.0</v>
      </c>
      <c r="B28" s="840">
        <v>45231.0</v>
      </c>
      <c r="C28" s="842">
        <v>45261.0</v>
      </c>
    </row>
    <row r="29">
      <c r="A29" s="841">
        <v>29.0</v>
      </c>
      <c r="B29" s="840">
        <v>45261.0</v>
      </c>
      <c r="C29" s="842">
        <v>45292.0</v>
      </c>
    </row>
    <row r="30">
      <c r="A30" s="841">
        <v>30.0</v>
      </c>
      <c r="B30" s="841" t="s">
        <v>5158</v>
      </c>
      <c r="C30" s="842">
        <v>45323.0</v>
      </c>
    </row>
    <row r="31">
      <c r="A31" s="841">
        <v>31.0</v>
      </c>
      <c r="B31" s="840">
        <v>45323.0</v>
      </c>
      <c r="C31" s="842"/>
    </row>
    <row r="32">
      <c r="A32" s="841"/>
      <c r="B32" s="840"/>
      <c r="C32" s="842"/>
    </row>
    <row r="33">
      <c r="A33" s="841"/>
      <c r="B33" s="840"/>
      <c r="C33" s="842"/>
    </row>
    <row r="34">
      <c r="A34" s="841"/>
      <c r="B34" s="840"/>
      <c r="C34" s="842"/>
    </row>
    <row r="35">
      <c r="A35" s="841"/>
      <c r="B35" s="840"/>
      <c r="C35" s="84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8"/>
  </cols>
  <sheetData>
    <row r="1">
      <c r="A1" s="843">
        <v>40909.0</v>
      </c>
      <c r="B1" s="3">
        <v>4.0</v>
      </c>
    </row>
    <row r="2">
      <c r="A2" s="843">
        <v>40940.0</v>
      </c>
      <c r="B2" s="3">
        <v>4.0</v>
      </c>
    </row>
    <row r="3">
      <c r="A3" s="843">
        <v>40969.0</v>
      </c>
      <c r="B3" s="3">
        <v>4.0</v>
      </c>
    </row>
    <row r="4">
      <c r="A4" s="843">
        <v>41000.0</v>
      </c>
      <c r="B4" s="3">
        <v>4.0</v>
      </c>
    </row>
    <row r="5">
      <c r="A5" s="843">
        <v>41030.0</v>
      </c>
      <c r="B5" s="3">
        <v>4.0</v>
      </c>
    </row>
    <row r="6">
      <c r="A6" s="843">
        <v>41061.0</v>
      </c>
      <c r="B6" s="3">
        <v>4.0</v>
      </c>
    </row>
    <row r="7">
      <c r="A7" s="843">
        <v>41091.0</v>
      </c>
      <c r="B7" s="3">
        <v>4.0</v>
      </c>
    </row>
    <row r="8">
      <c r="A8" s="843">
        <v>41122.0</v>
      </c>
      <c r="B8" s="3">
        <v>4.0</v>
      </c>
    </row>
    <row r="9">
      <c r="A9" s="843">
        <v>41153.0</v>
      </c>
      <c r="B9" s="3">
        <v>4.0</v>
      </c>
    </row>
    <row r="10">
      <c r="A10" s="843">
        <v>41183.0</v>
      </c>
      <c r="B10" s="3">
        <v>4.0</v>
      </c>
    </row>
    <row r="11">
      <c r="A11" s="843">
        <v>41214.0</v>
      </c>
      <c r="B11" s="3">
        <v>4.0</v>
      </c>
    </row>
    <row r="12">
      <c r="A12" s="843">
        <v>41244.0</v>
      </c>
      <c r="B12" s="3">
        <v>4.0</v>
      </c>
    </row>
    <row r="13">
      <c r="A13" s="843">
        <v>41275.0</v>
      </c>
      <c r="B13" s="3">
        <v>4.0</v>
      </c>
    </row>
    <row r="14">
      <c r="A14" s="843">
        <v>41306.0</v>
      </c>
      <c r="B14" s="3">
        <v>4.0</v>
      </c>
    </row>
    <row r="15">
      <c r="A15" s="843">
        <v>41306.0</v>
      </c>
      <c r="B15" s="3">
        <v>4.0</v>
      </c>
    </row>
    <row r="16">
      <c r="A16" s="843">
        <v>41334.0</v>
      </c>
      <c r="B16" s="3">
        <v>4.0</v>
      </c>
    </row>
    <row r="17">
      <c r="A17" s="843">
        <v>41365.0</v>
      </c>
      <c r="B17" s="3">
        <v>4.0</v>
      </c>
    </row>
    <row r="18">
      <c r="A18" s="843">
        <v>41395.0</v>
      </c>
      <c r="B18" s="3">
        <v>4.0</v>
      </c>
    </row>
    <row r="19">
      <c r="A19" s="843">
        <v>41426.0</v>
      </c>
      <c r="B19" s="3">
        <v>4.0</v>
      </c>
    </row>
    <row r="20">
      <c r="A20" s="843">
        <v>41456.0</v>
      </c>
      <c r="B20" s="3">
        <v>4.0</v>
      </c>
    </row>
    <row r="21">
      <c r="A21" s="843">
        <v>41487.0</v>
      </c>
      <c r="B21" s="3">
        <v>4.0</v>
      </c>
    </row>
    <row r="22">
      <c r="A22" s="843">
        <v>41518.0</v>
      </c>
      <c r="B22" s="3">
        <v>4.0</v>
      </c>
    </row>
    <row r="23">
      <c r="A23" s="843">
        <v>41548.0</v>
      </c>
      <c r="B23" s="3">
        <v>4.0</v>
      </c>
    </row>
    <row r="24">
      <c r="A24" s="843">
        <v>41579.0</v>
      </c>
      <c r="B24" s="3">
        <v>4.0</v>
      </c>
    </row>
    <row r="25">
      <c r="A25" s="843">
        <v>41609.0</v>
      </c>
      <c r="B25" s="3">
        <v>4.0</v>
      </c>
    </row>
    <row r="26">
      <c r="A26" s="843">
        <v>41640.0</v>
      </c>
      <c r="B26" s="3">
        <v>4.0</v>
      </c>
    </row>
    <row r="27">
      <c r="A27" s="843">
        <v>41671.0</v>
      </c>
      <c r="B27" s="3">
        <v>4.0</v>
      </c>
    </row>
    <row r="28">
      <c r="A28" s="843">
        <v>41699.0</v>
      </c>
      <c r="B28" s="3">
        <v>4.0</v>
      </c>
    </row>
    <row r="29">
      <c r="A29" s="843">
        <v>41730.0</v>
      </c>
      <c r="B29" s="3">
        <v>4.0</v>
      </c>
    </row>
    <row r="30">
      <c r="A30" s="843">
        <v>41760.0</v>
      </c>
      <c r="B30" s="3">
        <v>4.0</v>
      </c>
    </row>
    <row r="31">
      <c r="A31" s="843">
        <v>41791.0</v>
      </c>
      <c r="B31" s="3">
        <v>4.0</v>
      </c>
    </row>
    <row r="32">
      <c r="A32" s="843">
        <v>41821.0</v>
      </c>
      <c r="B32" s="3">
        <v>4.0</v>
      </c>
    </row>
    <row r="33">
      <c r="A33" s="843">
        <v>41852.0</v>
      </c>
      <c r="B33" s="3">
        <v>4.0</v>
      </c>
    </row>
    <row r="34">
      <c r="A34" s="843">
        <v>41883.0</v>
      </c>
      <c r="B34" s="3">
        <v>4.0</v>
      </c>
    </row>
    <row r="35">
      <c r="A35" s="843">
        <v>41913.0</v>
      </c>
      <c r="B35" s="3">
        <v>4.0</v>
      </c>
    </row>
    <row r="36">
      <c r="A36" s="843">
        <v>41944.0</v>
      </c>
      <c r="B36" s="3">
        <v>4.0</v>
      </c>
    </row>
    <row r="37">
      <c r="A37" s="843">
        <v>41974.0</v>
      </c>
      <c r="B37" s="3">
        <v>4.0</v>
      </c>
    </row>
    <row r="38">
      <c r="A38" s="843">
        <v>42005.0</v>
      </c>
      <c r="B38" s="3">
        <v>4.0</v>
      </c>
    </row>
    <row r="39">
      <c r="A39" s="843">
        <v>42036.0</v>
      </c>
      <c r="B39" s="3">
        <v>4.0</v>
      </c>
    </row>
    <row r="40">
      <c r="A40" s="843">
        <v>42064.0</v>
      </c>
      <c r="B40" s="3">
        <v>4.0</v>
      </c>
    </row>
    <row r="41">
      <c r="A41" s="843">
        <v>42095.0</v>
      </c>
      <c r="B41" s="3">
        <v>4.0</v>
      </c>
    </row>
    <row r="42">
      <c r="A42" s="843">
        <v>42125.0</v>
      </c>
      <c r="B42" s="3">
        <v>4.0</v>
      </c>
    </row>
    <row r="43">
      <c r="A43" s="843">
        <v>42156.0</v>
      </c>
      <c r="B43" s="3">
        <v>4.0</v>
      </c>
    </row>
    <row r="44">
      <c r="A44" s="843">
        <v>42186.0</v>
      </c>
      <c r="B44" s="3">
        <v>4.0</v>
      </c>
    </row>
    <row r="45">
      <c r="A45" s="843">
        <v>42217.0</v>
      </c>
      <c r="B45" s="3">
        <v>4.0</v>
      </c>
    </row>
    <row r="46">
      <c r="A46" s="843">
        <v>42248.0</v>
      </c>
      <c r="B46" s="3">
        <v>5.0</v>
      </c>
    </row>
    <row r="47">
      <c r="A47" s="843">
        <v>42278.0</v>
      </c>
      <c r="B47" s="3">
        <v>5.0</v>
      </c>
    </row>
    <row r="48">
      <c r="A48" s="843">
        <v>42309.0</v>
      </c>
      <c r="B48" s="3">
        <v>5.0</v>
      </c>
    </row>
    <row r="49">
      <c r="A49" s="843">
        <v>42339.0</v>
      </c>
      <c r="B49" s="3">
        <v>5.0</v>
      </c>
    </row>
    <row r="50">
      <c r="A50" s="844">
        <v>42370.0</v>
      </c>
      <c r="B50" s="3">
        <v>5.0</v>
      </c>
    </row>
    <row r="51">
      <c r="A51" s="844">
        <v>42401.0</v>
      </c>
      <c r="B51" s="3">
        <v>6.0</v>
      </c>
    </row>
    <row r="52">
      <c r="A52" s="844">
        <v>42430.0</v>
      </c>
      <c r="B52" s="3">
        <v>6.0</v>
      </c>
    </row>
    <row r="53">
      <c r="A53" s="844">
        <v>42461.0</v>
      </c>
      <c r="B53" s="3">
        <v>6.0</v>
      </c>
    </row>
    <row r="54">
      <c r="A54" s="844">
        <v>42491.0</v>
      </c>
      <c r="B54" s="3">
        <v>6.0</v>
      </c>
    </row>
    <row r="55">
      <c r="A55" s="844">
        <v>42522.0</v>
      </c>
      <c r="B55" s="3">
        <v>6.0</v>
      </c>
    </row>
    <row r="56">
      <c r="A56" s="844">
        <v>42552.0</v>
      </c>
      <c r="B56" s="3">
        <v>6.0</v>
      </c>
    </row>
    <row r="57">
      <c r="A57" s="844">
        <v>42583.0</v>
      </c>
      <c r="B57" s="3">
        <v>6.0</v>
      </c>
    </row>
    <row r="58">
      <c r="A58" s="844">
        <v>42614.0</v>
      </c>
      <c r="B58" s="3">
        <v>7.0</v>
      </c>
    </row>
    <row r="59">
      <c r="A59" s="844">
        <v>42644.0</v>
      </c>
      <c r="B59" s="3">
        <v>7.0</v>
      </c>
    </row>
    <row r="60">
      <c r="A60" s="844">
        <v>42675.0</v>
      </c>
      <c r="B60" s="3">
        <v>7.0</v>
      </c>
    </row>
    <row r="61">
      <c r="A61" s="844">
        <v>42705.0</v>
      </c>
      <c r="B61" s="3">
        <v>8.0</v>
      </c>
    </row>
    <row r="62">
      <c r="A62" s="844">
        <v>42736.0</v>
      </c>
      <c r="B62" s="3">
        <v>8.0</v>
      </c>
    </row>
    <row r="63">
      <c r="A63" s="844">
        <v>42767.0</v>
      </c>
      <c r="B63" s="3">
        <v>8.0</v>
      </c>
    </row>
    <row r="64">
      <c r="A64" s="844">
        <v>42795.0</v>
      </c>
      <c r="B64" s="3">
        <v>8.0</v>
      </c>
    </row>
    <row r="65">
      <c r="A65" s="844">
        <v>42826.0</v>
      </c>
      <c r="B65" s="3">
        <v>8.0</v>
      </c>
    </row>
    <row r="66">
      <c r="A66" s="844">
        <v>42856.0</v>
      </c>
      <c r="B66" s="3">
        <v>8.0</v>
      </c>
    </row>
    <row r="67">
      <c r="A67" s="844">
        <v>42887.0</v>
      </c>
      <c r="B67" s="3">
        <v>8.0</v>
      </c>
    </row>
    <row r="68">
      <c r="A68" s="844">
        <v>42917.0</v>
      </c>
      <c r="B68" s="3">
        <v>8.0</v>
      </c>
    </row>
    <row r="69">
      <c r="A69" s="844">
        <v>42948.0</v>
      </c>
      <c r="B69" s="3">
        <v>8.0</v>
      </c>
    </row>
    <row r="70">
      <c r="A70" s="844">
        <v>42979.0</v>
      </c>
      <c r="B70" s="3">
        <v>9.0</v>
      </c>
    </row>
    <row r="71">
      <c r="A71" s="844">
        <v>43009.0</v>
      </c>
      <c r="B71" s="3">
        <v>10.0</v>
      </c>
    </row>
    <row r="72">
      <c r="A72" s="844">
        <v>43040.0</v>
      </c>
      <c r="B72" s="3">
        <v>10.0</v>
      </c>
    </row>
    <row r="73">
      <c r="A73" s="844">
        <v>43070.0</v>
      </c>
      <c r="B73" s="3">
        <v>10.0</v>
      </c>
    </row>
    <row r="74">
      <c r="A74" s="844">
        <v>43101.0</v>
      </c>
      <c r="B74" s="3">
        <v>11.0</v>
      </c>
    </row>
    <row r="75">
      <c r="A75" s="844">
        <v>43132.0</v>
      </c>
      <c r="B75" s="3">
        <v>11.0</v>
      </c>
    </row>
    <row r="76">
      <c r="A76" s="844">
        <v>43160.0</v>
      </c>
      <c r="B76" s="3">
        <v>11.0</v>
      </c>
    </row>
    <row r="77">
      <c r="A77" s="844">
        <v>43191.0</v>
      </c>
      <c r="B77" s="3">
        <v>11.0</v>
      </c>
    </row>
    <row r="78">
      <c r="A78" s="844">
        <v>43221.0</v>
      </c>
      <c r="B78" s="3">
        <v>11.0</v>
      </c>
    </row>
    <row r="79">
      <c r="A79" s="844">
        <v>43252.0</v>
      </c>
      <c r="B79" s="3">
        <v>11.0</v>
      </c>
    </row>
    <row r="80">
      <c r="A80" s="844">
        <v>43282.0</v>
      </c>
      <c r="B80" s="3">
        <v>11.0</v>
      </c>
    </row>
    <row r="81">
      <c r="A81" s="844">
        <v>43313.0</v>
      </c>
      <c r="B81" s="3">
        <v>11.0</v>
      </c>
    </row>
    <row r="82">
      <c r="A82" s="844">
        <v>43344.0</v>
      </c>
      <c r="B82" s="3">
        <v>11.0</v>
      </c>
    </row>
    <row r="83">
      <c r="A83" s="844">
        <v>43374.0</v>
      </c>
      <c r="B83" s="3">
        <v>11.0</v>
      </c>
    </row>
    <row r="84">
      <c r="A84" s="844">
        <v>43405.0</v>
      </c>
      <c r="B84" s="3">
        <v>11.0</v>
      </c>
    </row>
    <row r="85">
      <c r="A85" s="844">
        <v>43435.0</v>
      </c>
      <c r="B85" s="3">
        <v>11.0</v>
      </c>
    </row>
    <row r="86">
      <c r="A86" s="844">
        <v>43466.0</v>
      </c>
      <c r="B86" s="3">
        <v>11.0</v>
      </c>
    </row>
    <row r="87">
      <c r="A87" s="844">
        <v>43497.0</v>
      </c>
      <c r="B87" s="3">
        <v>12.0</v>
      </c>
    </row>
    <row r="88">
      <c r="A88" s="844">
        <v>43525.0</v>
      </c>
      <c r="B88" s="3">
        <v>12.0</v>
      </c>
    </row>
    <row r="89">
      <c r="A89" s="844">
        <v>43556.0</v>
      </c>
      <c r="B89" s="3">
        <v>12.0</v>
      </c>
    </row>
    <row r="90">
      <c r="A90" s="844">
        <v>43586.0</v>
      </c>
      <c r="B90" s="3">
        <v>12.0</v>
      </c>
    </row>
    <row r="91">
      <c r="A91" s="844">
        <v>43617.0</v>
      </c>
      <c r="B91" s="3">
        <v>12.0</v>
      </c>
    </row>
    <row r="92">
      <c r="A92" s="844">
        <v>43647.0</v>
      </c>
      <c r="B92" s="3">
        <v>12.0</v>
      </c>
    </row>
    <row r="93">
      <c r="A93" s="844">
        <v>43678.0</v>
      </c>
      <c r="B93" s="3">
        <v>12.0</v>
      </c>
    </row>
    <row r="94">
      <c r="A94" s="844">
        <v>43709.0</v>
      </c>
      <c r="B94" s="3">
        <v>12.0</v>
      </c>
    </row>
    <row r="95">
      <c r="A95" s="844">
        <v>43739.0</v>
      </c>
      <c r="B95" s="3">
        <v>13.0</v>
      </c>
    </row>
    <row r="96">
      <c r="A96" s="844">
        <v>43770.0</v>
      </c>
      <c r="B96" s="3">
        <v>13.0</v>
      </c>
    </row>
    <row r="97">
      <c r="A97" s="844">
        <v>43800.0</v>
      </c>
      <c r="B97" s="3">
        <v>13.0</v>
      </c>
    </row>
    <row r="98">
      <c r="A98" s="844">
        <v>43831.0</v>
      </c>
      <c r="B98" s="3">
        <v>13.0</v>
      </c>
    </row>
    <row r="99">
      <c r="A99" s="844">
        <v>43862.0</v>
      </c>
      <c r="B99" s="3">
        <v>13.0</v>
      </c>
    </row>
    <row r="100">
      <c r="A100" s="844">
        <v>43891.0</v>
      </c>
      <c r="B100" s="3">
        <v>13.0</v>
      </c>
    </row>
    <row r="101">
      <c r="A101" s="844">
        <v>43922.0</v>
      </c>
      <c r="B101" s="3">
        <v>13.0</v>
      </c>
    </row>
    <row r="102">
      <c r="A102" s="844">
        <v>43952.0</v>
      </c>
      <c r="B102" s="3">
        <v>13.0</v>
      </c>
    </row>
    <row r="103">
      <c r="A103" s="844">
        <v>43983.0</v>
      </c>
      <c r="B103" s="3">
        <v>13.0</v>
      </c>
    </row>
    <row r="104">
      <c r="A104" s="844">
        <v>44013.0</v>
      </c>
      <c r="B104" s="3">
        <v>13.0</v>
      </c>
    </row>
    <row r="105">
      <c r="A105" s="844">
        <v>44044.0</v>
      </c>
      <c r="B105" s="3">
        <v>13.0</v>
      </c>
    </row>
    <row r="106">
      <c r="A106" s="844">
        <v>44075.0</v>
      </c>
      <c r="B106" s="3">
        <v>14.0</v>
      </c>
    </row>
    <row r="107">
      <c r="A107" s="844">
        <v>44105.0</v>
      </c>
      <c r="B107" s="3">
        <v>14.0</v>
      </c>
    </row>
    <row r="108">
      <c r="A108" s="844">
        <v>44136.0</v>
      </c>
      <c r="B108" s="3">
        <v>14.0</v>
      </c>
    </row>
    <row r="109">
      <c r="A109" s="844">
        <v>44166.0</v>
      </c>
      <c r="B109" s="3">
        <v>15.0</v>
      </c>
    </row>
    <row r="110">
      <c r="A110" s="844">
        <v>44197.0</v>
      </c>
      <c r="B110" s="3">
        <v>16.0</v>
      </c>
    </row>
    <row r="111">
      <c r="A111" s="844">
        <v>44228.0</v>
      </c>
      <c r="B111" s="3">
        <v>16.0</v>
      </c>
    </row>
    <row r="112">
      <c r="A112" s="844">
        <v>44256.0</v>
      </c>
      <c r="B112" s="3">
        <v>16.0</v>
      </c>
    </row>
    <row r="113">
      <c r="A113" s="844">
        <v>44287.0</v>
      </c>
      <c r="B113" s="3">
        <v>17.0</v>
      </c>
    </row>
    <row r="114">
      <c r="A114" s="844">
        <v>44317.0</v>
      </c>
      <c r="B114" s="3">
        <v>17.0</v>
      </c>
    </row>
    <row r="115">
      <c r="A115" s="844">
        <v>44348.0</v>
      </c>
      <c r="B115" s="3">
        <v>17.0</v>
      </c>
    </row>
    <row r="116">
      <c r="A116" s="844">
        <v>44378.0</v>
      </c>
      <c r="B116" s="3">
        <v>17.0</v>
      </c>
    </row>
    <row r="117">
      <c r="A117" s="844">
        <v>44409.0</v>
      </c>
      <c r="B117" s="3">
        <v>17.0</v>
      </c>
    </row>
    <row r="118">
      <c r="A118" s="844">
        <v>44440.0</v>
      </c>
      <c r="B118" s="3">
        <v>17.0</v>
      </c>
    </row>
    <row r="119">
      <c r="A119" s="844">
        <v>44470.0</v>
      </c>
      <c r="B119" s="3">
        <v>17.0</v>
      </c>
    </row>
    <row r="120">
      <c r="A120" s="844">
        <v>44501.0</v>
      </c>
      <c r="B120" s="3">
        <v>17.0</v>
      </c>
    </row>
    <row r="121">
      <c r="A121" s="844">
        <v>44531.0</v>
      </c>
      <c r="B121" s="3">
        <v>18.0</v>
      </c>
    </row>
    <row r="122">
      <c r="A122" s="844">
        <v>44562.0</v>
      </c>
      <c r="B122" s="3">
        <v>19.0</v>
      </c>
    </row>
    <row r="123">
      <c r="A123" s="844">
        <v>44593.0</v>
      </c>
      <c r="B123" s="3">
        <v>20.0</v>
      </c>
    </row>
    <row r="124">
      <c r="A124" s="844">
        <v>44621.0</v>
      </c>
      <c r="B124" s="3">
        <v>20.0</v>
      </c>
    </row>
    <row r="125">
      <c r="A125" s="844">
        <v>44652.0</v>
      </c>
      <c r="B125" s="3">
        <v>20.0</v>
      </c>
    </row>
    <row r="126">
      <c r="A126" s="844">
        <v>44682.0</v>
      </c>
      <c r="B126" s="3">
        <v>20.0</v>
      </c>
    </row>
    <row r="127">
      <c r="A127" s="844">
        <v>44713.0</v>
      </c>
      <c r="B127" s="3">
        <v>21.0</v>
      </c>
    </row>
    <row r="128">
      <c r="A128" s="844">
        <v>44743.0</v>
      </c>
      <c r="B128" s="3">
        <v>21.0</v>
      </c>
    </row>
    <row r="129">
      <c r="A129" s="844">
        <v>44774.0</v>
      </c>
      <c r="B129" s="3">
        <v>21.0</v>
      </c>
    </row>
    <row r="130">
      <c r="A130" s="844">
        <v>44805.0</v>
      </c>
      <c r="B130" s="3">
        <v>22.0</v>
      </c>
    </row>
    <row r="131">
      <c r="A131" s="844">
        <v>44835.0</v>
      </c>
      <c r="B131" s="3">
        <v>22.0</v>
      </c>
    </row>
    <row r="132">
      <c r="A132" s="844">
        <v>44866.0</v>
      </c>
      <c r="B132" s="3">
        <v>22.0</v>
      </c>
    </row>
    <row r="133">
      <c r="A133" s="844">
        <v>44896.0</v>
      </c>
      <c r="B133" s="3">
        <v>23.0</v>
      </c>
    </row>
    <row r="134">
      <c r="A134" s="844">
        <v>44927.0</v>
      </c>
      <c r="B134" s="3">
        <v>23.0</v>
      </c>
    </row>
    <row r="135">
      <c r="A135" s="844">
        <v>44958.0</v>
      </c>
      <c r="B135" s="3">
        <v>24.0</v>
      </c>
    </row>
    <row r="136">
      <c r="A136" s="844">
        <v>44986.0</v>
      </c>
      <c r="B136" s="3">
        <v>24.0</v>
      </c>
    </row>
    <row r="137">
      <c r="A137" s="844">
        <v>45017.0</v>
      </c>
      <c r="B137" s="3">
        <v>24.0</v>
      </c>
    </row>
    <row r="138">
      <c r="A138" s="844">
        <v>45047.0</v>
      </c>
      <c r="B138" s="3">
        <v>25.0</v>
      </c>
    </row>
    <row r="139">
      <c r="A139" s="844">
        <v>45078.0</v>
      </c>
      <c r="B139" s="3">
        <v>25.0</v>
      </c>
    </row>
    <row r="140">
      <c r="A140" s="844">
        <v>45108.0</v>
      </c>
      <c r="B140" s="3">
        <v>25.0</v>
      </c>
    </row>
    <row r="141">
      <c r="A141" s="844">
        <v>45139.0</v>
      </c>
      <c r="B141" s="3">
        <v>26.0</v>
      </c>
    </row>
    <row r="142">
      <c r="A142" s="844">
        <v>45170.0</v>
      </c>
      <c r="B142" s="3">
        <v>26.0</v>
      </c>
    </row>
    <row r="143">
      <c r="A143" s="844">
        <v>45200.0</v>
      </c>
      <c r="B143" s="3">
        <v>26.0</v>
      </c>
    </row>
    <row r="144">
      <c r="A144" s="844">
        <v>45231.0</v>
      </c>
      <c r="B144" s="3">
        <v>26.0</v>
      </c>
    </row>
    <row r="145">
      <c r="A145" s="844">
        <v>45261.0</v>
      </c>
      <c r="B145" s="3">
        <v>26.0</v>
      </c>
    </row>
    <row r="146">
      <c r="A146" s="844">
        <v>45292.0</v>
      </c>
      <c r="B146" s="3">
        <v>26.0</v>
      </c>
    </row>
    <row r="147">
      <c r="A147" s="844">
        <v>45323.0</v>
      </c>
      <c r="B147" s="3">
        <v>26.0</v>
      </c>
    </row>
    <row r="148">
      <c r="A148" s="844">
        <v>45352.0</v>
      </c>
      <c r="B148" s="3">
        <v>26.0</v>
      </c>
    </row>
    <row r="149">
      <c r="A149" s="845">
        <v>45383.0</v>
      </c>
      <c r="B149" s="3">
        <v>26.0</v>
      </c>
    </row>
    <row r="150">
      <c r="A150" s="844">
        <v>45413.0</v>
      </c>
      <c r="B150" s="3">
        <v>26.0</v>
      </c>
    </row>
    <row r="151">
      <c r="A151" s="844">
        <v>45444.0</v>
      </c>
      <c r="B151" s="3">
        <v>26.0</v>
      </c>
    </row>
    <row r="152">
      <c r="A152" s="844">
        <v>45474.0</v>
      </c>
      <c r="B152" s="3">
        <v>26.0</v>
      </c>
    </row>
    <row r="153">
      <c r="A153" s="845">
        <v>45505.0</v>
      </c>
      <c r="B153" s="3">
        <v>26.0</v>
      </c>
    </row>
    <row r="154">
      <c r="A154" s="844">
        <v>45536.0</v>
      </c>
      <c r="B154" s="3">
        <v>26.0</v>
      </c>
    </row>
    <row r="155">
      <c r="A155" s="844">
        <v>45566.0</v>
      </c>
      <c r="B155" s="3">
        <v>26.0</v>
      </c>
    </row>
    <row r="156">
      <c r="A156" s="844">
        <v>45597.0</v>
      </c>
      <c r="B156" s="3">
        <v>26.0</v>
      </c>
    </row>
    <row r="157">
      <c r="A157" s="844">
        <v>45627.0</v>
      </c>
      <c r="B157" s="3">
        <v>26.0</v>
      </c>
    </row>
    <row r="158">
      <c r="A158" s="844">
        <v>45658.0</v>
      </c>
      <c r="B158" s="3">
        <v>26.0</v>
      </c>
    </row>
    <row r="159">
      <c r="A159" s="845">
        <v>45689.0</v>
      </c>
      <c r="B159" s="3">
        <v>26.0</v>
      </c>
    </row>
    <row r="160">
      <c r="A160" s="844">
        <v>45717.0</v>
      </c>
      <c r="B160" s="3">
        <v>26.0</v>
      </c>
    </row>
    <row r="161">
      <c r="A161" s="844">
        <v>45748.0</v>
      </c>
      <c r="B161" s="3">
        <v>26.0</v>
      </c>
    </row>
    <row r="162">
      <c r="A162" s="844">
        <v>45778.0</v>
      </c>
      <c r="B162" s="3">
        <v>26.0</v>
      </c>
    </row>
    <row r="163">
      <c r="A163" s="844">
        <v>45809.0</v>
      </c>
      <c r="B163" s="3">
        <v>26.0</v>
      </c>
    </row>
    <row r="164">
      <c r="A164" s="844">
        <v>45839.0</v>
      </c>
      <c r="B164" s="3">
        <v>26.0</v>
      </c>
    </row>
    <row r="165">
      <c r="A165" s="844">
        <v>45870.0</v>
      </c>
      <c r="B165" s="3">
        <v>26.0</v>
      </c>
    </row>
    <row r="166">
      <c r="A166" s="844">
        <v>45901.0</v>
      </c>
      <c r="B166" s="3">
        <v>26.0</v>
      </c>
    </row>
    <row r="167">
      <c r="A167" s="844">
        <v>45931.0</v>
      </c>
      <c r="B167" s="3">
        <v>26.0</v>
      </c>
    </row>
    <row r="168">
      <c r="A168" s="844">
        <v>45962.0</v>
      </c>
      <c r="B168" s="3">
        <v>26.0</v>
      </c>
    </row>
    <row r="169">
      <c r="A169" s="844">
        <v>45992.0</v>
      </c>
      <c r="B169" s="3">
        <v>26.0</v>
      </c>
    </row>
    <row r="170">
      <c r="A170" s="844"/>
      <c r="B170" s="3"/>
    </row>
    <row r="171">
      <c r="A171" s="844"/>
      <c r="B171" s="3"/>
    </row>
    <row r="172">
      <c r="A172" s="844"/>
      <c r="B172" s="3"/>
    </row>
    <row r="173">
      <c r="A173" s="844"/>
      <c r="B173" s="3"/>
    </row>
    <row r="174">
      <c r="A174" s="844"/>
      <c r="B174" s="3"/>
    </row>
    <row r="175">
      <c r="A175" s="844"/>
      <c r="B175" s="3"/>
    </row>
    <row r="176">
      <c r="A176" s="844"/>
      <c r="B176" s="3"/>
    </row>
    <row r="177">
      <c r="A177" s="844"/>
      <c r="B177" s="3"/>
    </row>
    <row r="178">
      <c r="A178" s="844"/>
      <c r="B178" s="3"/>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sheetViews>
  <sheetFormatPr customHeight="1" defaultColWidth="12.63" defaultRowHeight="15.75"/>
  <cols>
    <col customWidth="1" min="1" max="1" width="30.25"/>
    <col customWidth="1" min="2" max="2" width="31.63"/>
  </cols>
  <sheetData>
    <row r="1" ht="88.5" customHeight="1">
      <c r="A1" s="846" t="s">
        <v>5159</v>
      </c>
    </row>
    <row r="2">
      <c r="A2" s="440" t="s">
        <v>5160</v>
      </c>
      <c r="B2" s="440" t="s">
        <v>513</v>
      </c>
    </row>
    <row r="3">
      <c r="A3" s="3" t="s">
        <v>5161</v>
      </c>
      <c r="B3" s="320" t="str">
        <f>If(or('CUNAS-KAYAK'!G2:G8),"Hay al menos una cuna sobreasignada","No hay sobreasignaciones")</f>
        <v>No hay sobreasignaciones</v>
      </c>
    </row>
    <row r="4">
      <c r="A4" s="3" t="s">
        <v>5162</v>
      </c>
      <c r="B4" s="320" t="str">
        <f>If(or('CUNAS WS'!G2:G8),"Hay al menos una cuna sobreasignada","No hay sobreasignaciones")</f>
        <v>No hay sobreasignaciones</v>
      </c>
    </row>
    <row r="5">
      <c r="A5" s="3" t="s">
        <v>5163</v>
      </c>
      <c r="B5" s="320" t="str">
        <f>If(or(LOCKERS!H2:H8),"Hay al menos un locker sobreasignado","No hay sobreasignaciones")</f>
        <v>No hay sobreasignaciones</v>
      </c>
    </row>
    <row r="6">
      <c r="A6" s="3" t="s">
        <v>5164</v>
      </c>
      <c r="B6" s="320" t="str">
        <f>If(or('LOCKERS KITE'!G2:G8),"Hay al menos una cuna sobreasignada","No hay sobreasignaciones")</f>
        <v>No hay sobreasignaciones</v>
      </c>
    </row>
    <row r="7">
      <c r="A7" s="3" t="s">
        <v>5165</v>
      </c>
      <c r="B7" s="320" t="str">
        <f>If(or('VELAS WINDSURF'!G2:G8),"Hay al menos un gancho sobreasignado","No hay sobreasignaciones")</f>
        <v>Hay al menos un gancho sobreasignado</v>
      </c>
    </row>
    <row r="8">
      <c r="A8" s="3" t="s">
        <v>5166</v>
      </c>
      <c r="B8" s="320" t="str">
        <f>If(or(VELEROS!G2:G8),"Hay al menos una cuna sobreasignada","No hay sobreasignaciones")</f>
        <v>No hay sobreasignaciones</v>
      </c>
    </row>
  </sheetData>
  <mergeCells count="1">
    <mergeCell ref="A1:B1"/>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38"/>
    <col customWidth="1" min="2" max="2" width="11.0"/>
    <col customWidth="1" min="3" max="3" width="104.13"/>
    <col customWidth="1" min="5" max="5" width="7.75"/>
  </cols>
  <sheetData>
    <row r="1">
      <c r="A1" s="847" t="s">
        <v>5167</v>
      </c>
      <c r="B1" s="848" t="s">
        <v>4731</v>
      </c>
      <c r="C1" s="849" t="s">
        <v>5168</v>
      </c>
      <c r="D1" s="847" t="s">
        <v>4065</v>
      </c>
      <c r="E1" s="847" t="s">
        <v>5169</v>
      </c>
    </row>
    <row r="2">
      <c r="A2" s="850" t="s">
        <v>5170</v>
      </c>
      <c r="B2" s="851">
        <v>1459.0</v>
      </c>
      <c r="C2" s="852" t="s">
        <v>5171</v>
      </c>
      <c r="D2" s="853">
        <v>41378.0</v>
      </c>
      <c r="E2" s="839" t="s">
        <v>5172</v>
      </c>
    </row>
    <row r="3">
      <c r="A3" s="850" t="s">
        <v>5170</v>
      </c>
      <c r="B3" s="851">
        <v>1460.0</v>
      </c>
      <c r="C3" s="852" t="s">
        <v>5173</v>
      </c>
      <c r="D3" s="853">
        <v>41398.0</v>
      </c>
      <c r="E3" s="839" t="s">
        <v>5174</v>
      </c>
    </row>
    <row r="4">
      <c r="A4" s="850" t="s">
        <v>5170</v>
      </c>
      <c r="B4" s="851">
        <v>1461.0</v>
      </c>
      <c r="C4" s="852" t="s">
        <v>5175</v>
      </c>
      <c r="D4" s="853">
        <v>41405.0</v>
      </c>
      <c r="E4" s="839" t="s">
        <v>5174</v>
      </c>
    </row>
    <row r="5">
      <c r="A5" s="850" t="s">
        <v>5176</v>
      </c>
      <c r="B5" s="851">
        <v>1112.0</v>
      </c>
      <c r="C5" s="852" t="s">
        <v>5177</v>
      </c>
      <c r="D5" s="853">
        <v>41377.0</v>
      </c>
      <c r="E5" s="839" t="s">
        <v>5174</v>
      </c>
    </row>
    <row r="6">
      <c r="A6" s="850" t="s">
        <v>5176</v>
      </c>
      <c r="B6" s="851">
        <v>1358.0</v>
      </c>
      <c r="C6" s="852" t="s">
        <v>5178</v>
      </c>
      <c r="D6" s="853">
        <v>41377.0</v>
      </c>
      <c r="E6" s="839" t="s">
        <v>5174</v>
      </c>
    </row>
    <row r="7">
      <c r="A7" s="850" t="s">
        <v>5179</v>
      </c>
      <c r="B7" s="851">
        <v>1156.0</v>
      </c>
      <c r="C7" s="852" t="s">
        <v>5180</v>
      </c>
      <c r="D7" s="853">
        <v>41378.0</v>
      </c>
      <c r="E7" s="839" t="s">
        <v>5174</v>
      </c>
    </row>
    <row r="8">
      <c r="A8" s="850" t="s">
        <v>5176</v>
      </c>
      <c r="B8" s="851">
        <v>1156.0</v>
      </c>
      <c r="C8" s="852" t="s">
        <v>5180</v>
      </c>
      <c r="D8" s="853">
        <v>41378.0</v>
      </c>
      <c r="E8" s="839" t="s">
        <v>5174</v>
      </c>
    </row>
    <row r="9">
      <c r="A9" s="850" t="s">
        <v>5176</v>
      </c>
      <c r="B9" s="851">
        <v>1442.0</v>
      </c>
      <c r="C9" s="852" t="s">
        <v>5181</v>
      </c>
      <c r="D9" s="853">
        <v>41383.0</v>
      </c>
      <c r="E9" s="839" t="s">
        <v>5174</v>
      </c>
    </row>
    <row r="10">
      <c r="A10" s="850" t="s">
        <v>5182</v>
      </c>
      <c r="B10" s="851">
        <v>1460.0</v>
      </c>
      <c r="C10" s="852" t="s">
        <v>5183</v>
      </c>
      <c r="D10" s="853">
        <v>41398.0</v>
      </c>
      <c r="E10" s="839" t="s">
        <v>5174</v>
      </c>
    </row>
    <row r="11">
      <c r="A11" s="850" t="s">
        <v>5184</v>
      </c>
      <c r="B11" s="851">
        <v>1461.0</v>
      </c>
      <c r="C11" s="852" t="s">
        <v>5185</v>
      </c>
      <c r="D11" s="853">
        <v>41405.0</v>
      </c>
      <c r="E11" s="839" t="s">
        <v>5174</v>
      </c>
    </row>
    <row r="12">
      <c r="A12" s="850" t="s">
        <v>5186</v>
      </c>
      <c r="B12" s="851">
        <v>1461.0</v>
      </c>
      <c r="C12" s="852" t="s">
        <v>5187</v>
      </c>
      <c r="D12" s="853">
        <v>41405.0</v>
      </c>
      <c r="E12" s="839" t="s">
        <v>5174</v>
      </c>
    </row>
    <row r="13">
      <c r="A13" s="850" t="s">
        <v>5188</v>
      </c>
      <c r="B13" s="851">
        <v>1184.0</v>
      </c>
      <c r="C13" s="852" t="s">
        <v>5189</v>
      </c>
      <c r="D13" s="853">
        <v>41412.0</v>
      </c>
      <c r="E13" s="839" t="s">
        <v>5190</v>
      </c>
    </row>
    <row r="14">
      <c r="A14" s="850" t="s">
        <v>5170</v>
      </c>
      <c r="B14" s="851">
        <v>1462.0</v>
      </c>
      <c r="C14" s="852" t="s">
        <v>5191</v>
      </c>
      <c r="D14" s="853">
        <v>41412.0</v>
      </c>
      <c r="E14" s="839" t="s">
        <v>5190</v>
      </c>
    </row>
    <row r="15">
      <c r="A15" s="850" t="s">
        <v>5192</v>
      </c>
      <c r="B15" s="851">
        <v>1454.0</v>
      </c>
      <c r="C15" s="852" t="s">
        <v>5193</v>
      </c>
      <c r="D15" s="853">
        <v>41414.0</v>
      </c>
      <c r="E15" s="839" t="s">
        <v>5194</v>
      </c>
    </row>
    <row r="16">
      <c r="A16" s="850" t="s">
        <v>5195</v>
      </c>
      <c r="B16" s="851">
        <v>1462.0</v>
      </c>
      <c r="C16" s="852" t="s">
        <v>5196</v>
      </c>
      <c r="D16" s="853">
        <v>41414.0</v>
      </c>
      <c r="E16" s="839" t="s">
        <v>5194</v>
      </c>
    </row>
    <row r="17">
      <c r="A17" s="850" t="s">
        <v>5197</v>
      </c>
      <c r="B17" s="851">
        <v>1253.0</v>
      </c>
      <c r="C17" s="852" t="s">
        <v>5198</v>
      </c>
      <c r="D17" s="853">
        <v>41432.0</v>
      </c>
      <c r="E17" s="839" t="s">
        <v>5194</v>
      </c>
    </row>
    <row r="18">
      <c r="A18" s="850" t="s">
        <v>2875</v>
      </c>
      <c r="B18" s="851">
        <v>1253.0</v>
      </c>
      <c r="C18" s="852" t="s">
        <v>5199</v>
      </c>
      <c r="D18" s="853">
        <v>41419.0</v>
      </c>
      <c r="E18" s="839" t="s">
        <v>5194</v>
      </c>
    </row>
    <row r="19">
      <c r="A19" s="850" t="s">
        <v>2875</v>
      </c>
      <c r="B19" s="851">
        <v>1281.0</v>
      </c>
      <c r="C19" s="852" t="s">
        <v>5200</v>
      </c>
      <c r="D19" s="853">
        <v>41348.0</v>
      </c>
      <c r="E19" s="839" t="s">
        <v>5194</v>
      </c>
    </row>
    <row r="20">
      <c r="A20" s="850" t="s">
        <v>5201</v>
      </c>
      <c r="B20" s="851">
        <v>1281.0</v>
      </c>
      <c r="C20" s="852" t="s">
        <v>5202</v>
      </c>
      <c r="D20" s="853">
        <v>41348.0</v>
      </c>
      <c r="E20" s="839" t="s">
        <v>5194</v>
      </c>
    </row>
    <row r="21">
      <c r="A21" s="850" t="s">
        <v>5203</v>
      </c>
      <c r="B21" s="851">
        <v>1218.0</v>
      </c>
      <c r="C21" s="852" t="s">
        <v>5204</v>
      </c>
      <c r="D21" s="854"/>
      <c r="E21" s="839" t="s">
        <v>5194</v>
      </c>
    </row>
    <row r="22">
      <c r="A22" s="850" t="s">
        <v>2875</v>
      </c>
      <c r="B22" s="851">
        <v>1323.0</v>
      </c>
      <c r="C22" s="852" t="s">
        <v>5205</v>
      </c>
      <c r="D22" s="853">
        <v>41420.0</v>
      </c>
      <c r="E22" s="839" t="s">
        <v>5194</v>
      </c>
    </row>
    <row r="23">
      <c r="A23" s="850" t="s">
        <v>5206</v>
      </c>
      <c r="B23" s="851">
        <v>1323.0</v>
      </c>
      <c r="C23" s="852" t="s">
        <v>5207</v>
      </c>
      <c r="D23" s="853">
        <v>41420.0</v>
      </c>
      <c r="E23" s="839" t="s">
        <v>5194</v>
      </c>
    </row>
    <row r="24">
      <c r="A24" s="850" t="s">
        <v>5201</v>
      </c>
      <c r="B24" s="851">
        <v>1323.0</v>
      </c>
      <c r="C24" s="852" t="s">
        <v>5208</v>
      </c>
      <c r="D24" s="853">
        <v>41420.0</v>
      </c>
      <c r="E24" s="839" t="s">
        <v>5194</v>
      </c>
    </row>
    <row r="25">
      <c r="A25" s="850" t="s">
        <v>532</v>
      </c>
      <c r="B25" s="851">
        <v>13.0</v>
      </c>
      <c r="C25" s="852" t="s">
        <v>5209</v>
      </c>
      <c r="D25" s="853">
        <v>41432.0</v>
      </c>
      <c r="E25" s="839" t="s">
        <v>5194</v>
      </c>
    </row>
    <row r="26">
      <c r="A26" s="850" t="s">
        <v>2875</v>
      </c>
      <c r="B26" s="851">
        <v>1320.0</v>
      </c>
      <c r="C26" s="852" t="s">
        <v>5210</v>
      </c>
      <c r="D26" s="853">
        <v>41432.0</v>
      </c>
      <c r="E26" s="839" t="s">
        <v>5194</v>
      </c>
    </row>
    <row r="27">
      <c r="A27" s="850" t="s">
        <v>5206</v>
      </c>
      <c r="B27" s="851">
        <v>1320.0</v>
      </c>
      <c r="C27" s="852" t="s">
        <v>5211</v>
      </c>
      <c r="D27" s="853">
        <v>41432.0</v>
      </c>
      <c r="E27" s="839" t="s">
        <v>5194</v>
      </c>
    </row>
    <row r="28">
      <c r="A28" s="850" t="s">
        <v>5206</v>
      </c>
      <c r="B28" s="851">
        <v>1316.0</v>
      </c>
      <c r="C28" s="852" t="s">
        <v>5212</v>
      </c>
      <c r="D28" s="853">
        <v>41432.0</v>
      </c>
      <c r="E28" s="839" t="s">
        <v>5194</v>
      </c>
    </row>
    <row r="29">
      <c r="A29" s="850" t="s">
        <v>2875</v>
      </c>
      <c r="B29" s="851">
        <v>68.0</v>
      </c>
      <c r="C29" s="852" t="s">
        <v>5213</v>
      </c>
      <c r="D29" s="853">
        <v>41424.0</v>
      </c>
      <c r="E29" s="839" t="s">
        <v>5194</v>
      </c>
    </row>
    <row r="30">
      <c r="A30" s="850" t="s">
        <v>532</v>
      </c>
      <c r="B30" s="851">
        <v>1463.0</v>
      </c>
      <c r="C30" s="852" t="s">
        <v>5214</v>
      </c>
      <c r="D30" s="853">
        <v>41445.0</v>
      </c>
      <c r="E30" s="839" t="s">
        <v>5194</v>
      </c>
    </row>
    <row r="31">
      <c r="A31" s="850" t="s">
        <v>628</v>
      </c>
      <c r="B31" s="851">
        <v>1464.0</v>
      </c>
      <c r="C31" s="852" t="s">
        <v>5215</v>
      </c>
      <c r="D31" s="853">
        <v>41447.0</v>
      </c>
      <c r="E31" s="839" t="s">
        <v>5194</v>
      </c>
    </row>
    <row r="32">
      <c r="A32" s="850" t="s">
        <v>5201</v>
      </c>
      <c r="B32" s="851">
        <v>1250.0</v>
      </c>
      <c r="C32" s="852" t="s">
        <v>5216</v>
      </c>
      <c r="D32" s="853">
        <v>41447.0</v>
      </c>
      <c r="E32" s="839" t="s">
        <v>5194</v>
      </c>
    </row>
    <row r="33">
      <c r="A33" s="850" t="s">
        <v>5217</v>
      </c>
      <c r="B33" s="851">
        <v>1465.0</v>
      </c>
      <c r="C33" s="852" t="s">
        <v>5218</v>
      </c>
      <c r="D33" s="853">
        <v>41448.0</v>
      </c>
      <c r="E33" s="839" t="s">
        <v>5194</v>
      </c>
    </row>
    <row r="34">
      <c r="A34" s="850" t="s">
        <v>5219</v>
      </c>
      <c r="B34" s="851">
        <v>1303.0</v>
      </c>
      <c r="C34" s="852" t="s">
        <v>5220</v>
      </c>
      <c r="D34" s="853">
        <v>41455.0</v>
      </c>
      <c r="E34" s="839" t="s">
        <v>5194</v>
      </c>
    </row>
    <row r="35">
      <c r="A35" s="850" t="s">
        <v>5221</v>
      </c>
      <c r="B35" s="851">
        <v>1466.0</v>
      </c>
      <c r="C35" s="852" t="s">
        <v>5222</v>
      </c>
      <c r="D35" s="853">
        <v>41461.0</v>
      </c>
      <c r="E35" s="839" t="s">
        <v>5194</v>
      </c>
    </row>
    <row r="36">
      <c r="A36" s="850" t="s">
        <v>5223</v>
      </c>
      <c r="B36" s="851">
        <v>1467.0</v>
      </c>
      <c r="C36" s="852" t="s">
        <v>5224</v>
      </c>
      <c r="D36" s="853">
        <v>41461.0</v>
      </c>
      <c r="E36" s="839" t="s">
        <v>5194</v>
      </c>
    </row>
    <row r="37">
      <c r="A37" s="850" t="s">
        <v>2875</v>
      </c>
      <c r="B37" s="851">
        <v>1185.0</v>
      </c>
      <c r="C37" s="852" t="s">
        <v>5225</v>
      </c>
      <c r="D37" s="853">
        <v>41497.0</v>
      </c>
      <c r="E37" s="839" t="s">
        <v>5194</v>
      </c>
    </row>
    <row r="38">
      <c r="A38" s="850" t="s">
        <v>2875</v>
      </c>
      <c r="B38" s="851">
        <v>1184.0</v>
      </c>
      <c r="C38" s="852" t="s">
        <v>5226</v>
      </c>
      <c r="D38" s="853">
        <v>41497.0</v>
      </c>
      <c r="E38" s="839" t="s">
        <v>5194</v>
      </c>
    </row>
    <row r="39">
      <c r="A39" s="850" t="s">
        <v>2875</v>
      </c>
      <c r="B39" s="851">
        <v>1377.0</v>
      </c>
      <c r="C39" s="852" t="s">
        <v>5227</v>
      </c>
      <c r="D39" s="853">
        <v>41497.0</v>
      </c>
      <c r="E39" s="839" t="s">
        <v>5194</v>
      </c>
    </row>
    <row r="40">
      <c r="A40" s="850" t="s">
        <v>5228</v>
      </c>
      <c r="B40" s="851">
        <v>1200.0</v>
      </c>
      <c r="C40" s="852" t="s">
        <v>5229</v>
      </c>
      <c r="D40" s="853">
        <v>41505.0</v>
      </c>
      <c r="E40" s="839" t="s">
        <v>5194</v>
      </c>
    </row>
    <row r="41">
      <c r="A41" s="850" t="s">
        <v>5228</v>
      </c>
      <c r="B41" s="851">
        <v>1394.0</v>
      </c>
      <c r="C41" s="852" t="s">
        <v>5230</v>
      </c>
      <c r="D41" s="853">
        <v>41505.0</v>
      </c>
      <c r="E41" s="839" t="s">
        <v>5194</v>
      </c>
    </row>
    <row r="42">
      <c r="A42" s="850" t="s">
        <v>5228</v>
      </c>
      <c r="B42" s="851">
        <v>1328.0</v>
      </c>
      <c r="C42" s="852" t="s">
        <v>5231</v>
      </c>
      <c r="D42" s="853">
        <v>41505.0</v>
      </c>
      <c r="E42" s="839" t="s">
        <v>5194</v>
      </c>
    </row>
    <row r="43">
      <c r="A43" s="850" t="s">
        <v>2875</v>
      </c>
      <c r="B43" s="851">
        <v>1055.0</v>
      </c>
      <c r="C43" s="852" t="s">
        <v>5232</v>
      </c>
      <c r="D43" s="853">
        <v>41517.0</v>
      </c>
      <c r="E43" s="839" t="s">
        <v>5194</v>
      </c>
    </row>
    <row r="44">
      <c r="A44" s="850" t="s">
        <v>2875</v>
      </c>
      <c r="B44" s="851">
        <v>1218.0</v>
      </c>
      <c r="C44" s="852" t="s">
        <v>5233</v>
      </c>
      <c r="D44" s="853">
        <v>41517.0</v>
      </c>
      <c r="E44" s="839" t="s">
        <v>5194</v>
      </c>
    </row>
    <row r="45">
      <c r="A45" s="850" t="s">
        <v>2875</v>
      </c>
      <c r="B45" s="851">
        <v>1319.0</v>
      </c>
      <c r="C45" s="852" t="s">
        <v>5234</v>
      </c>
      <c r="D45" s="853">
        <v>41552.0</v>
      </c>
      <c r="E45" s="839" t="s">
        <v>5194</v>
      </c>
    </row>
    <row r="46">
      <c r="A46" s="850" t="s">
        <v>5235</v>
      </c>
      <c r="B46" s="851">
        <v>1415.0</v>
      </c>
      <c r="C46" s="852" t="s">
        <v>5236</v>
      </c>
      <c r="D46" s="853">
        <v>41568.0</v>
      </c>
      <c r="E46" s="839" t="s">
        <v>5190</v>
      </c>
    </row>
    <row r="47">
      <c r="A47" s="850" t="s">
        <v>5228</v>
      </c>
      <c r="B47" s="851">
        <v>1394.0</v>
      </c>
      <c r="C47" s="852" t="s">
        <v>5237</v>
      </c>
      <c r="D47" s="853">
        <v>41579.0</v>
      </c>
      <c r="E47" s="839" t="s">
        <v>5194</v>
      </c>
    </row>
    <row r="48">
      <c r="A48" s="850" t="s">
        <v>5228</v>
      </c>
      <c r="B48" s="851">
        <v>1339.0</v>
      </c>
      <c r="C48" s="852" t="s">
        <v>5238</v>
      </c>
      <c r="D48" s="853">
        <v>41579.0</v>
      </c>
      <c r="E48" s="839" t="s">
        <v>5194</v>
      </c>
    </row>
    <row r="49">
      <c r="A49" s="850" t="s">
        <v>5239</v>
      </c>
      <c r="B49" s="851">
        <v>1354.0</v>
      </c>
      <c r="C49" s="852" t="s">
        <v>5240</v>
      </c>
      <c r="D49" s="853">
        <v>41579.0</v>
      </c>
      <c r="E49" s="839" t="s">
        <v>5194</v>
      </c>
    </row>
    <row r="50">
      <c r="A50" s="850" t="s">
        <v>5239</v>
      </c>
      <c r="B50" s="851">
        <v>1255.0</v>
      </c>
      <c r="C50" s="852" t="s">
        <v>5241</v>
      </c>
      <c r="D50" s="853">
        <v>41579.0</v>
      </c>
      <c r="E50" s="839" t="s">
        <v>5194</v>
      </c>
    </row>
    <row r="51">
      <c r="A51" s="850" t="s">
        <v>5242</v>
      </c>
      <c r="B51" s="851">
        <v>1200.0</v>
      </c>
      <c r="C51" s="852" t="s">
        <v>5243</v>
      </c>
      <c r="D51" s="853">
        <v>41579.0</v>
      </c>
      <c r="E51" s="839" t="s">
        <v>5194</v>
      </c>
    </row>
    <row r="52">
      <c r="A52" s="850" t="s">
        <v>5244</v>
      </c>
      <c r="B52" s="851">
        <v>1470.0</v>
      </c>
      <c r="C52" s="852" t="s">
        <v>5245</v>
      </c>
      <c r="D52" s="853">
        <v>41592.0</v>
      </c>
      <c r="E52" s="839" t="s">
        <v>5190</v>
      </c>
    </row>
    <row r="53">
      <c r="A53" s="855"/>
      <c r="B53" s="856"/>
      <c r="C53" s="857"/>
      <c r="D53" s="854"/>
      <c r="E53" s="858"/>
    </row>
    <row r="54">
      <c r="A54" s="855"/>
      <c r="B54" s="856"/>
      <c r="C54" s="857"/>
      <c r="D54" s="854"/>
      <c r="E54" s="858"/>
    </row>
    <row r="55">
      <c r="A55" s="855"/>
      <c r="B55" s="856"/>
      <c r="C55" s="857"/>
      <c r="D55" s="854"/>
      <c r="E55" s="858"/>
    </row>
    <row r="56">
      <c r="A56" s="855"/>
      <c r="B56" s="856"/>
      <c r="C56" s="857"/>
      <c r="D56" s="854"/>
      <c r="E56" s="858"/>
    </row>
    <row r="57">
      <c r="A57" s="855"/>
      <c r="B57" s="856"/>
      <c r="C57" s="857"/>
      <c r="D57" s="854"/>
      <c r="E57" s="858"/>
    </row>
    <row r="58">
      <c r="A58" s="855"/>
      <c r="B58" s="856"/>
      <c r="C58" s="857"/>
      <c r="D58" s="854"/>
      <c r="E58" s="858"/>
    </row>
    <row r="59">
      <c r="A59" s="855"/>
      <c r="B59" s="856"/>
      <c r="C59" s="857"/>
      <c r="D59" s="854"/>
      <c r="E59" s="858"/>
    </row>
    <row r="60">
      <c r="A60" s="855"/>
      <c r="B60" s="856"/>
      <c r="C60" s="857"/>
      <c r="D60" s="854"/>
      <c r="E60" s="858"/>
    </row>
    <row r="61">
      <c r="A61" s="855"/>
      <c r="B61" s="856"/>
      <c r="C61" s="857"/>
      <c r="D61" s="854"/>
      <c r="E61" s="858"/>
    </row>
    <row r="62">
      <c r="A62" s="855"/>
      <c r="B62" s="856"/>
      <c r="C62" s="857"/>
      <c r="D62" s="854"/>
      <c r="E62" s="858"/>
    </row>
    <row r="63">
      <c r="A63" s="855"/>
      <c r="B63" s="856"/>
      <c r="C63" s="857"/>
      <c r="D63" s="854"/>
      <c r="E63" s="858"/>
    </row>
    <row r="64">
      <c r="A64" s="855"/>
      <c r="B64" s="856"/>
      <c r="C64" s="857"/>
      <c r="D64" s="854"/>
      <c r="E64" s="858"/>
    </row>
    <row r="65">
      <c r="A65" s="855"/>
      <c r="B65" s="856"/>
      <c r="C65" s="857"/>
      <c r="D65" s="854"/>
      <c r="E65" s="858"/>
    </row>
    <row r="66">
      <c r="A66" s="855"/>
      <c r="B66" s="856"/>
      <c r="C66" s="857"/>
      <c r="D66" s="854"/>
      <c r="E66" s="858"/>
    </row>
    <row r="67">
      <c r="A67" s="855"/>
      <c r="B67" s="856"/>
      <c r="C67" s="857"/>
      <c r="D67" s="854"/>
      <c r="E67" s="858"/>
    </row>
    <row r="68">
      <c r="A68" s="855"/>
      <c r="B68" s="856"/>
      <c r="C68" s="857"/>
      <c r="D68" s="854"/>
      <c r="E68" s="858"/>
    </row>
    <row r="69">
      <c r="A69" s="855"/>
      <c r="B69" s="856"/>
      <c r="C69" s="857"/>
      <c r="D69" s="854"/>
      <c r="E69" s="858"/>
    </row>
    <row r="70">
      <c r="A70" s="855"/>
      <c r="B70" s="856"/>
      <c r="C70" s="857"/>
      <c r="D70" s="854"/>
      <c r="E70" s="858"/>
    </row>
    <row r="71">
      <c r="A71" s="855"/>
      <c r="B71" s="856"/>
      <c r="C71" s="857"/>
      <c r="D71" s="854"/>
      <c r="E71" s="858"/>
    </row>
    <row r="72">
      <c r="A72" s="855"/>
      <c r="B72" s="856"/>
      <c r="C72" s="857"/>
      <c r="D72" s="854"/>
      <c r="E72" s="858"/>
    </row>
    <row r="73">
      <c r="A73" s="855"/>
      <c r="B73" s="856"/>
      <c r="C73" s="857"/>
      <c r="D73" s="854"/>
      <c r="E73" s="858"/>
    </row>
    <row r="74">
      <c r="A74" s="855"/>
      <c r="B74" s="856"/>
      <c r="C74" s="857"/>
      <c r="D74" s="854"/>
      <c r="E74" s="858"/>
    </row>
    <row r="75">
      <c r="A75" s="855"/>
      <c r="B75" s="856"/>
      <c r="C75" s="857"/>
      <c r="D75" s="854"/>
      <c r="E75" s="858"/>
    </row>
    <row r="76">
      <c r="A76" s="855"/>
      <c r="B76" s="856"/>
      <c r="C76" s="857"/>
      <c r="D76" s="854"/>
      <c r="E76" s="858"/>
    </row>
    <row r="77">
      <c r="A77" s="855"/>
      <c r="B77" s="856"/>
      <c r="C77" s="857"/>
      <c r="D77" s="854"/>
      <c r="E77" s="858"/>
    </row>
    <row r="78">
      <c r="A78" s="855"/>
      <c r="B78" s="856"/>
      <c r="C78" s="857"/>
      <c r="D78" s="854"/>
      <c r="E78" s="858"/>
    </row>
    <row r="79">
      <c r="A79" s="855"/>
      <c r="B79" s="856"/>
      <c r="C79" s="857"/>
      <c r="D79" s="854"/>
      <c r="E79" s="858"/>
    </row>
    <row r="80">
      <c r="A80" s="855"/>
      <c r="B80" s="856"/>
      <c r="C80" s="857"/>
      <c r="D80" s="854"/>
      <c r="E80" s="858"/>
    </row>
    <row r="81">
      <c r="A81" s="855"/>
      <c r="B81" s="856"/>
      <c r="C81" s="857"/>
      <c r="D81" s="854"/>
      <c r="E81" s="858"/>
    </row>
    <row r="82">
      <c r="A82" s="855"/>
      <c r="B82" s="856"/>
      <c r="C82" s="857"/>
      <c r="D82" s="854"/>
      <c r="E82" s="858"/>
    </row>
    <row r="83">
      <c r="A83" s="855"/>
      <c r="B83" s="856"/>
      <c r="C83" s="857"/>
      <c r="D83" s="854"/>
      <c r="E83" s="858"/>
    </row>
    <row r="84">
      <c r="A84" s="855"/>
      <c r="B84" s="856"/>
      <c r="C84" s="857"/>
      <c r="D84" s="854"/>
      <c r="E84" s="858"/>
    </row>
    <row r="85">
      <c r="A85" s="855"/>
      <c r="B85" s="856"/>
      <c r="C85" s="857"/>
      <c r="D85" s="854"/>
      <c r="E85" s="858"/>
    </row>
    <row r="86">
      <c r="A86" s="855"/>
      <c r="B86" s="856"/>
      <c r="C86" s="857"/>
      <c r="D86" s="854"/>
      <c r="E86" s="858"/>
    </row>
    <row r="87">
      <c r="A87" s="855"/>
      <c r="B87" s="856"/>
      <c r="C87" s="857"/>
      <c r="D87" s="854"/>
      <c r="E87" s="858"/>
    </row>
    <row r="88">
      <c r="A88" s="855"/>
      <c r="B88" s="856"/>
      <c r="C88" s="857"/>
      <c r="D88" s="854"/>
      <c r="E88" s="858"/>
    </row>
    <row r="89">
      <c r="A89" s="855"/>
      <c r="B89" s="856"/>
      <c r="C89" s="857"/>
      <c r="D89" s="854"/>
      <c r="E89" s="858"/>
    </row>
    <row r="90">
      <c r="A90" s="855"/>
      <c r="B90" s="856"/>
      <c r="C90" s="857"/>
      <c r="D90" s="854"/>
      <c r="E90" s="858"/>
    </row>
    <row r="91">
      <c r="A91" s="855"/>
      <c r="B91" s="856"/>
      <c r="C91" s="857"/>
      <c r="D91" s="854"/>
      <c r="E91" s="858"/>
    </row>
    <row r="92">
      <c r="A92" s="855"/>
      <c r="B92" s="856"/>
      <c r="C92" s="857"/>
      <c r="D92" s="854"/>
      <c r="E92" s="858"/>
    </row>
    <row r="93">
      <c r="A93" s="855"/>
      <c r="B93" s="856"/>
      <c r="C93" s="857"/>
      <c r="D93" s="854"/>
      <c r="E93" s="858"/>
    </row>
    <row r="94">
      <c r="A94" s="855"/>
      <c r="B94" s="856"/>
      <c r="C94" s="857"/>
      <c r="D94" s="854"/>
      <c r="E94" s="858"/>
    </row>
    <row r="95">
      <c r="A95" s="855"/>
      <c r="B95" s="856"/>
      <c r="C95" s="857"/>
      <c r="D95" s="854"/>
      <c r="E95" s="858"/>
    </row>
    <row r="96">
      <c r="A96" s="855"/>
      <c r="B96" s="856"/>
      <c r="C96" s="857"/>
      <c r="D96" s="854"/>
      <c r="E96" s="858"/>
    </row>
    <row r="97">
      <c r="A97" s="855"/>
      <c r="B97" s="856"/>
      <c r="C97" s="857"/>
      <c r="D97" s="854"/>
      <c r="E97" s="858"/>
    </row>
    <row r="98">
      <c r="A98" s="855"/>
      <c r="B98" s="856"/>
      <c r="C98" s="857"/>
      <c r="D98" s="854"/>
      <c r="E98" s="858"/>
    </row>
    <row r="99">
      <c r="A99" s="855"/>
      <c r="B99" s="856"/>
      <c r="C99" s="857"/>
      <c r="D99" s="854"/>
      <c r="E99" s="858"/>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75"/>
  </cols>
  <sheetData>
    <row r="1">
      <c r="A1" s="859" t="s">
        <v>5246</v>
      </c>
      <c r="B1" s="859" t="s">
        <v>5247</v>
      </c>
      <c r="C1" s="859" t="s">
        <v>5248</v>
      </c>
      <c r="D1" s="859" t="s">
        <v>5249</v>
      </c>
    </row>
    <row r="2">
      <c r="A2" s="3" t="s">
        <v>5250</v>
      </c>
      <c r="B2" s="378" t="s">
        <v>5251</v>
      </c>
      <c r="C2" s="378" t="s">
        <v>5252</v>
      </c>
    </row>
    <row r="3">
      <c r="A3" s="3" t="s">
        <v>5253</v>
      </c>
      <c r="B3" s="378" t="s">
        <v>5254</v>
      </c>
      <c r="C3" s="378" t="s">
        <v>5255</v>
      </c>
    </row>
    <row r="4">
      <c r="A4" s="3" t="s">
        <v>5256</v>
      </c>
      <c r="B4" s="378" t="s">
        <v>5257</v>
      </c>
      <c r="C4" s="378" t="s">
        <v>5258</v>
      </c>
    </row>
    <row r="5">
      <c r="A5" s="3" t="s">
        <v>5259</v>
      </c>
      <c r="B5" s="378" t="s">
        <v>5260</v>
      </c>
      <c r="C5" s="378" t="s">
        <v>5261</v>
      </c>
    </row>
    <row r="6">
      <c r="A6" s="3" t="s">
        <v>5262</v>
      </c>
      <c r="B6" s="378" t="s">
        <v>5263</v>
      </c>
      <c r="C6" s="378" t="s">
        <v>5264</v>
      </c>
    </row>
    <row r="7">
      <c r="A7" s="3" t="s">
        <v>5265</v>
      </c>
      <c r="B7" s="378" t="s">
        <v>5266</v>
      </c>
      <c r="C7" s="378" t="s">
        <v>5267</v>
      </c>
    </row>
    <row r="8">
      <c r="A8" s="3" t="s">
        <v>5268</v>
      </c>
      <c r="B8" s="378" t="s">
        <v>5269</v>
      </c>
      <c r="C8" s="378" t="s">
        <v>5270</v>
      </c>
    </row>
    <row r="9">
      <c r="A9" s="3" t="s">
        <v>5271</v>
      </c>
      <c r="B9" s="378" t="s">
        <v>5272</v>
      </c>
      <c r="C9" s="378" t="s">
        <v>5273</v>
      </c>
    </row>
    <row r="10">
      <c r="A10" s="3" t="s">
        <v>5274</v>
      </c>
      <c r="B10" s="378" t="s">
        <v>5275</v>
      </c>
      <c r="C10" s="378" t="s">
        <v>5276</v>
      </c>
    </row>
    <row r="11">
      <c r="A11" s="3" t="s">
        <v>5277</v>
      </c>
      <c r="B11" s="378" t="s">
        <v>5278</v>
      </c>
      <c r="C11" s="378" t="s">
        <v>5279</v>
      </c>
    </row>
    <row r="12">
      <c r="A12" s="3" t="s">
        <v>5280</v>
      </c>
      <c r="B12" s="378" t="s">
        <v>5272</v>
      </c>
      <c r="C12" s="378" t="s">
        <v>5273</v>
      </c>
    </row>
    <row r="13">
      <c r="A13" s="3" t="s">
        <v>5280</v>
      </c>
      <c r="B13" s="378" t="s">
        <v>5272</v>
      </c>
      <c r="C13" s="378" t="s">
        <v>5273</v>
      </c>
    </row>
    <row r="14">
      <c r="A14" s="3" t="s">
        <v>5281</v>
      </c>
      <c r="B14" s="378" t="s">
        <v>5282</v>
      </c>
      <c r="C14" s="378" t="s">
        <v>5283</v>
      </c>
    </row>
    <row r="15">
      <c r="A15" s="3" t="s">
        <v>5281</v>
      </c>
      <c r="B15" s="378" t="s">
        <v>5282</v>
      </c>
      <c r="C15" s="378" t="s">
        <v>5283</v>
      </c>
    </row>
    <row r="16">
      <c r="A16" s="3" t="s">
        <v>5284</v>
      </c>
      <c r="B16" s="378" t="s">
        <v>5285</v>
      </c>
      <c r="C16" s="378" t="s">
        <v>5286</v>
      </c>
    </row>
    <row r="17">
      <c r="A17" s="3" t="s">
        <v>5287</v>
      </c>
      <c r="B17" s="378" t="s">
        <v>5272</v>
      </c>
      <c r="C17" s="378" t="s">
        <v>5273</v>
      </c>
    </row>
    <row r="18">
      <c r="A18" s="3" t="s">
        <v>5288</v>
      </c>
      <c r="B18" s="378" t="s">
        <v>5272</v>
      </c>
      <c r="C18" s="378" t="s">
        <v>5273</v>
      </c>
    </row>
    <row r="19">
      <c r="A19" s="3" t="s">
        <v>5289</v>
      </c>
      <c r="B19" s="378" t="s">
        <v>5290</v>
      </c>
      <c r="C19" s="378" t="s">
        <v>5291</v>
      </c>
    </row>
    <row r="20">
      <c r="A20" s="3" t="s">
        <v>5292</v>
      </c>
      <c r="B20" s="378" t="s">
        <v>5293</v>
      </c>
      <c r="C20" s="378" t="s">
        <v>5294</v>
      </c>
    </row>
    <row r="21">
      <c r="A21" s="3" t="s">
        <v>5295</v>
      </c>
      <c r="B21" s="378" t="s">
        <v>5296</v>
      </c>
      <c r="C21" s="378" t="s">
        <v>5297</v>
      </c>
    </row>
    <row r="22">
      <c r="A22" s="3" t="s">
        <v>5298</v>
      </c>
      <c r="B22" s="378" t="s">
        <v>5299</v>
      </c>
      <c r="C22" s="378" t="s">
        <v>5300</v>
      </c>
    </row>
    <row r="23">
      <c r="A23" s="3" t="s">
        <v>5301</v>
      </c>
      <c r="B23" s="378" t="s">
        <v>5302</v>
      </c>
      <c r="C23" s="378" t="s">
        <v>5303</v>
      </c>
    </row>
    <row r="24">
      <c r="A24" s="3" t="s">
        <v>5304</v>
      </c>
      <c r="B24" s="378" t="s">
        <v>5272</v>
      </c>
      <c r="C24" s="378" t="s">
        <v>5273</v>
      </c>
    </row>
    <row r="25">
      <c r="A25" s="3" t="s">
        <v>5305</v>
      </c>
      <c r="B25" s="378" t="s">
        <v>5272</v>
      </c>
      <c r="C25" s="378" t="s">
        <v>5273</v>
      </c>
    </row>
    <row r="26">
      <c r="A26" s="3" t="s">
        <v>5306</v>
      </c>
      <c r="B26" s="378" t="s">
        <v>5307</v>
      </c>
      <c r="C26" s="378" t="s">
        <v>5308</v>
      </c>
    </row>
    <row r="27">
      <c r="A27" s="3" t="s">
        <v>5309</v>
      </c>
      <c r="B27" s="378" t="s">
        <v>5310</v>
      </c>
      <c r="C27" s="378" t="s">
        <v>5311</v>
      </c>
    </row>
    <row r="28">
      <c r="A28" s="3" t="s">
        <v>5312</v>
      </c>
      <c r="B28" s="378" t="s">
        <v>5313</v>
      </c>
      <c r="C28" s="378" t="s">
        <v>5314</v>
      </c>
    </row>
    <row r="29">
      <c r="A29" s="3" t="s">
        <v>5315</v>
      </c>
      <c r="B29" s="378" t="s">
        <v>5316</v>
      </c>
      <c r="C29" s="378" t="s">
        <v>5317</v>
      </c>
    </row>
    <row r="30">
      <c r="A30" s="3" t="s">
        <v>5318</v>
      </c>
      <c r="B30" s="378" t="s">
        <v>5319</v>
      </c>
      <c r="C30" s="378" t="s">
        <v>5320</v>
      </c>
    </row>
    <row r="31">
      <c r="A31" s="3" t="s">
        <v>5321</v>
      </c>
      <c r="B31" s="378" t="s">
        <v>5322</v>
      </c>
      <c r="C31" s="378" t="s">
        <v>5323</v>
      </c>
    </row>
    <row r="32">
      <c r="A32" s="3" t="s">
        <v>5324</v>
      </c>
      <c r="B32" s="378" t="s">
        <v>5272</v>
      </c>
      <c r="C32" s="378" t="s">
        <v>5273</v>
      </c>
    </row>
    <row r="33">
      <c r="A33" s="3" t="s">
        <v>5325</v>
      </c>
      <c r="B33" s="378" t="s">
        <v>5263</v>
      </c>
      <c r="C33" s="378" t="s">
        <v>5264</v>
      </c>
    </row>
    <row r="34">
      <c r="A34" s="3" t="s">
        <v>5326</v>
      </c>
      <c r="B34" s="378" t="s">
        <v>5327</v>
      </c>
      <c r="C34" s="378" t="s">
        <v>5328</v>
      </c>
    </row>
    <row r="35">
      <c r="A35" s="3" t="s">
        <v>5329</v>
      </c>
      <c r="B35" s="378" t="s">
        <v>5330</v>
      </c>
      <c r="C35" s="378" t="s">
        <v>5331</v>
      </c>
    </row>
    <row r="36">
      <c r="A36" s="3" t="s">
        <v>5332</v>
      </c>
      <c r="B36" s="378" t="s">
        <v>5333</v>
      </c>
      <c r="C36" s="378" t="s">
        <v>5334</v>
      </c>
    </row>
    <row r="37">
      <c r="A37" s="3" t="s">
        <v>5335</v>
      </c>
      <c r="B37" s="378" t="s">
        <v>5336</v>
      </c>
      <c r="C37" s="378" t="s">
        <v>5337</v>
      </c>
    </row>
    <row r="38">
      <c r="A38" s="3" t="s">
        <v>5338</v>
      </c>
      <c r="B38" s="378" t="s">
        <v>5339</v>
      </c>
      <c r="C38" s="378" t="s">
        <v>5340</v>
      </c>
    </row>
    <row r="39">
      <c r="A39" s="3" t="s">
        <v>5341</v>
      </c>
      <c r="B39" s="378" t="s">
        <v>5342</v>
      </c>
      <c r="C39" s="378" t="s">
        <v>5343</v>
      </c>
    </row>
    <row r="40">
      <c r="A40" s="3" t="s">
        <v>5344</v>
      </c>
      <c r="B40" s="378" t="s">
        <v>5345</v>
      </c>
      <c r="C40" s="378" t="s">
        <v>5346</v>
      </c>
    </row>
    <row r="41">
      <c r="A41" s="3" t="s">
        <v>5347</v>
      </c>
      <c r="B41" s="378" t="s">
        <v>5348</v>
      </c>
      <c r="C41" s="378" t="s">
        <v>5349</v>
      </c>
    </row>
    <row r="42">
      <c r="A42" s="3" t="s">
        <v>5350</v>
      </c>
      <c r="B42" s="378" t="s">
        <v>5351</v>
      </c>
      <c r="C42" s="378" t="s">
        <v>5352</v>
      </c>
    </row>
    <row r="43">
      <c r="A43" s="3" t="s">
        <v>5353</v>
      </c>
      <c r="B43" s="378" t="s">
        <v>5342</v>
      </c>
      <c r="C43" s="378" t="s">
        <v>5343</v>
      </c>
    </row>
    <row r="44">
      <c r="A44" s="3" t="s">
        <v>5354</v>
      </c>
      <c r="B44" s="378" t="s">
        <v>5355</v>
      </c>
      <c r="C44" s="378" t="s">
        <v>5356</v>
      </c>
    </row>
    <row r="45">
      <c r="A45" s="3" t="s">
        <v>5318</v>
      </c>
      <c r="B45" s="378" t="s">
        <v>5319</v>
      </c>
      <c r="C45" s="378" t="s">
        <v>5320</v>
      </c>
    </row>
    <row r="46">
      <c r="A46" s="3" t="s">
        <v>5357</v>
      </c>
      <c r="B46" s="378" t="s">
        <v>5358</v>
      </c>
      <c r="C46" s="378" t="s">
        <v>5359</v>
      </c>
    </row>
    <row r="47">
      <c r="A47" s="3" t="s">
        <v>5360</v>
      </c>
      <c r="B47" s="378" t="s">
        <v>5361</v>
      </c>
      <c r="C47" s="378" t="s">
        <v>5362</v>
      </c>
    </row>
    <row r="48">
      <c r="A48" s="3" t="s">
        <v>5363</v>
      </c>
      <c r="B48" s="378" t="s">
        <v>5364</v>
      </c>
      <c r="C48" s="378" t="s">
        <v>5365</v>
      </c>
    </row>
    <row r="49">
      <c r="A49" s="3" t="s">
        <v>5253</v>
      </c>
      <c r="B49" s="378" t="s">
        <v>5254</v>
      </c>
      <c r="C49" s="378" t="s">
        <v>5255</v>
      </c>
    </row>
    <row r="50">
      <c r="A50" s="3" t="s">
        <v>5253</v>
      </c>
      <c r="B50" s="378" t="s">
        <v>5254</v>
      </c>
      <c r="C50" s="378" t="s">
        <v>5255</v>
      </c>
    </row>
    <row r="51">
      <c r="A51" s="3" t="s">
        <v>5366</v>
      </c>
      <c r="B51" s="378" t="s">
        <v>5367</v>
      </c>
      <c r="C51" s="378" t="s">
        <v>5368</v>
      </c>
    </row>
    <row r="52">
      <c r="A52" s="3" t="s">
        <v>5369</v>
      </c>
      <c r="B52" s="378" t="s">
        <v>5370</v>
      </c>
      <c r="C52" s="378" t="s">
        <v>5371</v>
      </c>
    </row>
    <row r="53">
      <c r="A53" s="3" t="s">
        <v>5369</v>
      </c>
      <c r="B53" s="378" t="s">
        <v>5272</v>
      </c>
      <c r="C53" s="378" t="s">
        <v>5273</v>
      </c>
    </row>
    <row r="54">
      <c r="A54" s="3" t="s">
        <v>5372</v>
      </c>
      <c r="B54" s="378" t="s">
        <v>5373</v>
      </c>
      <c r="C54" s="378" t="s">
        <v>5374</v>
      </c>
    </row>
    <row r="55">
      <c r="A55" s="3" t="s">
        <v>5375</v>
      </c>
      <c r="B55" s="378" t="s">
        <v>5272</v>
      </c>
      <c r="C55" s="378" t="s">
        <v>5273</v>
      </c>
    </row>
    <row r="56">
      <c r="A56" s="3" t="s">
        <v>5376</v>
      </c>
      <c r="B56" s="378" t="s">
        <v>5272</v>
      </c>
      <c r="C56" s="378" t="s">
        <v>5273</v>
      </c>
    </row>
    <row r="57">
      <c r="A57" s="3" t="s">
        <v>5377</v>
      </c>
      <c r="B57" s="378" t="s">
        <v>5378</v>
      </c>
      <c r="C57" s="378" t="s">
        <v>5379</v>
      </c>
    </row>
    <row r="58">
      <c r="A58" s="3" t="s">
        <v>5380</v>
      </c>
      <c r="B58" s="378" t="s">
        <v>5381</v>
      </c>
      <c r="C58" s="378" t="s">
        <v>5382</v>
      </c>
    </row>
    <row r="59">
      <c r="A59" s="3" t="s">
        <v>5280</v>
      </c>
      <c r="B59" s="378" t="s">
        <v>5272</v>
      </c>
      <c r="C59" s="378" t="s">
        <v>5273</v>
      </c>
    </row>
    <row r="60">
      <c r="A60" s="3" t="s">
        <v>5383</v>
      </c>
      <c r="B60" s="378" t="s">
        <v>5384</v>
      </c>
      <c r="C60" s="378" t="s">
        <v>5385</v>
      </c>
    </row>
    <row r="61">
      <c r="A61" s="3" t="s">
        <v>5386</v>
      </c>
      <c r="B61" s="378" t="s">
        <v>5387</v>
      </c>
      <c r="C61" s="378" t="s">
        <v>5388</v>
      </c>
    </row>
    <row r="62">
      <c r="A62" s="3" t="s">
        <v>5389</v>
      </c>
      <c r="B62" s="378" t="s">
        <v>5390</v>
      </c>
      <c r="C62" s="378" t="s">
        <v>5391</v>
      </c>
    </row>
    <row r="63">
      <c r="A63" s="3" t="s">
        <v>5380</v>
      </c>
      <c r="B63" s="378" t="s">
        <v>5381</v>
      </c>
      <c r="C63" s="378" t="s">
        <v>5382</v>
      </c>
    </row>
    <row r="64">
      <c r="A64" s="3" t="s">
        <v>5392</v>
      </c>
      <c r="B64" s="378" t="s">
        <v>5393</v>
      </c>
      <c r="C64" s="378" t="s">
        <v>5394</v>
      </c>
    </row>
    <row r="65">
      <c r="A65" s="3" t="s">
        <v>5395</v>
      </c>
      <c r="B65" s="378" t="s">
        <v>5396</v>
      </c>
      <c r="C65" s="378" t="s">
        <v>5397</v>
      </c>
    </row>
    <row r="66">
      <c r="A66" s="3" t="s">
        <v>5398</v>
      </c>
      <c r="B66" s="378" t="s">
        <v>5399</v>
      </c>
      <c r="C66" s="378" t="s">
        <v>5400</v>
      </c>
    </row>
    <row r="67">
      <c r="A67" s="3" t="s">
        <v>5401</v>
      </c>
      <c r="B67" s="378" t="s">
        <v>5263</v>
      </c>
      <c r="C67" s="378" t="s">
        <v>5264</v>
      </c>
    </row>
    <row r="68">
      <c r="A68" s="3" t="s">
        <v>5268</v>
      </c>
      <c r="B68" s="378" t="s">
        <v>5269</v>
      </c>
      <c r="C68" s="378" t="s">
        <v>5270</v>
      </c>
    </row>
    <row r="69">
      <c r="A69" s="3" t="s">
        <v>5402</v>
      </c>
      <c r="B69" s="378" t="s">
        <v>5272</v>
      </c>
      <c r="C69" s="378" t="s">
        <v>5273</v>
      </c>
    </row>
    <row r="70">
      <c r="A70" s="3" t="s">
        <v>5401</v>
      </c>
      <c r="B70" s="378" t="s">
        <v>5263</v>
      </c>
      <c r="C70" s="378" t="s">
        <v>5264</v>
      </c>
    </row>
    <row r="71">
      <c r="A71" s="3" t="s">
        <v>5403</v>
      </c>
      <c r="B71" s="378" t="s">
        <v>5404</v>
      </c>
      <c r="C71" s="378" t="s">
        <v>5405</v>
      </c>
    </row>
    <row r="72">
      <c r="A72" s="3" t="s">
        <v>5406</v>
      </c>
      <c r="B72" s="378" t="s">
        <v>5407</v>
      </c>
      <c r="C72" s="378" t="s">
        <v>5408</v>
      </c>
    </row>
    <row r="73">
      <c r="A73" s="3" t="s">
        <v>5409</v>
      </c>
      <c r="B73" s="378" t="s">
        <v>5410</v>
      </c>
      <c r="C73" s="378" t="s">
        <v>5411</v>
      </c>
    </row>
    <row r="74">
      <c r="A74" s="3" t="s">
        <v>5409</v>
      </c>
      <c r="B74" s="378" t="s">
        <v>5410</v>
      </c>
      <c r="C74" s="378" t="s">
        <v>5411</v>
      </c>
    </row>
    <row r="75">
      <c r="A75" s="3" t="s">
        <v>5412</v>
      </c>
      <c r="B75" s="378" t="s">
        <v>5413</v>
      </c>
      <c r="C75" s="378" t="s">
        <v>5414</v>
      </c>
    </row>
    <row r="76">
      <c r="A76" s="3" t="s">
        <v>5415</v>
      </c>
      <c r="B76" s="378" t="s">
        <v>5416</v>
      </c>
      <c r="C76" s="378" t="s">
        <v>5417</v>
      </c>
    </row>
    <row r="77">
      <c r="A77" s="3" t="s">
        <v>5418</v>
      </c>
      <c r="B77" s="378" t="s">
        <v>5419</v>
      </c>
      <c r="C77" s="378" t="s">
        <v>5420</v>
      </c>
    </row>
    <row r="78">
      <c r="A78" s="3" t="s">
        <v>5281</v>
      </c>
      <c r="B78" s="378" t="s">
        <v>5282</v>
      </c>
      <c r="C78" s="378" t="s">
        <v>5283</v>
      </c>
    </row>
    <row r="79">
      <c r="A79" s="3" t="s">
        <v>5389</v>
      </c>
      <c r="B79" s="378" t="s">
        <v>5390</v>
      </c>
      <c r="C79" s="378" t="s">
        <v>5391</v>
      </c>
    </row>
    <row r="80">
      <c r="A80" s="3" t="s">
        <v>5389</v>
      </c>
      <c r="B80" s="378" t="s">
        <v>5390</v>
      </c>
      <c r="C80" s="378" t="s">
        <v>5391</v>
      </c>
    </row>
    <row r="81">
      <c r="A81" s="3" t="s">
        <v>5421</v>
      </c>
      <c r="B81" s="378" t="s">
        <v>5422</v>
      </c>
      <c r="C81" s="378" t="s">
        <v>5423</v>
      </c>
    </row>
    <row r="82">
      <c r="A82" s="3" t="s">
        <v>5277</v>
      </c>
      <c r="B82" s="378" t="s">
        <v>5278</v>
      </c>
      <c r="C82" s="378" t="s">
        <v>5279</v>
      </c>
    </row>
    <row r="83">
      <c r="A83" s="3" t="s">
        <v>5277</v>
      </c>
      <c r="B83" s="378" t="s">
        <v>5278</v>
      </c>
      <c r="C83" s="378" t="s">
        <v>5279</v>
      </c>
    </row>
    <row r="84">
      <c r="A84" s="3" t="s">
        <v>5277</v>
      </c>
      <c r="B84" s="378" t="s">
        <v>5278</v>
      </c>
      <c r="C84" s="378" t="s">
        <v>5279</v>
      </c>
    </row>
    <row r="85">
      <c r="A85" s="3" t="s">
        <v>5424</v>
      </c>
      <c r="B85" s="378" t="s">
        <v>5257</v>
      </c>
      <c r="C85" s="378" t="s">
        <v>5258</v>
      </c>
    </row>
    <row r="86">
      <c r="A86" s="3" t="s">
        <v>5425</v>
      </c>
      <c r="B86" s="378" t="s">
        <v>5426</v>
      </c>
      <c r="C86" s="378" t="s">
        <v>5427</v>
      </c>
    </row>
    <row r="87">
      <c r="A87" s="3" t="s">
        <v>5428</v>
      </c>
      <c r="B87" s="378" t="s">
        <v>5272</v>
      </c>
      <c r="C87" s="378" t="s">
        <v>5273</v>
      </c>
    </row>
    <row r="88">
      <c r="A88" s="3" t="s">
        <v>5429</v>
      </c>
      <c r="B88" s="378" t="s">
        <v>5430</v>
      </c>
      <c r="C88" s="378" t="s">
        <v>5431</v>
      </c>
    </row>
    <row r="89">
      <c r="A89" s="3" t="s">
        <v>5432</v>
      </c>
      <c r="B89" s="378" t="s">
        <v>5433</v>
      </c>
      <c r="C89" s="378" t="s">
        <v>5434</v>
      </c>
    </row>
    <row r="90">
      <c r="A90" s="3" t="s">
        <v>5432</v>
      </c>
      <c r="B90" s="378" t="s">
        <v>5433</v>
      </c>
      <c r="C90" s="378" t="s">
        <v>5434</v>
      </c>
    </row>
    <row r="91">
      <c r="A91" s="3" t="s">
        <v>5435</v>
      </c>
      <c r="B91" s="378" t="s">
        <v>5436</v>
      </c>
      <c r="C91" s="378" t="s">
        <v>5437</v>
      </c>
    </row>
    <row r="92">
      <c r="A92" s="3" t="s">
        <v>5438</v>
      </c>
      <c r="B92" s="378" t="s">
        <v>5439</v>
      </c>
      <c r="C92" s="378" t="s">
        <v>5440</v>
      </c>
    </row>
    <row r="93">
      <c r="A93" s="3" t="s">
        <v>5441</v>
      </c>
      <c r="B93" s="378" t="s">
        <v>5442</v>
      </c>
      <c r="C93" s="378" t="s">
        <v>5443</v>
      </c>
    </row>
    <row r="94">
      <c r="A94" s="3" t="s">
        <v>5441</v>
      </c>
      <c r="B94" s="378" t="s">
        <v>5442</v>
      </c>
      <c r="C94" s="378" t="s">
        <v>5443</v>
      </c>
    </row>
    <row r="95">
      <c r="A95" s="3" t="s">
        <v>5444</v>
      </c>
      <c r="B95" s="378" t="s">
        <v>5445</v>
      </c>
      <c r="C95" s="378" t="s">
        <v>5446</v>
      </c>
    </row>
    <row r="96">
      <c r="A96" s="3" t="s">
        <v>5447</v>
      </c>
      <c r="B96" s="378" t="s">
        <v>5448</v>
      </c>
      <c r="C96" s="378" t="s">
        <v>5449</v>
      </c>
    </row>
    <row r="97">
      <c r="A97" s="3" t="s">
        <v>5450</v>
      </c>
      <c r="B97" s="378" t="s">
        <v>5451</v>
      </c>
      <c r="C97" s="378" t="s">
        <v>5452</v>
      </c>
    </row>
    <row r="98">
      <c r="A98" s="3" t="s">
        <v>5453</v>
      </c>
      <c r="B98" s="378" t="s">
        <v>5454</v>
      </c>
      <c r="C98" s="378" t="s">
        <v>5455</v>
      </c>
    </row>
    <row r="99">
      <c r="A99" s="3" t="s">
        <v>5456</v>
      </c>
      <c r="B99" s="378" t="s">
        <v>5457</v>
      </c>
      <c r="C99" s="378" t="s">
        <v>5458</v>
      </c>
    </row>
    <row r="100">
      <c r="A100" s="3" t="s">
        <v>5456</v>
      </c>
      <c r="B100" s="378" t="s">
        <v>5457</v>
      </c>
      <c r="C100" s="378" t="s">
        <v>5458</v>
      </c>
    </row>
    <row r="101">
      <c r="A101" s="3" t="s">
        <v>5459</v>
      </c>
      <c r="B101" s="378" t="s">
        <v>5460</v>
      </c>
      <c r="C101" s="378" t="s">
        <v>5461</v>
      </c>
    </row>
    <row r="102">
      <c r="A102" s="3" t="s">
        <v>5459</v>
      </c>
      <c r="B102" s="378" t="s">
        <v>5460</v>
      </c>
      <c r="C102" s="378" t="s">
        <v>5461</v>
      </c>
    </row>
    <row r="103">
      <c r="A103" s="3" t="s">
        <v>5462</v>
      </c>
      <c r="B103" s="378" t="s">
        <v>5463</v>
      </c>
      <c r="C103" s="378" t="s">
        <v>5464</v>
      </c>
    </row>
    <row r="104">
      <c r="A104" s="3" t="s">
        <v>5465</v>
      </c>
      <c r="B104" s="378" t="s">
        <v>5466</v>
      </c>
      <c r="C104" s="378" t="s">
        <v>5467</v>
      </c>
    </row>
    <row r="105">
      <c r="A105" s="3" t="s">
        <v>5468</v>
      </c>
      <c r="B105" s="378" t="s">
        <v>5469</v>
      </c>
      <c r="C105" s="378" t="s">
        <v>5470</v>
      </c>
    </row>
    <row r="106">
      <c r="A106" s="3" t="s">
        <v>5471</v>
      </c>
      <c r="B106" s="378" t="s">
        <v>5472</v>
      </c>
      <c r="C106" s="378" t="s">
        <v>5473</v>
      </c>
    </row>
    <row r="107">
      <c r="A107" s="3" t="s">
        <v>5474</v>
      </c>
      <c r="B107" s="378" t="s">
        <v>5475</v>
      </c>
      <c r="C107" s="378" t="s">
        <v>5476</v>
      </c>
    </row>
    <row r="108">
      <c r="A108" s="3" t="s">
        <v>5477</v>
      </c>
      <c r="B108" s="378" t="s">
        <v>5478</v>
      </c>
      <c r="C108" s="378" t="s">
        <v>5479</v>
      </c>
    </row>
    <row r="109">
      <c r="A109" s="3" t="s">
        <v>5477</v>
      </c>
      <c r="B109" s="378" t="s">
        <v>5478</v>
      </c>
      <c r="C109" s="378" t="s">
        <v>5479</v>
      </c>
    </row>
    <row r="110">
      <c r="A110" s="3" t="s">
        <v>5480</v>
      </c>
      <c r="B110" s="378" t="s">
        <v>5481</v>
      </c>
      <c r="C110" s="378" t="s">
        <v>5482</v>
      </c>
    </row>
    <row r="111">
      <c r="A111" s="3" t="s">
        <v>5483</v>
      </c>
      <c r="B111" s="378" t="s">
        <v>5484</v>
      </c>
      <c r="C111" s="378" t="s">
        <v>5485</v>
      </c>
    </row>
    <row r="112">
      <c r="A112" s="3" t="s">
        <v>5486</v>
      </c>
      <c r="B112" s="378" t="s">
        <v>5487</v>
      </c>
      <c r="C112" s="378" t="s">
        <v>5488</v>
      </c>
    </row>
    <row r="113">
      <c r="A113" s="3" t="s">
        <v>5489</v>
      </c>
      <c r="B113" s="378" t="s">
        <v>5490</v>
      </c>
      <c r="C113" s="378" t="s">
        <v>5491</v>
      </c>
    </row>
    <row r="114">
      <c r="A114" s="3" t="s">
        <v>5492</v>
      </c>
      <c r="B114" s="378" t="s">
        <v>5493</v>
      </c>
      <c r="C114" s="378" t="s">
        <v>5494</v>
      </c>
    </row>
    <row r="115">
      <c r="A115" s="3" t="s">
        <v>5492</v>
      </c>
      <c r="B115" s="378" t="s">
        <v>5493</v>
      </c>
      <c r="C115" s="378" t="s">
        <v>5494</v>
      </c>
    </row>
    <row r="116">
      <c r="A116" s="3" t="s">
        <v>5495</v>
      </c>
      <c r="B116" s="378" t="s">
        <v>5496</v>
      </c>
      <c r="C116" s="378" t="s">
        <v>5497</v>
      </c>
    </row>
    <row r="117">
      <c r="A117" s="3" t="s">
        <v>5498</v>
      </c>
      <c r="B117" s="378" t="s">
        <v>5499</v>
      </c>
      <c r="C117" s="378" t="s">
        <v>5500</v>
      </c>
    </row>
    <row r="118">
      <c r="A118" s="3" t="s">
        <v>5501</v>
      </c>
      <c r="B118" s="378" t="s">
        <v>5502</v>
      </c>
      <c r="C118" s="378" t="s">
        <v>5503</v>
      </c>
    </row>
    <row r="119">
      <c r="A119" s="3" t="s">
        <v>5504</v>
      </c>
      <c r="B119" s="378" t="s">
        <v>5505</v>
      </c>
      <c r="C119" s="378" t="s">
        <v>5506</v>
      </c>
    </row>
    <row r="120">
      <c r="A120" s="3" t="s">
        <v>5507</v>
      </c>
      <c r="B120" s="378" t="s">
        <v>5508</v>
      </c>
      <c r="C120" s="378" t="s">
        <v>5509</v>
      </c>
    </row>
    <row r="121">
      <c r="A121" s="3" t="s">
        <v>5510</v>
      </c>
      <c r="B121" s="378" t="s">
        <v>5511</v>
      </c>
      <c r="C121" s="378" t="s">
        <v>5512</v>
      </c>
    </row>
    <row r="122">
      <c r="A122" s="3" t="s">
        <v>5513</v>
      </c>
      <c r="B122" s="378" t="s">
        <v>5514</v>
      </c>
      <c r="C122" s="378" t="s">
        <v>5515</v>
      </c>
    </row>
    <row r="123">
      <c r="A123" s="3" t="s">
        <v>5516</v>
      </c>
      <c r="B123" s="378" t="s">
        <v>5517</v>
      </c>
      <c r="C123" s="378" t="s">
        <v>5518</v>
      </c>
    </row>
    <row r="124">
      <c r="A124" s="3" t="s">
        <v>5519</v>
      </c>
      <c r="B124" s="378" t="s">
        <v>5520</v>
      </c>
      <c r="C124" s="378" t="s">
        <v>5521</v>
      </c>
    </row>
    <row r="125">
      <c r="A125" s="3" t="s">
        <v>5522</v>
      </c>
      <c r="B125" s="378" t="s">
        <v>5523</v>
      </c>
      <c r="C125" s="378" t="s">
        <v>5524</v>
      </c>
    </row>
    <row r="126">
      <c r="A126" s="3" t="s">
        <v>5525</v>
      </c>
      <c r="B126" s="378" t="s">
        <v>5526</v>
      </c>
      <c r="C126" s="378" t="s">
        <v>5527</v>
      </c>
    </row>
    <row r="127">
      <c r="A127" s="3" t="s">
        <v>5528</v>
      </c>
      <c r="B127" s="378" t="s">
        <v>5529</v>
      </c>
      <c r="C127" s="378" t="s">
        <v>5530</v>
      </c>
    </row>
    <row r="128">
      <c r="A128" s="3" t="s">
        <v>5531</v>
      </c>
      <c r="B128" s="378" t="s">
        <v>5532</v>
      </c>
      <c r="C128" s="378" t="s">
        <v>5533</v>
      </c>
    </row>
    <row r="129">
      <c r="A129" s="3" t="s">
        <v>5534</v>
      </c>
      <c r="B129" s="378" t="s">
        <v>5535</v>
      </c>
      <c r="C129" s="378" t="s">
        <v>5536</v>
      </c>
    </row>
    <row r="130">
      <c r="A130" s="3" t="s">
        <v>5537</v>
      </c>
      <c r="B130" s="378" t="s">
        <v>5538</v>
      </c>
      <c r="C130" s="378" t="s">
        <v>5539</v>
      </c>
    </row>
    <row r="131">
      <c r="A131" s="3" t="s">
        <v>5540</v>
      </c>
      <c r="B131" s="378" t="s">
        <v>5541</v>
      </c>
      <c r="C131" s="378" t="s">
        <v>5542</v>
      </c>
    </row>
    <row r="132">
      <c r="A132" s="3" t="s">
        <v>5543</v>
      </c>
      <c r="B132" s="378" t="s">
        <v>5544</v>
      </c>
      <c r="C132" s="378" t="s">
        <v>5545</v>
      </c>
    </row>
    <row r="133">
      <c r="A133" s="3" t="s">
        <v>5546</v>
      </c>
      <c r="B133" s="378" t="s">
        <v>5547</v>
      </c>
      <c r="C133" s="378" t="s">
        <v>5548</v>
      </c>
    </row>
    <row r="134">
      <c r="A134" s="3" t="s">
        <v>5549</v>
      </c>
      <c r="B134" s="378" t="s">
        <v>5550</v>
      </c>
      <c r="C134" s="378" t="s">
        <v>5551</v>
      </c>
    </row>
    <row r="135">
      <c r="A135" s="3" t="s">
        <v>5552</v>
      </c>
      <c r="B135" s="378" t="s">
        <v>5553</v>
      </c>
      <c r="C135" s="378" t="s">
        <v>5554</v>
      </c>
    </row>
    <row r="136">
      <c r="A136" s="3" t="s">
        <v>5555</v>
      </c>
      <c r="B136" s="378" t="s">
        <v>5556</v>
      </c>
      <c r="C136" s="378" t="s">
        <v>5557</v>
      </c>
    </row>
    <row r="137">
      <c r="A137" s="3" t="s">
        <v>5558</v>
      </c>
      <c r="B137" s="378" t="s">
        <v>5559</v>
      </c>
      <c r="C137" s="378" t="s">
        <v>5560</v>
      </c>
    </row>
    <row r="138">
      <c r="A138" s="3" t="s">
        <v>5561</v>
      </c>
      <c r="B138" s="378" t="s">
        <v>5562</v>
      </c>
      <c r="C138" s="378" t="s">
        <v>5563</v>
      </c>
    </row>
    <row r="139">
      <c r="A139" s="3" t="s">
        <v>5564</v>
      </c>
      <c r="D139" s="3" t="s">
        <v>5565</v>
      </c>
    </row>
    <row r="140">
      <c r="A140" s="3" t="s">
        <v>5566</v>
      </c>
      <c r="B140" s="378" t="s">
        <v>5567</v>
      </c>
      <c r="C140" s="378" t="s">
        <v>5568</v>
      </c>
    </row>
    <row r="141">
      <c r="A141" s="3" t="s">
        <v>5569</v>
      </c>
      <c r="B141" s="378" t="s">
        <v>5517</v>
      </c>
      <c r="C141" s="378" t="s">
        <v>5518</v>
      </c>
    </row>
    <row r="142">
      <c r="A142" s="3" t="s">
        <v>5569</v>
      </c>
      <c r="B142" s="378" t="s">
        <v>5517</v>
      </c>
      <c r="C142" s="378" t="s">
        <v>5518</v>
      </c>
    </row>
    <row r="143">
      <c r="A143" s="3" t="s">
        <v>5570</v>
      </c>
      <c r="B143" s="378" t="s">
        <v>5571</v>
      </c>
      <c r="C143" s="378" t="s">
        <v>5572</v>
      </c>
    </row>
    <row r="144">
      <c r="A144" s="3" t="s">
        <v>5573</v>
      </c>
      <c r="B144" s="378" t="s">
        <v>5574</v>
      </c>
      <c r="C144" s="378" t="s">
        <v>5575</v>
      </c>
    </row>
    <row r="145">
      <c r="A145" s="3" t="s">
        <v>5576</v>
      </c>
      <c r="B145" s="378" t="s">
        <v>5433</v>
      </c>
      <c r="C145" s="378" t="s">
        <v>5434</v>
      </c>
    </row>
    <row r="146">
      <c r="A146" s="3" t="s">
        <v>5576</v>
      </c>
      <c r="B146" s="378" t="s">
        <v>5433</v>
      </c>
      <c r="C146" s="378" t="s">
        <v>5434</v>
      </c>
    </row>
    <row r="147">
      <c r="A147" s="3" t="s">
        <v>5577</v>
      </c>
      <c r="B147" s="378" t="s">
        <v>5578</v>
      </c>
      <c r="C147" s="378" t="s">
        <v>5579</v>
      </c>
    </row>
    <row r="148">
      <c r="A148" s="3" t="s">
        <v>5580</v>
      </c>
      <c r="B148" s="378" t="s">
        <v>5581</v>
      </c>
      <c r="C148" s="378" t="s">
        <v>5582</v>
      </c>
    </row>
    <row r="149">
      <c r="A149" s="3" t="s">
        <v>5580</v>
      </c>
      <c r="B149" s="378" t="s">
        <v>5581</v>
      </c>
      <c r="C149" s="378" t="s">
        <v>5582</v>
      </c>
    </row>
    <row r="150">
      <c r="A150" s="3" t="s">
        <v>5580</v>
      </c>
      <c r="B150" s="378" t="s">
        <v>5581</v>
      </c>
      <c r="C150" s="378" t="s">
        <v>5582</v>
      </c>
    </row>
    <row r="151">
      <c r="A151" s="3" t="s">
        <v>5583</v>
      </c>
      <c r="B151" s="378" t="s">
        <v>5584</v>
      </c>
      <c r="C151" s="378" t="s">
        <v>5585</v>
      </c>
    </row>
    <row r="152">
      <c r="A152" s="3" t="s">
        <v>5586</v>
      </c>
      <c r="B152" s="378" t="s">
        <v>5587</v>
      </c>
      <c r="C152" s="378" t="s">
        <v>5588</v>
      </c>
    </row>
    <row r="153">
      <c r="A153" s="3" t="s">
        <v>5589</v>
      </c>
      <c r="B153" s="378" t="s">
        <v>5590</v>
      </c>
      <c r="C153" s="378" t="s">
        <v>5591</v>
      </c>
    </row>
    <row r="154">
      <c r="A154" s="3" t="s">
        <v>5592</v>
      </c>
      <c r="B154" s="378" t="s">
        <v>5457</v>
      </c>
      <c r="C154" s="378" t="s">
        <v>5458</v>
      </c>
    </row>
    <row r="155">
      <c r="A155" s="3" t="s">
        <v>5593</v>
      </c>
      <c r="B155" s="378" t="s">
        <v>5594</v>
      </c>
      <c r="C155" s="378" t="s">
        <v>5595</v>
      </c>
    </row>
    <row r="156">
      <c r="A156" s="3" t="s">
        <v>5596</v>
      </c>
      <c r="B156" s="378" t="s">
        <v>5597</v>
      </c>
      <c r="C156" s="378" t="s">
        <v>5598</v>
      </c>
    </row>
    <row r="157">
      <c r="A157" s="3" t="s">
        <v>5599</v>
      </c>
      <c r="B157" s="378" t="s">
        <v>5600</v>
      </c>
      <c r="C157" s="378" t="s">
        <v>5601</v>
      </c>
    </row>
    <row r="158">
      <c r="A158" s="3" t="s">
        <v>5589</v>
      </c>
      <c r="B158" s="378" t="s">
        <v>5590</v>
      </c>
      <c r="C158" s="378" t="s">
        <v>5591</v>
      </c>
    </row>
    <row r="159">
      <c r="A159" s="3" t="s">
        <v>5602</v>
      </c>
      <c r="B159" s="378" t="s">
        <v>5603</v>
      </c>
      <c r="C159" s="378" t="s">
        <v>5604</v>
      </c>
    </row>
    <row r="160">
      <c r="A160" s="3" t="s">
        <v>5605</v>
      </c>
      <c r="B160" s="378" t="s">
        <v>5606</v>
      </c>
      <c r="C160" s="378" t="s">
        <v>5607</v>
      </c>
    </row>
    <row r="161">
      <c r="A161" s="3" t="s">
        <v>5608</v>
      </c>
      <c r="B161" s="378" t="s">
        <v>5609</v>
      </c>
      <c r="C161" s="378" t="s">
        <v>5610</v>
      </c>
    </row>
    <row r="162">
      <c r="A162" s="3" t="s">
        <v>5611</v>
      </c>
      <c r="B162" s="378" t="s">
        <v>5612</v>
      </c>
      <c r="C162" s="378" t="s">
        <v>5613</v>
      </c>
    </row>
    <row r="163">
      <c r="A163" s="3" t="s">
        <v>5608</v>
      </c>
      <c r="B163" s="378" t="s">
        <v>5609</v>
      </c>
      <c r="C163" s="378" t="s">
        <v>5610</v>
      </c>
    </row>
    <row r="164">
      <c r="A164" s="3" t="s">
        <v>5614</v>
      </c>
      <c r="B164" s="378" t="s">
        <v>5615</v>
      </c>
      <c r="C164" s="378" t="s">
        <v>5616</v>
      </c>
    </row>
    <row r="165">
      <c r="A165" s="3" t="s">
        <v>5570</v>
      </c>
      <c r="B165" s="378" t="s">
        <v>5571</v>
      </c>
      <c r="C165" s="378" t="s">
        <v>5572</v>
      </c>
    </row>
    <row r="166">
      <c r="A166" s="3" t="s">
        <v>5617</v>
      </c>
      <c r="B166" s="378" t="s">
        <v>5618</v>
      </c>
      <c r="C166" s="378" t="s">
        <v>5619</v>
      </c>
    </row>
    <row r="167">
      <c r="A167" s="3" t="s">
        <v>5617</v>
      </c>
      <c r="B167" s="378" t="s">
        <v>5618</v>
      </c>
      <c r="C167" s="378" t="s">
        <v>5619</v>
      </c>
    </row>
    <row r="168">
      <c r="A168" s="3" t="s">
        <v>5620</v>
      </c>
      <c r="B168" s="378" t="s">
        <v>5621</v>
      </c>
      <c r="C168" s="378" t="s">
        <v>5622</v>
      </c>
    </row>
    <row r="169">
      <c r="A169" s="3" t="s">
        <v>5623</v>
      </c>
      <c r="B169" s="378" t="s">
        <v>5624</v>
      </c>
      <c r="C169" s="378" t="s">
        <v>5625</v>
      </c>
    </row>
    <row r="170">
      <c r="A170" s="3" t="s">
        <v>5626</v>
      </c>
      <c r="B170" s="378" t="s">
        <v>5627</v>
      </c>
      <c r="C170" s="378" t="s">
        <v>5628</v>
      </c>
    </row>
    <row r="171">
      <c r="A171" s="3" t="s">
        <v>5629</v>
      </c>
      <c r="B171" s="378" t="s">
        <v>5460</v>
      </c>
      <c r="C171" s="378" t="s">
        <v>5461</v>
      </c>
    </row>
    <row r="172">
      <c r="A172" s="3" t="s">
        <v>5599</v>
      </c>
      <c r="B172" s="378" t="s">
        <v>5600</v>
      </c>
      <c r="C172" s="378" t="s">
        <v>5601</v>
      </c>
    </row>
    <row r="173">
      <c r="A173" s="3" t="s">
        <v>5599</v>
      </c>
      <c r="B173" s="378" t="s">
        <v>5600</v>
      </c>
      <c r="C173" s="378" t="s">
        <v>5601</v>
      </c>
    </row>
    <row r="174">
      <c r="A174" s="3" t="s">
        <v>5602</v>
      </c>
      <c r="B174" s="378" t="s">
        <v>5603</v>
      </c>
      <c r="C174" s="378" t="s">
        <v>5604</v>
      </c>
    </row>
    <row r="175">
      <c r="A175" s="3" t="s">
        <v>5630</v>
      </c>
      <c r="B175" s="378" t="s">
        <v>5631</v>
      </c>
      <c r="C175" s="378" t="s">
        <v>5632</v>
      </c>
    </row>
    <row r="176">
      <c r="A176" s="3" t="s">
        <v>5633</v>
      </c>
      <c r="B176" s="378" t="s">
        <v>5634</v>
      </c>
      <c r="C176" s="378" t="s">
        <v>5635</v>
      </c>
    </row>
    <row r="177">
      <c r="A177" s="3" t="s">
        <v>5636</v>
      </c>
      <c r="B177" s="378" t="s">
        <v>5637</v>
      </c>
      <c r="C177" s="378" t="s">
        <v>5638</v>
      </c>
    </row>
  </sheetData>
  <drawing r:id="rId1"/>
</worksheet>
</file>