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marketModeling/"/>
    </mc:Choice>
  </mc:AlternateContent>
  <xr:revisionPtr revIDLastSave="0" documentId="13_ncr:1_{811C5E41-9706-1A49-9B1D-2F9664F3BFC2}" xr6:coauthVersionLast="47" xr6:coauthVersionMax="47" xr10:uidLastSave="{00000000-0000-0000-0000-000000000000}"/>
  <bookViews>
    <workbookView xWindow="30860" yWindow="500" windowWidth="15900" windowHeight="24700" tabRatio="500" xr2:uid="{00000000-000D-0000-FFFF-FFFF00000000}"/>
  </bookViews>
  <sheets>
    <sheet name="Damian" sheetId="11" r:id="rId1"/>
    <sheet name="Dongmei" sheetId="8" r:id="rId2"/>
    <sheet name="bak" sheetId="10" r:id="rId3"/>
  </sheets>
  <definedNames>
    <definedName name="_xlnm._FilterDatabase" localSheetId="0" hidden="1">Damian!$A$1:$AZ$54</definedName>
  </definedNames>
  <calcPr calcId="191029"/>
</workbook>
</file>

<file path=xl/calcChain.xml><?xml version="1.0" encoding="utf-8"?>
<calcChain xmlns="http://schemas.openxmlformats.org/spreadsheetml/2006/main">
  <c r="W49" i="11" l="1"/>
  <c r="AA50" i="11"/>
  <c r="W52" i="11"/>
  <c r="W31" i="11"/>
  <c r="AA18" i="11"/>
  <c r="W40" i="11"/>
  <c r="AA54" i="11"/>
  <c r="AV6" i="11"/>
  <c r="AQ6" i="11"/>
  <c r="AL6" i="11"/>
  <c r="AC6" i="11"/>
  <c r="AG6" i="11" s="1"/>
  <c r="N6" i="11"/>
  <c r="D6" i="11"/>
  <c r="AV4" i="11"/>
  <c r="AQ4" i="11"/>
  <c r="AL4" i="11"/>
  <c r="AC4" i="11"/>
  <c r="AG4" i="11" s="1"/>
  <c r="D4" i="11"/>
  <c r="N4" i="11"/>
  <c r="AV50" i="11"/>
  <c r="AV16" i="11"/>
  <c r="AQ16" i="11"/>
  <c r="AL16" i="11"/>
  <c r="AC46" i="11"/>
  <c r="AG46" i="11" s="1"/>
  <c r="AC29" i="11"/>
  <c r="AG29" i="11" s="1"/>
  <c r="AC50" i="11"/>
  <c r="AG50" i="11" s="1"/>
  <c r="AC9" i="11"/>
  <c r="AG9" i="11" s="1"/>
  <c r="AC16" i="11"/>
  <c r="AG16" i="11" s="1"/>
  <c r="D16" i="11"/>
  <c r="N16" i="11"/>
  <c r="D50" i="11"/>
  <c r="N50" i="11"/>
  <c r="O50" i="11" s="1"/>
  <c r="AL50" i="11" s="1"/>
  <c r="N14" i="11"/>
  <c r="N44" i="11"/>
  <c r="O44" i="11" s="1"/>
  <c r="N39" i="11"/>
  <c r="O39" i="11" s="1"/>
  <c r="N24" i="11"/>
  <c r="O24" i="11" s="1"/>
  <c r="N17" i="11"/>
  <c r="O17" i="11" s="1"/>
  <c r="AQ17" i="11" s="1"/>
  <c r="N8" i="11"/>
  <c r="N29" i="11"/>
  <c r="N2" i="11"/>
  <c r="O2" i="11" s="1"/>
  <c r="N51" i="11"/>
  <c r="O51" i="11" s="1"/>
  <c r="AL51" i="11" s="1"/>
  <c r="N26" i="11"/>
  <c r="O26" i="11" s="1"/>
  <c r="N45" i="11"/>
  <c r="O45" i="11" s="1"/>
  <c r="AQ45" i="11" s="1"/>
  <c r="N30" i="11"/>
  <c r="O30" i="11" s="1"/>
  <c r="N28" i="11"/>
  <c r="O28" i="11" s="1"/>
  <c r="AQ28" i="11" s="1"/>
  <c r="N46" i="11"/>
  <c r="O46" i="11" s="1"/>
  <c r="N41" i="11"/>
  <c r="N15" i="11"/>
  <c r="N20" i="11"/>
  <c r="N3" i="11"/>
  <c r="N5" i="11"/>
  <c r="O5" i="11" s="1"/>
  <c r="AQ5" i="11" s="1"/>
  <c r="N42" i="11"/>
  <c r="O42" i="11" s="1"/>
  <c r="AL42" i="11" s="1"/>
  <c r="N12" i="11"/>
  <c r="N22" i="11"/>
  <c r="O22" i="11" s="1"/>
  <c r="N13" i="11"/>
  <c r="N49" i="11"/>
  <c r="O49" i="11" s="1"/>
  <c r="N23" i="11"/>
  <c r="N21" i="11"/>
  <c r="O21" i="11" s="1"/>
  <c r="N48" i="11"/>
  <c r="O48" i="11" s="1"/>
  <c r="N34" i="11"/>
  <c r="O34" i="11" s="1"/>
  <c r="N27" i="11"/>
  <c r="N33" i="11"/>
  <c r="N43" i="11"/>
  <c r="N25" i="11"/>
  <c r="N38" i="11"/>
  <c r="O38" i="11" s="1"/>
  <c r="N37" i="11"/>
  <c r="N18" i="11"/>
  <c r="N9" i="11"/>
  <c r="N36" i="11"/>
  <c r="N40" i="11"/>
  <c r="N11" i="11"/>
  <c r="N53" i="11"/>
  <c r="N52" i="11"/>
  <c r="O52" i="11" s="1"/>
  <c r="N7" i="11"/>
  <c r="O7" i="11" s="1"/>
  <c r="AQ7" i="11" s="1"/>
  <c r="N31" i="11"/>
  <c r="O31" i="11" s="1"/>
  <c r="N47" i="11"/>
  <c r="O47" i="11" s="1"/>
  <c r="AQ47" i="11" s="1"/>
  <c r="N35" i="11"/>
  <c r="N10" i="11"/>
  <c r="O10" i="11" s="1"/>
  <c r="AQ10" i="11" s="1"/>
  <c r="N19" i="11"/>
  <c r="O19" i="11" s="1"/>
  <c r="N32" i="11"/>
  <c r="O32" i="11" s="1"/>
  <c r="N54" i="11"/>
  <c r="O54" i="11" s="1"/>
  <c r="AC39" i="11"/>
  <c r="AC18" i="11"/>
  <c r="C56" i="11"/>
  <c r="AS56" i="11"/>
  <c r="AV23" i="11"/>
  <c r="AQ23" i="11"/>
  <c r="AL23" i="11"/>
  <c r="AC23" i="11"/>
  <c r="AG23" i="11" s="1"/>
  <c r="D23" i="11"/>
  <c r="AV27" i="11"/>
  <c r="AQ27" i="11"/>
  <c r="AL27" i="11"/>
  <c r="AC27" i="11"/>
  <c r="AG27" i="11" s="1"/>
  <c r="D27" i="11"/>
  <c r="AX56" i="11"/>
  <c r="AN56" i="11"/>
  <c r="AI56" i="11"/>
  <c r="AC53" i="11"/>
  <c r="AG53" i="11" s="1"/>
  <c r="AV20" i="11"/>
  <c r="AV13" i="11"/>
  <c r="AV3" i="11"/>
  <c r="AQ20" i="11"/>
  <c r="AQ3" i="11"/>
  <c r="AL20" i="11"/>
  <c r="AL3" i="11"/>
  <c r="AC3" i="11"/>
  <c r="AG3" i="11" s="1"/>
  <c r="AC20" i="11"/>
  <c r="AG20" i="11" s="1"/>
  <c r="AC13" i="11"/>
  <c r="AG13" i="11" s="1"/>
  <c r="AL13" i="11"/>
  <c r="AQ13" i="11"/>
  <c r="J33" i="11"/>
  <c r="J15" i="11"/>
  <c r="J8" i="11"/>
  <c r="D3" i="11"/>
  <c r="D20" i="11"/>
  <c r="D13" i="11"/>
  <c r="AC26" i="11"/>
  <c r="AG26" i="11" s="1"/>
  <c r="AC42" i="11"/>
  <c r="AG42" i="11" s="1"/>
  <c r="E55" i="11"/>
  <c r="AW54" i="11" s="1"/>
  <c r="AV11" i="11"/>
  <c r="AV21" i="11"/>
  <c r="AV39" i="11"/>
  <c r="AV2" i="11"/>
  <c r="AC25" i="11"/>
  <c r="AC22" i="11"/>
  <c r="AG22" i="11" s="1"/>
  <c r="AC49" i="11"/>
  <c r="AG49" i="11" s="1"/>
  <c r="AC35" i="11"/>
  <c r="AG35" i="11" s="1"/>
  <c r="AC8" i="11"/>
  <c r="AA75" i="11"/>
  <c r="AA73" i="11"/>
  <c r="AA74" i="11" s="1"/>
  <c r="AA72" i="11"/>
  <c r="AB71" i="11" s="1"/>
  <c r="D62" i="11"/>
  <c r="C62" i="11"/>
  <c r="B62" i="11"/>
  <c r="H61" i="11" s="1"/>
  <c r="H62" i="11" s="1"/>
  <c r="F61" i="11"/>
  <c r="F60" i="11"/>
  <c r="K56" i="11"/>
  <c r="L55" i="11"/>
  <c r="K55" i="11"/>
  <c r="I55" i="11"/>
  <c r="B55" i="11"/>
  <c r="D46" i="11"/>
  <c r="J29" i="11"/>
  <c r="D29" i="11"/>
  <c r="AC10" i="11"/>
  <c r="AG10" i="11" s="1"/>
  <c r="D10" i="11"/>
  <c r="D42" i="11"/>
  <c r="AC48" i="11"/>
  <c r="AG48" i="11" s="1"/>
  <c r="D48" i="11"/>
  <c r="D8" i="11"/>
  <c r="D39" i="11"/>
  <c r="AC33" i="11"/>
  <c r="D33" i="11"/>
  <c r="AC15" i="11"/>
  <c r="D15" i="11"/>
  <c r="AQ12" i="11"/>
  <c r="AL12" i="11"/>
  <c r="AC12" i="11"/>
  <c r="AG12" i="11" s="1"/>
  <c r="D12" i="11"/>
  <c r="AC44" i="11"/>
  <c r="D44" i="11"/>
  <c r="AC52" i="11"/>
  <c r="AG52" i="11" s="1"/>
  <c r="D52" i="11"/>
  <c r="AC34" i="11"/>
  <c r="AG34" i="11" s="1"/>
  <c r="D34" i="11"/>
  <c r="AC54" i="11"/>
  <c r="AG54" i="11" s="1"/>
  <c r="D54" i="11"/>
  <c r="AC14" i="11"/>
  <c r="AG14" i="11" s="1"/>
  <c r="J14" i="11"/>
  <c r="D14" i="11"/>
  <c r="AC21" i="11"/>
  <c r="AG21" i="11" s="1"/>
  <c r="D21" i="11"/>
  <c r="AC41" i="11"/>
  <c r="AG41" i="11" s="1"/>
  <c r="J41" i="11"/>
  <c r="D41" i="11"/>
  <c r="AC38" i="11"/>
  <c r="AG38" i="11" s="1"/>
  <c r="D38" i="11"/>
  <c r="D26" i="11"/>
  <c r="AC28" i="11"/>
  <c r="D28" i="11"/>
  <c r="AC31" i="11"/>
  <c r="AG31" i="11" s="1"/>
  <c r="D31" i="11"/>
  <c r="J53" i="11"/>
  <c r="D53" i="11"/>
  <c r="AC2" i="11"/>
  <c r="AG2" i="11" s="1"/>
  <c r="D2" i="11"/>
  <c r="AC11" i="11"/>
  <c r="AG11" i="11" s="1"/>
  <c r="J11" i="11"/>
  <c r="D11" i="11"/>
  <c r="AC51" i="11"/>
  <c r="D51" i="11"/>
  <c r="AC30" i="11"/>
  <c r="AG30" i="11" s="1"/>
  <c r="D30" i="11"/>
  <c r="D22" i="11"/>
  <c r="AC5" i="11"/>
  <c r="AG5" i="11" s="1"/>
  <c r="D5" i="11"/>
  <c r="AC47" i="11"/>
  <c r="D47" i="11"/>
  <c r="J25" i="11"/>
  <c r="D25" i="11"/>
  <c r="AC19" i="11"/>
  <c r="AG19" i="11" s="1"/>
  <c r="D19" i="11"/>
  <c r="AC32" i="11"/>
  <c r="AG32" i="11" s="1"/>
  <c r="D32" i="11"/>
  <c r="AC24" i="11"/>
  <c r="AG24" i="11" s="1"/>
  <c r="D24" i="11"/>
  <c r="AC40" i="11"/>
  <c r="J40" i="11"/>
  <c r="D40" i="11"/>
  <c r="AC17" i="11"/>
  <c r="AG17" i="11" s="1"/>
  <c r="D17" i="11"/>
  <c r="AC45" i="11"/>
  <c r="AG45" i="11" s="1"/>
  <c r="D45" i="11"/>
  <c r="AC7" i="11"/>
  <c r="D7" i="11"/>
  <c r="J9" i="11"/>
  <c r="D9" i="11"/>
  <c r="J18" i="11"/>
  <c r="D18" i="11"/>
  <c r="AC36" i="11"/>
  <c r="J36" i="11"/>
  <c r="D36" i="11"/>
  <c r="AC37" i="11"/>
  <c r="J37" i="11"/>
  <c r="D37" i="11"/>
  <c r="AC43" i="11"/>
  <c r="J43" i="11"/>
  <c r="D43" i="11"/>
  <c r="J35" i="11"/>
  <c r="D35" i="11"/>
  <c r="D49" i="11"/>
  <c r="AF9" i="10"/>
  <c r="AR36" i="10"/>
  <c r="AM36" i="10"/>
  <c r="AD36" i="10"/>
  <c r="AH36" i="10" s="1"/>
  <c r="N36" i="10"/>
  <c r="V36" i="10"/>
  <c r="D36" i="10"/>
  <c r="AF51" i="10"/>
  <c r="AF52" i="10" s="1"/>
  <c r="AF50" i="10"/>
  <c r="AG50" i="10"/>
  <c r="AD27" i="10"/>
  <c r="AH27" i="10" s="1"/>
  <c r="AD16" i="10"/>
  <c r="AH16" i="10" s="1"/>
  <c r="AD43" i="10"/>
  <c r="AH43" i="10" s="1"/>
  <c r="AD2" i="10"/>
  <c r="AH2" i="10" s="1"/>
  <c r="AD7" i="10"/>
  <c r="AD5" i="10"/>
  <c r="AH5" i="10" s="1"/>
  <c r="AD13" i="10"/>
  <c r="AH13" i="10" s="1"/>
  <c r="AW19" i="10"/>
  <c r="AD41" i="10"/>
  <c r="AH41" i="10" s="1"/>
  <c r="V2" i="10"/>
  <c r="V41" i="10"/>
  <c r="V27" i="10"/>
  <c r="V43" i="10"/>
  <c r="N27" i="10"/>
  <c r="K27" i="10" s="1"/>
  <c r="AR27" i="10" s="1"/>
  <c r="N43" i="10"/>
  <c r="N2" i="10"/>
  <c r="K2" i="10" s="1"/>
  <c r="AR2" i="10" s="1"/>
  <c r="N41" i="10"/>
  <c r="K41" i="10" s="1"/>
  <c r="AR41" i="10" s="1"/>
  <c r="K43" i="10"/>
  <c r="AR43" i="10" s="1"/>
  <c r="D2" i="10"/>
  <c r="D41" i="10"/>
  <c r="D27" i="10"/>
  <c r="D43" i="10"/>
  <c r="G47" i="10"/>
  <c r="AD8" i="10"/>
  <c r="AD34" i="10"/>
  <c r="AH34" i="10" s="1"/>
  <c r="AD12" i="10"/>
  <c r="AD4" i="10"/>
  <c r="AD45" i="10"/>
  <c r="AD6" i="10"/>
  <c r="AD31" i="10"/>
  <c r="F5" i="8"/>
  <c r="F3" i="8"/>
  <c r="AD38" i="10"/>
  <c r="F12" i="10"/>
  <c r="F38" i="10"/>
  <c r="AD19" i="10"/>
  <c r="AH19" i="10" s="1"/>
  <c r="AD20" i="10"/>
  <c r="AH20" i="10" s="1"/>
  <c r="AD29" i="10"/>
  <c r="AH29" i="10" s="1"/>
  <c r="H46" i="10"/>
  <c r="AD3" i="10"/>
  <c r="AD24" i="10"/>
  <c r="AJ47" i="10"/>
  <c r="B5" i="8"/>
  <c r="A5" i="8"/>
  <c r="C46" i="10"/>
  <c r="AD28" i="10"/>
  <c r="AD39" i="10"/>
  <c r="AH39" i="10" s="1"/>
  <c r="F52" i="10"/>
  <c r="G52" i="10" s="1"/>
  <c r="F51" i="10"/>
  <c r="AT47" i="10"/>
  <c r="AO47" i="10"/>
  <c r="B46" i="10"/>
  <c r="V32" i="10"/>
  <c r="V24" i="10"/>
  <c r="V34" i="10"/>
  <c r="V21" i="10"/>
  <c r="V17" i="10"/>
  <c r="V45" i="10"/>
  <c r="V10" i="10"/>
  <c r="V35" i="10"/>
  <c r="V4" i="10"/>
  <c r="V42" i="10"/>
  <c r="V29" i="10"/>
  <c r="V12" i="10"/>
  <c r="V39" i="10"/>
  <c r="V28" i="10"/>
  <c r="V5" i="10"/>
  <c r="V6" i="10"/>
  <c r="V3" i="10"/>
  <c r="V33" i="10"/>
  <c r="V38" i="10"/>
  <c r="V14" i="10"/>
  <c r="V25" i="10"/>
  <c r="V20" i="10"/>
  <c r="V44" i="10"/>
  <c r="V26" i="10"/>
  <c r="V16" i="10"/>
  <c r="V13" i="10"/>
  <c r="V19" i="10"/>
  <c r="V30" i="10"/>
  <c r="V15" i="10"/>
  <c r="V7" i="10"/>
  <c r="V11" i="10"/>
  <c r="V37" i="10"/>
  <c r="V31" i="10"/>
  <c r="V22" i="10"/>
  <c r="V8" i="10"/>
  <c r="V40" i="10"/>
  <c r="V9" i="10"/>
  <c r="V18" i="10"/>
  <c r="V23" i="10"/>
  <c r="N32" i="10"/>
  <c r="K32" i="10" s="1"/>
  <c r="AM32" i="10" s="1"/>
  <c r="N24" i="10"/>
  <c r="N34" i="10"/>
  <c r="K34" i="10" s="1"/>
  <c r="AR34" i="10" s="1"/>
  <c r="N21" i="10"/>
  <c r="K21" i="10" s="1"/>
  <c r="AR21" i="10" s="1"/>
  <c r="N17" i="10"/>
  <c r="K17" i="10" s="1"/>
  <c r="AR17" i="10" s="1"/>
  <c r="N45" i="10"/>
  <c r="K45" i="10" s="1"/>
  <c r="AR45" i="10" s="1"/>
  <c r="N10" i="10"/>
  <c r="K10" i="10" s="1"/>
  <c r="AR10" i="10" s="1"/>
  <c r="N35" i="10"/>
  <c r="K35" i="10" s="1"/>
  <c r="AR35" i="10" s="1"/>
  <c r="N4" i="10"/>
  <c r="N42" i="10"/>
  <c r="K42" i="10" s="1"/>
  <c r="AR42" i="10" s="1"/>
  <c r="N29" i="10"/>
  <c r="N12" i="10"/>
  <c r="N39" i="10"/>
  <c r="K39" i="10" s="1"/>
  <c r="AM39" i="10" s="1"/>
  <c r="N28" i="10"/>
  <c r="K28" i="10" s="1"/>
  <c r="AR28" i="10" s="1"/>
  <c r="N5" i="10"/>
  <c r="N6" i="10"/>
  <c r="N3" i="10"/>
  <c r="N33" i="10"/>
  <c r="K33" i="10" s="1"/>
  <c r="AR33" i="10" s="1"/>
  <c r="N38" i="10"/>
  <c r="N14" i="10"/>
  <c r="K14" i="10" s="1"/>
  <c r="AR14" i="10" s="1"/>
  <c r="N25" i="10"/>
  <c r="K25" i="10" s="1"/>
  <c r="AR25" i="10" s="1"/>
  <c r="N20" i="10"/>
  <c r="K20" i="10" s="1"/>
  <c r="AR20" i="10" s="1"/>
  <c r="N44" i="10"/>
  <c r="N26" i="10"/>
  <c r="K26" i="10" s="1"/>
  <c r="AR26" i="10" s="1"/>
  <c r="N16" i="10"/>
  <c r="N13" i="10"/>
  <c r="K13" i="10" s="1"/>
  <c r="AR13" i="10" s="1"/>
  <c r="N19" i="10"/>
  <c r="K19" i="10" s="1"/>
  <c r="AM19" i="10" s="1"/>
  <c r="N30" i="10"/>
  <c r="K30" i="10" s="1"/>
  <c r="AR30" i="10" s="1"/>
  <c r="N15" i="10"/>
  <c r="K15" i="10" s="1"/>
  <c r="AM15" i="10" s="1"/>
  <c r="N7" i="10"/>
  <c r="N11" i="10"/>
  <c r="K11" i="10" s="1"/>
  <c r="N37" i="10"/>
  <c r="N31" i="10"/>
  <c r="N22" i="10"/>
  <c r="N8" i="10"/>
  <c r="N40" i="10"/>
  <c r="N9" i="10"/>
  <c r="K9" i="10" s="1"/>
  <c r="AR9" i="10" s="1"/>
  <c r="N18" i="10"/>
  <c r="K18" i="10" s="1"/>
  <c r="AM18" i="10" s="1"/>
  <c r="N23" i="10"/>
  <c r="K23" i="10" s="1"/>
  <c r="AR23" i="10" s="1"/>
  <c r="D39" i="10"/>
  <c r="AD15" i="10"/>
  <c r="F24" i="10"/>
  <c r="F4" i="10"/>
  <c r="F29" i="10"/>
  <c r="F5" i="10"/>
  <c r="F6" i="10"/>
  <c r="F3" i="10"/>
  <c r="F44" i="10"/>
  <c r="F16" i="10"/>
  <c r="F7" i="10"/>
  <c r="F37" i="10"/>
  <c r="F22" i="10"/>
  <c r="B25" i="8"/>
  <c r="B27" i="8"/>
  <c r="B10" i="8"/>
  <c r="B26" i="8"/>
  <c r="B13" i="8"/>
  <c r="B2" i="8"/>
  <c r="B28" i="8"/>
  <c r="B31" i="8"/>
  <c r="B9" i="8"/>
  <c r="B39" i="8"/>
  <c r="B6" i="8"/>
  <c r="B4" i="8"/>
  <c r="B7" i="8"/>
  <c r="B22" i="8"/>
  <c r="B11" i="8"/>
  <c r="B19" i="8"/>
  <c r="B37" i="8"/>
  <c r="B36" i="8"/>
  <c r="B21" i="8"/>
  <c r="B16" i="8"/>
  <c r="B12" i="8"/>
  <c r="B40" i="8"/>
  <c r="B33" i="8"/>
  <c r="B15" i="8"/>
  <c r="B38" i="8"/>
  <c r="B30" i="8"/>
  <c r="B17" i="8"/>
  <c r="B14" i="8"/>
  <c r="B3" i="8"/>
  <c r="B18" i="8"/>
  <c r="B32" i="8"/>
  <c r="B29" i="8"/>
  <c r="B24" i="8"/>
  <c r="B20" i="8"/>
  <c r="B8" i="8"/>
  <c r="B23" i="8"/>
  <c r="B35" i="8"/>
  <c r="B34" i="8"/>
  <c r="A25" i="8"/>
  <c r="A27" i="8"/>
  <c r="A10" i="8"/>
  <c r="A26" i="8"/>
  <c r="A13" i="8"/>
  <c r="A2" i="8"/>
  <c r="A28" i="8"/>
  <c r="A31" i="8"/>
  <c r="A9" i="8"/>
  <c r="A39" i="8"/>
  <c r="A6" i="8"/>
  <c r="A4" i="8"/>
  <c r="A7" i="8"/>
  <c r="A22" i="8"/>
  <c r="A11" i="8"/>
  <c r="A19" i="8"/>
  <c r="A37" i="8"/>
  <c r="A36" i="8"/>
  <c r="A21" i="8"/>
  <c r="A16" i="8"/>
  <c r="A12" i="8"/>
  <c r="A40" i="8"/>
  <c r="A33" i="8"/>
  <c r="A15" i="8"/>
  <c r="A38" i="8"/>
  <c r="A30" i="8"/>
  <c r="A17" i="8"/>
  <c r="A14" i="8"/>
  <c r="A3" i="8"/>
  <c r="A18" i="8"/>
  <c r="A32" i="8"/>
  <c r="A29" i="8"/>
  <c r="A24" i="8"/>
  <c r="A20" i="8"/>
  <c r="A8" i="8"/>
  <c r="A23" i="8"/>
  <c r="A35" i="8"/>
  <c r="A34" i="8"/>
  <c r="F31" i="10"/>
  <c r="F8" i="10"/>
  <c r="F40" i="10"/>
  <c r="AB64" i="10"/>
  <c r="AB65" i="10" s="1"/>
  <c r="E46" i="10"/>
  <c r="AB66" i="10"/>
  <c r="AB63" i="10"/>
  <c r="AC62" i="10" s="1"/>
  <c r="C53" i="10"/>
  <c r="D53" i="10"/>
  <c r="B53" i="10"/>
  <c r="I53" i="10" s="1"/>
  <c r="I52" i="10"/>
  <c r="I51" i="10"/>
  <c r="AD32" i="10"/>
  <c r="AH32" i="10" s="1"/>
  <c r="D32" i="10"/>
  <c r="D24" i="10"/>
  <c r="D34" i="10"/>
  <c r="AD21" i="10"/>
  <c r="D21" i="10"/>
  <c r="AD17" i="10"/>
  <c r="AH17" i="10" s="1"/>
  <c r="D17" i="10"/>
  <c r="D45" i="10"/>
  <c r="AD10" i="10"/>
  <c r="D10" i="10"/>
  <c r="AD35" i="10"/>
  <c r="D35" i="10"/>
  <c r="D4" i="10"/>
  <c r="AD42" i="10"/>
  <c r="D42" i="10"/>
  <c r="D29" i="10"/>
  <c r="D12" i="10"/>
  <c r="D28" i="10"/>
  <c r="D5" i="10"/>
  <c r="D6" i="10"/>
  <c r="D3" i="10"/>
  <c r="AD33" i="10"/>
  <c r="AH33" i="10" s="1"/>
  <c r="D33" i="10"/>
  <c r="D38" i="10"/>
  <c r="AD14" i="10"/>
  <c r="D14" i="10"/>
  <c r="AD25" i="10"/>
  <c r="D25" i="10"/>
  <c r="D20" i="10"/>
  <c r="AD44" i="10"/>
  <c r="D44" i="10"/>
  <c r="AD26" i="10"/>
  <c r="D26" i="10"/>
  <c r="D16" i="10"/>
  <c r="D13" i="10"/>
  <c r="D19" i="10"/>
  <c r="AD30" i="10"/>
  <c r="AH30" i="10" s="1"/>
  <c r="D30" i="10"/>
  <c r="D15" i="10"/>
  <c r="D7" i="10"/>
  <c r="AD11" i="10"/>
  <c r="AH11" i="10" s="1"/>
  <c r="D11" i="10"/>
  <c r="AD37" i="10"/>
  <c r="AH37" i="10" s="1"/>
  <c r="D37" i="10"/>
  <c r="D31" i="10"/>
  <c r="AD22" i="10"/>
  <c r="D22" i="10"/>
  <c r="D8" i="10"/>
  <c r="AD9" i="10"/>
  <c r="D9" i="10"/>
  <c r="AD18" i="10"/>
  <c r="AH18" i="10" s="1"/>
  <c r="D18" i="10"/>
  <c r="AD23" i="10"/>
  <c r="AH23" i="10" s="1"/>
  <c r="D23" i="10"/>
  <c r="AD40" i="10"/>
  <c r="D40" i="10"/>
  <c r="AW6" i="11" l="1"/>
  <c r="AW4" i="11"/>
  <c r="AQ50" i="11"/>
  <c r="O14" i="11"/>
  <c r="AL14" i="11" s="1"/>
  <c r="AW16" i="11"/>
  <c r="O11" i="11"/>
  <c r="AL11" i="11" s="1"/>
  <c r="O15" i="11"/>
  <c r="AQ15" i="11" s="1"/>
  <c r="O43" i="11"/>
  <c r="AQ43" i="11" s="1"/>
  <c r="AW50" i="11"/>
  <c r="O41" i="11"/>
  <c r="AQ41" i="11" s="1"/>
  <c r="O29" i="11"/>
  <c r="AQ29" i="11" s="1"/>
  <c r="O25" i="11"/>
  <c r="AQ25" i="11" s="1"/>
  <c r="O18" i="11"/>
  <c r="AQ18" i="11" s="1"/>
  <c r="O8" i="11"/>
  <c r="AQ8" i="11" s="1"/>
  <c r="O35" i="11"/>
  <c r="AQ35" i="11" s="1"/>
  <c r="O33" i="11"/>
  <c r="AQ33" i="11" s="1"/>
  <c r="O53" i="11"/>
  <c r="AQ53" i="11" s="1"/>
  <c r="O40" i="11"/>
  <c r="AL40" i="11" s="1"/>
  <c r="O9" i="11"/>
  <c r="AQ9" i="11" s="1"/>
  <c r="O37" i="11"/>
  <c r="AL37" i="11" s="1"/>
  <c r="AG7" i="11"/>
  <c r="AG47" i="11"/>
  <c r="AW23" i="11"/>
  <c r="AW27" i="11"/>
  <c r="AG44" i="11"/>
  <c r="AG39" i="11"/>
  <c r="AW13" i="11"/>
  <c r="AW3" i="11"/>
  <c r="AW20" i="11"/>
  <c r="AG15" i="11"/>
  <c r="AG37" i="11"/>
  <c r="AG25" i="11"/>
  <c r="AW11" i="11"/>
  <c r="AW38" i="11"/>
  <c r="AW19" i="11"/>
  <c r="AW43" i="11"/>
  <c r="AW26" i="11"/>
  <c r="AW48" i="11"/>
  <c r="AW5" i="11"/>
  <c r="AW32" i="11"/>
  <c r="AW7" i="11"/>
  <c r="AW21" i="11"/>
  <c r="AW34" i="11"/>
  <c r="AW44" i="11"/>
  <c r="AW14" i="11"/>
  <c r="AW28" i="11"/>
  <c r="AW39" i="11"/>
  <c r="AW51" i="11"/>
  <c r="AW9" i="11"/>
  <c r="AW15" i="11"/>
  <c r="AW22" i="11"/>
  <c r="AW30" i="11"/>
  <c r="AW35" i="11"/>
  <c r="AW40" i="11"/>
  <c r="AW46" i="11"/>
  <c r="AW52" i="11"/>
  <c r="AG33" i="11"/>
  <c r="AW2" i="11"/>
  <c r="AW10" i="11"/>
  <c r="AW17" i="11"/>
  <c r="AW25" i="11"/>
  <c r="AW31" i="11"/>
  <c r="AW36" i="11"/>
  <c r="AW42" i="11"/>
  <c r="AW47" i="11"/>
  <c r="AW53" i="11"/>
  <c r="AG36" i="11"/>
  <c r="AW8" i="11"/>
  <c r="AW12" i="11"/>
  <c r="AW18" i="11"/>
  <c r="AW24" i="11"/>
  <c r="AW29" i="11"/>
  <c r="AW33" i="11"/>
  <c r="AW37" i="11"/>
  <c r="AW41" i="11"/>
  <c r="AW45" i="11"/>
  <c r="AW49" i="11"/>
  <c r="AG51" i="11"/>
  <c r="AG28" i="11"/>
  <c r="H60" i="11"/>
  <c r="AG8" i="11"/>
  <c r="AG43" i="11"/>
  <c r="W55" i="11"/>
  <c r="AG18" i="11"/>
  <c r="AG40" i="11"/>
  <c r="AB72" i="11"/>
  <c r="AB60" i="11"/>
  <c r="AC60" i="11" s="1"/>
  <c r="AC71" i="11"/>
  <c r="AB64" i="11"/>
  <c r="AC64" i="11" s="1"/>
  <c r="AB56" i="11"/>
  <c r="AC56" i="11" s="1"/>
  <c r="AB58" i="11"/>
  <c r="AC58" i="11" s="1"/>
  <c r="F62" i="11"/>
  <c r="AB68" i="11"/>
  <c r="AC68" i="11" s="1"/>
  <c r="AB61" i="11"/>
  <c r="AC61" i="11" s="1"/>
  <c r="AB62" i="11"/>
  <c r="AC62" i="11" s="1"/>
  <c r="AB57" i="11"/>
  <c r="AC57" i="11" s="1"/>
  <c r="AB59" i="11"/>
  <c r="AC59" i="11" s="1"/>
  <c r="AB66" i="11"/>
  <c r="AC66" i="11" s="1"/>
  <c r="AB70" i="11"/>
  <c r="AC70" i="11" s="1"/>
  <c r="AQ42" i="11"/>
  <c r="G60" i="11"/>
  <c r="AL47" i="11"/>
  <c r="AQ49" i="11"/>
  <c r="D55" i="11"/>
  <c r="Q4" i="11" s="1"/>
  <c r="S4" i="11" s="1"/>
  <c r="O36" i="11"/>
  <c r="AQ30" i="11"/>
  <c r="AL30" i="11"/>
  <c r="AC55" i="11"/>
  <c r="AL49" i="11"/>
  <c r="AL24" i="11"/>
  <c r="AQ24" i="11"/>
  <c r="AL32" i="11"/>
  <c r="AQ32" i="11"/>
  <c r="AL19" i="11"/>
  <c r="AQ19" i="11"/>
  <c r="AQ26" i="11"/>
  <c r="AL26" i="11"/>
  <c r="AQ38" i="11"/>
  <c r="AL38" i="11"/>
  <c r="AQ21" i="11"/>
  <c r="AL21" i="11"/>
  <c r="AL7" i="11"/>
  <c r="AL45" i="11"/>
  <c r="AL17" i="11"/>
  <c r="AQ22" i="11"/>
  <c r="AL22" i="11"/>
  <c r="AQ51" i="11"/>
  <c r="AQ2" i="11"/>
  <c r="AL2" i="11"/>
  <c r="AQ31" i="11"/>
  <c r="AL31" i="11"/>
  <c r="AQ54" i="11"/>
  <c r="AL54" i="11"/>
  <c r="AQ34" i="11"/>
  <c r="AL34" i="11"/>
  <c r="AQ52" i="11"/>
  <c r="AL52" i="11"/>
  <c r="AQ44" i="11"/>
  <c r="AL44" i="11"/>
  <c r="AL5" i="11"/>
  <c r="AL28" i="11"/>
  <c r="AL10" i="11"/>
  <c r="AQ46" i="11"/>
  <c r="AL46" i="11"/>
  <c r="G61" i="11"/>
  <c r="AQ39" i="11"/>
  <c r="AL39" i="11"/>
  <c r="AL48" i="11"/>
  <c r="AQ48" i="11"/>
  <c r="AB63" i="11"/>
  <c r="AC63" i="11" s="1"/>
  <c r="AB65" i="11"/>
  <c r="AC65" i="11" s="1"/>
  <c r="AB67" i="11"/>
  <c r="AC67" i="11" s="1"/>
  <c r="AB69" i="11"/>
  <c r="AC69" i="11" s="1"/>
  <c r="AH44" i="10"/>
  <c r="AH22" i="10"/>
  <c r="AM41" i="10"/>
  <c r="AM2" i="10"/>
  <c r="AM43" i="10"/>
  <c r="AM27" i="10"/>
  <c r="G46" i="10"/>
  <c r="K3" i="10"/>
  <c r="AM3" i="10" s="1"/>
  <c r="AH6" i="10"/>
  <c r="AH35" i="10"/>
  <c r="AH21" i="10"/>
  <c r="AH14" i="10"/>
  <c r="AH25" i="10"/>
  <c r="AH42" i="10"/>
  <c r="AH28" i="10"/>
  <c r="AH7" i="10"/>
  <c r="AH9" i="10"/>
  <c r="AH12" i="10"/>
  <c r="AH24" i="10"/>
  <c r="S46" i="10"/>
  <c r="AH3" i="10"/>
  <c r="AH15" i="10"/>
  <c r="K5" i="10"/>
  <c r="AR5" i="10" s="1"/>
  <c r="K44" i="10"/>
  <c r="AR44" i="10" s="1"/>
  <c r="K8" i="10"/>
  <c r="AR8" i="10" s="1"/>
  <c r="AM11" i="10"/>
  <c r="AR11" i="10"/>
  <c r="AM30" i="10"/>
  <c r="K29" i="10"/>
  <c r="AM23" i="10"/>
  <c r="AR39" i="10"/>
  <c r="AR32" i="10"/>
  <c r="AR18" i="10"/>
  <c r="AM21" i="10"/>
  <c r="AM10" i="10"/>
  <c r="AM26" i="10"/>
  <c r="AR19" i="10"/>
  <c r="AR15" i="10"/>
  <c r="AM33" i="10"/>
  <c r="AM28" i="10"/>
  <c r="AM45" i="10"/>
  <c r="AM17" i="10"/>
  <c r="K7" i="10"/>
  <c r="AR7" i="10" s="1"/>
  <c r="AM42" i="10"/>
  <c r="AM9" i="10"/>
  <c r="AM20" i="10"/>
  <c r="AM25" i="10"/>
  <c r="AM14" i="10"/>
  <c r="AM34" i="10"/>
  <c r="AM35" i="10"/>
  <c r="K22" i="10"/>
  <c r="K24" i="10"/>
  <c r="AR24" i="10" s="1"/>
  <c r="AM13" i="10"/>
  <c r="K16" i="10"/>
  <c r="AR16" i="10" s="1"/>
  <c r="K4" i="10"/>
  <c r="AR4" i="10" s="1"/>
  <c r="K31" i="10"/>
  <c r="AR31" i="10" s="1"/>
  <c r="K40" i="10"/>
  <c r="AR40" i="10" s="1"/>
  <c r="K37" i="10"/>
  <c r="AR37" i="10" s="1"/>
  <c r="K38" i="10"/>
  <c r="AR38" i="10" s="1"/>
  <c r="K12" i="10"/>
  <c r="AR12" i="10" s="1"/>
  <c r="K6" i="10"/>
  <c r="AR6" i="10" s="1"/>
  <c r="AH10" i="10"/>
  <c r="AH38" i="10"/>
  <c r="AH26" i="10"/>
  <c r="AH31" i="10"/>
  <c r="AH45" i="10"/>
  <c r="AC48" i="10"/>
  <c r="AD48" i="10" s="1"/>
  <c r="AD46" i="10"/>
  <c r="AH40" i="10"/>
  <c r="F53" i="10"/>
  <c r="AC49" i="10"/>
  <c r="AD49" i="10" s="1"/>
  <c r="G51" i="10"/>
  <c r="AC56" i="10"/>
  <c r="AD56" i="10" s="1"/>
  <c r="AC60" i="10"/>
  <c r="AD60" i="10" s="1"/>
  <c r="AC63" i="10"/>
  <c r="AC59" i="10"/>
  <c r="AD59" i="10" s="1"/>
  <c r="AC47" i="10"/>
  <c r="AD47" i="10" s="1"/>
  <c r="AC50" i="10"/>
  <c r="AD50" i="10" s="1"/>
  <c r="AC51" i="10"/>
  <c r="AD51" i="10" s="1"/>
  <c r="AC52" i="10"/>
  <c r="AD52" i="10" s="1"/>
  <c r="AC53" i="10"/>
  <c r="AD53" i="10" s="1"/>
  <c r="AC57" i="10"/>
  <c r="AD57" i="10" s="1"/>
  <c r="AC61" i="10"/>
  <c r="AD61" i="10" s="1"/>
  <c r="AC55" i="10"/>
  <c r="AD55" i="10" s="1"/>
  <c r="AC54" i="10"/>
  <c r="AD54" i="10" s="1"/>
  <c r="AC58" i="10"/>
  <c r="AD58" i="10" s="1"/>
  <c r="AD62" i="10"/>
  <c r="D46" i="10"/>
  <c r="M36" i="10" s="1"/>
  <c r="AH8" i="10"/>
  <c r="AH4" i="10"/>
  <c r="F41" i="8"/>
  <c r="AX39" i="11" l="1"/>
  <c r="AZ39" i="11" s="1"/>
  <c r="AX20" i="11"/>
  <c r="AZ20" i="11" s="1"/>
  <c r="AX3" i="11"/>
  <c r="AZ3" i="11" s="1"/>
  <c r="AX13" i="11"/>
  <c r="AZ13" i="11" s="1"/>
  <c r="AX27" i="11"/>
  <c r="AZ27" i="11" s="1"/>
  <c r="AX23" i="11"/>
  <c r="AZ23" i="11" s="1"/>
  <c r="AX2" i="11"/>
  <c r="AZ2" i="11" s="1"/>
  <c r="AX21" i="11"/>
  <c r="AZ21" i="11" s="1"/>
  <c r="AX4" i="11"/>
  <c r="AZ4" i="11" s="1"/>
  <c r="AX16" i="11"/>
  <c r="AZ16" i="11" s="1"/>
  <c r="AX11" i="11"/>
  <c r="AZ11" i="11" s="1"/>
  <c r="AX50" i="11"/>
  <c r="AZ50" i="11" s="1"/>
  <c r="AX6" i="11"/>
  <c r="AZ6" i="11" s="1"/>
  <c r="AQ14" i="11"/>
  <c r="Q6" i="11"/>
  <c r="S6" i="11" s="1"/>
  <c r="AQ11" i="11"/>
  <c r="AL43" i="11"/>
  <c r="AL41" i="11"/>
  <c r="AL15" i="11"/>
  <c r="Q20" i="11"/>
  <c r="S20" i="11" s="1"/>
  <c r="Q16" i="11"/>
  <c r="S16" i="11" s="1"/>
  <c r="AL35" i="11"/>
  <c r="AL25" i="11"/>
  <c r="Q50" i="11"/>
  <c r="S50" i="11" s="1"/>
  <c r="AL18" i="11"/>
  <c r="AL29" i="11"/>
  <c r="AL33" i="11"/>
  <c r="AL8" i="11"/>
  <c r="AL53" i="11"/>
  <c r="AQ40" i="11"/>
  <c r="O55" i="11"/>
  <c r="P6" i="11" s="1"/>
  <c r="AL9" i="11"/>
  <c r="AQ37" i="11"/>
  <c r="Q23" i="11"/>
  <c r="S23" i="11" s="1"/>
  <c r="Q27" i="11"/>
  <c r="S27" i="11" s="1"/>
  <c r="Q3" i="11"/>
  <c r="S3" i="11" s="1"/>
  <c r="Q7" i="11"/>
  <c r="S7" i="11" s="1"/>
  <c r="Q13" i="11"/>
  <c r="S13" i="11" s="1"/>
  <c r="AW55" i="11"/>
  <c r="F63" i="11"/>
  <c r="AG55" i="11"/>
  <c r="Q39" i="11"/>
  <c r="S39" i="11" s="1"/>
  <c r="Q15" i="11"/>
  <c r="S15" i="11" s="1"/>
  <c r="Q33" i="11"/>
  <c r="S33" i="11" s="1"/>
  <c r="Q48" i="11"/>
  <c r="S48" i="11" s="1"/>
  <c r="Q12" i="11"/>
  <c r="S12" i="11" s="1"/>
  <c r="Q29" i="11"/>
  <c r="S29" i="11" s="1"/>
  <c r="Q30" i="11"/>
  <c r="S30" i="11" s="1"/>
  <c r="Q10" i="11"/>
  <c r="S10" i="11" s="1"/>
  <c r="Q41" i="11"/>
  <c r="S41" i="11" s="1"/>
  <c r="Q19" i="11"/>
  <c r="S19" i="11" s="1"/>
  <c r="Q38" i="11"/>
  <c r="S38" i="11" s="1"/>
  <c r="Q11" i="11"/>
  <c r="S11" i="11" s="1"/>
  <c r="Q28" i="11"/>
  <c r="S28" i="11" s="1"/>
  <c r="G62" i="11"/>
  <c r="B45" i="8" s="1"/>
  <c r="Q2" i="11"/>
  <c r="S2" i="11" s="1"/>
  <c r="Q34" i="11"/>
  <c r="S34" i="11" s="1"/>
  <c r="Q14" i="11"/>
  <c r="S14" i="11" s="1"/>
  <c r="Q26" i="11"/>
  <c r="S26" i="11" s="1"/>
  <c r="Q22" i="11"/>
  <c r="S22" i="11" s="1"/>
  <c r="Q47" i="11"/>
  <c r="S47" i="11" s="1"/>
  <c r="Q8" i="11"/>
  <c r="S8" i="11" s="1"/>
  <c r="Q42" i="11"/>
  <c r="S42" i="11" s="1"/>
  <c r="Q54" i="11"/>
  <c r="S54" i="11" s="1"/>
  <c r="Q21" i="11"/>
  <c r="S21" i="11" s="1"/>
  <c r="Q40" i="11"/>
  <c r="S40" i="11" s="1"/>
  <c r="Q17" i="11"/>
  <c r="S17" i="11" s="1"/>
  <c r="Q9" i="11"/>
  <c r="S9" i="11" s="1"/>
  <c r="Q45" i="11"/>
  <c r="S45" i="11" s="1"/>
  <c r="Q46" i="11"/>
  <c r="Q44" i="11"/>
  <c r="Q52" i="11"/>
  <c r="Q31" i="11"/>
  <c r="Q5" i="11"/>
  <c r="Q53" i="11"/>
  <c r="Q49" i="11"/>
  <c r="Q36" i="11"/>
  <c r="Q37" i="11"/>
  <c r="Q35" i="11"/>
  <c r="Q43" i="11"/>
  <c r="Q32" i="11"/>
  <c r="Q51" i="11"/>
  <c r="Q24" i="11"/>
  <c r="AL36" i="11"/>
  <c r="AQ36" i="11"/>
  <c r="Q25" i="11"/>
  <c r="Q18" i="11"/>
  <c r="O36" i="10"/>
  <c r="AR3" i="10"/>
  <c r="M41" i="10"/>
  <c r="M2" i="10"/>
  <c r="M43" i="10"/>
  <c r="M27" i="10"/>
  <c r="H52" i="10"/>
  <c r="H53" i="10"/>
  <c r="C2" i="8"/>
  <c r="C16" i="8"/>
  <c r="G53" i="10"/>
  <c r="H51" i="10"/>
  <c r="C37" i="8"/>
  <c r="C5" i="8"/>
  <c r="C39" i="8"/>
  <c r="AM5" i="10"/>
  <c r="C19" i="8"/>
  <c r="C21" i="8"/>
  <c r="C14" i="8"/>
  <c r="C22" i="8"/>
  <c r="C7" i="8"/>
  <c r="C17" i="8"/>
  <c r="C30" i="8"/>
  <c r="C33" i="8"/>
  <c r="AM8" i="10"/>
  <c r="AM44" i="10"/>
  <c r="C8" i="8"/>
  <c r="C18" i="8"/>
  <c r="AM22" i="10"/>
  <c r="AR22" i="10"/>
  <c r="AR29" i="10"/>
  <c r="AM29" i="10"/>
  <c r="AM12" i="10"/>
  <c r="AM31" i="10"/>
  <c r="AM38" i="10"/>
  <c r="AM4" i="10"/>
  <c r="AM24" i="10"/>
  <c r="AM7" i="10"/>
  <c r="AM37" i="10"/>
  <c r="AM16" i="10"/>
  <c r="C15" i="8"/>
  <c r="AM6" i="10"/>
  <c r="AM40" i="10"/>
  <c r="M9" i="10"/>
  <c r="O9" i="10" s="1"/>
  <c r="M39" i="10"/>
  <c r="F54" i="10"/>
  <c r="AH46" i="10"/>
  <c r="M16" i="10"/>
  <c r="O16" i="10" s="1"/>
  <c r="M20" i="10"/>
  <c r="M42" i="10"/>
  <c r="O42" i="10" s="1"/>
  <c r="M15" i="10"/>
  <c r="O15" i="10" s="1"/>
  <c r="M32" i="10"/>
  <c r="M28" i="10"/>
  <c r="O28" i="10" s="1"/>
  <c r="M11" i="10"/>
  <c r="M3" i="10"/>
  <c r="O3" i="10" s="1"/>
  <c r="M26" i="10"/>
  <c r="M14" i="10"/>
  <c r="O14" i="10" s="1"/>
  <c r="M34" i="10"/>
  <c r="M4" i="10"/>
  <c r="M6" i="10"/>
  <c r="M38" i="10"/>
  <c r="M24" i="10"/>
  <c r="M21" i="10"/>
  <c r="M10" i="10"/>
  <c r="M12" i="10"/>
  <c r="M44" i="10"/>
  <c r="M29" i="10"/>
  <c r="M7" i="10"/>
  <c r="M18" i="10"/>
  <c r="M33" i="10"/>
  <c r="M5" i="10"/>
  <c r="M25" i="10"/>
  <c r="M45" i="10"/>
  <c r="M22" i="10"/>
  <c r="M40" i="10"/>
  <c r="M13" i="10"/>
  <c r="M30" i="10"/>
  <c r="M31" i="10"/>
  <c r="M23" i="10"/>
  <c r="M35" i="10"/>
  <c r="M17" i="10"/>
  <c r="M8" i="10"/>
  <c r="M37" i="10"/>
  <c r="M19" i="10"/>
  <c r="P16" i="11" l="1"/>
  <c r="P4" i="11"/>
  <c r="P48" i="11"/>
  <c r="P50" i="11"/>
  <c r="AL55" i="11"/>
  <c r="P30" i="11"/>
  <c r="P44" i="11"/>
  <c r="P32" i="11"/>
  <c r="P39" i="11"/>
  <c r="P28" i="11"/>
  <c r="P3" i="11"/>
  <c r="P46" i="11"/>
  <c r="P8" i="11"/>
  <c r="P13" i="11"/>
  <c r="P36" i="11"/>
  <c r="P18" i="11"/>
  <c r="P2" i="11"/>
  <c r="P41" i="11"/>
  <c r="P9" i="11"/>
  <c r="P5" i="11"/>
  <c r="P45" i="11"/>
  <c r="P33" i="11"/>
  <c r="P27" i="11"/>
  <c r="P53" i="11"/>
  <c r="P19" i="11"/>
  <c r="P35" i="11"/>
  <c r="P17" i="11"/>
  <c r="P25" i="11"/>
  <c r="P26" i="11"/>
  <c r="P23" i="11"/>
  <c r="P22" i="11"/>
  <c r="P21" i="11"/>
  <c r="P11" i="11"/>
  <c r="P38" i="11"/>
  <c r="P29" i="11"/>
  <c r="P20" i="11"/>
  <c r="P37" i="11"/>
  <c r="P43" i="11"/>
  <c r="P47" i="11"/>
  <c r="P7" i="11"/>
  <c r="P51" i="11"/>
  <c r="P34" i="11"/>
  <c r="P52" i="11"/>
  <c r="P40" i="11"/>
  <c r="P49" i="11"/>
  <c r="P24" i="11"/>
  <c r="P15" i="11"/>
  <c r="P54" i="11"/>
  <c r="P31" i="11"/>
  <c r="P42" i="11"/>
  <c r="P12" i="11"/>
  <c r="P10" i="11"/>
  <c r="P14" i="11"/>
  <c r="S24" i="11"/>
  <c r="S43" i="11"/>
  <c r="S37" i="11"/>
  <c r="S5" i="11"/>
  <c r="S46" i="11"/>
  <c r="S18" i="11"/>
  <c r="S51" i="11"/>
  <c r="S36" i="11"/>
  <c r="S31" i="11"/>
  <c r="Q56" i="11"/>
  <c r="Q55" i="11"/>
  <c r="Q57" i="11"/>
  <c r="S49" i="11"/>
  <c r="S52" i="11"/>
  <c r="S25" i="11"/>
  <c r="S32" i="11"/>
  <c r="S35" i="11"/>
  <c r="S53" i="11"/>
  <c r="S44" i="11"/>
  <c r="AQ55" i="11"/>
  <c r="AR6" i="11" s="1"/>
  <c r="AS6" i="11" s="1"/>
  <c r="AU6" i="11" s="1"/>
  <c r="O27" i="10"/>
  <c r="O43" i="10"/>
  <c r="O2" i="10"/>
  <c r="O41" i="10"/>
  <c r="AM46" i="10"/>
  <c r="AR46" i="10"/>
  <c r="O39" i="10"/>
  <c r="M48" i="10"/>
  <c r="M47" i="10"/>
  <c r="O20" i="10"/>
  <c r="O26" i="10"/>
  <c r="O11" i="10"/>
  <c r="O32" i="10"/>
  <c r="O8" i="10"/>
  <c r="O25" i="10"/>
  <c r="O17" i="10"/>
  <c r="O23" i="10"/>
  <c r="O5" i="10"/>
  <c r="O35" i="10"/>
  <c r="O31" i="10"/>
  <c r="O22" i="10"/>
  <c r="O33" i="10"/>
  <c r="O44" i="10"/>
  <c r="O24" i="10"/>
  <c r="O34" i="10"/>
  <c r="O13" i="10"/>
  <c r="O7" i="10"/>
  <c r="O10" i="10"/>
  <c r="O6" i="10"/>
  <c r="M46" i="10"/>
  <c r="O40" i="10"/>
  <c r="O29" i="10"/>
  <c r="O21" i="10"/>
  <c r="O4" i="10"/>
  <c r="O19" i="10"/>
  <c r="O37" i="10"/>
  <c r="O30" i="10"/>
  <c r="O45" i="10"/>
  <c r="O18" i="10"/>
  <c r="O12" i="10"/>
  <c r="O38" i="10"/>
  <c r="D45" i="8"/>
  <c r="AM4" i="11" l="1"/>
  <c r="AN4" i="11" s="1"/>
  <c r="AP4" i="11" s="1"/>
  <c r="AM6" i="11"/>
  <c r="AN6" i="11" s="1"/>
  <c r="AP6" i="11" s="1"/>
  <c r="AR50" i="11"/>
  <c r="AS50" i="11" s="1"/>
  <c r="AU50" i="11" s="1"/>
  <c r="AR4" i="11"/>
  <c r="AS4" i="11" s="1"/>
  <c r="AU4" i="11" s="1"/>
  <c r="AR23" i="11"/>
  <c r="AS23" i="11" s="1"/>
  <c r="AU23" i="11" s="1"/>
  <c r="AR16" i="11"/>
  <c r="AS16" i="11" s="1"/>
  <c r="AU16" i="11" s="1"/>
  <c r="AM23" i="11"/>
  <c r="AN23" i="11" s="1"/>
  <c r="AP23" i="11" s="1"/>
  <c r="AM16" i="11"/>
  <c r="AN16" i="11" s="1"/>
  <c r="AP16" i="11" s="1"/>
  <c r="AM54" i="11"/>
  <c r="AN54" i="11" s="1"/>
  <c r="AP54" i="11" s="1"/>
  <c r="AM37" i="11"/>
  <c r="AN37" i="11" s="1"/>
  <c r="AP37" i="11" s="1"/>
  <c r="AM41" i="11"/>
  <c r="AN41" i="11" s="1"/>
  <c r="AP41" i="11" s="1"/>
  <c r="AM9" i="11"/>
  <c r="AN9" i="11" s="1"/>
  <c r="AP9" i="11" s="1"/>
  <c r="AM14" i="11"/>
  <c r="AN14" i="11" s="1"/>
  <c r="AP14" i="11" s="1"/>
  <c r="AM40" i="11"/>
  <c r="AN40" i="11" s="1"/>
  <c r="AP40" i="11" s="1"/>
  <c r="AM15" i="11"/>
  <c r="AN15" i="11" s="1"/>
  <c r="AP15" i="11" s="1"/>
  <c r="AM28" i="11"/>
  <c r="AN28" i="11" s="1"/>
  <c r="AP28" i="11" s="1"/>
  <c r="AM5" i="11"/>
  <c r="AN5" i="11" s="1"/>
  <c r="AP5" i="11" s="1"/>
  <c r="AM45" i="11"/>
  <c r="AN45" i="11" s="1"/>
  <c r="AP45" i="11" s="1"/>
  <c r="AM7" i="11"/>
  <c r="AN7" i="11" s="1"/>
  <c r="AP7" i="11" s="1"/>
  <c r="AM48" i="11"/>
  <c r="AN48" i="11" s="1"/>
  <c r="AP48" i="11" s="1"/>
  <c r="AM34" i="11"/>
  <c r="AN34" i="11" s="1"/>
  <c r="AP34" i="11" s="1"/>
  <c r="AM38" i="11"/>
  <c r="AN38" i="11" s="1"/>
  <c r="AP38" i="11" s="1"/>
  <c r="AM35" i="11"/>
  <c r="AN35" i="11" s="1"/>
  <c r="AP35" i="11" s="1"/>
  <c r="AM17" i="11"/>
  <c r="AN17" i="11" s="1"/>
  <c r="AP17" i="11" s="1"/>
  <c r="AM42" i="11"/>
  <c r="AN42" i="11" s="1"/>
  <c r="AP42" i="11" s="1"/>
  <c r="AM12" i="11"/>
  <c r="AN12" i="11" s="1"/>
  <c r="AP12" i="11" s="1"/>
  <c r="AM53" i="11"/>
  <c r="AN53" i="11" s="1"/>
  <c r="AP53" i="11" s="1"/>
  <c r="AM30" i="11"/>
  <c r="AN30" i="11" s="1"/>
  <c r="AP30" i="11" s="1"/>
  <c r="AM51" i="11"/>
  <c r="AN51" i="11" s="1"/>
  <c r="AP51" i="11" s="1"/>
  <c r="AM26" i="11"/>
  <c r="AN26" i="11" s="1"/>
  <c r="AP26" i="11" s="1"/>
  <c r="AM22" i="11"/>
  <c r="AN22" i="11" s="1"/>
  <c r="AP22" i="11" s="1"/>
  <c r="AM33" i="11"/>
  <c r="AN33" i="11" s="1"/>
  <c r="AP33" i="11" s="1"/>
  <c r="AM11" i="11"/>
  <c r="AN11" i="11" s="1"/>
  <c r="AP11" i="11" s="1"/>
  <c r="AM39" i="11"/>
  <c r="AN39" i="11" s="1"/>
  <c r="AP39" i="11" s="1"/>
  <c r="AM49" i="11"/>
  <c r="AN49" i="11" s="1"/>
  <c r="AP49" i="11" s="1"/>
  <c r="AM24" i="11"/>
  <c r="AN24" i="11" s="1"/>
  <c r="AP24" i="11" s="1"/>
  <c r="AM29" i="11"/>
  <c r="AN29" i="11" s="1"/>
  <c r="AP29" i="11" s="1"/>
  <c r="AM8" i="11"/>
  <c r="AN8" i="11" s="1"/>
  <c r="AP8" i="11" s="1"/>
  <c r="AM2" i="11"/>
  <c r="AN2" i="11" s="1"/>
  <c r="AP2" i="11" s="1"/>
  <c r="AM31" i="11"/>
  <c r="AN31" i="11" s="1"/>
  <c r="AP31" i="11" s="1"/>
  <c r="AM52" i="11"/>
  <c r="AN52" i="11" s="1"/>
  <c r="AP52" i="11" s="1"/>
  <c r="AM25" i="11"/>
  <c r="AN25" i="11" s="1"/>
  <c r="AP25" i="11" s="1"/>
  <c r="AM21" i="11"/>
  <c r="AN21" i="11" s="1"/>
  <c r="AP21" i="11" s="1"/>
  <c r="AM32" i="11"/>
  <c r="AN32" i="11" s="1"/>
  <c r="AP32" i="11" s="1"/>
  <c r="AM47" i="11"/>
  <c r="AN47" i="11" s="1"/>
  <c r="AP47" i="11" s="1"/>
  <c r="AM27" i="11"/>
  <c r="AN27" i="11" s="1"/>
  <c r="AP27" i="11" s="1"/>
  <c r="AM36" i="11"/>
  <c r="AN36" i="11" s="1"/>
  <c r="AP36" i="11" s="1"/>
  <c r="AM43" i="11"/>
  <c r="AN43" i="11" s="1"/>
  <c r="AP43" i="11" s="1"/>
  <c r="AM18" i="11"/>
  <c r="AN18" i="11" s="1"/>
  <c r="AP18" i="11" s="1"/>
  <c r="AM19" i="11"/>
  <c r="AN19" i="11" s="1"/>
  <c r="AP19" i="11" s="1"/>
  <c r="AM3" i="11"/>
  <c r="AN3" i="11" s="1"/>
  <c r="AP3" i="11" s="1"/>
  <c r="AM46" i="11"/>
  <c r="AN46" i="11" s="1"/>
  <c r="AP46" i="11" s="1"/>
  <c r="AM13" i="11"/>
  <c r="AN13" i="11" s="1"/>
  <c r="AP13" i="11" s="1"/>
  <c r="AM44" i="11"/>
  <c r="AN44" i="11" s="1"/>
  <c r="AP44" i="11" s="1"/>
  <c r="AM10" i="11"/>
  <c r="AN10" i="11" s="1"/>
  <c r="AP10" i="11" s="1"/>
  <c r="AM20" i="11"/>
  <c r="AN20" i="11" s="1"/>
  <c r="AP20" i="11" s="1"/>
  <c r="AM50" i="11"/>
  <c r="AN50" i="11" s="1"/>
  <c r="AP50" i="11" s="1"/>
  <c r="P55" i="11"/>
  <c r="AR20" i="11"/>
  <c r="AS20" i="11" s="1"/>
  <c r="AU20" i="11" s="1"/>
  <c r="AR27" i="11"/>
  <c r="AS27" i="11" s="1"/>
  <c r="AU27" i="11" s="1"/>
  <c r="AR13" i="11"/>
  <c r="AS13" i="11" s="1"/>
  <c r="AU13" i="11" s="1"/>
  <c r="AR3" i="11"/>
  <c r="AS3" i="11" s="1"/>
  <c r="AU3" i="11" s="1"/>
  <c r="AR35" i="11"/>
  <c r="AS35" i="11" s="1"/>
  <c r="AU35" i="11" s="1"/>
  <c r="AR18" i="11"/>
  <c r="AS18" i="11" s="1"/>
  <c r="AU18" i="11" s="1"/>
  <c r="AR7" i="11"/>
  <c r="AS7" i="11" s="1"/>
  <c r="AU7" i="11" s="1"/>
  <c r="AR45" i="11"/>
  <c r="AS45" i="11" s="1"/>
  <c r="AU45" i="11" s="1"/>
  <c r="AR25" i="11"/>
  <c r="AS25" i="11" s="1"/>
  <c r="AU25" i="11" s="1"/>
  <c r="AR8" i="11"/>
  <c r="AS8" i="11" s="1"/>
  <c r="AU8" i="11" s="1"/>
  <c r="AR42" i="11"/>
  <c r="AS42" i="11" s="1"/>
  <c r="AU42" i="11" s="1"/>
  <c r="AR12" i="11"/>
  <c r="AS12" i="11" s="1"/>
  <c r="AU12" i="11" s="1"/>
  <c r="AR17" i="11"/>
  <c r="AS17" i="11" s="1"/>
  <c r="AU17" i="11" s="1"/>
  <c r="AR47" i="11"/>
  <c r="AS47" i="11" s="1"/>
  <c r="AU47" i="11" s="1"/>
  <c r="AR5" i="11"/>
  <c r="AS5" i="11" s="1"/>
  <c r="AU5" i="11" s="1"/>
  <c r="AR10" i="11"/>
  <c r="AS10" i="11" s="1"/>
  <c r="AU10" i="11" s="1"/>
  <c r="AR28" i="11"/>
  <c r="AS28" i="11" s="1"/>
  <c r="AU28" i="11" s="1"/>
  <c r="AR15" i="11"/>
  <c r="AS15" i="11" s="1"/>
  <c r="AU15" i="11" s="1"/>
  <c r="AR54" i="11"/>
  <c r="AS54" i="11" s="1"/>
  <c r="AU54" i="11" s="1"/>
  <c r="AR38" i="11"/>
  <c r="AS38" i="11" s="1"/>
  <c r="AU38" i="11" s="1"/>
  <c r="AR14" i="11"/>
  <c r="AS14" i="11" s="1"/>
  <c r="AU14" i="11" s="1"/>
  <c r="AR32" i="11"/>
  <c r="AS32" i="11" s="1"/>
  <c r="AU32" i="11" s="1"/>
  <c r="AR37" i="11"/>
  <c r="AS37" i="11" s="1"/>
  <c r="AU37" i="11" s="1"/>
  <c r="AR51" i="11"/>
  <c r="AS51" i="11" s="1"/>
  <c r="AU51" i="11" s="1"/>
  <c r="AR49" i="11"/>
  <c r="AS49" i="11" s="1"/>
  <c r="AU49" i="11" s="1"/>
  <c r="AR33" i="11"/>
  <c r="AS33" i="11" s="1"/>
  <c r="AU33" i="11" s="1"/>
  <c r="AR19" i="11"/>
  <c r="AS19" i="11" s="1"/>
  <c r="AU19" i="11" s="1"/>
  <c r="AR41" i="11"/>
  <c r="AS41" i="11" s="1"/>
  <c r="AU41" i="11" s="1"/>
  <c r="AR40" i="11"/>
  <c r="AS40" i="11" s="1"/>
  <c r="AU40" i="11" s="1"/>
  <c r="AR22" i="11"/>
  <c r="AS22" i="11" s="1"/>
  <c r="AU22" i="11" s="1"/>
  <c r="AR34" i="11"/>
  <c r="AS34" i="11" s="1"/>
  <c r="AU34" i="11" s="1"/>
  <c r="AR24" i="11"/>
  <c r="AS24" i="11" s="1"/>
  <c r="AU24" i="11" s="1"/>
  <c r="AR9" i="11"/>
  <c r="AS9" i="11" s="1"/>
  <c r="AU9" i="11" s="1"/>
  <c r="AR52" i="11"/>
  <c r="AS52" i="11" s="1"/>
  <c r="AU52" i="11" s="1"/>
  <c r="AR53" i="11"/>
  <c r="AS53" i="11" s="1"/>
  <c r="AU53" i="11" s="1"/>
  <c r="AR44" i="11"/>
  <c r="AS44" i="11" s="1"/>
  <c r="AU44" i="11" s="1"/>
  <c r="AR21" i="11"/>
  <c r="AS21" i="11" s="1"/>
  <c r="AU21" i="11" s="1"/>
  <c r="AR29" i="11"/>
  <c r="AS29" i="11" s="1"/>
  <c r="AU29" i="11" s="1"/>
  <c r="AR48" i="11"/>
  <c r="AS48" i="11" s="1"/>
  <c r="AU48" i="11" s="1"/>
  <c r="AR11" i="11"/>
  <c r="AS11" i="11" s="1"/>
  <c r="AU11" i="11" s="1"/>
  <c r="AR30" i="11"/>
  <c r="AS30" i="11" s="1"/>
  <c r="AU30" i="11" s="1"/>
  <c r="AR43" i="11"/>
  <c r="AS43" i="11" s="1"/>
  <c r="AU43" i="11" s="1"/>
  <c r="AR39" i="11"/>
  <c r="AS39" i="11" s="1"/>
  <c r="AU39" i="11" s="1"/>
  <c r="AR2" i="11"/>
  <c r="AS2" i="11" s="1"/>
  <c r="AU2" i="11" s="1"/>
  <c r="AR46" i="11"/>
  <c r="AS46" i="11" s="1"/>
  <c r="AU46" i="11" s="1"/>
  <c r="AR31" i="11"/>
  <c r="AS31" i="11" s="1"/>
  <c r="AU31" i="11" s="1"/>
  <c r="AR26" i="11"/>
  <c r="AS26" i="11" s="1"/>
  <c r="AU26" i="11" s="1"/>
  <c r="AR36" i="11"/>
  <c r="AS36" i="11" s="1"/>
  <c r="AU36" i="11" s="1"/>
  <c r="S55" i="11"/>
  <c r="W9" i="10"/>
  <c r="W36" i="10"/>
  <c r="AS2" i="10"/>
  <c r="AT2" i="10" s="1"/>
  <c r="AV2" i="10" s="1"/>
  <c r="AS36" i="10"/>
  <c r="AT36" i="10" s="1"/>
  <c r="AV36" i="10" s="1"/>
  <c r="AN2" i="10"/>
  <c r="AO2" i="10" s="1"/>
  <c r="AQ2" i="10" s="1"/>
  <c r="AN36" i="10"/>
  <c r="AO36" i="10" s="1"/>
  <c r="AQ36" i="10" s="1"/>
  <c r="W41" i="10"/>
  <c r="W43" i="10"/>
  <c r="W2" i="10"/>
  <c r="W27" i="10"/>
  <c r="AS27" i="10"/>
  <c r="AT27" i="10" s="1"/>
  <c r="AV27" i="10" s="1"/>
  <c r="AS41" i="10"/>
  <c r="AT41" i="10" s="1"/>
  <c r="AV41" i="10" s="1"/>
  <c r="AS16" i="10"/>
  <c r="AT16" i="10" s="1"/>
  <c r="AV16" i="10" s="1"/>
  <c r="AS43" i="10"/>
  <c r="AT43" i="10" s="1"/>
  <c r="AV43" i="10" s="1"/>
  <c r="AN27" i="10"/>
  <c r="AO27" i="10" s="1"/>
  <c r="AQ27" i="10" s="1"/>
  <c r="AN41" i="10"/>
  <c r="AO41" i="10" s="1"/>
  <c r="AQ41" i="10" s="1"/>
  <c r="AN5" i="10"/>
  <c r="AO5" i="10" s="1"/>
  <c r="AQ5" i="10" s="1"/>
  <c r="AN43" i="10"/>
  <c r="AO43" i="10" s="1"/>
  <c r="AQ43" i="10" s="1"/>
  <c r="AN25" i="10"/>
  <c r="AO25" i="10" s="1"/>
  <c r="AQ25" i="10" s="1"/>
  <c r="AN12" i="10"/>
  <c r="AO12" i="10" s="1"/>
  <c r="AQ12" i="10" s="1"/>
  <c r="AN38" i="10"/>
  <c r="AO38" i="10" s="1"/>
  <c r="AQ38" i="10" s="1"/>
  <c r="AN33" i="10"/>
  <c r="AO33" i="10" s="1"/>
  <c r="AQ33" i="10" s="1"/>
  <c r="AN21" i="10"/>
  <c r="AO21" i="10" s="1"/>
  <c r="AQ21" i="10" s="1"/>
  <c r="AN14" i="10"/>
  <c r="AO14" i="10" s="1"/>
  <c r="AQ14" i="10" s="1"/>
  <c r="AN11" i="10"/>
  <c r="AO11" i="10" s="1"/>
  <c r="AQ11" i="10" s="1"/>
  <c r="AN40" i="10"/>
  <c r="AO40" i="10" s="1"/>
  <c r="AQ40" i="10" s="1"/>
  <c r="AN10" i="10"/>
  <c r="AO10" i="10" s="1"/>
  <c r="AQ10" i="10" s="1"/>
  <c r="AN31" i="10"/>
  <c r="AO31" i="10" s="1"/>
  <c r="AQ31" i="10" s="1"/>
  <c r="AN20" i="10"/>
  <c r="AO20" i="10" s="1"/>
  <c r="AQ20" i="10" s="1"/>
  <c r="AN35" i="10"/>
  <c r="AO35" i="10" s="1"/>
  <c r="AQ35" i="10" s="1"/>
  <c r="AN32" i="10"/>
  <c r="AO32" i="10" s="1"/>
  <c r="AQ32" i="10" s="1"/>
  <c r="AN3" i="10"/>
  <c r="AO3" i="10" s="1"/>
  <c r="AQ3" i="10" s="1"/>
  <c r="AN42" i="10"/>
  <c r="AO42" i="10" s="1"/>
  <c r="AQ42" i="10" s="1"/>
  <c r="AN6" i="10"/>
  <c r="AO6" i="10" s="1"/>
  <c r="AQ6" i="10" s="1"/>
  <c r="AN37" i="10"/>
  <c r="AO37" i="10" s="1"/>
  <c r="AQ37" i="10" s="1"/>
  <c r="AN13" i="10"/>
  <c r="AO13" i="10" s="1"/>
  <c r="AQ13" i="10" s="1"/>
  <c r="AN30" i="10"/>
  <c r="AO30" i="10" s="1"/>
  <c r="AQ30" i="10" s="1"/>
  <c r="AN9" i="10"/>
  <c r="AO9" i="10" s="1"/>
  <c r="AQ9" i="10" s="1"/>
  <c r="AN8" i="10"/>
  <c r="AO8" i="10" s="1"/>
  <c r="AQ8" i="10" s="1"/>
  <c r="AN28" i="10"/>
  <c r="AO28" i="10" s="1"/>
  <c r="AQ28" i="10" s="1"/>
  <c r="AN7" i="10"/>
  <c r="AO7" i="10" s="1"/>
  <c r="AQ7" i="10" s="1"/>
  <c r="AN45" i="10"/>
  <c r="AO45" i="10" s="1"/>
  <c r="AQ45" i="10" s="1"/>
  <c r="AN17" i="10"/>
  <c r="AO17" i="10" s="1"/>
  <c r="AQ17" i="10" s="1"/>
  <c r="AN22" i="10"/>
  <c r="AO22" i="10" s="1"/>
  <c r="AQ22" i="10" s="1"/>
  <c r="AN16" i="10"/>
  <c r="AO16" i="10" s="1"/>
  <c r="AQ16" i="10" s="1"/>
  <c r="AN26" i="10"/>
  <c r="AO26" i="10" s="1"/>
  <c r="AQ26" i="10" s="1"/>
  <c r="AN34" i="10"/>
  <c r="AO34" i="10" s="1"/>
  <c r="AQ34" i="10" s="1"/>
  <c r="AN4" i="10"/>
  <c r="AN39" i="10"/>
  <c r="AO39" i="10" s="1"/>
  <c r="AQ39" i="10" s="1"/>
  <c r="AN18" i="10"/>
  <c r="AO18" i="10" s="1"/>
  <c r="AQ18" i="10" s="1"/>
  <c r="AN24" i="10"/>
  <c r="AO24" i="10" s="1"/>
  <c r="AQ24" i="10" s="1"/>
  <c r="AN29" i="10"/>
  <c r="AO29" i="10" s="1"/>
  <c r="AQ29" i="10" s="1"/>
  <c r="AN19" i="10"/>
  <c r="AO19" i="10" s="1"/>
  <c r="AQ19" i="10" s="1"/>
  <c r="AN44" i="10"/>
  <c r="AO44" i="10" s="1"/>
  <c r="AQ44" i="10" s="1"/>
  <c r="AN23" i="10"/>
  <c r="AO23" i="10" s="1"/>
  <c r="AQ23" i="10" s="1"/>
  <c r="AN15" i="10"/>
  <c r="AO15" i="10" s="1"/>
  <c r="AQ15" i="10" s="1"/>
  <c r="AS31" i="10"/>
  <c r="AT31" i="10" s="1"/>
  <c r="AV31" i="10" s="1"/>
  <c r="AS7" i="10"/>
  <c r="AT7" i="10" s="1"/>
  <c r="AV7" i="10" s="1"/>
  <c r="AS5" i="10"/>
  <c r="AT5" i="10" s="1"/>
  <c r="AV5" i="10" s="1"/>
  <c r="AS28" i="10"/>
  <c r="AT28" i="10" s="1"/>
  <c r="AV28" i="10" s="1"/>
  <c r="AS8" i="10"/>
  <c r="AT8" i="10" s="1"/>
  <c r="AV8" i="10" s="1"/>
  <c r="AS15" i="10"/>
  <c r="AT15" i="10" s="1"/>
  <c r="AV15" i="10" s="1"/>
  <c r="AS42" i="10"/>
  <c r="AT42" i="10" s="1"/>
  <c r="AV42" i="10" s="1"/>
  <c r="AS10" i="10"/>
  <c r="AT10" i="10" s="1"/>
  <c r="AV10" i="10" s="1"/>
  <c r="AS3" i="10"/>
  <c r="AT3" i="10" s="1"/>
  <c r="AV3" i="10" s="1"/>
  <c r="AS38" i="10"/>
  <c r="AT38" i="10" s="1"/>
  <c r="AV38" i="10" s="1"/>
  <c r="AS37" i="10"/>
  <c r="AT37" i="10" s="1"/>
  <c r="AV37" i="10" s="1"/>
  <c r="AS12" i="10"/>
  <c r="AS14" i="10"/>
  <c r="AT14" i="10" s="1"/>
  <c r="AV14" i="10" s="1"/>
  <c r="AS23" i="10"/>
  <c r="AT23" i="10" s="1"/>
  <c r="AV23" i="10" s="1"/>
  <c r="AS44" i="10"/>
  <c r="AT44" i="10" s="1"/>
  <c r="AV44" i="10" s="1"/>
  <c r="AS19" i="10"/>
  <c r="AT19" i="10" s="1"/>
  <c r="AV19" i="10" s="1"/>
  <c r="AS29" i="10"/>
  <c r="AT29" i="10" s="1"/>
  <c r="AV29" i="10" s="1"/>
  <c r="AS24" i="10"/>
  <c r="AT24" i="10" s="1"/>
  <c r="AV24" i="10" s="1"/>
  <c r="AS40" i="10"/>
  <c r="AT40" i="10" s="1"/>
  <c r="AV40" i="10" s="1"/>
  <c r="AS32" i="10"/>
  <c r="AT32" i="10" s="1"/>
  <c r="AV32" i="10" s="1"/>
  <c r="AS11" i="10"/>
  <c r="AT11" i="10" s="1"/>
  <c r="AV11" i="10" s="1"/>
  <c r="AS35" i="10"/>
  <c r="AT35" i="10" s="1"/>
  <c r="AV35" i="10" s="1"/>
  <c r="AS25" i="10"/>
  <c r="AT25" i="10" s="1"/>
  <c r="AV25" i="10" s="1"/>
  <c r="AS26" i="10"/>
  <c r="AT26" i="10" s="1"/>
  <c r="AV26" i="10" s="1"/>
  <c r="AS22" i="10"/>
  <c r="AT22" i="10" s="1"/>
  <c r="AV22" i="10" s="1"/>
  <c r="AS17" i="10"/>
  <c r="AT17" i="10" s="1"/>
  <c r="AV17" i="10" s="1"/>
  <c r="AS45" i="10"/>
  <c r="AT45" i="10" s="1"/>
  <c r="AV45" i="10" s="1"/>
  <c r="AS18" i="10"/>
  <c r="AT18" i="10" s="1"/>
  <c r="AV18" i="10" s="1"/>
  <c r="AS39" i="10"/>
  <c r="AT39" i="10" s="1"/>
  <c r="AV39" i="10" s="1"/>
  <c r="AS4" i="10"/>
  <c r="AT4" i="10" s="1"/>
  <c r="AV4" i="10" s="1"/>
  <c r="AS34" i="10"/>
  <c r="AT34" i="10" s="1"/>
  <c r="AV34" i="10" s="1"/>
  <c r="AS20" i="10"/>
  <c r="AT20" i="10" s="1"/>
  <c r="AV20" i="10" s="1"/>
  <c r="AS9" i="10"/>
  <c r="AT9" i="10" s="1"/>
  <c r="AV9" i="10" s="1"/>
  <c r="AS21" i="10"/>
  <c r="AT21" i="10" s="1"/>
  <c r="AV21" i="10" s="1"/>
  <c r="AS30" i="10"/>
  <c r="AT30" i="10" s="1"/>
  <c r="AV30" i="10" s="1"/>
  <c r="AS33" i="10"/>
  <c r="AT33" i="10" s="1"/>
  <c r="AV33" i="10" s="1"/>
  <c r="AS13" i="10"/>
  <c r="AT13" i="10" s="1"/>
  <c r="AV13" i="10" s="1"/>
  <c r="AS6" i="10"/>
  <c r="AT6" i="10" s="1"/>
  <c r="AV6" i="10" s="1"/>
  <c r="W39" i="10"/>
  <c r="W24" i="10"/>
  <c r="W4" i="10"/>
  <c r="W11" i="10"/>
  <c r="W33" i="10"/>
  <c r="W10" i="10"/>
  <c r="W28" i="10"/>
  <c r="W29" i="10"/>
  <c r="W40" i="10"/>
  <c r="W6" i="10"/>
  <c r="W20" i="10"/>
  <c r="W42" i="10"/>
  <c r="W26" i="10"/>
  <c r="W31" i="10"/>
  <c r="W15" i="10"/>
  <c r="W34" i="10"/>
  <c r="W22" i="10"/>
  <c r="W25" i="10"/>
  <c r="W14" i="10"/>
  <c r="W5" i="10"/>
  <c r="W23" i="10"/>
  <c r="W13" i="10"/>
  <c r="W3" i="10"/>
  <c r="W38" i="10"/>
  <c r="W35" i="10"/>
  <c r="W17" i="10"/>
  <c r="W7" i="10"/>
  <c r="W12" i="10"/>
  <c r="W32" i="10"/>
  <c r="W45" i="10"/>
  <c r="W44" i="10"/>
  <c r="W37" i="10"/>
  <c r="W16" i="10"/>
  <c r="W21" i="10"/>
  <c r="W19" i="10"/>
  <c r="W30" i="10"/>
  <c r="W8" i="10"/>
  <c r="W18" i="10"/>
  <c r="O46" i="10"/>
  <c r="P36" i="10" s="1"/>
  <c r="T4" i="11" l="1"/>
  <c r="U4" i="11" s="1"/>
  <c r="T6" i="11"/>
  <c r="U6" i="11" s="1"/>
  <c r="T50" i="11"/>
  <c r="U50" i="11" s="1"/>
  <c r="T16" i="11"/>
  <c r="U16" i="11" s="1"/>
  <c r="T27" i="11"/>
  <c r="U27" i="11" s="1"/>
  <c r="T23" i="11"/>
  <c r="U23" i="11" s="1"/>
  <c r="T13" i="11"/>
  <c r="U13" i="11" s="1"/>
  <c r="T20" i="11"/>
  <c r="U20" i="11" s="1"/>
  <c r="T32" i="11"/>
  <c r="U32" i="11" s="1"/>
  <c r="T3" i="11"/>
  <c r="U3" i="11" s="1"/>
  <c r="T49" i="11"/>
  <c r="U49" i="11" s="1"/>
  <c r="T35" i="11"/>
  <c r="U35" i="11" s="1"/>
  <c r="T36" i="11"/>
  <c r="U36" i="11" s="1"/>
  <c r="T52" i="11"/>
  <c r="U52" i="11" s="1"/>
  <c r="T46" i="11"/>
  <c r="U46" i="11" s="1"/>
  <c r="T37" i="11"/>
  <c r="U37" i="11" s="1"/>
  <c r="T51" i="11"/>
  <c r="U51" i="11" s="1"/>
  <c r="T25" i="11"/>
  <c r="U25" i="11" s="1"/>
  <c r="T5" i="11"/>
  <c r="U5" i="11" s="1"/>
  <c r="T43" i="11"/>
  <c r="U43" i="11" s="1"/>
  <c r="T40" i="11"/>
  <c r="U40" i="11" s="1"/>
  <c r="T12" i="11"/>
  <c r="U12" i="11" s="1"/>
  <c r="T26" i="11"/>
  <c r="U26" i="11" s="1"/>
  <c r="T9" i="11"/>
  <c r="U9" i="11" s="1"/>
  <c r="T11" i="11"/>
  <c r="U11" i="11" s="1"/>
  <c r="T7" i="11"/>
  <c r="U7" i="11" s="1"/>
  <c r="T47" i="11"/>
  <c r="U47" i="11" s="1"/>
  <c r="T21" i="11"/>
  <c r="U21" i="11" s="1"/>
  <c r="T30" i="11"/>
  <c r="U30" i="11" s="1"/>
  <c r="T28" i="11"/>
  <c r="U28" i="11" s="1"/>
  <c r="T14" i="11"/>
  <c r="U14" i="11" s="1"/>
  <c r="T17" i="11"/>
  <c r="U17" i="11" s="1"/>
  <c r="T15" i="11"/>
  <c r="U15" i="11" s="1"/>
  <c r="T34" i="11"/>
  <c r="U34" i="11" s="1"/>
  <c r="T33" i="11"/>
  <c r="U33" i="11" s="1"/>
  <c r="T48" i="11"/>
  <c r="U48" i="11" s="1"/>
  <c r="T29" i="11"/>
  <c r="U29" i="11" s="1"/>
  <c r="T42" i="11"/>
  <c r="U42" i="11" s="1"/>
  <c r="T38" i="11"/>
  <c r="U38" i="11" s="1"/>
  <c r="T41" i="11"/>
  <c r="U41" i="11" s="1"/>
  <c r="T10" i="11"/>
  <c r="U10" i="11" s="1"/>
  <c r="T22" i="11"/>
  <c r="U22" i="11" s="1"/>
  <c r="T2" i="11"/>
  <c r="U2" i="11" s="1"/>
  <c r="T39" i="11"/>
  <c r="U39" i="11" s="1"/>
  <c r="T19" i="11"/>
  <c r="U19" i="11" s="1"/>
  <c r="T8" i="11"/>
  <c r="U8" i="11" s="1"/>
  <c r="T45" i="11"/>
  <c r="U45" i="11" s="1"/>
  <c r="T54" i="11"/>
  <c r="U54" i="11" s="1"/>
  <c r="T31" i="11"/>
  <c r="U31" i="11" s="1"/>
  <c r="T24" i="11"/>
  <c r="U24" i="11" s="1"/>
  <c r="T53" i="11"/>
  <c r="U53" i="11" s="1"/>
  <c r="T18" i="11"/>
  <c r="U18" i="11" s="1"/>
  <c r="T44" i="11"/>
  <c r="U44" i="11" s="1"/>
  <c r="AT12" i="10"/>
  <c r="AV12" i="10" s="1"/>
  <c r="P41" i="10"/>
  <c r="P2" i="10"/>
  <c r="P43" i="10"/>
  <c r="P27" i="10"/>
  <c r="AO4" i="10"/>
  <c r="AQ4" i="10" s="1"/>
  <c r="P19" i="10"/>
  <c r="P39" i="10"/>
  <c r="W46" i="10"/>
  <c r="X36" i="10" s="1"/>
  <c r="P35" i="10"/>
  <c r="P8" i="10"/>
  <c r="P33" i="10"/>
  <c r="P12" i="10"/>
  <c r="P29" i="10"/>
  <c r="P44" i="10"/>
  <c r="P23" i="10"/>
  <c r="P25" i="10"/>
  <c r="P24" i="10"/>
  <c r="P30" i="10"/>
  <c r="P13" i="10"/>
  <c r="P21" i="10"/>
  <c r="P38" i="10"/>
  <c r="P14" i="10"/>
  <c r="P20" i="10"/>
  <c r="P11" i="10"/>
  <c r="P16" i="10"/>
  <c r="P26" i="10"/>
  <c r="P15" i="10"/>
  <c r="P9" i="10"/>
  <c r="P32" i="10"/>
  <c r="P42" i="10"/>
  <c r="P3" i="10"/>
  <c r="P28" i="10"/>
  <c r="P34" i="10"/>
  <c r="P40" i="10"/>
  <c r="P18" i="10"/>
  <c r="P4" i="10"/>
  <c r="P5" i="10"/>
  <c r="P31" i="10"/>
  <c r="P45" i="10"/>
  <c r="P7" i="10"/>
  <c r="P22" i="10"/>
  <c r="P10" i="10"/>
  <c r="P37" i="10"/>
  <c r="P17" i="10"/>
  <c r="P6" i="10"/>
  <c r="U55" i="11" l="1"/>
  <c r="V6" i="11" s="1"/>
  <c r="T55" i="11"/>
  <c r="X41" i="10"/>
  <c r="X2" i="10"/>
  <c r="X43" i="10"/>
  <c r="X27" i="10"/>
  <c r="X6" i="10"/>
  <c r="X39" i="10"/>
  <c r="X42" i="10"/>
  <c r="X4" i="10"/>
  <c r="X18" i="10"/>
  <c r="X24" i="10"/>
  <c r="X37" i="10"/>
  <c r="X13" i="10"/>
  <c r="X15" i="10"/>
  <c r="X35" i="10"/>
  <c r="X12" i="10"/>
  <c r="X31" i="10"/>
  <c r="X44" i="10"/>
  <c r="X28" i="10"/>
  <c r="X34" i="10"/>
  <c r="X23" i="10"/>
  <c r="X3" i="10"/>
  <c r="X14" i="10"/>
  <c r="X32" i="10"/>
  <c r="X25" i="10"/>
  <c r="X40" i="10"/>
  <c r="X29" i="10"/>
  <c r="X10" i="10"/>
  <c r="X7" i="10"/>
  <c r="X5" i="10"/>
  <c r="X26" i="10"/>
  <c r="X16" i="10"/>
  <c r="X21" i="10"/>
  <c r="X33" i="10"/>
  <c r="X17" i="10"/>
  <c r="X22" i="10"/>
  <c r="X8" i="10"/>
  <c r="X19" i="10"/>
  <c r="X38" i="10"/>
  <c r="X9" i="10"/>
  <c r="X11" i="10"/>
  <c r="X20" i="10"/>
  <c r="X30" i="10"/>
  <c r="X45" i="10"/>
  <c r="P46" i="10"/>
  <c r="AD6" i="11" l="1"/>
  <c r="AE6" i="11" s="1"/>
  <c r="X6" i="11"/>
  <c r="V16" i="11"/>
  <c r="AD16" i="11" s="1"/>
  <c r="AE16" i="11" s="1"/>
  <c r="V4" i="11"/>
  <c r="V23" i="11"/>
  <c r="X23" i="11" s="1"/>
  <c r="V50" i="11"/>
  <c r="V20" i="11"/>
  <c r="AD20" i="11" s="1"/>
  <c r="AE20" i="11" s="1"/>
  <c r="V27" i="11"/>
  <c r="V32" i="11"/>
  <c r="AD32" i="11" s="1"/>
  <c r="V13" i="11"/>
  <c r="V3" i="11"/>
  <c r="V15" i="11"/>
  <c r="AD15" i="11" s="1"/>
  <c r="V44" i="11"/>
  <c r="AD44" i="11" s="1"/>
  <c r="V11" i="11"/>
  <c r="AD11" i="11" s="1"/>
  <c r="V52" i="11"/>
  <c r="AD52" i="11" s="1"/>
  <c r="V43" i="11"/>
  <c r="AD43" i="11" s="1"/>
  <c r="V29" i="11"/>
  <c r="AD29" i="11" s="1"/>
  <c r="V22" i="11"/>
  <c r="AD22" i="11" s="1"/>
  <c r="V40" i="11"/>
  <c r="AD40" i="11" s="1"/>
  <c r="V10" i="11"/>
  <c r="AD10" i="11" s="1"/>
  <c r="V28" i="11"/>
  <c r="AD28" i="11" s="1"/>
  <c r="AE28" i="11" s="1"/>
  <c r="V31" i="11"/>
  <c r="AD31" i="11" s="1"/>
  <c r="V34" i="11"/>
  <c r="V25" i="11"/>
  <c r="AD25" i="11" s="1"/>
  <c r="V8" i="11"/>
  <c r="AD8" i="11" s="1"/>
  <c r="V46" i="11"/>
  <c r="V30" i="11"/>
  <c r="AD30" i="11" s="1"/>
  <c r="V19" i="11"/>
  <c r="V18" i="11"/>
  <c r="AD18" i="11" s="1"/>
  <c r="V7" i="11"/>
  <c r="V24" i="11"/>
  <c r="V14" i="11"/>
  <c r="V53" i="11"/>
  <c r="AD53" i="11" s="1"/>
  <c r="V45" i="11"/>
  <c r="AD45" i="11" s="1"/>
  <c r="V12" i="11"/>
  <c r="AD12" i="11" s="1"/>
  <c r="V42" i="11"/>
  <c r="AD42" i="11" s="1"/>
  <c r="V26" i="11"/>
  <c r="AD26" i="11" s="1"/>
  <c r="V2" i="11"/>
  <c r="AD2" i="11" s="1"/>
  <c r="V51" i="11"/>
  <c r="AD51" i="11" s="1"/>
  <c r="V47" i="11"/>
  <c r="AD47" i="11" s="1"/>
  <c r="V36" i="11"/>
  <c r="AD36" i="11" s="1"/>
  <c r="V17" i="11"/>
  <c r="AD17" i="11" s="1"/>
  <c r="V48" i="11"/>
  <c r="AD48" i="11" s="1"/>
  <c r="V35" i="11"/>
  <c r="AD35" i="11" s="1"/>
  <c r="V5" i="11"/>
  <c r="AD5" i="11" s="1"/>
  <c r="V38" i="11"/>
  <c r="AD38" i="11" s="1"/>
  <c r="V37" i="11"/>
  <c r="AD37" i="11" s="1"/>
  <c r="V54" i="11"/>
  <c r="AD54" i="11" s="1"/>
  <c r="V33" i="11"/>
  <c r="AD33" i="11" s="1"/>
  <c r="V49" i="11"/>
  <c r="AD49" i="11" s="1"/>
  <c r="V9" i="11"/>
  <c r="AD9" i="11" s="1"/>
  <c r="V41" i="11"/>
  <c r="AD41" i="11" s="1"/>
  <c r="V21" i="11"/>
  <c r="AD21" i="11" s="1"/>
  <c r="V39" i="11"/>
  <c r="AD39" i="11" s="1"/>
  <c r="X46" i="10"/>
  <c r="X16" i="11" l="1"/>
  <c r="Y16" i="11" s="1"/>
  <c r="AF16" i="11" s="1"/>
  <c r="Y6" i="11"/>
  <c r="AF6" i="11" s="1"/>
  <c r="AD4" i="11"/>
  <c r="AE4" i="11" s="1"/>
  <c r="X4" i="11"/>
  <c r="AD23" i="11"/>
  <c r="AE23" i="11" s="1"/>
  <c r="X50" i="11"/>
  <c r="Y50" i="11" s="1"/>
  <c r="AD50" i="11"/>
  <c r="AE50" i="11" s="1"/>
  <c r="X29" i="11"/>
  <c r="Y29" i="11" s="1"/>
  <c r="Y23" i="11"/>
  <c r="X20" i="11"/>
  <c r="Y20" i="11" s="1"/>
  <c r="AF20" i="11" s="1"/>
  <c r="X27" i="11"/>
  <c r="Y27" i="11" s="1"/>
  <c r="AD27" i="11"/>
  <c r="AE27" i="11" s="1"/>
  <c r="AD13" i="11"/>
  <c r="AE13" i="11" s="1"/>
  <c r="X13" i="11"/>
  <c r="Y13" i="11" s="1"/>
  <c r="AD3" i="11"/>
  <c r="AE3" i="11" s="1"/>
  <c r="X3" i="11"/>
  <c r="Y3" i="11" s="1"/>
  <c r="X32" i="11"/>
  <c r="Y32" i="11" s="1"/>
  <c r="X15" i="11"/>
  <c r="Y15" i="11" s="1"/>
  <c r="X10" i="11"/>
  <c r="Y10" i="11" s="1"/>
  <c r="X18" i="11"/>
  <c r="Y18" i="11" s="1"/>
  <c r="X28" i="11"/>
  <c r="Y28" i="11" s="1"/>
  <c r="AF28" i="11" s="1"/>
  <c r="X44" i="11"/>
  <c r="Y44" i="11" s="1"/>
  <c r="X31" i="11"/>
  <c r="Y31" i="11" s="1"/>
  <c r="X11" i="11"/>
  <c r="Y11" i="11" s="1"/>
  <c r="X22" i="11"/>
  <c r="Y22" i="11" s="1"/>
  <c r="X8" i="11"/>
  <c r="Y8" i="11" s="1"/>
  <c r="X30" i="11"/>
  <c r="Y30" i="11" s="1"/>
  <c r="X52" i="11"/>
  <c r="Y52" i="11" s="1"/>
  <c r="X25" i="11"/>
  <c r="Y25" i="11" s="1"/>
  <c r="X43" i="11"/>
  <c r="Y43" i="11" s="1"/>
  <c r="X24" i="11"/>
  <c r="Y24" i="11" s="1"/>
  <c r="AD24" i="11"/>
  <c r="AE24" i="11" s="1"/>
  <c r="X34" i="11"/>
  <c r="Y34" i="11" s="1"/>
  <c r="AD34" i="11"/>
  <c r="AE34" i="11" s="1"/>
  <c r="X7" i="11"/>
  <c r="Y7" i="11" s="1"/>
  <c r="AD7" i="11"/>
  <c r="AE7" i="11" s="1"/>
  <c r="X46" i="11"/>
  <c r="Y46" i="11" s="1"/>
  <c r="AD46" i="11"/>
  <c r="AE46" i="11" s="1"/>
  <c r="X14" i="11"/>
  <c r="Y14" i="11" s="1"/>
  <c r="AD14" i="11"/>
  <c r="AE14" i="11" s="1"/>
  <c r="X19" i="11"/>
  <c r="Y19" i="11" s="1"/>
  <c r="AD19" i="11"/>
  <c r="AE19" i="11" s="1"/>
  <c r="X40" i="11"/>
  <c r="Y40" i="11" s="1"/>
  <c r="X41" i="11"/>
  <c r="Y41" i="11" s="1"/>
  <c r="X54" i="11"/>
  <c r="Y54" i="11" s="1"/>
  <c r="X35" i="11"/>
  <c r="Y35" i="11" s="1"/>
  <c r="AE35" i="11"/>
  <c r="X47" i="11"/>
  <c r="Y47" i="11" s="1"/>
  <c r="AE47" i="11"/>
  <c r="X42" i="11"/>
  <c r="Y42" i="11" s="1"/>
  <c r="AE42" i="11"/>
  <c r="X39" i="11"/>
  <c r="Y39" i="11" s="1"/>
  <c r="X48" i="11"/>
  <c r="Y48" i="11" s="1"/>
  <c r="X51" i="11"/>
  <c r="Y51" i="11" s="1"/>
  <c r="X38" i="11"/>
  <c r="Y38" i="11" s="1"/>
  <c r="X17" i="11"/>
  <c r="Y17" i="11" s="1"/>
  <c r="X2" i="11"/>
  <c r="Y2" i="11" s="1"/>
  <c r="X45" i="11"/>
  <c r="Y45" i="11" s="1"/>
  <c r="X9" i="11"/>
  <c r="Y9" i="11" s="1"/>
  <c r="AE9" i="11"/>
  <c r="X37" i="11"/>
  <c r="Y37" i="11" s="1"/>
  <c r="X12" i="11"/>
  <c r="Y12" i="11" s="1"/>
  <c r="AE12" i="11"/>
  <c r="X21" i="11"/>
  <c r="Y21" i="11" s="1"/>
  <c r="X33" i="11"/>
  <c r="Y33" i="11" s="1"/>
  <c r="X5" i="11"/>
  <c r="Y5" i="11" s="1"/>
  <c r="X36" i="11"/>
  <c r="Y36" i="11" s="1"/>
  <c r="AE36" i="11"/>
  <c r="X26" i="11"/>
  <c r="Y26" i="11" s="1"/>
  <c r="X53" i="11"/>
  <c r="Y53" i="11" s="1"/>
  <c r="AE53" i="11"/>
  <c r="AE41" i="11"/>
  <c r="AE38" i="11"/>
  <c r="AE8" i="11"/>
  <c r="AE15" i="11"/>
  <c r="AE26" i="11"/>
  <c r="AE37" i="11"/>
  <c r="AE40" i="11"/>
  <c r="AE29" i="11"/>
  <c r="AE48" i="11"/>
  <c r="AE54" i="11"/>
  <c r="AE11" i="11"/>
  <c r="AE30" i="11"/>
  <c r="AE5" i="11"/>
  <c r="AE45" i="11"/>
  <c r="AE10" i="11"/>
  <c r="AE18" i="11"/>
  <c r="AE52" i="11"/>
  <c r="AE17" i="11"/>
  <c r="AE43" i="11"/>
  <c r="AE21" i="11"/>
  <c r="AE39" i="11"/>
  <c r="AE25" i="11"/>
  <c r="AE44" i="11"/>
  <c r="AE31" i="11"/>
  <c r="AE22" i="11"/>
  <c r="V55" i="11"/>
  <c r="X49" i="11"/>
  <c r="AE32" i="11"/>
  <c r="AE33" i="11"/>
  <c r="AE2" i="11"/>
  <c r="AE51" i="11"/>
  <c r="C45" i="8"/>
  <c r="AF50" i="11" l="1"/>
  <c r="Y4" i="11"/>
  <c r="AF4" i="11" s="1"/>
  <c r="AF21" i="11"/>
  <c r="AF23" i="11"/>
  <c r="AF30" i="11"/>
  <c r="AF11" i="11"/>
  <c r="AF29" i="11"/>
  <c r="AF27" i="11"/>
  <c r="AF3" i="11"/>
  <c r="AF13" i="11"/>
  <c r="AF32" i="11"/>
  <c r="AF12" i="11"/>
  <c r="AF15" i="11"/>
  <c r="AF22" i="11"/>
  <c r="AF18" i="11"/>
  <c r="AF17" i="11"/>
  <c r="AF10" i="11"/>
  <c r="AF46" i="11"/>
  <c r="AF40" i="11"/>
  <c r="AF52" i="11"/>
  <c r="AF44" i="11"/>
  <c r="AF31" i="11"/>
  <c r="AF7" i="11"/>
  <c r="AF34" i="11"/>
  <c r="AF53" i="11"/>
  <c r="AF42" i="11"/>
  <c r="AF24" i="11"/>
  <c r="AF2" i="11"/>
  <c r="AF19" i="11"/>
  <c r="AF8" i="11"/>
  <c r="AF25" i="11"/>
  <c r="AF43" i="11"/>
  <c r="AF51" i="11"/>
  <c r="AF38" i="11"/>
  <c r="AF14" i="11"/>
  <c r="AF48" i="11"/>
  <c r="AF36" i="11"/>
  <c r="AF54" i="11"/>
  <c r="AF37" i="11"/>
  <c r="AF33" i="11"/>
  <c r="AF9" i="11"/>
  <c r="AF35" i="11"/>
  <c r="AF5" i="11"/>
  <c r="AF47" i="11"/>
  <c r="AF26" i="11"/>
  <c r="AF45" i="11"/>
  <c r="X55" i="11"/>
  <c r="Y49" i="11"/>
  <c r="AF41" i="11"/>
  <c r="AF39" i="11"/>
  <c r="C28" i="8"/>
  <c r="C9" i="8"/>
  <c r="C13" i="8"/>
  <c r="C29" i="8"/>
  <c r="Y55" i="11" l="1"/>
  <c r="AH4" i="11"/>
  <c r="AI4" i="11" s="1"/>
  <c r="AK4" i="11" s="1"/>
  <c r="AH6" i="11"/>
  <c r="AI6" i="11" s="1"/>
  <c r="AK6" i="11" s="1"/>
  <c r="AH50" i="11"/>
  <c r="AI50" i="11" s="1"/>
  <c r="AK50" i="11" s="1"/>
  <c r="AH16" i="11"/>
  <c r="AI16" i="11" s="1"/>
  <c r="AK16" i="11" s="1"/>
  <c r="AH27" i="11"/>
  <c r="AI27" i="11" s="1"/>
  <c r="AK27" i="11" s="1"/>
  <c r="AH23" i="11"/>
  <c r="AI23" i="11" s="1"/>
  <c r="AK23" i="11" s="1"/>
  <c r="AH49" i="11"/>
  <c r="AI49" i="11" s="1"/>
  <c r="AK49" i="11" s="1"/>
  <c r="AH13" i="11"/>
  <c r="AI13" i="11" s="1"/>
  <c r="AK13" i="11" s="1"/>
  <c r="AH3" i="11"/>
  <c r="AI3" i="11" s="1"/>
  <c r="AK3" i="11" s="1"/>
  <c r="AH20" i="11"/>
  <c r="AI20" i="11" s="1"/>
  <c r="AK20" i="11" s="1"/>
  <c r="AD55" i="11"/>
  <c r="AE49" i="11"/>
  <c r="AH47" i="11"/>
  <c r="AI47" i="11" s="1"/>
  <c r="AK47" i="11" s="1"/>
  <c r="AH30" i="11"/>
  <c r="AI30" i="11" s="1"/>
  <c r="AK30" i="11" s="1"/>
  <c r="AH35" i="11"/>
  <c r="AI35" i="11" s="1"/>
  <c r="AK35" i="11" s="1"/>
  <c r="AH5" i="11"/>
  <c r="AI5" i="11" s="1"/>
  <c r="AK5" i="11" s="1"/>
  <c r="AH24" i="11"/>
  <c r="AI24" i="11" s="1"/>
  <c r="AK24" i="11" s="1"/>
  <c r="AH38" i="11"/>
  <c r="AI38" i="11" s="1"/>
  <c r="AK38" i="11" s="1"/>
  <c r="AH10" i="11"/>
  <c r="AI10" i="11" s="1"/>
  <c r="AK10" i="11" s="1"/>
  <c r="AH43" i="11"/>
  <c r="AI43" i="11" s="1"/>
  <c r="AK43" i="11" s="1"/>
  <c r="AH7" i="11"/>
  <c r="AI7" i="11" s="1"/>
  <c r="AK7" i="11" s="1"/>
  <c r="AH17" i="11"/>
  <c r="AI17" i="11" s="1"/>
  <c r="AK17" i="11" s="1"/>
  <c r="AH29" i="11"/>
  <c r="AI29" i="11" s="1"/>
  <c r="AK29" i="11" s="1"/>
  <c r="AH37" i="11"/>
  <c r="AI37" i="11" s="1"/>
  <c r="AK37" i="11" s="1"/>
  <c r="AH22" i="11"/>
  <c r="AI22" i="11" s="1"/>
  <c r="AK22" i="11" s="1"/>
  <c r="AH12" i="11"/>
  <c r="AI12" i="11" s="1"/>
  <c r="AK12" i="11" s="1"/>
  <c r="AH51" i="11"/>
  <c r="AI51" i="11" s="1"/>
  <c r="AK51" i="11" s="1"/>
  <c r="AH11" i="11"/>
  <c r="AI11" i="11" s="1"/>
  <c r="AK11" i="11" s="1"/>
  <c r="AH34" i="11"/>
  <c r="AI34" i="11" s="1"/>
  <c r="AK34" i="11" s="1"/>
  <c r="AH15" i="11"/>
  <c r="AI15" i="11" s="1"/>
  <c r="AK15" i="11" s="1"/>
  <c r="AH18" i="11"/>
  <c r="AI18" i="11" s="1"/>
  <c r="AK18" i="11" s="1"/>
  <c r="AH32" i="11"/>
  <c r="AI32" i="11" s="1"/>
  <c r="AK32" i="11" s="1"/>
  <c r="AH19" i="11"/>
  <c r="AI19" i="11" s="1"/>
  <c r="AK19" i="11" s="1"/>
  <c r="AH28" i="11"/>
  <c r="AI28" i="11" s="1"/>
  <c r="AK28" i="11" s="1"/>
  <c r="AH8" i="11"/>
  <c r="AI8" i="11" s="1"/>
  <c r="AK8" i="11" s="1"/>
  <c r="AH45" i="11"/>
  <c r="AI45" i="11" s="1"/>
  <c r="AK45" i="11" s="1"/>
  <c r="AH36" i="11"/>
  <c r="AI36" i="11" s="1"/>
  <c r="AK36" i="11" s="1"/>
  <c r="AH25" i="11"/>
  <c r="AI25" i="11" s="1"/>
  <c r="AK25" i="11" s="1"/>
  <c r="AH42" i="11"/>
  <c r="AI42" i="11" s="1"/>
  <c r="AK42" i="11" s="1"/>
  <c r="AH46" i="11"/>
  <c r="AI46" i="11" s="1"/>
  <c r="AK46" i="11" s="1"/>
  <c r="AH14" i="11"/>
  <c r="AI14" i="11" s="1"/>
  <c r="AK14" i="11" s="1"/>
  <c r="AH48" i="11"/>
  <c r="AI48" i="11" s="1"/>
  <c r="AK48" i="11" s="1"/>
  <c r="AH40" i="11"/>
  <c r="AI40" i="11" s="1"/>
  <c r="AK40" i="11" s="1"/>
  <c r="AH44" i="11"/>
  <c r="AI44" i="11" s="1"/>
  <c r="AK44" i="11" s="1"/>
  <c r="AH26" i="11"/>
  <c r="AI26" i="11" s="1"/>
  <c r="AK26" i="11" s="1"/>
  <c r="AH52" i="11"/>
  <c r="AI52" i="11" s="1"/>
  <c r="AK52" i="11" s="1"/>
  <c r="AH2" i="11"/>
  <c r="AI2" i="11" s="1"/>
  <c r="AK2" i="11" s="1"/>
  <c r="AH54" i="11"/>
  <c r="AI54" i="11" s="1"/>
  <c r="AK54" i="11" s="1"/>
  <c r="AH31" i="11"/>
  <c r="AI31" i="11" s="1"/>
  <c r="AK31" i="11" s="1"/>
  <c r="AH53" i="11"/>
  <c r="AI53" i="11" s="1"/>
  <c r="AK53" i="11" s="1"/>
  <c r="AH41" i="11"/>
  <c r="AI41" i="11" s="1"/>
  <c r="AK41" i="11" s="1"/>
  <c r="AH33" i="11"/>
  <c r="AI33" i="11" s="1"/>
  <c r="AK33" i="11" s="1"/>
  <c r="AH9" i="11"/>
  <c r="AI9" i="11" s="1"/>
  <c r="AK9" i="11" s="1"/>
  <c r="AH39" i="11"/>
  <c r="AI39" i="11" s="1"/>
  <c r="AK39" i="11" s="1"/>
  <c r="AH21" i="11"/>
  <c r="AI21" i="11" s="1"/>
  <c r="AK21" i="11" s="1"/>
  <c r="C26" i="8"/>
  <c r="C36" i="8"/>
  <c r="C35" i="8"/>
  <c r="C38" i="8"/>
  <c r="C31" i="8"/>
  <c r="C23" i="8"/>
  <c r="C32" i="8"/>
  <c r="C12" i="8"/>
  <c r="C4" i="8"/>
  <c r="C10" i="8"/>
  <c r="C40" i="8"/>
  <c r="C25" i="8"/>
  <c r="C27" i="8"/>
  <c r="C6" i="8"/>
  <c r="C20" i="8"/>
  <c r="C34" i="8"/>
  <c r="C24" i="8"/>
  <c r="C3" i="8"/>
  <c r="K46" i="10"/>
  <c r="L36" i="10" s="1"/>
  <c r="C11" i="8"/>
  <c r="AE55" i="11" l="1"/>
  <c r="AF49" i="11"/>
  <c r="AF55" i="11" s="1"/>
  <c r="AH55" i="11"/>
  <c r="Q36" i="10"/>
  <c r="Y36" i="10"/>
  <c r="L27" i="10"/>
  <c r="L43" i="10"/>
  <c r="L41" i="10"/>
  <c r="L2" i="10"/>
  <c r="L39" i="10"/>
  <c r="Q39" i="10" s="1"/>
  <c r="L10" i="10"/>
  <c r="L24" i="10"/>
  <c r="Y24" i="10" s="1"/>
  <c r="L20" i="10"/>
  <c r="L31" i="10"/>
  <c r="L22" i="10"/>
  <c r="L8" i="10"/>
  <c r="L19" i="10"/>
  <c r="L25" i="10"/>
  <c r="L28" i="10"/>
  <c r="L15" i="10"/>
  <c r="L32" i="10"/>
  <c r="L17" i="10"/>
  <c r="L42" i="10"/>
  <c r="L37" i="10"/>
  <c r="L9" i="10"/>
  <c r="L14" i="10"/>
  <c r="L45" i="10"/>
  <c r="L3" i="10"/>
  <c r="L29" i="10"/>
  <c r="L11" i="10"/>
  <c r="L26" i="10"/>
  <c r="L23" i="10"/>
  <c r="L18" i="10"/>
  <c r="L33" i="10"/>
  <c r="L40" i="10"/>
  <c r="L44" i="10"/>
  <c r="L21" i="10"/>
  <c r="L30" i="10"/>
  <c r="L16" i="10"/>
  <c r="L13" i="10"/>
  <c r="L5" i="10"/>
  <c r="L35" i="10"/>
  <c r="L34" i="10"/>
  <c r="L4" i="10"/>
  <c r="L38" i="10"/>
  <c r="C41" i="8"/>
  <c r="L7" i="10"/>
  <c r="L12" i="10"/>
  <c r="L6" i="10"/>
  <c r="Q2" i="10" l="1"/>
  <c r="Y2" i="10"/>
  <c r="Q41" i="10"/>
  <c r="Y41" i="10"/>
  <c r="Q43" i="10"/>
  <c r="Y43" i="10"/>
  <c r="Q27" i="10"/>
  <c r="Y27" i="10"/>
  <c r="D3" i="8"/>
  <c r="E3" i="8" s="1"/>
  <c r="G3" i="8" s="1"/>
  <c r="D5" i="8"/>
  <c r="E5" i="8" s="1"/>
  <c r="G5" i="8" s="1"/>
  <c r="Y39" i="10"/>
  <c r="Q24" i="10"/>
  <c r="Q12" i="10"/>
  <c r="Y12" i="10"/>
  <c r="Q13" i="10"/>
  <c r="Y13" i="10"/>
  <c r="Q21" i="10"/>
  <c r="Y21" i="10"/>
  <c r="Q18" i="10"/>
  <c r="Y18" i="10"/>
  <c r="Q29" i="10"/>
  <c r="Y29" i="10"/>
  <c r="Y14" i="10"/>
  <c r="Q14" i="10"/>
  <c r="Y42" i="10"/>
  <c r="Q42" i="10"/>
  <c r="Q22" i="10"/>
  <c r="Y22" i="10"/>
  <c r="Q8" i="10"/>
  <c r="Y8" i="10"/>
  <c r="Q4" i="10"/>
  <c r="Y4" i="10"/>
  <c r="Q34" i="10"/>
  <c r="Y34" i="10"/>
  <c r="Q44" i="10"/>
  <c r="Y44" i="10"/>
  <c r="Q23" i="10"/>
  <c r="Y23" i="10"/>
  <c r="Q20" i="10"/>
  <c r="Y20" i="10"/>
  <c r="Q9" i="10"/>
  <c r="Y9" i="10"/>
  <c r="Y17" i="10"/>
  <c r="Q17" i="10"/>
  <c r="Q28" i="10"/>
  <c r="Y28" i="10"/>
  <c r="Q35" i="10"/>
  <c r="Y35" i="10"/>
  <c r="Q25" i="10"/>
  <c r="Y25" i="10"/>
  <c r="Q7" i="10"/>
  <c r="Y7" i="10"/>
  <c r="Q31" i="10"/>
  <c r="Y31" i="10"/>
  <c r="D30" i="8"/>
  <c r="E30" i="8" s="1"/>
  <c r="G30" i="8" s="1"/>
  <c r="D26" i="8"/>
  <c r="E26" i="8" s="1"/>
  <c r="G26" i="8" s="1"/>
  <c r="D9" i="8"/>
  <c r="E9" i="8" s="1"/>
  <c r="G9" i="8" s="1"/>
  <c r="D19" i="8"/>
  <c r="E19" i="8" s="1"/>
  <c r="G19" i="8" s="1"/>
  <c r="D14" i="8"/>
  <c r="E14" i="8" s="1"/>
  <c r="G14" i="8" s="1"/>
  <c r="D17" i="8"/>
  <c r="E17" i="8" s="1"/>
  <c r="G17" i="8" s="1"/>
  <c r="D12" i="8"/>
  <c r="E12" i="8" s="1"/>
  <c r="G12" i="8" s="1"/>
  <c r="D36" i="8"/>
  <c r="E36" i="8" s="1"/>
  <c r="G36" i="8" s="1"/>
  <c r="D8" i="8"/>
  <c r="E8" i="8" s="1"/>
  <c r="G8" i="8" s="1"/>
  <c r="D33" i="8"/>
  <c r="E33" i="8" s="1"/>
  <c r="G33" i="8" s="1"/>
  <c r="D38" i="8"/>
  <c r="E38" i="8" s="1"/>
  <c r="G38" i="8" s="1"/>
  <c r="D39" i="8"/>
  <c r="E39" i="8" s="1"/>
  <c r="G39" i="8" s="1"/>
  <c r="D37" i="8"/>
  <c r="E37" i="8" s="1"/>
  <c r="G37" i="8" s="1"/>
  <c r="D2" i="8"/>
  <c r="E2" i="8" s="1"/>
  <c r="G2" i="8" s="1"/>
  <c r="D29" i="8"/>
  <c r="E29" i="8" s="1"/>
  <c r="G29" i="8" s="1"/>
  <c r="D15" i="8"/>
  <c r="E15" i="8" s="1"/>
  <c r="G15" i="8" s="1"/>
  <c r="D31" i="8"/>
  <c r="E31" i="8" s="1"/>
  <c r="G31" i="8" s="1"/>
  <c r="D7" i="8"/>
  <c r="E7" i="8" s="1"/>
  <c r="G7" i="8" s="1"/>
  <c r="D16" i="8"/>
  <c r="E16" i="8" s="1"/>
  <c r="G16" i="8" s="1"/>
  <c r="D21" i="8"/>
  <c r="E21" i="8" s="1"/>
  <c r="G21" i="8" s="1"/>
  <c r="D10" i="8"/>
  <c r="E10" i="8" s="1"/>
  <c r="G10" i="8" s="1"/>
  <c r="D6" i="8"/>
  <c r="E6" i="8" s="1"/>
  <c r="G6" i="8" s="1"/>
  <c r="D23" i="8"/>
  <c r="E23" i="8" s="1"/>
  <c r="G23" i="8" s="1"/>
  <c r="D25" i="8"/>
  <c r="E25" i="8" s="1"/>
  <c r="G25" i="8" s="1"/>
  <c r="D18" i="8"/>
  <c r="E18" i="8" s="1"/>
  <c r="G18" i="8" s="1"/>
  <c r="D22" i="8"/>
  <c r="E22" i="8" s="1"/>
  <c r="G22" i="8" s="1"/>
  <c r="D13" i="8"/>
  <c r="E13" i="8" s="1"/>
  <c r="G13" i="8" s="1"/>
  <c r="D28" i="8"/>
  <c r="E28" i="8" s="1"/>
  <c r="G28" i="8" s="1"/>
  <c r="D20" i="8"/>
  <c r="E20" i="8" s="1"/>
  <c r="G20" i="8" s="1"/>
  <c r="D27" i="8"/>
  <c r="D34" i="8"/>
  <c r="D32" i="8"/>
  <c r="E32" i="8" s="1"/>
  <c r="G32" i="8" s="1"/>
  <c r="D35" i="8"/>
  <c r="E35" i="8" s="1"/>
  <c r="G35" i="8" s="1"/>
  <c r="D4" i="8"/>
  <c r="E4" i="8" s="1"/>
  <c r="G4" i="8" s="1"/>
  <c r="D40" i="8"/>
  <c r="E40" i="8" s="1"/>
  <c r="G40" i="8" s="1"/>
  <c r="D24" i="8"/>
  <c r="E24" i="8" s="1"/>
  <c r="G24" i="8" s="1"/>
  <c r="Q16" i="10"/>
  <c r="Y16" i="10"/>
  <c r="L46" i="10"/>
  <c r="Q40" i="10"/>
  <c r="Y40" i="10"/>
  <c r="Q26" i="10"/>
  <c r="Y26" i="10"/>
  <c r="Q3" i="10"/>
  <c r="Y3" i="10"/>
  <c r="Y37" i="10"/>
  <c r="Q37" i="10"/>
  <c r="Y32" i="10"/>
  <c r="Q32" i="10"/>
  <c r="Q6" i="10"/>
  <c r="Y6" i="10"/>
  <c r="Q38" i="10"/>
  <c r="Y38" i="10"/>
  <c r="Y5" i="10"/>
  <c r="Q5" i="10"/>
  <c r="Q30" i="10"/>
  <c r="Y30" i="10"/>
  <c r="Q33" i="10"/>
  <c r="Y33" i="10"/>
  <c r="Q11" i="10"/>
  <c r="Y11" i="10"/>
  <c r="Q45" i="10"/>
  <c r="Y45" i="10"/>
  <c r="Q10" i="10"/>
  <c r="Y10" i="10"/>
  <c r="Y15" i="10"/>
  <c r="Q15" i="10"/>
  <c r="Y19" i="10"/>
  <c r="Q19" i="10"/>
  <c r="D11" i="8"/>
  <c r="E11" i="8" s="1"/>
  <c r="G11" i="8" s="1"/>
  <c r="E27" i="8" l="1"/>
  <c r="G27" i="8" s="1"/>
  <c r="Y46" i="10"/>
  <c r="Z36" i="10" s="1"/>
  <c r="AE36" i="10" s="1"/>
  <c r="AF36" i="10" s="1"/>
  <c r="AG36" i="10" s="1"/>
  <c r="Q46" i="10"/>
  <c r="R36" i="10" s="1"/>
  <c r="T36" i="10" s="1"/>
  <c r="E34" i="8"/>
  <c r="D41" i="8"/>
  <c r="Z41" i="10" l="1"/>
  <c r="AE41" i="10" s="1"/>
  <c r="AF41" i="10" s="1"/>
  <c r="Z2" i="10"/>
  <c r="AE2" i="10" s="1"/>
  <c r="AF2" i="10" s="1"/>
  <c r="Z43" i="10"/>
  <c r="AE43" i="10" s="1"/>
  <c r="AF43" i="10" s="1"/>
  <c r="Z27" i="10"/>
  <c r="AE27" i="10" s="1"/>
  <c r="AF27" i="10" s="1"/>
  <c r="R41" i="10"/>
  <c r="T41" i="10" s="1"/>
  <c r="R2" i="10"/>
  <c r="T2" i="10" s="1"/>
  <c r="R43" i="10"/>
  <c r="T43" i="10" s="1"/>
  <c r="R27" i="10"/>
  <c r="T27" i="10" s="1"/>
  <c r="Z24" i="10"/>
  <c r="AE24" i="10" s="1"/>
  <c r="AF24" i="10" s="1"/>
  <c r="Z39" i="10"/>
  <c r="AE39" i="10" s="1"/>
  <c r="AF39" i="10" s="1"/>
  <c r="R24" i="10"/>
  <c r="T24" i="10" s="1"/>
  <c r="U24" i="10" s="1"/>
  <c r="R39" i="10"/>
  <c r="T39" i="10" s="1"/>
  <c r="U39" i="10" s="1"/>
  <c r="Z5" i="10"/>
  <c r="AE5" i="10" s="1"/>
  <c r="AF5" i="10" s="1"/>
  <c r="Z21" i="10"/>
  <c r="AE21" i="10" s="1"/>
  <c r="AF21" i="10" s="1"/>
  <c r="Z23" i="10"/>
  <c r="AE23" i="10" s="1"/>
  <c r="AF23" i="10" s="1"/>
  <c r="Z42" i="10"/>
  <c r="AE42" i="10" s="1"/>
  <c r="AF42" i="10" s="1"/>
  <c r="Z33" i="10"/>
  <c r="AE33" i="10" s="1"/>
  <c r="AF33" i="10" s="1"/>
  <c r="Z16" i="10"/>
  <c r="AE16" i="10" s="1"/>
  <c r="AF16" i="10" s="1"/>
  <c r="Z38" i="10"/>
  <c r="AE38" i="10" s="1"/>
  <c r="AF38" i="10" s="1"/>
  <c r="Z29" i="10"/>
  <c r="AE29" i="10" s="1"/>
  <c r="AF29" i="10" s="1"/>
  <c r="R12" i="10"/>
  <c r="T12" i="10" s="1"/>
  <c r="R9" i="10"/>
  <c r="T9" i="10" s="1"/>
  <c r="R45" i="10"/>
  <c r="T45" i="10" s="1"/>
  <c r="R29" i="10"/>
  <c r="T29" i="10" s="1"/>
  <c r="R26" i="10"/>
  <c r="T26" i="10" s="1"/>
  <c r="R3" i="10"/>
  <c r="T3" i="10" s="1"/>
  <c r="Z26" i="10"/>
  <c r="AE26" i="10" s="1"/>
  <c r="AF26" i="10" s="1"/>
  <c r="R11" i="10"/>
  <c r="T11" i="10" s="1"/>
  <c r="R25" i="10"/>
  <c r="T25" i="10" s="1"/>
  <c r="R33" i="10"/>
  <c r="T33" i="10" s="1"/>
  <c r="Z15" i="10"/>
  <c r="AE15" i="10" s="1"/>
  <c r="AF15" i="10" s="1"/>
  <c r="R23" i="10"/>
  <c r="T23" i="10" s="1"/>
  <c r="Z25" i="10"/>
  <c r="AE25" i="10" s="1"/>
  <c r="AF25" i="10" s="1"/>
  <c r="R28" i="10"/>
  <c r="T28" i="10" s="1"/>
  <c r="R22" i="10"/>
  <c r="T22" i="10" s="1"/>
  <c r="R15" i="10"/>
  <c r="T15" i="10" s="1"/>
  <c r="R8" i="10"/>
  <c r="T8" i="10" s="1"/>
  <c r="Z7" i="10"/>
  <c r="AE7" i="10" s="1"/>
  <c r="AF7" i="10" s="1"/>
  <c r="R19" i="10"/>
  <c r="T19" i="10" s="1"/>
  <c r="Z17" i="10"/>
  <c r="AE17" i="10" s="1"/>
  <c r="AF17" i="10" s="1"/>
  <c r="R7" i="10"/>
  <c r="T7" i="10" s="1"/>
  <c r="Z34" i="10"/>
  <c r="AE34" i="10" s="1"/>
  <c r="AF34" i="10" s="1"/>
  <c r="R44" i="10"/>
  <c r="T44" i="10" s="1"/>
  <c r="U44" i="10" s="1"/>
  <c r="R35" i="10"/>
  <c r="T35" i="10" s="1"/>
  <c r="R32" i="10"/>
  <c r="T32" i="10" s="1"/>
  <c r="R13" i="10"/>
  <c r="T13" i="10" s="1"/>
  <c r="R21" i="10"/>
  <c r="T21" i="10" s="1"/>
  <c r="R34" i="10"/>
  <c r="T34" i="10" s="1"/>
  <c r="Z30" i="10"/>
  <c r="AE30" i="10" s="1"/>
  <c r="AF30" i="10" s="1"/>
  <c r="R18" i="10"/>
  <c r="T18" i="10" s="1"/>
  <c r="Z6" i="10"/>
  <c r="AE6" i="10" s="1"/>
  <c r="AF6" i="10" s="1"/>
  <c r="Z3" i="10"/>
  <c r="AE3" i="10" s="1"/>
  <c r="AF3" i="10" s="1"/>
  <c r="R42" i="10"/>
  <c r="T42" i="10" s="1"/>
  <c r="R31" i="10"/>
  <c r="T31" i="10" s="1"/>
  <c r="R37" i="10"/>
  <c r="T37" i="10" s="1"/>
  <c r="R4" i="10"/>
  <c r="T4" i="10" s="1"/>
  <c r="U4" i="10" s="1"/>
  <c r="R5" i="10"/>
  <c r="T5" i="10" s="1"/>
  <c r="R17" i="10"/>
  <c r="T17" i="10" s="1"/>
  <c r="Z32" i="10"/>
  <c r="AE32" i="10" s="1"/>
  <c r="AF32" i="10" s="1"/>
  <c r="Z40" i="10"/>
  <c r="Z13" i="10"/>
  <c r="AE13" i="10" s="1"/>
  <c r="AF13" i="10" s="1"/>
  <c r="Z4" i="10"/>
  <c r="AE4" i="10" s="1"/>
  <c r="AF4" i="10" s="1"/>
  <c r="Z18" i="10"/>
  <c r="AE18" i="10" s="1"/>
  <c r="AF18" i="10" s="1"/>
  <c r="Z11" i="10"/>
  <c r="AE11" i="10" s="1"/>
  <c r="AF11" i="10" s="1"/>
  <c r="Z31" i="10"/>
  <c r="AE31" i="10" s="1"/>
  <c r="AF31" i="10" s="1"/>
  <c r="Z9" i="10"/>
  <c r="AE9" i="10" s="1"/>
  <c r="R6" i="10"/>
  <c r="T6" i="10" s="1"/>
  <c r="Z14" i="10"/>
  <c r="AE14" i="10" s="1"/>
  <c r="AF14" i="10" s="1"/>
  <c r="R40" i="10"/>
  <c r="Z45" i="10"/>
  <c r="AE45" i="10" s="1"/>
  <c r="AF45" i="10" s="1"/>
  <c r="Z19" i="10"/>
  <c r="AE19" i="10" s="1"/>
  <c r="AF19" i="10" s="1"/>
  <c r="R38" i="10"/>
  <c r="T38" i="10" s="1"/>
  <c r="R14" i="10"/>
  <c r="T14" i="10" s="1"/>
  <c r="R16" i="10"/>
  <c r="T16" i="10" s="1"/>
  <c r="Z35" i="10"/>
  <c r="AE35" i="10" s="1"/>
  <c r="AF35" i="10" s="1"/>
  <c r="Z37" i="10"/>
  <c r="AE37" i="10" s="1"/>
  <c r="AF37" i="10" s="1"/>
  <c r="Z10" i="10"/>
  <c r="AE10" i="10" s="1"/>
  <c r="AF10" i="10" s="1"/>
  <c r="Z20" i="10"/>
  <c r="AE20" i="10" s="1"/>
  <c r="AF20" i="10" s="1"/>
  <c r="Z12" i="10"/>
  <c r="AE12" i="10" s="1"/>
  <c r="AF12" i="10" s="1"/>
  <c r="Z8" i="10"/>
  <c r="AE8" i="10" s="1"/>
  <c r="AF8" i="10" s="1"/>
  <c r="Z28" i="10"/>
  <c r="AE28" i="10" s="1"/>
  <c r="AF28" i="10" s="1"/>
  <c r="E41" i="8"/>
  <c r="G34" i="8"/>
  <c r="Z44" i="10"/>
  <c r="AE44" i="10" s="1"/>
  <c r="AF44" i="10" s="1"/>
  <c r="R20" i="10"/>
  <c r="T20" i="10" s="1"/>
  <c r="R10" i="10"/>
  <c r="T10" i="10" s="1"/>
  <c r="Z22" i="10"/>
  <c r="AE22" i="10" s="1"/>
  <c r="AF22" i="10" s="1"/>
  <c r="R30" i="10"/>
  <c r="T30" i="10" s="1"/>
  <c r="U27" i="10" l="1"/>
  <c r="AG27" i="10" s="1"/>
  <c r="U43" i="10"/>
  <c r="AG43" i="10" s="1"/>
  <c r="U2" i="10"/>
  <c r="AG2" i="10" s="1"/>
  <c r="U41" i="10"/>
  <c r="AG41" i="10" s="1"/>
  <c r="AG39" i="10"/>
  <c r="AG24" i="10"/>
  <c r="G41" i="8"/>
  <c r="U20" i="10"/>
  <c r="AG20" i="10" s="1"/>
  <c r="U14" i="10"/>
  <c r="AG14" i="10" s="1"/>
  <c r="U5" i="10"/>
  <c r="AG5" i="10" s="1"/>
  <c r="U33" i="10"/>
  <c r="AG33" i="10" s="1"/>
  <c r="U9" i="10"/>
  <c r="AG9" i="10" s="1"/>
  <c r="U30" i="10"/>
  <c r="AG30" i="10" s="1"/>
  <c r="U38" i="10"/>
  <c r="AG38" i="10" s="1"/>
  <c r="AG4" i="10"/>
  <c r="U34" i="10"/>
  <c r="AG34" i="10" s="1"/>
  <c r="U32" i="10"/>
  <c r="AG32" i="10" s="1"/>
  <c r="U7" i="10"/>
  <c r="AG7" i="10" s="1"/>
  <c r="U8" i="10"/>
  <c r="AG8" i="10" s="1"/>
  <c r="U25" i="10"/>
  <c r="AG25" i="10" s="1"/>
  <c r="U26" i="10"/>
  <c r="AG26" i="10" s="1"/>
  <c r="U12" i="10"/>
  <c r="AG12" i="10" s="1"/>
  <c r="U42" i="10"/>
  <c r="AG42" i="10" s="1"/>
  <c r="U28" i="10"/>
  <c r="AG28" i="10" s="1"/>
  <c r="U37" i="10"/>
  <c r="AG37" i="10" s="1"/>
  <c r="U21" i="10"/>
  <c r="AG21" i="10" s="1"/>
  <c r="U15" i="10"/>
  <c r="AG15" i="10" s="1"/>
  <c r="U23" i="10"/>
  <c r="AG23" i="10" s="1"/>
  <c r="U11" i="10"/>
  <c r="AG11" i="10" s="1"/>
  <c r="U29" i="10"/>
  <c r="AG29" i="10" s="1"/>
  <c r="U3" i="10"/>
  <c r="AG3" i="10" s="1"/>
  <c r="U6" i="10"/>
  <c r="AG6" i="10" s="1"/>
  <c r="U35" i="10"/>
  <c r="AG35" i="10" s="1"/>
  <c r="U10" i="10"/>
  <c r="AG10" i="10" s="1"/>
  <c r="U16" i="10"/>
  <c r="AG16" i="10" s="1"/>
  <c r="U17" i="10"/>
  <c r="AG17" i="10" s="1"/>
  <c r="U31" i="10"/>
  <c r="AG31" i="10" s="1"/>
  <c r="U18" i="10"/>
  <c r="AG18" i="10" s="1"/>
  <c r="U13" i="10"/>
  <c r="AG13" i="10" s="1"/>
  <c r="AG44" i="10"/>
  <c r="U19" i="10"/>
  <c r="AG19" i="10" s="1"/>
  <c r="U22" i="10"/>
  <c r="AG22" i="10" s="1"/>
  <c r="U45" i="10"/>
  <c r="AG45" i="10" s="1"/>
  <c r="T40" i="10"/>
  <c r="R46" i="10"/>
  <c r="Z46" i="10"/>
  <c r="AE40" i="10"/>
  <c r="AF40" i="10" l="1"/>
  <c r="AE46" i="10"/>
  <c r="U40" i="10"/>
  <c r="U46" i="10" s="1"/>
  <c r="T46" i="10"/>
  <c r="AI36" i="10" s="1"/>
  <c r="AJ36" i="10" s="1"/>
  <c r="AL36" i="10" s="1"/>
  <c r="AI39" i="10" l="1"/>
  <c r="AJ39" i="10" s="1"/>
  <c r="AL39" i="10" s="1"/>
  <c r="AI43" i="10"/>
  <c r="AJ43" i="10" s="1"/>
  <c r="AL43" i="10" s="1"/>
  <c r="AI27" i="10"/>
  <c r="AJ27" i="10" s="1"/>
  <c r="AL27" i="10" s="1"/>
  <c r="AI41" i="10"/>
  <c r="AJ41" i="10" s="1"/>
  <c r="AL41" i="10" s="1"/>
  <c r="AI2" i="10"/>
  <c r="AJ2" i="10" s="1"/>
  <c r="AL2" i="10" s="1"/>
  <c r="AI24" i="10"/>
  <c r="AJ24" i="10" s="1"/>
  <c r="AI42" i="10"/>
  <c r="AJ42" i="10" s="1"/>
  <c r="AI11" i="10"/>
  <c r="AJ11" i="10" s="1"/>
  <c r="AI16" i="10"/>
  <c r="AJ16" i="10" s="1"/>
  <c r="AI13" i="10"/>
  <c r="AJ13" i="10" s="1"/>
  <c r="AI20" i="10"/>
  <c r="AJ20" i="10" s="1"/>
  <c r="AI5" i="10"/>
  <c r="AJ5" i="10" s="1"/>
  <c r="AI9" i="10"/>
  <c r="AJ9" i="10" s="1"/>
  <c r="AI38" i="10"/>
  <c r="AJ38" i="10" s="1"/>
  <c r="AI34" i="10"/>
  <c r="AJ34" i="10" s="1"/>
  <c r="AI7" i="10"/>
  <c r="AJ7" i="10" s="1"/>
  <c r="AL7" i="10" s="1"/>
  <c r="AI25" i="10"/>
  <c r="AJ25" i="10" s="1"/>
  <c r="AI12" i="10"/>
  <c r="AJ12" i="10" s="1"/>
  <c r="AI28" i="10"/>
  <c r="AJ28" i="10" s="1"/>
  <c r="AI21" i="10"/>
  <c r="AJ21" i="10" s="1"/>
  <c r="AL21" i="10" s="1"/>
  <c r="AI23" i="10"/>
  <c r="AJ23" i="10" s="1"/>
  <c r="AI29" i="10"/>
  <c r="AJ29" i="10" s="1"/>
  <c r="AI6" i="10"/>
  <c r="AJ6" i="10" s="1"/>
  <c r="AI10" i="10"/>
  <c r="AJ10" i="10" s="1"/>
  <c r="AI17" i="10"/>
  <c r="AJ17" i="10" s="1"/>
  <c r="AI18" i="10"/>
  <c r="AJ18" i="10" s="1"/>
  <c r="AI44" i="10"/>
  <c r="AJ44" i="10" s="1"/>
  <c r="AI22" i="10"/>
  <c r="AJ22" i="10" s="1"/>
  <c r="AI14" i="10"/>
  <c r="AJ14" i="10" s="1"/>
  <c r="AI33" i="10"/>
  <c r="AJ33" i="10" s="1"/>
  <c r="AI30" i="10"/>
  <c r="AJ30" i="10" s="1"/>
  <c r="AI4" i="10"/>
  <c r="AJ4" i="10" s="1"/>
  <c r="AI8" i="10"/>
  <c r="AJ8" i="10" s="1"/>
  <c r="AI26" i="10"/>
  <c r="AJ26" i="10" s="1"/>
  <c r="AI37" i="10"/>
  <c r="AJ37" i="10" s="1"/>
  <c r="AI15" i="10"/>
  <c r="AJ15" i="10" s="1"/>
  <c r="AI3" i="10"/>
  <c r="AJ3" i="10" s="1"/>
  <c r="AI31" i="10"/>
  <c r="AJ31" i="10" s="1"/>
  <c r="AI19" i="10"/>
  <c r="AJ19" i="10" s="1"/>
  <c r="AI32" i="10"/>
  <c r="AJ32" i="10" s="1"/>
  <c r="AI35" i="10"/>
  <c r="AJ35" i="10" s="1"/>
  <c r="AI45" i="10"/>
  <c r="AJ45" i="10" s="1"/>
  <c r="AI40" i="10"/>
  <c r="AJ40" i="10" s="1"/>
  <c r="AF46" i="10"/>
  <c r="AG40" i="10"/>
  <c r="AG46" i="10" s="1"/>
  <c r="AL16" i="10" l="1"/>
  <c r="AL3" i="10"/>
  <c r="AL17" i="10"/>
  <c r="AL25" i="10"/>
  <c r="AL15" i="10"/>
  <c r="AL4" i="10"/>
  <c r="AL22" i="10"/>
  <c r="AL10" i="10"/>
  <c r="AL5" i="10"/>
  <c r="AL11" i="10"/>
  <c r="AL35" i="10"/>
  <c r="AL14" i="10"/>
  <c r="AL30" i="10"/>
  <c r="AL8" i="10"/>
  <c r="AL9" i="10"/>
  <c r="AL32" i="10"/>
  <c r="AL40" i="10"/>
  <c r="AL19" i="10"/>
  <c r="AL37" i="10"/>
  <c r="AL44" i="10"/>
  <c r="AL6" i="10"/>
  <c r="AL28" i="10"/>
  <c r="AL34" i="10"/>
  <c r="AL20" i="10"/>
  <c r="AL42" i="10"/>
  <c r="AL45" i="10"/>
  <c r="AL31" i="10"/>
  <c r="AL26" i="10"/>
  <c r="AL33" i="10"/>
  <c r="AL18" i="10"/>
  <c r="AL29" i="10"/>
  <c r="AL12" i="10"/>
  <c r="AL38" i="10"/>
  <c r="AL13" i="10"/>
  <c r="AL24" i="10"/>
  <c r="AI46" i="10"/>
  <c r="AW20" i="10"/>
  <c r="AW18" i="10" s="1"/>
  <c r="AW17" i="10" s="1"/>
  <c r="AW16" i="10" s="1"/>
  <c r="AW15" i="10" s="1"/>
  <c r="AW22" i="10"/>
  <c r="AW23" i="10" s="1"/>
  <c r="AW24" i="10" s="1"/>
  <c r="AW25" i="10" s="1"/>
  <c r="AW26" i="10" s="1"/>
  <c r="AL23" i="10" l="1"/>
  <c r="AV12" i="11" l="1"/>
  <c r="AX12" i="11" l="1"/>
  <c r="AZ12" i="11" s="1"/>
  <c r="AV42" i="11"/>
  <c r="AV40" i="11"/>
  <c r="AX40" i="11" l="1"/>
  <c r="AZ40" i="11" s="1"/>
  <c r="AX42" i="11"/>
  <c r="AZ42" i="11" s="1"/>
  <c r="AV41" i="11"/>
  <c r="AX41" i="11" l="1"/>
  <c r="AZ41" i="11" s="1"/>
  <c r="AV5" i="11"/>
  <c r="AV22" i="11"/>
  <c r="AZ22" i="11" l="1"/>
  <c r="AX22" i="11"/>
  <c r="AX5" i="11"/>
  <c r="AZ5" i="11" s="1"/>
  <c r="AV8" i="11"/>
  <c r="AV7" i="11"/>
  <c r="AX8" i="11" l="1"/>
  <c r="AZ8" i="11" s="1"/>
  <c r="AX7" i="11"/>
  <c r="AZ7" i="11" s="1"/>
  <c r="AV24" i="11"/>
  <c r="AV10" i="11"/>
  <c r="AV9" i="11"/>
  <c r="AZ9" i="11" l="1"/>
  <c r="AX9" i="11"/>
  <c r="AX10" i="11"/>
  <c r="AZ10" i="11" s="1"/>
  <c r="AX24" i="11"/>
  <c r="AZ24" i="11" s="1"/>
  <c r="AV25" i="11"/>
  <c r="AX25" i="11" l="1"/>
  <c r="AZ25" i="11" s="1"/>
  <c r="AV26" i="11"/>
  <c r="AX26" i="11" l="1"/>
  <c r="AZ26" i="11" s="1"/>
  <c r="AV28" i="11"/>
  <c r="AX28" i="11" l="1"/>
  <c r="AZ28" i="11" s="1"/>
  <c r="AV29" i="11"/>
  <c r="AV30" i="11"/>
  <c r="AV19" i="11"/>
  <c r="AV48" i="11"/>
  <c r="AV44" i="11"/>
  <c r="AV18" i="11"/>
  <c r="AV52" i="11"/>
  <c r="AV38" i="11"/>
  <c r="AV37" i="11"/>
  <c r="AV45" i="11"/>
  <c r="AV36" i="11"/>
  <c r="AV34" i="11"/>
  <c r="AV35" i="11"/>
  <c r="AV17" i="11"/>
  <c r="AV33" i="11"/>
  <c r="AX33" i="11" s="1"/>
  <c r="AV14" i="11"/>
  <c r="AV43" i="11"/>
  <c r="AV54" i="11"/>
  <c r="AV15" i="11"/>
  <c r="AV53" i="11"/>
  <c r="AV51" i="11"/>
  <c r="AV49" i="11"/>
  <c r="AV47" i="11"/>
  <c r="AV46" i="11"/>
  <c r="AV32" i="11"/>
  <c r="AV31" i="11"/>
  <c r="AX49" i="11" l="1"/>
  <c r="AZ49" i="11" s="1"/>
  <c r="AX18" i="11"/>
  <c r="AZ18" i="11" s="1"/>
  <c r="AX35" i="11"/>
  <c r="AZ35" i="11" s="1"/>
  <c r="AX53" i="11"/>
  <c r="AZ53" i="11" s="1"/>
  <c r="AZ34" i="11"/>
  <c r="AX34" i="11"/>
  <c r="AX15" i="11"/>
  <c r="AZ15" i="11" s="1"/>
  <c r="AX36" i="11"/>
  <c r="AZ36" i="11" s="1"/>
  <c r="AX31" i="11"/>
  <c r="AZ31" i="11" s="1"/>
  <c r="AZ45" i="11"/>
  <c r="AX45" i="11"/>
  <c r="AX30" i="11"/>
  <c r="AZ30" i="11" s="1"/>
  <c r="AX32" i="11"/>
  <c r="AZ32" i="11" s="1"/>
  <c r="AX43" i="11"/>
  <c r="AZ43" i="11" s="1"/>
  <c r="AX37" i="11"/>
  <c r="AZ37" i="11" s="1"/>
  <c r="AX29" i="11"/>
  <c r="AZ29" i="11" s="1"/>
  <c r="AX17" i="11"/>
  <c r="AZ17" i="11" s="1"/>
  <c r="AX51" i="11"/>
  <c r="AZ51" i="11" s="1"/>
  <c r="AX44" i="11"/>
  <c r="AZ44" i="11" s="1"/>
  <c r="AX48" i="11"/>
  <c r="AZ48" i="11" s="1"/>
  <c r="AX19" i="11"/>
  <c r="AZ19" i="11" s="1"/>
  <c r="AX54" i="11"/>
  <c r="AZ54" i="11" s="1"/>
  <c r="AX46" i="11"/>
  <c r="AZ46" i="11" s="1"/>
  <c r="AX14" i="11"/>
  <c r="AZ14" i="11" s="1"/>
  <c r="AX38" i="11"/>
  <c r="AZ38" i="11" s="1"/>
  <c r="AX47" i="11"/>
  <c r="AZ47" i="11" s="1"/>
  <c r="AX52" i="11"/>
  <c r="AZ52" i="11" s="1"/>
  <c r="AZ33" i="11"/>
  <c r="C55" i="11"/>
  <c r="AX57" i="11" l="1"/>
</calcChain>
</file>

<file path=xl/sharedStrings.xml><?xml version="1.0" encoding="utf-8"?>
<sst xmlns="http://schemas.openxmlformats.org/spreadsheetml/2006/main" count="347" uniqueCount="155">
  <si>
    <t>stock</t>
  </si>
  <si>
    <t>MF</t>
  </si>
  <si>
    <t>Fid</t>
  </si>
  <si>
    <t>mtch</t>
  </si>
  <si>
    <t>okta</t>
  </si>
  <si>
    <t>sum</t>
  </si>
  <si>
    <t>RSI</t>
  </si>
  <si>
    <t>ttd</t>
  </si>
  <si>
    <t>gh</t>
  </si>
  <si>
    <t>ttwo</t>
  </si>
  <si>
    <t>trex</t>
  </si>
  <si>
    <t>anet</t>
  </si>
  <si>
    <t>fid (ALL)</t>
  </si>
  <si>
    <t>Reserve</t>
  </si>
  <si>
    <t>team</t>
  </si>
  <si>
    <t>mdb</t>
  </si>
  <si>
    <t>roku</t>
  </si>
  <si>
    <t>fsly</t>
  </si>
  <si>
    <t>nvcr</t>
  </si>
  <si>
    <t>ddog</t>
  </si>
  <si>
    <t>etsy</t>
  </si>
  <si>
    <t>pins</t>
  </si>
  <si>
    <t>zg</t>
  </si>
  <si>
    <t>fidRoll</t>
  </si>
  <si>
    <t>fidRoth</t>
  </si>
  <si>
    <t>fidSI</t>
  </si>
  <si>
    <t>ayx</t>
  </si>
  <si>
    <t>meli</t>
  </si>
  <si>
    <t>Acct</t>
  </si>
  <si>
    <t>Etrade</t>
  </si>
  <si>
    <t>Total</t>
  </si>
  <si>
    <t>Invested</t>
  </si>
  <si>
    <t>FidDiff</t>
  </si>
  <si>
    <t>MFMed</t>
  </si>
  <si>
    <t>PercentIn(3p)</t>
  </si>
  <si>
    <t>SUM</t>
  </si>
  <si>
    <t>PercTotal</t>
  </si>
  <si>
    <t>AmtIn</t>
  </si>
  <si>
    <t>Current</t>
  </si>
  <si>
    <t>Diff</t>
  </si>
  <si>
    <t>docu</t>
  </si>
  <si>
    <t>pton</t>
  </si>
  <si>
    <t>Threshold</t>
  </si>
  <si>
    <t>TotalDiff</t>
  </si>
  <si>
    <t>Invest</t>
  </si>
  <si>
    <t>MFNorm</t>
  </si>
  <si>
    <t>extreme</t>
  </si>
  <si>
    <t>Median</t>
  </si>
  <si>
    <t>Mean</t>
  </si>
  <si>
    <t>powExtreme</t>
  </si>
  <si>
    <t>extremeNorm</t>
  </si>
  <si>
    <t>ExMF</t>
  </si>
  <si>
    <t>ExMFNorm</t>
  </si>
  <si>
    <t>ET$</t>
  </si>
  <si>
    <t>ETTarget</t>
  </si>
  <si>
    <t>ETDiff</t>
  </si>
  <si>
    <t>FidTarget</t>
  </si>
  <si>
    <t>Upward</t>
  </si>
  <si>
    <t>Downward</t>
  </si>
  <si>
    <t>RSIRev</t>
  </si>
  <si>
    <t>RSIRevNorm</t>
  </si>
  <si>
    <t>powLower</t>
  </si>
  <si>
    <t>lower</t>
  </si>
  <si>
    <t>lowerNorm</t>
  </si>
  <si>
    <t>LowMF</t>
  </si>
  <si>
    <t>lowerMFNorm</t>
  </si>
  <si>
    <t>jd</t>
  </si>
  <si>
    <t>se</t>
  </si>
  <si>
    <t>bynd</t>
  </si>
  <si>
    <t>med</t>
  </si>
  <si>
    <t>Roth</t>
  </si>
  <si>
    <t>PctInvested</t>
  </si>
  <si>
    <t>Rollover</t>
  </si>
  <si>
    <t>Thresh</t>
  </si>
  <si>
    <t>ET</t>
  </si>
  <si>
    <t>TotalIn</t>
  </si>
  <si>
    <t>qdel</t>
  </si>
  <si>
    <t>tdoc</t>
  </si>
  <si>
    <t>x16</t>
  </si>
  <si>
    <t>atvi</t>
  </si>
  <si>
    <t>gmed</t>
  </si>
  <si>
    <t>mnst</t>
  </si>
  <si>
    <t>rdfn</t>
  </si>
  <si>
    <t>znga</t>
  </si>
  <si>
    <t>MF2019</t>
  </si>
  <si>
    <t>MF2019Bonus</t>
  </si>
  <si>
    <t>MF2020</t>
  </si>
  <si>
    <t>Divisor</t>
  </si>
  <si>
    <t>LoHiAdj</t>
  </si>
  <si>
    <t>Nug</t>
  </si>
  <si>
    <t>hi--low++</t>
  </si>
  <si>
    <t>Multipliers</t>
  </si>
  <si>
    <t>NugActual</t>
  </si>
  <si>
    <t>NugIdeal</t>
  </si>
  <si>
    <t>diff</t>
  </si>
  <si>
    <t>axon</t>
  </si>
  <si>
    <t>abmd</t>
  </si>
  <si>
    <t>MF2021</t>
  </si>
  <si>
    <t>rgen</t>
  </si>
  <si>
    <t>DIRECTION</t>
  </si>
  <si>
    <t>dir</t>
  </si>
  <si>
    <t>zen</t>
  </si>
  <si>
    <t>veev</t>
  </si>
  <si>
    <t>shop</t>
  </si>
  <si>
    <t>edit</t>
  </si>
  <si>
    <t>isrg</t>
  </si>
  <si>
    <t>panw</t>
  </si>
  <si>
    <t>rsiEach</t>
  </si>
  <si>
    <t>rsiEachP</t>
  </si>
  <si>
    <t>rsiEachAmt</t>
  </si>
  <si>
    <t>rsiOver</t>
  </si>
  <si>
    <t>rsiOverP</t>
  </si>
  <si>
    <t>rsiOverAmt</t>
  </si>
  <si>
    <t>CashRes</t>
  </si>
  <si>
    <t>PercRes</t>
  </si>
  <si>
    <t>rsiEachDiff</t>
  </si>
  <si>
    <t>rsiEachActual</t>
  </si>
  <si>
    <t>rsiOverActual</t>
  </si>
  <si>
    <t>rsiOverDiff</t>
  </si>
  <si>
    <t>per</t>
  </si>
  <si>
    <t>total</t>
  </si>
  <si>
    <t>min</t>
  </si>
  <si>
    <t>x</t>
  </si>
  <si>
    <t>o</t>
  </si>
  <si>
    <t>holding</t>
  </si>
  <si>
    <t>bili</t>
  </si>
  <si>
    <t>lulu</t>
  </si>
  <si>
    <t>twlo</t>
  </si>
  <si>
    <t>twtr</t>
  </si>
  <si>
    <t xml:space="preserve"> </t>
  </si>
  <si>
    <t>cour</t>
  </si>
  <si>
    <t>down</t>
  </si>
  <si>
    <t>qperc</t>
  </si>
  <si>
    <t>sp500</t>
  </si>
  <si>
    <t>nasdaq</t>
  </si>
  <si>
    <t>ModRes</t>
  </si>
  <si>
    <t>HiLoRes</t>
  </si>
  <si>
    <t>nya</t>
  </si>
  <si>
    <t>mktAvg</t>
  </si>
  <si>
    <t>qpercNorm</t>
  </si>
  <si>
    <t>qpAmt</t>
  </si>
  <si>
    <t>qpActual</t>
  </si>
  <si>
    <t>qpDiff</t>
  </si>
  <si>
    <t>TSLA</t>
  </si>
  <si>
    <t>AMZN</t>
  </si>
  <si>
    <t>fuv</t>
  </si>
  <si>
    <t>cpng</t>
  </si>
  <si>
    <t>abnb</t>
  </si>
  <si>
    <t>luv</t>
  </si>
  <si>
    <t>intg</t>
  </si>
  <si>
    <t>doub</t>
  </si>
  <si>
    <t>upst</t>
  </si>
  <si>
    <t>duol</t>
  </si>
  <si>
    <t>amzn</t>
  </si>
  <si>
    <t>apph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</si>
</sst>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3" borderId="0" xfId="0" applyFill="1"/>
    <xf numFmtId="0" fontId="3" fillId="4" borderId="0" xfId="0" applyFont="1" applyFill="1"/>
    <xf numFmtId="1" fontId="3" fillId="4" borderId="0" xfId="0" applyNumberFormat="1" applyFont="1" applyFill="1"/>
    <xf numFmtId="1" fontId="0" fillId="2" borderId="0" xfId="0" applyNumberFormat="1" applyFill="1"/>
    <xf numFmtId="0" fontId="0" fillId="7" borderId="0" xfId="0" applyFill="1"/>
    <xf numFmtId="0" fontId="0" fillId="9" borderId="0" xfId="0" applyFill="1"/>
    <xf numFmtId="0" fontId="0" fillId="9" borderId="1" xfId="0" applyFill="1" applyBorder="1"/>
    <xf numFmtId="1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0" fillId="0" borderId="0" xfId="0" applyNumberFormat="1" applyBorder="1"/>
    <xf numFmtId="0" fontId="0" fillId="9" borderId="0" xfId="0" applyFill="1" applyBorder="1"/>
    <xf numFmtId="0" fontId="0" fillId="2" borderId="0" xfId="0" applyFill="1" applyBorder="1"/>
    <xf numFmtId="1" fontId="0" fillId="2" borderId="0" xfId="0" applyNumberFormat="1" applyFill="1" applyBorder="1"/>
    <xf numFmtId="1" fontId="3" fillId="4" borderId="0" xfId="0" applyNumberFormat="1" applyFont="1" applyFill="1" applyBorder="1"/>
    <xf numFmtId="20" fontId="0" fillId="0" borderId="0" xfId="0" applyNumberFormat="1"/>
    <xf numFmtId="0" fontId="0" fillId="3" borderId="1" xfId="0" applyFill="1" applyBorder="1"/>
    <xf numFmtId="0" fontId="0" fillId="10" borderId="0" xfId="0" applyFill="1" applyBorder="1"/>
    <xf numFmtId="0" fontId="0" fillId="10" borderId="0" xfId="0" quotePrefix="1" applyFill="1"/>
    <xf numFmtId="0" fontId="0" fillId="3" borderId="0" xfId="0" applyFill="1" applyBorder="1"/>
    <xf numFmtId="0" fontId="0" fillId="0" borderId="1" xfId="0" applyFill="1" applyBorder="1"/>
    <xf numFmtId="1" fontId="0" fillId="2" borderId="1" xfId="0" applyNumberFormat="1" applyFill="1" applyBorder="1"/>
    <xf numFmtId="1" fontId="3" fillId="4" borderId="1" xfId="0" applyNumberFormat="1" applyFont="1" applyFill="1" applyBorder="1"/>
    <xf numFmtId="0" fontId="0" fillId="2" borderId="11" xfId="0" applyFill="1" applyBorder="1"/>
    <xf numFmtId="1" fontId="0" fillId="2" borderId="12" xfId="0" applyNumberFormat="1" applyFill="1" applyBorder="1"/>
    <xf numFmtId="1" fontId="0" fillId="2" borderId="11" xfId="0" applyNumberFormat="1" applyFill="1" applyBorder="1"/>
    <xf numFmtId="1" fontId="0" fillId="2" borderId="10" xfId="0" applyNumberFormat="1" applyFill="1" applyBorder="1"/>
    <xf numFmtId="0" fontId="0" fillId="7" borderId="0" xfId="0" applyFill="1" applyBorder="1"/>
    <xf numFmtId="0" fontId="0" fillId="0" borderId="13" xfId="0" applyFill="1" applyBorder="1"/>
    <xf numFmtId="0" fontId="0" fillId="8" borderId="0" xfId="0" applyFill="1" applyBorder="1"/>
    <xf numFmtId="0" fontId="0" fillId="5" borderId="0" xfId="0" applyFill="1" applyBorder="1"/>
    <xf numFmtId="0" fontId="0" fillId="0" borderId="13" xfId="0" applyBorder="1"/>
    <xf numFmtId="0" fontId="0" fillId="11" borderId="0" xfId="0" applyFill="1" applyBorder="1"/>
    <xf numFmtId="0" fontId="0" fillId="11" borderId="0" xfId="0" applyFill="1"/>
    <xf numFmtId="1" fontId="0" fillId="11" borderId="0" xfId="0" applyNumberFormat="1" applyFill="1" applyBorder="1"/>
    <xf numFmtId="0" fontId="0" fillId="0" borderId="5" xfId="0" applyFill="1" applyBorder="1"/>
    <xf numFmtId="0" fontId="0" fillId="6" borderId="0" xfId="0" applyFill="1" applyBorder="1"/>
    <xf numFmtId="1" fontId="0" fillId="0" borderId="0" xfId="0" applyNumberFormat="1" applyFill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6" xfId="0" applyNumberFormat="1" applyFill="1" applyBorder="1"/>
    <xf numFmtId="1" fontId="4" fillId="12" borderId="0" xfId="0" applyNumberFormat="1" applyFont="1" applyFill="1"/>
    <xf numFmtId="1" fontId="4" fillId="13" borderId="0" xfId="0" applyNumberFormat="1" applyFont="1" applyFill="1"/>
    <xf numFmtId="1" fontId="4" fillId="14" borderId="0" xfId="0" applyNumberFormat="1" applyFont="1" applyFill="1" applyBorder="1"/>
    <xf numFmtId="164" fontId="0" fillId="0" borderId="4" xfId="0" applyNumberFormat="1" applyBorder="1"/>
    <xf numFmtId="164" fontId="0" fillId="0" borderId="6" xfId="0" applyNumberFormat="1" applyBorder="1"/>
    <xf numFmtId="0" fontId="5" fillId="0" borderId="0" xfId="0" applyFont="1" applyFill="1"/>
    <xf numFmtId="0" fontId="5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0" xfId="0" applyNumberFormat="1" applyFill="1"/>
    <xf numFmtId="164" fontId="0" fillId="5" borderId="0" xfId="0" applyNumberFormat="1" applyFill="1" applyBorder="1"/>
    <xf numFmtId="0" fontId="0" fillId="5" borderId="11" xfId="0" applyFill="1" applyBorder="1"/>
    <xf numFmtId="165" fontId="0" fillId="5" borderId="11" xfId="0" applyNumberFormat="1" applyFill="1" applyBorder="1"/>
    <xf numFmtId="164" fontId="0" fillId="0" borderId="0" xfId="0" applyNumberFormat="1"/>
    <xf numFmtId="1" fontId="0" fillId="5" borderId="0" xfId="0" applyNumberFormat="1" applyFill="1"/>
    <xf numFmtId="0" fontId="0" fillId="5" borderId="0" xfId="0" applyFill="1"/>
    <xf numFmtId="1" fontId="3" fillId="15" borderId="0" xfId="0" applyNumberFormat="1" applyFont="1" applyFill="1"/>
    <xf numFmtId="1" fontId="0" fillId="7" borderId="0" xfId="0" applyNumberFormat="1" applyFill="1"/>
    <xf numFmtId="1" fontId="0" fillId="8" borderId="0" xfId="0" applyNumberFormat="1" applyFill="1"/>
    <xf numFmtId="0" fontId="0" fillId="11" borderId="1" xfId="0" applyFill="1" applyBorder="1"/>
    <xf numFmtId="164" fontId="0" fillId="8" borderId="0" xfId="0" applyNumberFormat="1" applyFill="1" applyBorder="1"/>
    <xf numFmtId="0" fontId="0" fillId="5" borderId="1" xfId="0" applyFill="1" applyBorder="1"/>
    <xf numFmtId="0" fontId="0" fillId="16" borderId="0" xfId="0" applyFill="1"/>
    <xf numFmtId="1" fontId="0" fillId="16" borderId="1" xfId="0" applyNumberFormat="1" applyFill="1" applyBorder="1"/>
    <xf numFmtId="1" fontId="0" fillId="16" borderId="0" xfId="0" applyNumberFormat="1" applyFill="1" applyBorder="1"/>
    <xf numFmtId="1" fontId="0" fillId="16" borderId="0" xfId="0" applyNumberFormat="1" applyFill="1"/>
    <xf numFmtId="166" fontId="0" fillId="0" borderId="0" xfId="0" applyNumberFormat="1"/>
    <xf numFmtId="0" fontId="0" fillId="16" borderId="0" xfId="0" applyFill="1" applyBorder="1"/>
    <xf numFmtId="1" fontId="0" fillId="16" borderId="13" xfId="0" applyNumberFormat="1" applyFill="1" applyBorder="1"/>
    <xf numFmtId="0" fontId="0" fillId="0" borderId="14" xfId="0" applyBorder="1"/>
    <xf numFmtId="1" fontId="0" fillId="0" borderId="14" xfId="0" applyNumberFormat="1" applyBorder="1"/>
    <xf numFmtId="1" fontId="0" fillId="0" borderId="16" xfId="0" applyNumberFormat="1" applyBorder="1"/>
    <xf numFmtId="165" fontId="0" fillId="2" borderId="0" xfId="0" applyNumberFormat="1" applyFill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AZ75"/>
  <sheetViews>
    <sheetView tabSelected="1" zoomScale="93" zoomScaleNormal="9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5" sqref="I55"/>
    </sheetView>
  </sheetViews>
  <sheetFormatPr baseColWidth="10" defaultRowHeight="16" x14ac:dyDescent="0.2"/>
  <cols>
    <col min="3" max="3" width="9.1640625" customWidth="1"/>
    <col min="4" max="4" width="9.5" hidden="1" customWidth="1"/>
    <col min="5" max="5" width="9.5" customWidth="1"/>
    <col min="6" max="8" width="10.83203125" customWidth="1"/>
    <col min="14" max="14" width="10.5" customWidth="1"/>
    <col min="15" max="15" width="10" customWidth="1"/>
    <col min="16" max="20" width="10" hidden="1" customWidth="1"/>
    <col min="21" max="21" width="7.33203125" hidden="1" customWidth="1"/>
    <col min="22" max="22" width="10" hidden="1" customWidth="1"/>
    <col min="23" max="23" width="10" customWidth="1"/>
    <col min="40" max="40" width="12" bestFit="1" customWidth="1"/>
    <col min="50" max="50" width="13" customWidth="1"/>
    <col min="51" max="51" width="12.5" customWidth="1"/>
  </cols>
  <sheetData>
    <row r="1" spans="1:52" x14ac:dyDescent="0.2">
      <c r="A1" t="s">
        <v>0</v>
      </c>
      <c r="B1" s="21">
        <v>0.93159999999999998</v>
      </c>
      <c r="C1" s="3" t="s">
        <v>6</v>
      </c>
      <c r="D1" s="40" t="s">
        <v>59</v>
      </c>
      <c r="E1" s="40" t="s">
        <v>132</v>
      </c>
      <c r="F1" s="40" t="s">
        <v>133</v>
      </c>
      <c r="G1" s="40" t="s">
        <v>134</v>
      </c>
      <c r="H1" s="40" t="s">
        <v>137</v>
      </c>
      <c r="I1" s="40" t="s">
        <v>84</v>
      </c>
      <c r="J1" s="40" t="s">
        <v>85</v>
      </c>
      <c r="K1" s="40" t="s">
        <v>86</v>
      </c>
      <c r="L1" s="40" t="s">
        <v>97</v>
      </c>
      <c r="M1" s="40" t="s">
        <v>87</v>
      </c>
      <c r="N1" s="21" t="s">
        <v>88</v>
      </c>
      <c r="O1" t="s">
        <v>1</v>
      </c>
      <c r="P1" t="s">
        <v>45</v>
      </c>
      <c r="Q1" t="s">
        <v>60</v>
      </c>
      <c r="R1" s="43" t="s">
        <v>61</v>
      </c>
      <c r="S1" t="s">
        <v>62</v>
      </c>
      <c r="T1" t="s">
        <v>63</v>
      </c>
      <c r="U1" t="s">
        <v>64</v>
      </c>
      <c r="V1" s="5" t="s">
        <v>65</v>
      </c>
      <c r="W1" s="78" t="s">
        <v>53</v>
      </c>
      <c r="X1" s="43" t="s">
        <v>54</v>
      </c>
      <c r="Y1" s="85" t="s">
        <v>55</v>
      </c>
      <c r="Z1" s="83" t="s">
        <v>23</v>
      </c>
      <c r="AA1" s="78" t="s">
        <v>24</v>
      </c>
      <c r="AB1" s="78" t="s">
        <v>25</v>
      </c>
      <c r="AC1" s="6" t="s">
        <v>12</v>
      </c>
      <c r="AD1" s="40" t="s">
        <v>56</v>
      </c>
      <c r="AE1" s="3" t="s">
        <v>32</v>
      </c>
      <c r="AF1" s="3" t="s">
        <v>43</v>
      </c>
      <c r="AG1" s="3" t="s">
        <v>75</v>
      </c>
      <c r="AH1" t="s">
        <v>89</v>
      </c>
      <c r="AI1" t="s">
        <v>93</v>
      </c>
      <c r="AJ1" t="s">
        <v>92</v>
      </c>
      <c r="AK1" t="s">
        <v>94</v>
      </c>
      <c r="AL1" t="s">
        <v>107</v>
      </c>
      <c r="AM1" t="s">
        <v>108</v>
      </c>
      <c r="AN1" t="s">
        <v>109</v>
      </c>
      <c r="AO1" t="s">
        <v>116</v>
      </c>
      <c r="AP1" t="s">
        <v>115</v>
      </c>
      <c r="AQ1" t="s">
        <v>110</v>
      </c>
      <c r="AR1" t="s">
        <v>111</v>
      </c>
      <c r="AS1" t="s">
        <v>112</v>
      </c>
      <c r="AT1" t="s">
        <v>117</v>
      </c>
      <c r="AU1" t="s">
        <v>118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</row>
    <row r="2" spans="1:52" x14ac:dyDescent="0.2">
      <c r="A2" s="77" t="s">
        <v>96</v>
      </c>
      <c r="B2" s="3">
        <v>1</v>
      </c>
      <c r="C2" s="32">
        <v>5610</v>
      </c>
      <c r="D2" s="21">
        <f t="shared" ref="D2:D33" si="0">10000-C2</f>
        <v>4390</v>
      </c>
      <c r="E2" s="21">
        <v>0.1192</v>
      </c>
      <c r="F2" s="21">
        <v>0.93159999999999998</v>
      </c>
      <c r="G2" s="21">
        <v>0.96160000000000001</v>
      </c>
      <c r="H2" s="21">
        <v>1</v>
      </c>
      <c r="I2" s="24">
        <v>1</v>
      </c>
      <c r="J2" s="21">
        <v>0</v>
      </c>
      <c r="K2" s="21">
        <v>0</v>
      </c>
      <c r="L2" s="21">
        <v>0</v>
      </c>
      <c r="M2" s="21">
        <v>3</v>
      </c>
      <c r="N2" s="88">
        <f t="shared" ref="N2:N33" si="1">1.5 * (C2-MAX($C$2:$C$54))/(MIN($C$2:$C$54)-MAX($C$2:$C$54)) + 0.5</f>
        <v>0.97484162895927606</v>
      </c>
      <c r="O2" s="63">
        <f>(SUM(I2:L2) / M2) *((R2 + 1) * N2 / 3)</f>
        <v>0.32494720965309198</v>
      </c>
      <c r="P2" s="75">
        <f t="shared" ref="P2:P33" si="2">O2/$O$55</f>
        <v>1.4646855668832271E-3</v>
      </c>
      <c r="Q2" s="75">
        <f t="shared" ref="Q2:Q33" si="3">D2/$D$55</f>
        <v>1.4202431559808736E-2</v>
      </c>
      <c r="R2" s="41">
        <v>2</v>
      </c>
      <c r="S2" s="4">
        <f t="shared" ref="S2:S33" si="4">Q2^R2</f>
        <v>2.017090622110512E-4</v>
      </c>
      <c r="T2" s="4">
        <f t="shared" ref="T2:T33" si="5">S2/$S$55</f>
        <v>1.0007226257850901E-2</v>
      </c>
      <c r="U2" s="4">
        <f t="shared" ref="U2:U33" si="6">T2*P2</f>
        <v>1.4657439864409062E-5</v>
      </c>
      <c r="V2" s="28">
        <f t="shared" ref="V2:V33" si="7">U2/$U$55</f>
        <v>7.7705347870333423E-4</v>
      </c>
      <c r="W2" s="79">
        <v>322</v>
      </c>
      <c r="X2" s="46">
        <f t="shared" ref="X2:X33" si="8">$F$61*V2</f>
        <v>38.259005077437365</v>
      </c>
      <c r="Y2" s="86">
        <f t="shared" ref="Y2:Y33" si="9">X2-W2</f>
        <v>-283.74099492256266</v>
      </c>
      <c r="Z2" s="79">
        <v>0</v>
      </c>
      <c r="AA2" s="79">
        <v>322</v>
      </c>
      <c r="AB2" s="79">
        <v>0</v>
      </c>
      <c r="AC2" s="34">
        <f t="shared" ref="AC2:AC33" si="10">SUM(Z2:AB2)</f>
        <v>322</v>
      </c>
      <c r="AD2" s="46">
        <f t="shared" ref="AD2:AD33" si="11">V2*$F$60</f>
        <v>61.579157026803131</v>
      </c>
      <c r="AE2" s="12">
        <f t="shared" ref="AE2:AE33" si="12">AD2-AC2</f>
        <v>-260.42084297319684</v>
      </c>
      <c r="AF2" s="12">
        <f t="shared" ref="AF2:AF33" si="13">AE2+Y2</f>
        <v>-544.1618378957595</v>
      </c>
      <c r="AG2" s="55">
        <f t="shared" ref="AG2:AG33" si="14">W2+AC2</f>
        <v>644</v>
      </c>
      <c r="AH2">
        <f t="shared" ref="AH2:AH33" si="15">X2/$X$55</f>
        <v>7.7705347870333423E-4</v>
      </c>
      <c r="AI2" s="1">
        <f t="shared" ref="AI2:AI33" si="16">AH2*$AI$55</f>
        <v>81.179553973616024</v>
      </c>
      <c r="AJ2" s="2">
        <v>0</v>
      </c>
      <c r="AK2" s="1">
        <f t="shared" ref="AK2:AK33" si="17">AI2-AJ2</f>
        <v>81.179553973616024</v>
      </c>
      <c r="AL2">
        <f t="shared" ref="AL2:AL33" si="18">B2*O2</f>
        <v>0.32494720965309198</v>
      </c>
      <c r="AM2">
        <f t="shared" ref="AM2:AM33" si="19">AL2/$AL$55</f>
        <v>6.073483169849272E-3</v>
      </c>
      <c r="AN2" s="1">
        <f t="shared" ref="AN2:AN33" si="20">AM2*$AN$55</f>
        <v>639.44667553758063</v>
      </c>
      <c r="AO2" s="8">
        <v>0</v>
      </c>
      <c r="AP2" s="1">
        <f t="shared" ref="AP2:AP33" si="21">AN2-AO2</f>
        <v>639.44667553758063</v>
      </c>
      <c r="AQ2" s="69">
        <f t="shared" ref="AQ2:AQ33" si="22">O2</f>
        <v>0.32494720965309198</v>
      </c>
      <c r="AR2">
        <f t="shared" ref="AR2:AR33" si="23">AQ2/$AQ$55</f>
        <v>1.4646855668832271E-3</v>
      </c>
      <c r="AS2" s="1">
        <f t="shared" ref="AS2:AS33" si="24">AR2*$AS$55*$B$55</f>
        <v>41.419373341086299</v>
      </c>
      <c r="AT2" s="8">
        <v>0</v>
      </c>
      <c r="AU2" s="1">
        <f t="shared" ref="AU2:AU33" si="25">AS2-AT2</f>
        <v>41.419373341086299</v>
      </c>
      <c r="AV2" s="82">
        <f t="shared" ref="AV2:AV33" si="26">AVERAGE(F2:H2)</f>
        <v>0.96440000000000003</v>
      </c>
      <c r="AW2" s="82">
        <f t="shared" ref="AW2:AW33" si="27">E2/$E$55</f>
        <v>3.7528413920774736E-3</v>
      </c>
      <c r="AX2" s="49">
        <f t="shared" ref="AX2:AX33" si="28">AV2*$AX$55*AW2</f>
        <v>348.71379698135536</v>
      </c>
      <c r="AY2" s="8">
        <v>643</v>
      </c>
      <c r="AZ2" s="1">
        <f t="shared" ref="AZ2:AZ33" si="29">AX2-AY2</f>
        <v>-294.28620301864464</v>
      </c>
    </row>
    <row r="3" spans="1:52" x14ac:dyDescent="0.2">
      <c r="A3" s="42" t="s">
        <v>147</v>
      </c>
      <c r="B3" s="3">
        <v>1</v>
      </c>
      <c r="C3" s="21">
        <v>4431</v>
      </c>
      <c r="D3" s="21">
        <f t="shared" si="0"/>
        <v>5569</v>
      </c>
      <c r="E3" s="21">
        <v>0.89580000000000004</v>
      </c>
      <c r="F3" s="21">
        <v>0.93159999999999998</v>
      </c>
      <c r="G3" s="21">
        <v>0.96160000000000001</v>
      </c>
      <c r="H3" s="21">
        <v>1</v>
      </c>
      <c r="I3" s="21">
        <v>0</v>
      </c>
      <c r="J3" s="21">
        <v>0</v>
      </c>
      <c r="K3" s="21">
        <v>0</v>
      </c>
      <c r="L3" s="24">
        <v>3.5</v>
      </c>
      <c r="M3" s="21">
        <v>1</v>
      </c>
      <c r="N3" s="88">
        <f t="shared" si="1"/>
        <v>1.2949321266968326</v>
      </c>
      <c r="O3" s="63">
        <v>1</v>
      </c>
      <c r="P3" s="75">
        <f t="shared" si="2"/>
        <v>4.5074569756942988E-3</v>
      </c>
      <c r="Q3" s="75">
        <f t="shared" si="3"/>
        <v>1.801670645935646E-2</v>
      </c>
      <c r="R3" s="41">
        <v>2</v>
      </c>
      <c r="S3" s="4">
        <f t="shared" si="4"/>
        <v>3.2460171164261679E-4</v>
      </c>
      <c r="T3" s="4">
        <f t="shared" si="5"/>
        <v>1.6104198475200539E-2</v>
      </c>
      <c r="U3" s="4">
        <f t="shared" si="6"/>
        <v>7.2588981755008158E-5</v>
      </c>
      <c r="V3" s="28">
        <f t="shared" si="7"/>
        <v>3.8482518986978648E-3</v>
      </c>
      <c r="W3" s="80">
        <v>0</v>
      </c>
      <c r="X3" s="46">
        <f t="shared" si="8"/>
        <v>189.47253048428809</v>
      </c>
      <c r="Y3" s="86">
        <f t="shared" si="9"/>
        <v>189.47253048428809</v>
      </c>
      <c r="Z3" s="80">
        <v>0</v>
      </c>
      <c r="AA3" s="80">
        <v>611</v>
      </c>
      <c r="AB3" s="80">
        <v>0</v>
      </c>
      <c r="AC3" s="34">
        <f t="shared" si="10"/>
        <v>611</v>
      </c>
      <c r="AD3" s="46">
        <f t="shared" si="11"/>
        <v>304.96241821610971</v>
      </c>
      <c r="AE3" s="22">
        <f t="shared" si="12"/>
        <v>-306.03758178389029</v>
      </c>
      <c r="AF3" s="22">
        <f t="shared" si="13"/>
        <v>-116.5650512996022</v>
      </c>
      <c r="AG3" s="55">
        <f t="shared" si="14"/>
        <v>611</v>
      </c>
      <c r="AH3">
        <f t="shared" si="15"/>
        <v>3.8482518986978653E-3</v>
      </c>
      <c r="AI3" s="1">
        <f t="shared" si="16"/>
        <v>402.03072410886466</v>
      </c>
      <c r="AJ3" s="2">
        <v>1222</v>
      </c>
      <c r="AK3" s="1">
        <f t="shared" si="17"/>
        <v>-819.96927589113534</v>
      </c>
      <c r="AL3">
        <f t="shared" si="18"/>
        <v>1</v>
      </c>
      <c r="AM3">
        <f t="shared" si="19"/>
        <v>1.8690676483522409E-2</v>
      </c>
      <c r="AN3" s="1">
        <f t="shared" si="20"/>
        <v>1967.847873567657</v>
      </c>
      <c r="AO3" s="8">
        <v>1222</v>
      </c>
      <c r="AP3" s="1">
        <f t="shared" si="21"/>
        <v>745.84787356765696</v>
      </c>
      <c r="AQ3" s="69">
        <f t="shared" si="22"/>
        <v>1</v>
      </c>
      <c r="AR3">
        <f t="shared" si="23"/>
        <v>4.5074569756942988E-3</v>
      </c>
      <c r="AS3" s="1">
        <f t="shared" si="24"/>
        <v>127.46493002757254</v>
      </c>
      <c r="AT3" s="8">
        <v>0</v>
      </c>
      <c r="AU3" s="1">
        <f t="shared" si="25"/>
        <v>127.46493002757254</v>
      </c>
      <c r="AV3" s="82">
        <f t="shared" si="26"/>
        <v>0.96440000000000003</v>
      </c>
      <c r="AW3" s="82">
        <f t="shared" si="27"/>
        <v>2.8202980864286922E-2</v>
      </c>
      <c r="AX3" s="49">
        <f t="shared" si="28"/>
        <v>2620.6192897306892</v>
      </c>
      <c r="AY3" s="8">
        <v>1069</v>
      </c>
      <c r="AZ3" s="1">
        <f t="shared" si="29"/>
        <v>1551.6192897306892</v>
      </c>
    </row>
    <row r="4" spans="1:52" x14ac:dyDescent="0.2">
      <c r="A4" s="42" t="s">
        <v>153</v>
      </c>
      <c r="B4" s="3">
        <v>0</v>
      </c>
      <c r="C4" s="21">
        <v>2673</v>
      </c>
      <c r="D4" s="21">
        <f t="shared" si="0"/>
        <v>7327</v>
      </c>
      <c r="E4" s="21">
        <v>1</v>
      </c>
      <c r="F4" s="21">
        <v>0.93159999999999998</v>
      </c>
      <c r="G4" s="21">
        <v>0.96160000000000001</v>
      </c>
      <c r="H4" s="21">
        <v>1</v>
      </c>
      <c r="I4" s="21">
        <v>0</v>
      </c>
      <c r="J4" s="21">
        <v>0</v>
      </c>
      <c r="K4" s="21">
        <v>0</v>
      </c>
      <c r="L4" s="21">
        <v>0</v>
      </c>
      <c r="M4" s="21">
        <v>1</v>
      </c>
      <c r="N4" s="88">
        <f t="shared" si="1"/>
        <v>1.7722171945701357</v>
      </c>
      <c r="O4" s="63">
        <v>1</v>
      </c>
      <c r="P4" s="75">
        <f t="shared" si="2"/>
        <v>4.5074569756942988E-3</v>
      </c>
      <c r="Q4" s="75">
        <f t="shared" si="3"/>
        <v>2.3704149439343646E-2</v>
      </c>
      <c r="R4" s="41">
        <v>2</v>
      </c>
      <c r="S4" s="4">
        <f t="shared" si="4"/>
        <v>5.6188670064273572E-4</v>
      </c>
      <c r="T4" s="4">
        <f t="shared" si="5"/>
        <v>2.7876424008782718E-2</v>
      </c>
      <c r="U4" s="4">
        <f t="shared" si="6"/>
        <v>1.256517818557997E-4</v>
      </c>
      <c r="V4" s="28">
        <f t="shared" si="7"/>
        <v>6.6613375254845767E-3</v>
      </c>
      <c r="W4" s="80">
        <v>0</v>
      </c>
      <c r="X4" s="46">
        <f t="shared" si="8"/>
        <v>327.97761440475864</v>
      </c>
      <c r="Y4" s="86">
        <f t="shared" si="9"/>
        <v>327.97761440475864</v>
      </c>
      <c r="Z4" s="80">
        <v>0</v>
      </c>
      <c r="AA4" s="80">
        <v>3294</v>
      </c>
      <c r="AB4" s="80">
        <v>0</v>
      </c>
      <c r="AC4" s="34">
        <f t="shared" si="10"/>
        <v>3294</v>
      </c>
      <c r="AD4" s="46">
        <f t="shared" si="11"/>
        <v>527.89101488207621</v>
      </c>
      <c r="AE4" s="22">
        <f t="shared" si="12"/>
        <v>-2766.108985117924</v>
      </c>
      <c r="AF4" s="22">
        <f t="shared" si="13"/>
        <v>-2438.1313707131653</v>
      </c>
      <c r="AG4" s="55">
        <f t="shared" si="14"/>
        <v>3294</v>
      </c>
      <c r="AH4">
        <f t="shared" si="15"/>
        <v>6.6613375254845775E-3</v>
      </c>
      <c r="AI4" s="1">
        <f t="shared" si="16"/>
        <v>695.91659262489929</v>
      </c>
      <c r="AJ4" s="2">
        <v>0</v>
      </c>
      <c r="AK4" s="1">
        <f t="shared" si="17"/>
        <v>695.91659262489929</v>
      </c>
      <c r="AL4">
        <f t="shared" si="18"/>
        <v>0</v>
      </c>
      <c r="AM4">
        <f t="shared" si="19"/>
        <v>0</v>
      </c>
      <c r="AN4" s="1">
        <f t="shared" si="20"/>
        <v>0</v>
      </c>
      <c r="AO4" s="8">
        <v>0</v>
      </c>
      <c r="AP4" s="1">
        <f t="shared" si="21"/>
        <v>0</v>
      </c>
      <c r="AQ4" s="69">
        <f t="shared" si="22"/>
        <v>1</v>
      </c>
      <c r="AR4">
        <f t="shared" si="23"/>
        <v>4.5074569756942988E-3</v>
      </c>
      <c r="AS4" s="1">
        <f t="shared" si="24"/>
        <v>127.46493002757254</v>
      </c>
      <c r="AT4" s="8">
        <v>0</v>
      </c>
      <c r="AU4" s="1">
        <f t="shared" si="25"/>
        <v>127.46493002757254</v>
      </c>
      <c r="AV4" s="82">
        <f t="shared" si="26"/>
        <v>0.96440000000000003</v>
      </c>
      <c r="AW4" s="82">
        <f t="shared" si="27"/>
        <v>3.1483568725482164E-2</v>
      </c>
      <c r="AX4" s="49">
        <f t="shared" si="28"/>
        <v>2925.4513169576794</v>
      </c>
      <c r="AY4" s="8">
        <v>0</v>
      </c>
      <c r="AZ4" s="74">
        <f t="shared" si="29"/>
        <v>2925.4513169576794</v>
      </c>
    </row>
    <row r="5" spans="1:52" x14ac:dyDescent="0.2">
      <c r="A5" s="42" t="s">
        <v>11</v>
      </c>
      <c r="B5" s="21">
        <v>0</v>
      </c>
      <c r="C5" s="21">
        <v>4617</v>
      </c>
      <c r="D5" s="21">
        <f t="shared" si="0"/>
        <v>5383</v>
      </c>
      <c r="E5" s="21">
        <v>0.1263</v>
      </c>
      <c r="F5" s="21">
        <v>0.93159999999999998</v>
      </c>
      <c r="G5" s="21">
        <v>0.96160000000000001</v>
      </c>
      <c r="H5" s="21">
        <v>1</v>
      </c>
      <c r="I5" s="24">
        <v>1.7</v>
      </c>
      <c r="J5" s="21">
        <v>0</v>
      </c>
      <c r="K5" s="21">
        <v>0</v>
      </c>
      <c r="L5" s="21">
        <v>0</v>
      </c>
      <c r="M5" s="21">
        <v>1</v>
      </c>
      <c r="N5" s="88">
        <f t="shared" si="1"/>
        <v>1.2444343891402716</v>
      </c>
      <c r="O5" s="63">
        <f>(SUM(I5:L5) / M5) *((R5 + 1) * N5 / 3)</f>
        <v>2.1155384615384616</v>
      </c>
      <c r="P5" s="44">
        <f t="shared" si="2"/>
        <v>9.5356985958111231E-3</v>
      </c>
      <c r="Q5" s="44">
        <f t="shared" si="3"/>
        <v>1.74149633454329E-2</v>
      </c>
      <c r="R5" s="41">
        <v>2</v>
      </c>
      <c r="S5" s="13">
        <f t="shared" si="4"/>
        <v>3.0328094832277145E-4</v>
      </c>
      <c r="T5" s="13">
        <f t="shared" si="5"/>
        <v>1.5046428932310408E-2</v>
      </c>
      <c r="U5" s="13">
        <f t="shared" si="6"/>
        <v>1.4347821124180421E-4</v>
      </c>
      <c r="V5" s="31">
        <f t="shared" si="7"/>
        <v>7.6063926712259247E-3</v>
      </c>
      <c r="W5" s="80">
        <v>0</v>
      </c>
      <c r="X5" s="46">
        <f t="shared" si="8"/>
        <v>374.50834956047964</v>
      </c>
      <c r="Y5" s="86">
        <f t="shared" si="9"/>
        <v>374.50834956047964</v>
      </c>
      <c r="Z5" s="80">
        <v>0</v>
      </c>
      <c r="AA5" s="80">
        <v>364</v>
      </c>
      <c r="AB5" s="80">
        <v>0</v>
      </c>
      <c r="AC5" s="26">
        <f t="shared" si="10"/>
        <v>364</v>
      </c>
      <c r="AD5" s="46">
        <f t="shared" si="11"/>
        <v>602.78380001664084</v>
      </c>
      <c r="AE5" s="22">
        <f t="shared" si="12"/>
        <v>238.78380001664084</v>
      </c>
      <c r="AF5" s="22">
        <f t="shared" si="13"/>
        <v>613.29214957712043</v>
      </c>
      <c r="AG5" s="55">
        <f t="shared" si="14"/>
        <v>364</v>
      </c>
      <c r="AH5">
        <f t="shared" si="15"/>
        <v>7.6063926712259247E-3</v>
      </c>
      <c r="AI5" s="1">
        <f t="shared" si="16"/>
        <v>794.64744875564361</v>
      </c>
      <c r="AJ5" s="2">
        <v>364</v>
      </c>
      <c r="AK5" s="1">
        <f t="shared" si="17"/>
        <v>430.64744875564361</v>
      </c>
      <c r="AL5">
        <f t="shared" si="18"/>
        <v>0</v>
      </c>
      <c r="AM5">
        <f t="shared" si="19"/>
        <v>0</v>
      </c>
      <c r="AN5" s="1">
        <f t="shared" si="20"/>
        <v>0</v>
      </c>
      <c r="AO5" s="8">
        <v>728</v>
      </c>
      <c r="AP5" s="1">
        <f t="shared" si="21"/>
        <v>-728</v>
      </c>
      <c r="AQ5" s="69">
        <f t="shared" si="22"/>
        <v>2.1155384615384616</v>
      </c>
      <c r="AR5">
        <f t="shared" si="23"/>
        <v>9.5356985958111231E-3</v>
      </c>
      <c r="AS5" s="1">
        <f t="shared" si="24"/>
        <v>269.65696197063841</v>
      </c>
      <c r="AT5" s="8">
        <v>0</v>
      </c>
      <c r="AU5" s="1">
        <f t="shared" si="25"/>
        <v>269.65696197063841</v>
      </c>
      <c r="AV5" s="82">
        <f t="shared" si="26"/>
        <v>0.96440000000000003</v>
      </c>
      <c r="AW5" s="82">
        <f t="shared" si="27"/>
        <v>3.9763747300283966E-3</v>
      </c>
      <c r="AX5" s="49">
        <f t="shared" si="28"/>
        <v>369.48450133175481</v>
      </c>
      <c r="AY5" s="8">
        <v>1456</v>
      </c>
      <c r="AZ5" s="1">
        <f t="shared" si="29"/>
        <v>-1086.5154986682451</v>
      </c>
    </row>
    <row r="6" spans="1:52" x14ac:dyDescent="0.2">
      <c r="A6" s="42" t="s">
        <v>154</v>
      </c>
      <c r="B6" s="3">
        <v>0</v>
      </c>
      <c r="C6" s="21">
        <v>2064</v>
      </c>
      <c r="D6" s="21">
        <f t="shared" si="0"/>
        <v>7936</v>
      </c>
      <c r="E6" s="21">
        <v>0.18809999999999999</v>
      </c>
      <c r="F6" s="21">
        <v>0.93159999999999998</v>
      </c>
      <c r="G6" s="21">
        <v>0.96160000000000001</v>
      </c>
      <c r="H6" s="21">
        <v>1</v>
      </c>
      <c r="I6" s="21">
        <v>0</v>
      </c>
      <c r="J6" s="21">
        <v>0</v>
      </c>
      <c r="K6" s="21">
        <v>0</v>
      </c>
      <c r="L6" s="21">
        <v>0</v>
      </c>
      <c r="M6" s="21">
        <v>1</v>
      </c>
      <c r="N6" s="88">
        <f t="shared" si="1"/>
        <v>1.9375565610859729</v>
      </c>
      <c r="O6" s="63">
        <v>1</v>
      </c>
      <c r="P6" s="75">
        <f t="shared" si="2"/>
        <v>4.5074569756942988E-3</v>
      </c>
      <c r="Q6" s="75">
        <f t="shared" si="3"/>
        <v>2.5674372860738526E-2</v>
      </c>
      <c r="R6" s="41">
        <v>2</v>
      </c>
      <c r="S6" s="4">
        <f t="shared" si="4"/>
        <v>6.59173421792227E-4</v>
      </c>
      <c r="T6" s="4">
        <f t="shared" si="5"/>
        <v>3.2703030308745315E-2</v>
      </c>
      <c r="U6" s="4">
        <f t="shared" si="6"/>
        <v>1.4740750209149615E-4</v>
      </c>
      <c r="V6" s="28">
        <f t="shared" si="7"/>
        <v>7.8147011583720467E-3</v>
      </c>
      <c r="W6" s="80">
        <v>684</v>
      </c>
      <c r="X6" s="46">
        <f t="shared" si="8"/>
        <v>384.76462623360607</v>
      </c>
      <c r="Y6" s="86">
        <f t="shared" si="9"/>
        <v>-299.23537376639393</v>
      </c>
      <c r="Z6" s="80">
        <v>486</v>
      </c>
      <c r="AA6" s="80">
        <v>0</v>
      </c>
      <c r="AB6" s="80">
        <v>0</v>
      </c>
      <c r="AC6" s="34">
        <f t="shared" si="10"/>
        <v>486</v>
      </c>
      <c r="AD6" s="46">
        <f t="shared" si="11"/>
        <v>619.29162269750964</v>
      </c>
      <c r="AE6" s="22">
        <f t="shared" si="12"/>
        <v>133.29162269750964</v>
      </c>
      <c r="AF6" s="22">
        <f t="shared" si="13"/>
        <v>-165.9437510688843</v>
      </c>
      <c r="AG6" s="55">
        <f t="shared" si="14"/>
        <v>1170</v>
      </c>
      <c r="AH6">
        <f t="shared" si="15"/>
        <v>7.8147011583720467E-3</v>
      </c>
      <c r="AI6" s="1">
        <f t="shared" si="16"/>
        <v>816.40964471628604</v>
      </c>
      <c r="AJ6" s="2">
        <v>0</v>
      </c>
      <c r="AK6" s="1">
        <f t="shared" si="17"/>
        <v>816.40964471628604</v>
      </c>
      <c r="AL6">
        <f t="shared" si="18"/>
        <v>0</v>
      </c>
      <c r="AM6">
        <f t="shared" si="19"/>
        <v>0</v>
      </c>
      <c r="AN6" s="1">
        <f t="shared" si="20"/>
        <v>0</v>
      </c>
      <c r="AO6" s="8">
        <v>0</v>
      </c>
      <c r="AP6" s="1">
        <f t="shared" si="21"/>
        <v>0</v>
      </c>
      <c r="AQ6" s="69">
        <f t="shared" si="22"/>
        <v>1</v>
      </c>
      <c r="AR6">
        <f t="shared" si="23"/>
        <v>4.5074569756942988E-3</v>
      </c>
      <c r="AS6" s="1">
        <f t="shared" si="24"/>
        <v>127.46493002757254</v>
      </c>
      <c r="AT6" s="8">
        <v>0</v>
      </c>
      <c r="AU6" s="1">
        <f t="shared" si="25"/>
        <v>127.46493002757254</v>
      </c>
      <c r="AV6" s="82">
        <f t="shared" si="26"/>
        <v>0.96440000000000003</v>
      </c>
      <c r="AW6" s="82">
        <f t="shared" si="27"/>
        <v>5.9220592772631945E-3</v>
      </c>
      <c r="AX6" s="49">
        <f t="shared" si="28"/>
        <v>550.2773927197394</v>
      </c>
      <c r="AY6" s="8">
        <v>0</v>
      </c>
      <c r="AZ6" s="1">
        <f t="shared" si="29"/>
        <v>550.2773927197394</v>
      </c>
    </row>
    <row r="7" spans="1:52" x14ac:dyDescent="0.2">
      <c r="A7" s="42" t="s">
        <v>79</v>
      </c>
      <c r="B7" s="21">
        <v>0</v>
      </c>
      <c r="C7" s="21">
        <v>4131</v>
      </c>
      <c r="D7" s="21">
        <f t="shared" si="0"/>
        <v>5869</v>
      </c>
      <c r="E7" s="21">
        <v>0.99890000000000001</v>
      </c>
      <c r="F7" s="21">
        <v>0.93159999999999998</v>
      </c>
      <c r="G7" s="21">
        <v>0.96160000000000001</v>
      </c>
      <c r="H7" s="21">
        <v>1</v>
      </c>
      <c r="I7" s="21">
        <v>0</v>
      </c>
      <c r="J7" s="21">
        <v>0</v>
      </c>
      <c r="K7" s="24">
        <v>2</v>
      </c>
      <c r="L7" s="21">
        <v>0</v>
      </c>
      <c r="M7" s="21">
        <v>1</v>
      </c>
      <c r="N7" s="88">
        <f t="shared" si="1"/>
        <v>1.3763800904977375</v>
      </c>
      <c r="O7" s="63">
        <f>(SUM(I7:L7) / M7) *((R7 + 1) * N7 / 3)</f>
        <v>2.7527601809954749</v>
      </c>
      <c r="P7" s="44">
        <f t="shared" si="2"/>
        <v>1.2407948080241553E-2</v>
      </c>
      <c r="Q7" s="44">
        <f t="shared" si="3"/>
        <v>1.8987259868910585E-2</v>
      </c>
      <c r="R7" s="41">
        <v>2</v>
      </c>
      <c r="S7" s="13">
        <f t="shared" si="4"/>
        <v>3.6051603732954241E-4</v>
      </c>
      <c r="T7" s="13">
        <f t="shared" si="5"/>
        <v>1.7885986457889996E-2</v>
      </c>
      <c r="U7" s="13">
        <f t="shared" si="6"/>
        <v>2.2192839133340259E-4</v>
      </c>
      <c r="V7" s="31">
        <f t="shared" si="7"/>
        <v>1.1765371722751938E-2</v>
      </c>
      <c r="W7" s="80">
        <v>1174</v>
      </c>
      <c r="X7" s="46">
        <f t="shared" si="8"/>
        <v>579.27984214141441</v>
      </c>
      <c r="Y7" s="86">
        <f t="shared" si="9"/>
        <v>-594.72015785858559</v>
      </c>
      <c r="Z7" s="80">
        <v>252</v>
      </c>
      <c r="AA7" s="80">
        <v>2096</v>
      </c>
      <c r="AB7" s="80">
        <v>0</v>
      </c>
      <c r="AC7" s="26">
        <f t="shared" si="10"/>
        <v>2348</v>
      </c>
      <c r="AD7" s="46">
        <f t="shared" si="11"/>
        <v>932.3704129129228</v>
      </c>
      <c r="AE7" s="22">
        <f t="shared" si="12"/>
        <v>-1415.6295870870772</v>
      </c>
      <c r="AF7" s="22">
        <f t="shared" si="13"/>
        <v>-2010.3497449456627</v>
      </c>
      <c r="AG7" s="55">
        <f t="shared" si="14"/>
        <v>3522</v>
      </c>
      <c r="AH7">
        <f t="shared" si="15"/>
        <v>1.1765371722751938E-2</v>
      </c>
      <c r="AI7" s="1">
        <f t="shared" si="16"/>
        <v>1229.1401492476177</v>
      </c>
      <c r="AJ7" s="2">
        <v>2432</v>
      </c>
      <c r="AK7" s="1">
        <f t="shared" si="17"/>
        <v>-1202.8598507523823</v>
      </c>
      <c r="AL7">
        <f t="shared" si="18"/>
        <v>0</v>
      </c>
      <c r="AM7">
        <f t="shared" si="19"/>
        <v>0</v>
      </c>
      <c r="AN7" s="1">
        <f t="shared" si="20"/>
        <v>0</v>
      </c>
      <c r="AO7" s="8">
        <v>0</v>
      </c>
      <c r="AP7" s="1">
        <f t="shared" si="21"/>
        <v>0</v>
      </c>
      <c r="AQ7" s="69">
        <f t="shared" si="22"/>
        <v>2.7527601809954749</v>
      </c>
      <c r="AR7">
        <f t="shared" si="23"/>
        <v>1.2407948080241553E-2</v>
      </c>
      <c r="AS7" s="1">
        <f t="shared" si="24"/>
        <v>350.8803838532761</v>
      </c>
      <c r="AT7" s="8">
        <v>922</v>
      </c>
      <c r="AU7" s="1">
        <f t="shared" si="25"/>
        <v>-571.11961614672396</v>
      </c>
      <c r="AV7" s="82">
        <f t="shared" si="26"/>
        <v>0.96440000000000003</v>
      </c>
      <c r="AW7" s="82">
        <f t="shared" si="27"/>
        <v>3.1448936799884128E-2</v>
      </c>
      <c r="AX7" s="49">
        <f t="shared" si="28"/>
        <v>2922.2333205090254</v>
      </c>
      <c r="AY7" s="8">
        <v>1677</v>
      </c>
      <c r="AZ7" s="1">
        <f t="shared" si="29"/>
        <v>1245.2333205090254</v>
      </c>
    </row>
    <row r="8" spans="1:52" x14ac:dyDescent="0.2">
      <c r="A8" s="42" t="s">
        <v>95</v>
      </c>
      <c r="B8" s="21">
        <v>0</v>
      </c>
      <c r="C8" s="21">
        <v>4816</v>
      </c>
      <c r="D8" s="21">
        <f t="shared" si="0"/>
        <v>5184</v>
      </c>
      <c r="E8" s="21">
        <v>0.88819999999999999</v>
      </c>
      <c r="F8" s="21">
        <v>0.93159999999999998</v>
      </c>
      <c r="G8" s="21">
        <v>0.96160000000000001</v>
      </c>
      <c r="H8" s="21">
        <v>1</v>
      </c>
      <c r="I8" s="24">
        <v>4.2</v>
      </c>
      <c r="J8" s="66">
        <f>$AD$56</f>
        <v>2.7333333333333325</v>
      </c>
      <c r="K8" s="24">
        <v>3.6</v>
      </c>
      <c r="L8" s="24">
        <v>4</v>
      </c>
      <c r="M8" s="21">
        <v>3</v>
      </c>
      <c r="N8" s="88">
        <f t="shared" si="1"/>
        <v>1.1904072398190046</v>
      </c>
      <c r="O8" s="63">
        <f>(SUM(I8:L8) / M8) *((R8 + 1) * N8 / 3)</f>
        <v>5.7668617395676218</v>
      </c>
      <c r="P8" s="44">
        <f t="shared" si="2"/>
        <v>2.5993881175878635E-2</v>
      </c>
      <c r="Q8" s="44">
        <f t="shared" si="3"/>
        <v>1.6771162917095329E-2</v>
      </c>
      <c r="R8" s="41">
        <v>2</v>
      </c>
      <c r="S8" s="13">
        <f t="shared" si="4"/>
        <v>2.8127190559175353E-4</v>
      </c>
      <c r="T8" s="13">
        <f t="shared" si="5"/>
        <v>1.3954512347533693E-2</v>
      </c>
      <c r="U8" s="13">
        <f t="shared" si="6"/>
        <v>3.6273193582912202E-4</v>
      </c>
      <c r="V8" s="31">
        <f t="shared" si="7"/>
        <v>1.9229968888170336E-2</v>
      </c>
      <c r="W8" s="80">
        <v>370</v>
      </c>
      <c r="X8" s="46">
        <f t="shared" si="8"/>
        <v>946.80674817795466</v>
      </c>
      <c r="Y8" s="86">
        <f t="shared" si="9"/>
        <v>576.80674817795466</v>
      </c>
      <c r="Z8" s="80">
        <v>0</v>
      </c>
      <c r="AA8" s="80">
        <v>1296</v>
      </c>
      <c r="AB8" s="80">
        <v>0</v>
      </c>
      <c r="AC8" s="26">
        <f t="shared" si="10"/>
        <v>1296</v>
      </c>
      <c r="AD8" s="46">
        <f t="shared" si="11"/>
        <v>1523.9173444808346</v>
      </c>
      <c r="AE8" s="22">
        <f t="shared" si="12"/>
        <v>227.91734448083457</v>
      </c>
      <c r="AF8" s="22">
        <f t="shared" si="13"/>
        <v>804.72409265878923</v>
      </c>
      <c r="AG8" s="55">
        <f t="shared" si="14"/>
        <v>1666</v>
      </c>
      <c r="AH8">
        <f t="shared" si="15"/>
        <v>1.9229968888170336E-2</v>
      </c>
      <c r="AI8" s="1">
        <f t="shared" si="16"/>
        <v>2008.9740797160432</v>
      </c>
      <c r="AJ8" s="2">
        <v>555</v>
      </c>
      <c r="AK8" s="1">
        <f t="shared" si="17"/>
        <v>1453.9740797160432</v>
      </c>
      <c r="AL8">
        <f t="shared" si="18"/>
        <v>0</v>
      </c>
      <c r="AM8">
        <f t="shared" si="19"/>
        <v>0</v>
      </c>
      <c r="AN8" s="1">
        <f t="shared" si="20"/>
        <v>0</v>
      </c>
      <c r="AO8" s="73">
        <v>4814</v>
      </c>
      <c r="AP8" s="1">
        <f t="shared" si="21"/>
        <v>-4814</v>
      </c>
      <c r="AQ8" s="69">
        <f t="shared" si="22"/>
        <v>5.7668617395676218</v>
      </c>
      <c r="AR8">
        <f t="shared" si="23"/>
        <v>2.5993881175878635E-2</v>
      </c>
      <c r="AS8" s="1">
        <f t="shared" si="24"/>
        <v>735.07262811267208</v>
      </c>
      <c r="AT8" s="8">
        <v>1666</v>
      </c>
      <c r="AU8" s="49">
        <f t="shared" si="25"/>
        <v>-930.92737188732792</v>
      </c>
      <c r="AV8" s="82">
        <f t="shared" si="26"/>
        <v>0.96440000000000003</v>
      </c>
      <c r="AW8" s="82">
        <f t="shared" si="27"/>
        <v>2.7963705741973256E-2</v>
      </c>
      <c r="AX8" s="49">
        <f t="shared" si="28"/>
        <v>2598.3858597218104</v>
      </c>
      <c r="AY8" s="8">
        <v>1851</v>
      </c>
      <c r="AZ8" s="1">
        <f t="shared" si="29"/>
        <v>747.38585972181045</v>
      </c>
    </row>
    <row r="9" spans="1:52" x14ac:dyDescent="0.2">
      <c r="A9" s="42" t="s">
        <v>26</v>
      </c>
      <c r="B9" s="21">
        <v>0</v>
      </c>
      <c r="C9" s="21">
        <v>3754</v>
      </c>
      <c r="D9" s="21">
        <f t="shared" si="0"/>
        <v>6246</v>
      </c>
      <c r="E9" s="21">
        <v>0.99450000000000005</v>
      </c>
      <c r="F9" s="21">
        <v>0.93159999999999998</v>
      </c>
      <c r="G9" s="21">
        <v>0.96160000000000001</v>
      </c>
      <c r="H9" s="21">
        <v>1</v>
      </c>
      <c r="I9" s="24">
        <v>2</v>
      </c>
      <c r="J9" s="66">
        <f>$AD$57</f>
        <v>1.2666666666666664</v>
      </c>
      <c r="K9" s="24">
        <v>1.9</v>
      </c>
      <c r="L9" s="21">
        <v>0</v>
      </c>
      <c r="M9" s="21">
        <v>2</v>
      </c>
      <c r="N9" s="88">
        <f t="shared" si="1"/>
        <v>1.4787330316742082</v>
      </c>
      <c r="O9" s="63">
        <f>(SUM(I9:L9) / M9) *((R9 + 1) * N9 / 3)</f>
        <v>3.8200603318250375</v>
      </c>
      <c r="P9" s="44">
        <f t="shared" si="2"/>
        <v>1.721875759025784E-2</v>
      </c>
      <c r="Q9" s="44">
        <f t="shared" si="3"/>
        <v>2.020692198691694E-2</v>
      </c>
      <c r="R9" s="41">
        <v>2</v>
      </c>
      <c r="S9" s="13">
        <f t="shared" si="4"/>
        <v>4.0831969618534725E-4</v>
      </c>
      <c r="T9" s="13">
        <f t="shared" si="5"/>
        <v>2.0257630175228879E-2</v>
      </c>
      <c r="U9" s="13">
        <f t="shared" si="6"/>
        <v>3.488112233403585E-4</v>
      </c>
      <c r="V9" s="31">
        <f t="shared" si="7"/>
        <v>1.8491972473688115E-2</v>
      </c>
      <c r="W9" s="80">
        <v>1180</v>
      </c>
      <c r="X9" s="46">
        <f t="shared" si="8"/>
        <v>910.47075671450807</v>
      </c>
      <c r="Y9" s="86">
        <f t="shared" si="9"/>
        <v>-269.52924328549193</v>
      </c>
      <c r="Z9" s="80">
        <v>625</v>
      </c>
      <c r="AA9" s="80">
        <v>69</v>
      </c>
      <c r="AB9" s="80">
        <v>694</v>
      </c>
      <c r="AC9" s="26">
        <f t="shared" si="10"/>
        <v>1388</v>
      </c>
      <c r="AD9" s="46">
        <f t="shared" si="11"/>
        <v>1465.433342622362</v>
      </c>
      <c r="AE9" s="22">
        <f t="shared" si="12"/>
        <v>77.433342622362034</v>
      </c>
      <c r="AF9" s="22">
        <f t="shared" si="13"/>
        <v>-192.0959006631299</v>
      </c>
      <c r="AG9" s="55">
        <f t="shared" si="14"/>
        <v>2568</v>
      </c>
      <c r="AH9">
        <f t="shared" si="15"/>
        <v>1.8491972473688115E-2</v>
      </c>
      <c r="AI9" s="1">
        <f t="shared" si="16"/>
        <v>1931.8748562986711</v>
      </c>
      <c r="AJ9" s="2">
        <v>2082</v>
      </c>
      <c r="AK9" s="49">
        <f t="shared" si="17"/>
        <v>-150.12514370132885</v>
      </c>
      <c r="AL9">
        <f t="shared" si="18"/>
        <v>0</v>
      </c>
      <c r="AM9">
        <f t="shared" si="19"/>
        <v>0</v>
      </c>
      <c r="AN9" s="1">
        <f t="shared" si="20"/>
        <v>0</v>
      </c>
      <c r="AO9" s="8">
        <v>0</v>
      </c>
      <c r="AP9" s="49">
        <f t="shared" si="21"/>
        <v>0</v>
      </c>
      <c r="AQ9" s="69">
        <f t="shared" si="22"/>
        <v>3.8200603318250375</v>
      </c>
      <c r="AR9">
        <f t="shared" si="23"/>
        <v>1.721875759025784E-2</v>
      </c>
      <c r="AS9" s="1">
        <f t="shared" si="24"/>
        <v>486.92372289718384</v>
      </c>
      <c r="AT9" s="8">
        <v>1735</v>
      </c>
      <c r="AU9" s="1">
        <f t="shared" si="25"/>
        <v>-1248.0762771028162</v>
      </c>
      <c r="AV9" s="82">
        <f t="shared" si="26"/>
        <v>0.96440000000000003</v>
      </c>
      <c r="AW9" s="82">
        <f t="shared" si="27"/>
        <v>3.1310409097492012E-2</v>
      </c>
      <c r="AX9" s="49">
        <f t="shared" si="28"/>
        <v>2909.3613347144119</v>
      </c>
      <c r="AY9" s="8">
        <v>1735</v>
      </c>
      <c r="AZ9" s="1">
        <f t="shared" si="29"/>
        <v>1174.3613347144119</v>
      </c>
    </row>
    <row r="10" spans="1:52" x14ac:dyDescent="0.2">
      <c r="A10" s="42" t="s">
        <v>125</v>
      </c>
      <c r="B10" s="21">
        <v>0</v>
      </c>
      <c r="C10" s="21">
        <v>2621</v>
      </c>
      <c r="D10" s="21">
        <f t="shared" si="0"/>
        <v>7379</v>
      </c>
      <c r="E10" s="21">
        <v>2.5000000000000001E-3</v>
      </c>
      <c r="F10" s="21">
        <v>0.93159999999999998</v>
      </c>
      <c r="G10" s="21">
        <v>0.96160000000000001</v>
      </c>
      <c r="H10" s="21">
        <v>1</v>
      </c>
      <c r="I10" s="21">
        <v>0</v>
      </c>
      <c r="J10" s="21">
        <v>0</v>
      </c>
      <c r="K10" s="21">
        <v>0</v>
      </c>
      <c r="L10" s="24">
        <v>2.4</v>
      </c>
      <c r="M10" s="21">
        <v>1</v>
      </c>
      <c r="N10" s="88">
        <f t="shared" si="1"/>
        <v>1.7863348416289593</v>
      </c>
      <c r="O10" s="63">
        <f>(SUM(I10:L10) / M10) *((R10 + 1) * N10 / 3)</f>
        <v>4.2872036199095023</v>
      </c>
      <c r="P10" s="44">
        <f t="shared" si="2"/>
        <v>1.9324385862782935E-2</v>
      </c>
      <c r="Q10" s="44">
        <f t="shared" si="3"/>
        <v>2.3872378696999697E-2</v>
      </c>
      <c r="R10" s="41">
        <v>2</v>
      </c>
      <c r="S10" s="13">
        <f t="shared" si="4"/>
        <v>5.6989046465296496E-4</v>
      </c>
      <c r="T10" s="13">
        <f t="shared" si="5"/>
        <v>2.8273508187782088E-2</v>
      </c>
      <c r="U10" s="13">
        <f t="shared" si="6"/>
        <v>5.4636818191525379E-4</v>
      </c>
      <c r="V10" s="31">
        <f t="shared" si="7"/>
        <v>2.8965310472872326E-2</v>
      </c>
      <c r="W10" s="80">
        <v>1853</v>
      </c>
      <c r="X10" s="46">
        <f t="shared" si="8"/>
        <v>1426.1360264423417</v>
      </c>
      <c r="Y10" s="86">
        <f t="shared" si="9"/>
        <v>-426.86397355765826</v>
      </c>
      <c r="Z10" s="80">
        <v>889</v>
      </c>
      <c r="AA10" s="80">
        <v>815</v>
      </c>
      <c r="AB10" s="80">
        <v>0</v>
      </c>
      <c r="AC10" s="26">
        <f t="shared" si="10"/>
        <v>1704</v>
      </c>
      <c r="AD10" s="46">
        <f t="shared" si="11"/>
        <v>2295.413959043713</v>
      </c>
      <c r="AE10" s="22">
        <f t="shared" si="12"/>
        <v>591.41395904371302</v>
      </c>
      <c r="AF10" s="22">
        <f t="shared" si="13"/>
        <v>164.54998548605477</v>
      </c>
      <c r="AG10" s="55">
        <f t="shared" si="14"/>
        <v>3557</v>
      </c>
      <c r="AH10">
        <f t="shared" si="15"/>
        <v>2.8965310472872326E-2</v>
      </c>
      <c r="AI10" s="1">
        <f t="shared" si="16"/>
        <v>3026.0349504114447</v>
      </c>
      <c r="AJ10" s="2">
        <v>2149</v>
      </c>
      <c r="AK10" s="49">
        <f t="shared" si="17"/>
        <v>877.0349504114447</v>
      </c>
      <c r="AL10">
        <f t="shared" si="18"/>
        <v>0</v>
      </c>
      <c r="AM10">
        <f t="shared" si="19"/>
        <v>0</v>
      </c>
      <c r="AN10" s="1">
        <f t="shared" si="20"/>
        <v>0</v>
      </c>
      <c r="AO10" s="8">
        <v>0</v>
      </c>
      <c r="AP10" s="1">
        <f t="shared" si="21"/>
        <v>0</v>
      </c>
      <c r="AQ10" s="69">
        <f t="shared" si="22"/>
        <v>4.2872036199095023</v>
      </c>
      <c r="AR10">
        <f t="shared" si="23"/>
        <v>1.9324385862782935E-2</v>
      </c>
      <c r="AS10" s="1">
        <f t="shared" si="24"/>
        <v>546.46810942572029</v>
      </c>
      <c r="AT10" s="8">
        <v>1630</v>
      </c>
      <c r="AU10" s="49">
        <f t="shared" si="25"/>
        <v>-1083.5318905742797</v>
      </c>
      <c r="AV10" s="82">
        <f t="shared" si="26"/>
        <v>0.96440000000000003</v>
      </c>
      <c r="AW10" s="82">
        <f t="shared" si="27"/>
        <v>7.8708921813705411E-5</v>
      </c>
      <c r="AX10" s="49">
        <f t="shared" si="28"/>
        <v>7.3136282923941982</v>
      </c>
      <c r="AY10" s="8">
        <v>2371</v>
      </c>
      <c r="AZ10" s="49">
        <f t="shared" si="29"/>
        <v>-2363.6863717076058</v>
      </c>
    </row>
    <row r="11" spans="1:52" x14ac:dyDescent="0.2">
      <c r="A11" s="48" t="s">
        <v>68</v>
      </c>
      <c r="B11" s="21">
        <v>0</v>
      </c>
      <c r="C11" s="21">
        <v>3306</v>
      </c>
      <c r="D11" s="21">
        <f t="shared" si="0"/>
        <v>6694</v>
      </c>
      <c r="E11" s="21">
        <v>0.45650000000000002</v>
      </c>
      <c r="F11" s="21">
        <v>0.93159999999999998</v>
      </c>
      <c r="G11" s="21">
        <v>0.96160000000000001</v>
      </c>
      <c r="H11" s="21">
        <v>1</v>
      </c>
      <c r="I11" s="21">
        <v>0</v>
      </c>
      <c r="J11" s="66">
        <f>$AD$58</f>
        <v>1.4666666666666666</v>
      </c>
      <c r="K11" s="21">
        <v>0</v>
      </c>
      <c r="L11" s="21">
        <v>0</v>
      </c>
      <c r="M11" s="21">
        <v>1</v>
      </c>
      <c r="N11" s="88">
        <f t="shared" si="1"/>
        <v>1.6003619909502262</v>
      </c>
      <c r="O11" s="63">
        <f>(SUM(I11:L11) / M11) *((R11 + 1) * N11 / 3)</f>
        <v>2.3471975867269985</v>
      </c>
      <c r="P11" s="21">
        <f t="shared" si="2"/>
        <v>1.0579892135625433E-2</v>
      </c>
      <c r="Q11" s="21">
        <f t="shared" si="3"/>
        <v>2.1656281745184438E-2</v>
      </c>
      <c r="R11" s="41">
        <v>2</v>
      </c>
      <c r="S11" s="13">
        <f t="shared" si="4"/>
        <v>4.6899453902680873E-4</v>
      </c>
      <c r="T11" s="13">
        <f t="shared" si="5"/>
        <v>2.3267841386457166E-2</v>
      </c>
      <c r="U11" s="13">
        <f t="shared" si="6"/>
        <v>2.4617125209755816E-4</v>
      </c>
      <c r="V11" s="31">
        <f t="shared" si="7"/>
        <v>1.3050589295859623E-2</v>
      </c>
      <c r="W11" s="80">
        <v>0</v>
      </c>
      <c r="X11" s="46">
        <f t="shared" si="8"/>
        <v>642.55881457094438</v>
      </c>
      <c r="Y11" s="86">
        <f t="shared" si="9"/>
        <v>642.55881457094438</v>
      </c>
      <c r="Z11" s="80">
        <v>485</v>
      </c>
      <c r="AA11" s="80">
        <v>1212</v>
      </c>
      <c r="AB11" s="80">
        <v>0</v>
      </c>
      <c r="AC11" s="26">
        <f t="shared" si="10"/>
        <v>1697</v>
      </c>
      <c r="AD11" s="46">
        <f t="shared" si="11"/>
        <v>1034.2200499289875</v>
      </c>
      <c r="AE11" s="22">
        <f t="shared" si="12"/>
        <v>-662.77995007101254</v>
      </c>
      <c r="AF11" s="22">
        <f t="shared" si="13"/>
        <v>-20.221135500068158</v>
      </c>
      <c r="AG11" s="55">
        <f t="shared" si="14"/>
        <v>1697</v>
      </c>
      <c r="AH11">
        <f t="shared" si="15"/>
        <v>1.3050589295859623E-2</v>
      </c>
      <c r="AI11" s="1">
        <f t="shared" si="16"/>
        <v>1363.4081143277506</v>
      </c>
      <c r="AJ11" s="2">
        <v>1455</v>
      </c>
      <c r="AK11" s="1">
        <f t="shared" si="17"/>
        <v>-91.591885672249418</v>
      </c>
      <c r="AL11">
        <f t="shared" si="18"/>
        <v>0</v>
      </c>
      <c r="AM11">
        <f t="shared" si="19"/>
        <v>0</v>
      </c>
      <c r="AN11" s="1">
        <f t="shared" si="20"/>
        <v>0</v>
      </c>
      <c r="AO11" s="8">
        <v>0</v>
      </c>
      <c r="AP11" s="1">
        <f t="shared" si="21"/>
        <v>0</v>
      </c>
      <c r="AQ11" s="69">
        <f t="shared" si="22"/>
        <v>2.3471975867269985</v>
      </c>
      <c r="AR11">
        <f t="shared" si="23"/>
        <v>1.0579892135625433E-2</v>
      </c>
      <c r="AS11" s="1">
        <f t="shared" si="24"/>
        <v>299.18537615304399</v>
      </c>
      <c r="AT11" s="8">
        <v>727</v>
      </c>
      <c r="AU11" s="1">
        <f t="shared" si="25"/>
        <v>-427.81462384695601</v>
      </c>
      <c r="AV11" s="82">
        <f t="shared" si="26"/>
        <v>0.96440000000000003</v>
      </c>
      <c r="AW11" s="82">
        <f t="shared" si="27"/>
        <v>1.4372249123182607E-2</v>
      </c>
      <c r="AX11" s="49">
        <f t="shared" si="28"/>
        <v>1335.4685261911804</v>
      </c>
      <c r="AY11" s="8">
        <v>0</v>
      </c>
      <c r="AZ11" s="1">
        <f t="shared" si="29"/>
        <v>1335.4685261911804</v>
      </c>
    </row>
    <row r="12" spans="1:52" x14ac:dyDescent="0.2">
      <c r="A12" s="48" t="s">
        <v>130</v>
      </c>
      <c r="B12" s="21">
        <v>0</v>
      </c>
      <c r="C12" s="21">
        <v>3967</v>
      </c>
      <c r="D12" s="21">
        <f t="shared" si="0"/>
        <v>6033</v>
      </c>
      <c r="E12" s="21">
        <v>0.22700000000000001</v>
      </c>
      <c r="F12" s="21">
        <v>0.93159999999999998</v>
      </c>
      <c r="G12" s="21">
        <v>0.96160000000000001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1</v>
      </c>
      <c r="N12" s="88">
        <f t="shared" si="1"/>
        <v>1.4209049773755655</v>
      </c>
      <c r="O12" s="63">
        <v>1</v>
      </c>
      <c r="P12" s="21">
        <f t="shared" si="2"/>
        <v>4.5074569756942988E-3</v>
      </c>
      <c r="Q12" s="44">
        <f t="shared" si="3"/>
        <v>1.9517829066133509E-2</v>
      </c>
      <c r="R12" s="41">
        <v>2</v>
      </c>
      <c r="S12" s="13">
        <f t="shared" si="4"/>
        <v>3.8094565145480605E-4</v>
      </c>
      <c r="T12" s="13">
        <f t="shared" si="5"/>
        <v>1.889954414672694E-2</v>
      </c>
      <c r="U12" s="13">
        <f t="shared" si="6"/>
        <v>8.5188882101606695E-5</v>
      </c>
      <c r="V12" s="31">
        <f t="shared" si="7"/>
        <v>4.5162264212755482E-3</v>
      </c>
      <c r="W12" s="80">
        <v>0</v>
      </c>
      <c r="X12" s="46">
        <f t="shared" si="8"/>
        <v>222.3609240779229</v>
      </c>
      <c r="Y12" s="86">
        <f t="shared" si="9"/>
        <v>222.3609240779229</v>
      </c>
      <c r="Z12" s="80">
        <v>0</v>
      </c>
      <c r="AA12" s="80">
        <v>384</v>
      </c>
      <c r="AB12" s="80">
        <v>0</v>
      </c>
      <c r="AC12" s="26">
        <f t="shared" si="10"/>
        <v>384</v>
      </c>
      <c r="AD12" s="46">
        <f t="shared" si="11"/>
        <v>357.89739520682338</v>
      </c>
      <c r="AE12" s="22">
        <f t="shared" si="12"/>
        <v>-26.102604793176624</v>
      </c>
      <c r="AF12" s="22">
        <f t="shared" si="13"/>
        <v>196.25831928474628</v>
      </c>
      <c r="AG12" s="55">
        <f t="shared" si="14"/>
        <v>384</v>
      </c>
      <c r="AH12">
        <f t="shared" si="15"/>
        <v>4.5162264212755482E-3</v>
      </c>
      <c r="AI12" s="1">
        <f t="shared" si="16"/>
        <v>471.8146904570778</v>
      </c>
      <c r="AJ12" s="2">
        <v>462</v>
      </c>
      <c r="AK12" s="1">
        <f t="shared" si="17"/>
        <v>9.814690457077802</v>
      </c>
      <c r="AL12">
        <f t="shared" si="18"/>
        <v>0</v>
      </c>
      <c r="AM12">
        <f t="shared" si="19"/>
        <v>0</v>
      </c>
      <c r="AN12" s="1">
        <f t="shared" si="20"/>
        <v>0</v>
      </c>
      <c r="AO12" s="8">
        <v>654</v>
      </c>
      <c r="AP12" s="1">
        <f t="shared" si="21"/>
        <v>-654</v>
      </c>
      <c r="AQ12" s="69">
        <f t="shared" si="22"/>
        <v>1</v>
      </c>
      <c r="AR12">
        <f t="shared" si="23"/>
        <v>4.5074569756942988E-3</v>
      </c>
      <c r="AS12" s="1">
        <f t="shared" si="24"/>
        <v>127.46493002757254</v>
      </c>
      <c r="AT12" s="8">
        <v>0</v>
      </c>
      <c r="AU12" s="1">
        <f t="shared" si="25"/>
        <v>127.46493002757254</v>
      </c>
      <c r="AV12" s="82">
        <f t="shared" si="26"/>
        <v>0.96440000000000003</v>
      </c>
      <c r="AW12" s="82">
        <f t="shared" si="27"/>
        <v>7.1467701006844506E-3</v>
      </c>
      <c r="AX12" s="49">
        <f t="shared" si="28"/>
        <v>664.0774489493931</v>
      </c>
      <c r="AY12" s="8">
        <v>1078</v>
      </c>
      <c r="AZ12" s="49">
        <f t="shared" si="29"/>
        <v>-413.9225510506069</v>
      </c>
    </row>
    <row r="13" spans="1:52" x14ac:dyDescent="0.2">
      <c r="A13" s="48" t="s">
        <v>146</v>
      </c>
      <c r="B13" s="21">
        <v>0</v>
      </c>
      <c r="C13" s="21">
        <v>3079</v>
      </c>
      <c r="D13" s="21">
        <f t="shared" si="0"/>
        <v>6921</v>
      </c>
      <c r="E13" s="21">
        <v>0.15529999999999999</v>
      </c>
      <c r="F13" s="21">
        <v>0.93159999999999998</v>
      </c>
      <c r="G13" s="21">
        <v>0.96160000000000001</v>
      </c>
      <c r="H13" s="21">
        <v>1</v>
      </c>
      <c r="I13" s="21">
        <v>0</v>
      </c>
      <c r="J13" s="21">
        <v>0</v>
      </c>
      <c r="K13" s="21">
        <v>0</v>
      </c>
      <c r="L13" s="21">
        <v>0</v>
      </c>
      <c r="M13" s="21">
        <v>1</v>
      </c>
      <c r="N13" s="88">
        <f t="shared" si="1"/>
        <v>1.6619909502262444</v>
      </c>
      <c r="O13" s="63">
        <v>1</v>
      </c>
      <c r="P13" s="44">
        <f t="shared" si="2"/>
        <v>4.5074569756942988E-3</v>
      </c>
      <c r="Q13" s="44">
        <f t="shared" si="3"/>
        <v>2.2390667158413726E-2</v>
      </c>
      <c r="R13" s="41">
        <v>2</v>
      </c>
      <c r="S13" s="4">
        <f t="shared" si="4"/>
        <v>5.0134197579886704E-4</v>
      </c>
      <c r="T13" s="4">
        <f t="shared" si="5"/>
        <v>2.4872668235043735E-2</v>
      </c>
      <c r="U13" s="4">
        <f t="shared" si="6"/>
        <v>1.1211248194017788E-4</v>
      </c>
      <c r="V13" s="28">
        <f t="shared" si="7"/>
        <v>5.9435614202461703E-3</v>
      </c>
      <c r="W13" s="80">
        <v>0</v>
      </c>
      <c r="X13" s="46">
        <f t="shared" si="8"/>
        <v>292.63719008724047</v>
      </c>
      <c r="Y13" s="86">
        <f t="shared" si="9"/>
        <v>292.63719008724047</v>
      </c>
      <c r="Z13" s="80">
        <v>0</v>
      </c>
      <c r="AA13" s="80">
        <v>644</v>
      </c>
      <c r="AB13" s="80">
        <v>0</v>
      </c>
      <c r="AC13" s="26">
        <f t="shared" si="10"/>
        <v>644</v>
      </c>
      <c r="AD13" s="46">
        <f t="shared" si="11"/>
        <v>471.00941187024824</v>
      </c>
      <c r="AE13" s="22">
        <f t="shared" si="12"/>
        <v>-172.99058812975176</v>
      </c>
      <c r="AF13" s="22">
        <f t="shared" si="13"/>
        <v>119.64660195748871</v>
      </c>
      <c r="AG13" s="55">
        <f t="shared" si="14"/>
        <v>644</v>
      </c>
      <c r="AH13">
        <f t="shared" si="15"/>
        <v>5.9435614202461712E-3</v>
      </c>
      <c r="AI13" s="1">
        <f t="shared" si="16"/>
        <v>620.92980513453779</v>
      </c>
      <c r="AJ13" s="2">
        <v>0</v>
      </c>
      <c r="AK13" s="1">
        <f t="shared" si="17"/>
        <v>620.92980513453779</v>
      </c>
      <c r="AL13">
        <f t="shared" si="18"/>
        <v>0</v>
      </c>
      <c r="AM13">
        <f t="shared" si="19"/>
        <v>0</v>
      </c>
      <c r="AN13" s="1">
        <f t="shared" si="20"/>
        <v>0</v>
      </c>
      <c r="AO13" s="8">
        <v>0</v>
      </c>
      <c r="AP13" s="1">
        <f t="shared" si="21"/>
        <v>0</v>
      </c>
      <c r="AQ13" s="69">
        <f t="shared" si="22"/>
        <v>1</v>
      </c>
      <c r="AR13">
        <f t="shared" si="23"/>
        <v>4.5074569756942988E-3</v>
      </c>
      <c r="AS13" s="1">
        <f t="shared" si="24"/>
        <v>127.46493002757254</v>
      </c>
      <c r="AT13" s="8">
        <v>0</v>
      </c>
      <c r="AU13" s="1">
        <f t="shared" si="25"/>
        <v>127.46493002757254</v>
      </c>
      <c r="AV13" s="82">
        <f t="shared" si="26"/>
        <v>0.96440000000000003</v>
      </c>
      <c r="AW13" s="82">
        <f t="shared" si="27"/>
        <v>4.8893982230673793E-3</v>
      </c>
      <c r="AX13" s="49">
        <f t="shared" si="28"/>
        <v>454.32258952352754</v>
      </c>
      <c r="AY13" s="8">
        <v>237</v>
      </c>
      <c r="AZ13" s="1">
        <f t="shared" si="29"/>
        <v>217.32258952352754</v>
      </c>
    </row>
    <row r="14" spans="1:52" x14ac:dyDescent="0.2">
      <c r="A14" s="48" t="s">
        <v>19</v>
      </c>
      <c r="B14" s="21">
        <v>1</v>
      </c>
      <c r="C14" s="21">
        <v>7042</v>
      </c>
      <c r="D14" s="21">
        <f t="shared" si="0"/>
        <v>2958</v>
      </c>
      <c r="E14" s="21">
        <v>1</v>
      </c>
      <c r="F14" s="21">
        <v>0.93159999999999998</v>
      </c>
      <c r="G14" s="21">
        <v>0.96160000000000001</v>
      </c>
      <c r="H14" s="21">
        <v>1</v>
      </c>
      <c r="I14" s="21">
        <v>0</v>
      </c>
      <c r="J14" s="66">
        <f>$AD$59</f>
        <v>6.133333333333332</v>
      </c>
      <c r="K14" s="24">
        <v>6</v>
      </c>
      <c r="L14" s="24">
        <v>7.9</v>
      </c>
      <c r="M14" s="21">
        <v>3</v>
      </c>
      <c r="N14" s="88">
        <f t="shared" si="1"/>
        <v>0.5860633484162896</v>
      </c>
      <c r="O14" s="63">
        <f>(SUM(I14:L14) / M14) *((R14 + 1) * N14 / 3)</f>
        <v>3.9136008044243336</v>
      </c>
      <c r="P14" s="13">
        <f t="shared" si="2"/>
        <v>1.7640387245985281E-2</v>
      </c>
      <c r="Q14" s="13">
        <f t="shared" si="3"/>
        <v>9.5696566182036993E-3</v>
      </c>
      <c r="R14" s="41">
        <v>2</v>
      </c>
      <c r="S14" s="13">
        <f t="shared" si="4"/>
        <v>9.1578327790329869E-5</v>
      </c>
      <c r="T14" s="13">
        <f t="shared" si="5"/>
        <v>4.5434004623678033E-3</v>
      </c>
      <c r="U14" s="13">
        <f t="shared" si="6"/>
        <v>8.0147343569756633E-5</v>
      </c>
      <c r="V14" s="31">
        <f t="shared" si="7"/>
        <v>4.2489529348801848E-3</v>
      </c>
      <c r="W14" s="80">
        <v>1219</v>
      </c>
      <c r="X14" s="46">
        <f t="shared" si="8"/>
        <v>209.20144670176077</v>
      </c>
      <c r="Y14" s="86">
        <f t="shared" si="9"/>
        <v>-1009.7985532982392</v>
      </c>
      <c r="Z14" s="80">
        <v>0</v>
      </c>
      <c r="AA14" s="80">
        <v>0</v>
      </c>
      <c r="AB14" s="80">
        <v>0</v>
      </c>
      <c r="AC14" s="26">
        <f t="shared" si="10"/>
        <v>0</v>
      </c>
      <c r="AD14" s="46">
        <f t="shared" si="11"/>
        <v>336.71677323045003</v>
      </c>
      <c r="AE14" s="22">
        <f t="shared" si="12"/>
        <v>336.71677323045003</v>
      </c>
      <c r="AF14" s="22">
        <f t="shared" si="13"/>
        <v>-673.08178006778917</v>
      </c>
      <c r="AG14" s="55">
        <f t="shared" si="14"/>
        <v>1219</v>
      </c>
      <c r="AH14">
        <f t="shared" si="15"/>
        <v>4.2489529348801848E-3</v>
      </c>
      <c r="AI14" s="1">
        <f t="shared" si="16"/>
        <v>443.89236205986776</v>
      </c>
      <c r="AJ14" s="2">
        <v>135</v>
      </c>
      <c r="AK14" s="1">
        <f t="shared" si="17"/>
        <v>308.89236205986776</v>
      </c>
      <c r="AL14">
        <f t="shared" si="18"/>
        <v>3.9136008044243336</v>
      </c>
      <c r="AM14">
        <f t="shared" si="19"/>
        <v>7.314784652114828E-2</v>
      </c>
      <c r="AN14" s="1">
        <f t="shared" si="20"/>
        <v>7701.371020979097</v>
      </c>
      <c r="AO14" s="8">
        <v>5149</v>
      </c>
      <c r="AP14" s="1">
        <f t="shared" si="21"/>
        <v>2552.371020979097</v>
      </c>
      <c r="AQ14" s="69">
        <f t="shared" si="22"/>
        <v>3.9136008044243336</v>
      </c>
      <c r="AR14">
        <f t="shared" si="23"/>
        <v>1.7640387245985281E-2</v>
      </c>
      <c r="AS14" s="1">
        <f t="shared" si="24"/>
        <v>498.84685269179926</v>
      </c>
      <c r="AT14" s="8">
        <v>813</v>
      </c>
      <c r="AU14" s="49">
        <f t="shared" si="25"/>
        <v>-314.15314730820074</v>
      </c>
      <c r="AV14" s="82">
        <f t="shared" si="26"/>
        <v>0.96440000000000003</v>
      </c>
      <c r="AW14" s="82">
        <f t="shared" si="27"/>
        <v>3.1483568725482164E-2</v>
      </c>
      <c r="AX14" s="49">
        <f t="shared" si="28"/>
        <v>2925.4513169576794</v>
      </c>
      <c r="AY14" s="8">
        <v>948</v>
      </c>
      <c r="AZ14" s="1">
        <f t="shared" si="29"/>
        <v>1977.4513169576794</v>
      </c>
    </row>
    <row r="15" spans="1:52" x14ac:dyDescent="0.2">
      <c r="A15" s="48" t="s">
        <v>40</v>
      </c>
      <c r="B15" s="3">
        <v>0</v>
      </c>
      <c r="C15" s="21">
        <v>4558</v>
      </c>
      <c r="D15" s="21">
        <f t="shared" si="0"/>
        <v>5442</v>
      </c>
      <c r="E15" s="21">
        <v>0.99570000000000003</v>
      </c>
      <c r="F15" s="21">
        <v>0.93159999999999998</v>
      </c>
      <c r="G15" s="21">
        <v>0.96160000000000001</v>
      </c>
      <c r="H15" s="21">
        <v>1</v>
      </c>
      <c r="I15" s="21">
        <v>0</v>
      </c>
      <c r="J15" s="66">
        <f>$AD$60</f>
        <v>3.6</v>
      </c>
      <c r="K15" s="24">
        <v>2.4</v>
      </c>
      <c r="L15" s="24">
        <v>6.8</v>
      </c>
      <c r="M15" s="21">
        <v>3</v>
      </c>
      <c r="N15" s="88">
        <f t="shared" si="1"/>
        <v>1.2604524886877828</v>
      </c>
      <c r="O15" s="63">
        <f>(SUM(I15:L15) / M15) *((R15 + 1) * N15 / 3)</f>
        <v>5.3779306184012068</v>
      </c>
      <c r="P15" s="13">
        <f t="shared" si="2"/>
        <v>2.424079088071247E-2</v>
      </c>
      <c r="Q15" s="13">
        <f t="shared" si="3"/>
        <v>1.7605838849311876E-2</v>
      </c>
      <c r="R15" s="41">
        <v>2</v>
      </c>
      <c r="S15" s="13">
        <f t="shared" si="4"/>
        <v>3.0996556158793934E-4</v>
      </c>
      <c r="T15" s="13">
        <f t="shared" si="5"/>
        <v>1.5378067167387691E-2</v>
      </c>
      <c r="U15" s="13">
        <f t="shared" si="6"/>
        <v>3.7277651035419538E-4</v>
      </c>
      <c r="V15" s="31">
        <f t="shared" si="7"/>
        <v>1.9762474676971523E-2</v>
      </c>
      <c r="W15" s="80">
        <v>0</v>
      </c>
      <c r="X15" s="46">
        <f t="shared" si="8"/>
        <v>973.02520319536984</v>
      </c>
      <c r="Y15" s="86">
        <f t="shared" si="9"/>
        <v>973.02520319536984</v>
      </c>
      <c r="Z15" s="80">
        <v>0</v>
      </c>
      <c r="AA15" s="80">
        <v>592</v>
      </c>
      <c r="AB15" s="80">
        <v>0</v>
      </c>
      <c r="AC15" s="26">
        <f t="shared" si="10"/>
        <v>592</v>
      </c>
      <c r="AD15" s="46">
        <f t="shared" si="11"/>
        <v>1566.1168307259622</v>
      </c>
      <c r="AE15" s="22">
        <f t="shared" si="12"/>
        <v>974.11683072596225</v>
      </c>
      <c r="AF15" s="22">
        <f t="shared" si="13"/>
        <v>1947.1420339213321</v>
      </c>
      <c r="AG15" s="55">
        <f t="shared" si="14"/>
        <v>592</v>
      </c>
      <c r="AH15">
        <f t="shared" si="15"/>
        <v>1.9762474676971523E-2</v>
      </c>
      <c r="AI15" s="1">
        <f t="shared" si="16"/>
        <v>2064.6054919778921</v>
      </c>
      <c r="AJ15" s="2">
        <v>592</v>
      </c>
      <c r="AK15" s="1">
        <f t="shared" si="17"/>
        <v>1472.6054919778921</v>
      </c>
      <c r="AL15">
        <f t="shared" si="18"/>
        <v>0</v>
      </c>
      <c r="AM15">
        <f t="shared" si="19"/>
        <v>0</v>
      </c>
      <c r="AN15" s="1">
        <f t="shared" si="20"/>
        <v>0</v>
      </c>
      <c r="AO15" s="8">
        <v>0</v>
      </c>
      <c r="AP15" s="1">
        <f t="shared" si="21"/>
        <v>0</v>
      </c>
      <c r="AQ15" s="69">
        <f t="shared" si="22"/>
        <v>5.3779306184012068</v>
      </c>
      <c r="AR15">
        <f t="shared" si="23"/>
        <v>2.424079088071247E-2</v>
      </c>
      <c r="AS15" s="1">
        <f t="shared" si="24"/>
        <v>685.49754996764955</v>
      </c>
      <c r="AT15" s="8">
        <v>1480</v>
      </c>
      <c r="AU15" s="1">
        <f t="shared" si="25"/>
        <v>-794.50245003235045</v>
      </c>
      <c r="AV15" s="82">
        <f t="shared" si="26"/>
        <v>0.96440000000000003</v>
      </c>
      <c r="AW15" s="82">
        <f t="shared" si="27"/>
        <v>3.1348189379962588E-2</v>
      </c>
      <c r="AX15" s="49">
        <f t="shared" si="28"/>
        <v>2912.871876294761</v>
      </c>
      <c r="AY15" s="8">
        <v>2072</v>
      </c>
      <c r="AZ15" s="1">
        <f t="shared" si="29"/>
        <v>840.87187629476102</v>
      </c>
    </row>
    <row r="16" spans="1:52" x14ac:dyDescent="0.2">
      <c r="A16" s="48" t="s">
        <v>152</v>
      </c>
      <c r="B16" s="71">
        <v>0</v>
      </c>
      <c r="C16" s="21">
        <v>6125</v>
      </c>
      <c r="D16" s="21">
        <f t="shared" si="0"/>
        <v>3875</v>
      </c>
      <c r="E16" s="21">
        <v>1</v>
      </c>
      <c r="F16" s="21">
        <v>0.93159999999999998</v>
      </c>
      <c r="G16" s="21">
        <v>0.96160000000000001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1</v>
      </c>
      <c r="N16" s="88">
        <f t="shared" si="1"/>
        <v>0.83502262443438913</v>
      </c>
      <c r="O16" s="63">
        <v>1</v>
      </c>
      <c r="P16" s="13">
        <f t="shared" si="2"/>
        <v>4.5074569756942988E-3</v>
      </c>
      <c r="Q16" s="21">
        <f t="shared" si="3"/>
        <v>1.2536314873407483E-2</v>
      </c>
      <c r="R16" s="41">
        <v>2</v>
      </c>
      <c r="S16" s="21">
        <f t="shared" si="4"/>
        <v>1.5715919060521768E-4</v>
      </c>
      <c r="T16" s="21">
        <f t="shared" si="5"/>
        <v>7.7970100185263905E-3</v>
      </c>
      <c r="U16" s="21">
        <f t="shared" si="6"/>
        <v>3.5144687197565116E-5</v>
      </c>
      <c r="V16" s="31">
        <f t="shared" si="7"/>
        <v>1.8631699462823977E-3</v>
      </c>
      <c r="W16" s="80">
        <v>547</v>
      </c>
      <c r="X16" s="46">
        <f t="shared" si="8"/>
        <v>91.735035475160132</v>
      </c>
      <c r="Y16" s="86">
        <f t="shared" si="9"/>
        <v>-455.26496452483985</v>
      </c>
      <c r="Z16" s="80">
        <v>0</v>
      </c>
      <c r="AA16" s="80">
        <v>683</v>
      </c>
      <c r="AB16" s="80">
        <v>0</v>
      </c>
      <c r="AC16" s="26">
        <f t="shared" si="10"/>
        <v>683</v>
      </c>
      <c r="AD16" s="46">
        <f t="shared" si="11"/>
        <v>147.65062873304117</v>
      </c>
      <c r="AE16" s="22">
        <f t="shared" si="12"/>
        <v>-535.34937126695877</v>
      </c>
      <c r="AF16" s="22">
        <f t="shared" si="13"/>
        <v>-990.61433579179857</v>
      </c>
      <c r="AG16" s="55">
        <f t="shared" si="14"/>
        <v>1230</v>
      </c>
      <c r="AH16">
        <f t="shared" si="15"/>
        <v>1.8631699462823977E-3</v>
      </c>
      <c r="AI16" s="1">
        <f t="shared" si="16"/>
        <v>194.64722745806839</v>
      </c>
      <c r="AJ16" s="2">
        <v>0</v>
      </c>
      <c r="AK16" s="1">
        <f t="shared" si="17"/>
        <v>194.64722745806839</v>
      </c>
      <c r="AL16">
        <f t="shared" si="18"/>
        <v>0</v>
      </c>
      <c r="AM16">
        <f t="shared" si="19"/>
        <v>0</v>
      </c>
      <c r="AN16" s="1">
        <f t="shared" si="20"/>
        <v>0</v>
      </c>
      <c r="AO16" s="8">
        <v>1230</v>
      </c>
      <c r="AP16" s="1">
        <f t="shared" si="21"/>
        <v>-1230</v>
      </c>
      <c r="AQ16" s="69">
        <f t="shared" si="22"/>
        <v>1</v>
      </c>
      <c r="AR16">
        <f t="shared" si="23"/>
        <v>4.5074569756942988E-3</v>
      </c>
      <c r="AS16" s="1">
        <f t="shared" si="24"/>
        <v>127.46493002757254</v>
      </c>
      <c r="AT16" s="8">
        <v>0</v>
      </c>
      <c r="AU16" s="1">
        <f t="shared" si="25"/>
        <v>127.46493002757254</v>
      </c>
      <c r="AV16" s="82">
        <f t="shared" si="26"/>
        <v>0.96440000000000003</v>
      </c>
      <c r="AW16" s="82">
        <f t="shared" si="27"/>
        <v>3.1483568725482164E-2</v>
      </c>
      <c r="AX16" s="49">
        <f t="shared" si="28"/>
        <v>2925.4513169576794</v>
      </c>
      <c r="AY16" s="8">
        <v>1366</v>
      </c>
      <c r="AZ16" s="1">
        <f t="shared" si="29"/>
        <v>1559.4513169576794</v>
      </c>
    </row>
    <row r="17" spans="1:52" x14ac:dyDescent="0.2">
      <c r="A17" s="48" t="s">
        <v>104</v>
      </c>
      <c r="B17" s="3">
        <v>1</v>
      </c>
      <c r="C17" s="21">
        <v>6114</v>
      </c>
      <c r="D17" s="21">
        <f t="shared" si="0"/>
        <v>3886</v>
      </c>
      <c r="E17" s="21">
        <v>0.20760000000000001</v>
      </c>
      <c r="F17" s="21">
        <v>0.93159999999999998</v>
      </c>
      <c r="G17" s="21">
        <v>0.96160000000000001</v>
      </c>
      <c r="H17" s="21">
        <v>1</v>
      </c>
      <c r="I17" s="24">
        <v>2.5</v>
      </c>
      <c r="J17" s="21">
        <v>0</v>
      </c>
      <c r="K17" s="21">
        <v>0</v>
      </c>
      <c r="L17" s="21">
        <v>0</v>
      </c>
      <c r="M17" s="21">
        <v>1</v>
      </c>
      <c r="N17" s="88">
        <f t="shared" si="1"/>
        <v>0.83800904977375568</v>
      </c>
      <c r="O17" s="63">
        <f>(SUM(I17:L17) / M17) *((R17 + 1) * N17 / 3)</f>
        <v>2.0950226244343892</v>
      </c>
      <c r="P17" s="13">
        <f t="shared" si="2"/>
        <v>9.4432243427441647E-3</v>
      </c>
      <c r="Q17" s="13">
        <f t="shared" si="3"/>
        <v>1.2571901831757801E-2</v>
      </c>
      <c r="R17" s="41">
        <v>2</v>
      </c>
      <c r="S17" s="13">
        <f t="shared" si="4"/>
        <v>1.5805271566735515E-4</v>
      </c>
      <c r="T17" s="13">
        <f t="shared" si="5"/>
        <v>7.8413397445478931E-3</v>
      </c>
      <c r="U17" s="13">
        <f t="shared" si="6"/>
        <v>7.4047530355441968E-5</v>
      </c>
      <c r="V17" s="31">
        <f t="shared" si="7"/>
        <v>3.9255757884295913E-3</v>
      </c>
      <c r="W17" s="80">
        <v>0</v>
      </c>
      <c r="X17" s="46">
        <f t="shared" si="8"/>
        <v>193.27964951911935</v>
      </c>
      <c r="Y17" s="86">
        <f t="shared" si="9"/>
        <v>193.27964951911935</v>
      </c>
      <c r="Z17" s="80">
        <v>0</v>
      </c>
      <c r="AA17" s="80">
        <v>1316</v>
      </c>
      <c r="AB17" s="80">
        <v>0</v>
      </c>
      <c r="AC17" s="26">
        <f t="shared" si="10"/>
        <v>1316</v>
      </c>
      <c r="AD17" s="46">
        <f t="shared" si="11"/>
        <v>311.09010450567985</v>
      </c>
      <c r="AE17" s="22">
        <f t="shared" si="12"/>
        <v>-1004.9098954943202</v>
      </c>
      <c r="AF17" s="22">
        <f t="shared" si="13"/>
        <v>-811.63024597520075</v>
      </c>
      <c r="AG17" s="55">
        <f t="shared" si="14"/>
        <v>1316</v>
      </c>
      <c r="AH17">
        <f t="shared" si="15"/>
        <v>3.9255757884295913E-3</v>
      </c>
      <c r="AI17" s="1">
        <f t="shared" si="16"/>
        <v>410.10882819302782</v>
      </c>
      <c r="AJ17" s="2">
        <v>564</v>
      </c>
      <c r="AK17" s="49">
        <f t="shared" si="17"/>
        <v>-153.89117180697218</v>
      </c>
      <c r="AL17">
        <f t="shared" si="18"/>
        <v>2.0950226244343892</v>
      </c>
      <c r="AM17">
        <f t="shared" si="19"/>
        <v>3.9157390098963241E-2</v>
      </c>
      <c r="AN17" s="1">
        <f t="shared" si="20"/>
        <v>4122.6858165693448</v>
      </c>
      <c r="AO17" s="8">
        <v>2556</v>
      </c>
      <c r="AP17" s="1">
        <f t="shared" si="21"/>
        <v>1566.6858165693448</v>
      </c>
      <c r="AQ17" s="69">
        <f t="shared" si="22"/>
        <v>2.0950226244343892</v>
      </c>
      <c r="AR17">
        <f t="shared" si="23"/>
        <v>9.4432243427441647E-3</v>
      </c>
      <c r="AS17" s="1">
        <f t="shared" si="24"/>
        <v>267.04191222971076</v>
      </c>
      <c r="AT17" s="8">
        <v>376</v>
      </c>
      <c r="AU17" s="1">
        <f t="shared" si="25"/>
        <v>-108.95808777028924</v>
      </c>
      <c r="AV17" s="82">
        <f t="shared" si="26"/>
        <v>0.96440000000000003</v>
      </c>
      <c r="AW17" s="82">
        <f t="shared" si="27"/>
        <v>6.5359888674100973E-3</v>
      </c>
      <c r="AX17" s="49">
        <f t="shared" si="28"/>
        <v>607.32369340041419</v>
      </c>
      <c r="AY17" s="8">
        <v>1629</v>
      </c>
      <c r="AZ17" s="1">
        <f t="shared" si="29"/>
        <v>-1021.6763065995858</v>
      </c>
    </row>
    <row r="18" spans="1:52" x14ac:dyDescent="0.2">
      <c r="A18" s="48" t="s">
        <v>20</v>
      </c>
      <c r="B18" s="21">
        <v>1</v>
      </c>
      <c r="C18" s="21">
        <v>5103</v>
      </c>
      <c r="D18" s="21">
        <f t="shared" si="0"/>
        <v>4897</v>
      </c>
      <c r="E18" s="21">
        <v>7.6E-3</v>
      </c>
      <c r="F18" s="21">
        <v>0.93159999999999998</v>
      </c>
      <c r="G18" s="21">
        <v>0.96160000000000001</v>
      </c>
      <c r="H18" s="21">
        <v>1</v>
      </c>
      <c r="I18" s="24">
        <v>3.2</v>
      </c>
      <c r="J18" s="66">
        <f>$AD$61</f>
        <v>7.8666666666666663</v>
      </c>
      <c r="K18" s="24">
        <v>13.7</v>
      </c>
      <c r="L18" s="24">
        <v>6</v>
      </c>
      <c r="M18" s="21">
        <v>3</v>
      </c>
      <c r="N18" s="88">
        <f t="shared" si="1"/>
        <v>1.1124886877828053</v>
      </c>
      <c r="O18" s="63">
        <f>(SUM(I18:L18) / M18) *((R18 + 1) * N18 / 3)</f>
        <v>11.409189542483658</v>
      </c>
      <c r="P18" s="13">
        <f t="shared" si="2"/>
        <v>5.1426430990286404E-2</v>
      </c>
      <c r="Q18" s="13">
        <f t="shared" si="3"/>
        <v>1.5842666821955211E-2</v>
      </c>
      <c r="R18" s="41">
        <v>2</v>
      </c>
      <c r="S18" s="13">
        <f t="shared" si="4"/>
        <v>2.509900920314804E-4</v>
      </c>
      <c r="T18" s="13">
        <f t="shared" si="5"/>
        <v>1.2452165569089804E-2</v>
      </c>
      <c r="U18" s="13">
        <f t="shared" si="6"/>
        <v>6.403704333184172E-4</v>
      </c>
      <c r="V18" s="31">
        <f t="shared" si="7"/>
        <v>3.3948771236449432E-2</v>
      </c>
      <c r="W18" s="80">
        <v>2497</v>
      </c>
      <c r="X18" s="46">
        <f t="shared" si="8"/>
        <v>1671.5017005978243</v>
      </c>
      <c r="Y18" s="86">
        <f t="shared" si="9"/>
        <v>-825.49829940217569</v>
      </c>
      <c r="Z18" s="80">
        <v>0</v>
      </c>
      <c r="AA18" s="80">
        <f>8067-4802</f>
        <v>3265</v>
      </c>
      <c r="AB18" s="80">
        <v>0</v>
      </c>
      <c r="AC18" s="26">
        <f t="shared" si="10"/>
        <v>3265</v>
      </c>
      <c r="AD18" s="46">
        <f t="shared" si="11"/>
        <v>2690.3382741749083</v>
      </c>
      <c r="AE18" s="22">
        <f t="shared" si="12"/>
        <v>-574.66172582509171</v>
      </c>
      <c r="AF18" s="22">
        <f t="shared" si="13"/>
        <v>-1400.1600252272674</v>
      </c>
      <c r="AG18" s="55">
        <f t="shared" si="14"/>
        <v>5762</v>
      </c>
      <c r="AH18">
        <f t="shared" si="15"/>
        <v>3.3948771236449432E-2</v>
      </c>
      <c r="AI18" s="1">
        <f t="shared" si="16"/>
        <v>3546.6620798431086</v>
      </c>
      <c r="AJ18" s="2">
        <v>8067</v>
      </c>
      <c r="AK18" s="49">
        <f t="shared" si="17"/>
        <v>-4520.3379201568914</v>
      </c>
      <c r="AL18">
        <f t="shared" si="18"/>
        <v>11.409189542483658</v>
      </c>
      <c r="AM18">
        <f t="shared" si="19"/>
        <v>0.2132454706777491</v>
      </c>
      <c r="AN18" s="1">
        <f t="shared" si="20"/>
        <v>22451.549380306813</v>
      </c>
      <c r="AO18" s="8">
        <v>0</v>
      </c>
      <c r="AP18" s="74">
        <f t="shared" si="21"/>
        <v>22451.549380306813</v>
      </c>
      <c r="AQ18" s="69">
        <f t="shared" si="22"/>
        <v>11.409189542483658</v>
      </c>
      <c r="AR18">
        <f t="shared" si="23"/>
        <v>5.1426430990286404E-2</v>
      </c>
      <c r="AS18" s="1">
        <f t="shared" si="24"/>
        <v>1454.2715467039916</v>
      </c>
      <c r="AT18" s="8">
        <v>3073</v>
      </c>
      <c r="AU18" s="49">
        <f t="shared" si="25"/>
        <v>-1618.7284532960084</v>
      </c>
      <c r="AV18" s="82">
        <f t="shared" si="26"/>
        <v>0.96440000000000003</v>
      </c>
      <c r="AW18" s="82">
        <f t="shared" si="27"/>
        <v>2.3927512231366443E-4</v>
      </c>
      <c r="AX18" s="49">
        <f t="shared" si="28"/>
        <v>22.233430008878361</v>
      </c>
      <c r="AY18" s="8">
        <v>192</v>
      </c>
      <c r="AZ18" s="49">
        <f t="shared" si="29"/>
        <v>-169.76656999112163</v>
      </c>
    </row>
    <row r="19" spans="1:52" x14ac:dyDescent="0.2">
      <c r="A19" s="24" t="s">
        <v>17</v>
      </c>
      <c r="B19" s="21">
        <v>0</v>
      </c>
      <c r="C19" s="21">
        <v>3233</v>
      </c>
      <c r="D19" s="21">
        <f t="shared" si="0"/>
        <v>6767</v>
      </c>
      <c r="E19" s="21">
        <v>0.31609999999999999</v>
      </c>
      <c r="F19" s="21">
        <v>0.93159999999999998</v>
      </c>
      <c r="G19" s="21">
        <v>0.96160000000000001</v>
      </c>
      <c r="H19" s="21">
        <v>1</v>
      </c>
      <c r="I19" s="24">
        <v>1.3</v>
      </c>
      <c r="J19" s="21">
        <v>0</v>
      </c>
      <c r="K19" s="21">
        <v>0</v>
      </c>
      <c r="L19" s="21">
        <v>0</v>
      </c>
      <c r="M19" s="21">
        <v>1</v>
      </c>
      <c r="N19" s="88">
        <f t="shared" si="1"/>
        <v>1.6201809954751132</v>
      </c>
      <c r="O19" s="63">
        <f>(SUM(I19:L19) / M19) *((R19 + 1) * N19 / 3)</f>
        <v>2.1062352941176474</v>
      </c>
      <c r="P19" s="75">
        <f t="shared" si="2"/>
        <v>9.4937649689241215E-3</v>
      </c>
      <c r="Q19" s="75">
        <f t="shared" si="3"/>
        <v>2.1892449741509275E-2</v>
      </c>
      <c r="R19" s="41">
        <v>2</v>
      </c>
      <c r="S19" s="4">
        <f t="shared" si="4"/>
        <v>4.7927935568450956E-4</v>
      </c>
      <c r="T19" s="4">
        <f t="shared" si="5"/>
        <v>2.3778093559492588E-2</v>
      </c>
      <c r="U19" s="4">
        <f t="shared" si="6"/>
        <v>2.2574363166291101E-4</v>
      </c>
      <c r="V19" s="28">
        <f t="shared" si="7"/>
        <v>1.1967633904794552E-2</v>
      </c>
      <c r="W19" s="80">
        <v>2316</v>
      </c>
      <c r="X19" s="46">
        <f t="shared" si="8"/>
        <v>589.23842293646453</v>
      </c>
      <c r="Y19" s="86">
        <f t="shared" si="9"/>
        <v>-1726.7615770635355</v>
      </c>
      <c r="Z19" s="80">
        <v>0</v>
      </c>
      <c r="AA19" s="80">
        <v>379</v>
      </c>
      <c r="AB19" s="80">
        <v>295</v>
      </c>
      <c r="AC19" s="26">
        <f t="shared" si="10"/>
        <v>674</v>
      </c>
      <c r="AD19" s="46">
        <f t="shared" si="11"/>
        <v>948.39908405325389</v>
      </c>
      <c r="AE19" s="22">
        <f t="shared" si="12"/>
        <v>274.39908405325389</v>
      </c>
      <c r="AF19" s="22">
        <f t="shared" si="13"/>
        <v>-1452.3624930102815</v>
      </c>
      <c r="AG19" s="55">
        <f t="shared" si="14"/>
        <v>2990</v>
      </c>
      <c r="AH19">
        <f t="shared" si="15"/>
        <v>1.1967633904794552E-2</v>
      </c>
      <c r="AI19" s="1">
        <f t="shared" si="16"/>
        <v>1250.2706816677917</v>
      </c>
      <c r="AJ19" s="2">
        <v>842</v>
      </c>
      <c r="AK19" s="1">
        <f t="shared" si="17"/>
        <v>408.27068166779168</v>
      </c>
      <c r="AL19">
        <f t="shared" si="18"/>
        <v>0</v>
      </c>
      <c r="AM19">
        <f t="shared" si="19"/>
        <v>0</v>
      </c>
      <c r="AN19" s="1">
        <f t="shared" si="20"/>
        <v>0</v>
      </c>
      <c r="AO19" s="8">
        <v>0</v>
      </c>
      <c r="AP19" s="1">
        <f t="shared" si="21"/>
        <v>0</v>
      </c>
      <c r="AQ19" s="69">
        <f t="shared" si="22"/>
        <v>2.1062352941176474</v>
      </c>
      <c r="AR19">
        <f t="shared" si="23"/>
        <v>9.4937649689241215E-3</v>
      </c>
      <c r="AS19" s="1">
        <f t="shared" si="24"/>
        <v>268.47113438630953</v>
      </c>
      <c r="AT19" s="8">
        <v>379</v>
      </c>
      <c r="AU19" s="1">
        <f t="shared" si="25"/>
        <v>-110.52886561369047</v>
      </c>
      <c r="AV19" s="82">
        <f t="shared" si="26"/>
        <v>0.96440000000000003</v>
      </c>
      <c r="AW19" s="82">
        <f t="shared" si="27"/>
        <v>9.9519560741249107E-3</v>
      </c>
      <c r="AX19" s="49">
        <f t="shared" si="28"/>
        <v>924.73516129032225</v>
      </c>
      <c r="AY19" s="8">
        <v>1600</v>
      </c>
      <c r="AZ19" s="1">
        <f t="shared" si="29"/>
        <v>-675.26483870967775</v>
      </c>
    </row>
    <row r="20" spans="1:52" x14ac:dyDescent="0.2">
      <c r="A20" s="48" t="s">
        <v>145</v>
      </c>
      <c r="B20" s="21">
        <v>0</v>
      </c>
      <c r="C20" s="21">
        <v>2825</v>
      </c>
      <c r="D20" s="21">
        <f t="shared" si="0"/>
        <v>7175</v>
      </c>
      <c r="E20" s="21">
        <v>0.38159999999999999</v>
      </c>
      <c r="F20" s="21">
        <v>0.93159999999999998</v>
      </c>
      <c r="G20" s="21">
        <v>0.96160000000000001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1</v>
      </c>
      <c r="N20" s="88">
        <f t="shared" si="1"/>
        <v>1.7309502262443439</v>
      </c>
      <c r="O20" s="63">
        <v>1</v>
      </c>
      <c r="P20" s="44">
        <f t="shared" si="2"/>
        <v>4.5074569756942988E-3</v>
      </c>
      <c r="Q20" s="44">
        <f t="shared" si="3"/>
        <v>2.3212402378502889E-2</v>
      </c>
      <c r="R20" s="41">
        <v>2</v>
      </c>
      <c r="S20" s="13">
        <f t="shared" si="4"/>
        <v>5.3881562418152656E-4</v>
      </c>
      <c r="T20" s="13">
        <f t="shared" si="5"/>
        <v>2.6731817615650376E-2</v>
      </c>
      <c r="U20" s="13">
        <f t="shared" si="6"/>
        <v>1.2049251778465102E-4</v>
      </c>
      <c r="V20" s="31">
        <f t="shared" si="7"/>
        <v>6.3878229055290246E-3</v>
      </c>
      <c r="W20" s="80">
        <v>0</v>
      </c>
      <c r="X20" s="46">
        <f t="shared" si="8"/>
        <v>314.51084857662704</v>
      </c>
      <c r="Y20" s="86">
        <f t="shared" si="9"/>
        <v>314.51084857662704</v>
      </c>
      <c r="Z20" s="80">
        <v>0</v>
      </c>
      <c r="AA20" s="80">
        <v>268</v>
      </c>
      <c r="AB20" s="80">
        <v>0</v>
      </c>
      <c r="AC20" s="26">
        <f t="shared" si="10"/>
        <v>268</v>
      </c>
      <c r="AD20" s="46">
        <f t="shared" si="11"/>
        <v>506.21580179445863</v>
      </c>
      <c r="AE20" s="22">
        <f t="shared" si="12"/>
        <v>238.21580179445863</v>
      </c>
      <c r="AF20" s="22">
        <f t="shared" si="13"/>
        <v>552.72665037108573</v>
      </c>
      <c r="AG20" s="55">
        <f t="shared" si="14"/>
        <v>268</v>
      </c>
      <c r="AH20">
        <f t="shared" si="15"/>
        <v>6.3878229055290246E-3</v>
      </c>
      <c r="AI20" s="1">
        <f t="shared" si="16"/>
        <v>667.34224676352278</v>
      </c>
      <c r="AJ20" s="2">
        <v>0</v>
      </c>
      <c r="AK20" s="1">
        <f t="shared" si="17"/>
        <v>667.34224676352278</v>
      </c>
      <c r="AL20">
        <f t="shared" si="18"/>
        <v>0</v>
      </c>
      <c r="AM20">
        <f t="shared" si="19"/>
        <v>0</v>
      </c>
      <c r="AN20" s="1">
        <f t="shared" si="20"/>
        <v>0</v>
      </c>
      <c r="AO20" s="8">
        <v>974</v>
      </c>
      <c r="AP20" s="1">
        <f t="shared" si="21"/>
        <v>-974</v>
      </c>
      <c r="AQ20" s="69">
        <f t="shared" si="22"/>
        <v>1</v>
      </c>
      <c r="AR20">
        <f t="shared" si="23"/>
        <v>4.5074569756942988E-3</v>
      </c>
      <c r="AS20" s="1">
        <f t="shared" si="24"/>
        <v>127.46493002757254</v>
      </c>
      <c r="AT20" s="8">
        <v>0</v>
      </c>
      <c r="AU20" s="1">
        <f t="shared" si="25"/>
        <v>127.46493002757254</v>
      </c>
      <c r="AV20" s="82">
        <f t="shared" si="26"/>
        <v>0.96440000000000003</v>
      </c>
      <c r="AW20" s="82">
        <f t="shared" si="27"/>
        <v>1.2014129825643993E-2</v>
      </c>
      <c r="AX20" s="49">
        <f t="shared" si="28"/>
        <v>1116.3522225510503</v>
      </c>
      <c r="AY20" s="8">
        <v>0</v>
      </c>
      <c r="AZ20" s="1">
        <f t="shared" si="29"/>
        <v>1116.3522225510503</v>
      </c>
    </row>
    <row r="21" spans="1:52" x14ac:dyDescent="0.2">
      <c r="A21" s="24" t="s">
        <v>8</v>
      </c>
      <c r="B21" s="3">
        <v>0</v>
      </c>
      <c r="C21" s="21">
        <v>3143</v>
      </c>
      <c r="D21" s="21">
        <f t="shared" si="0"/>
        <v>6857</v>
      </c>
      <c r="E21" s="21">
        <v>0.86509999999999998</v>
      </c>
      <c r="F21" s="21">
        <v>0.93159999999999998</v>
      </c>
      <c r="G21" s="21">
        <v>0.96160000000000001</v>
      </c>
      <c r="H21" s="21">
        <v>1</v>
      </c>
      <c r="I21" s="24">
        <v>1.4</v>
      </c>
      <c r="J21" s="21">
        <v>0</v>
      </c>
      <c r="K21" s="21">
        <v>0</v>
      </c>
      <c r="L21" s="21">
        <v>0</v>
      </c>
      <c r="M21" s="21">
        <v>1</v>
      </c>
      <c r="N21" s="88">
        <f t="shared" si="1"/>
        <v>1.6446153846153846</v>
      </c>
      <c r="O21" s="63">
        <f>(SUM(I21:L21) / M21) *((R21 + 1) * N21 / 3)</f>
        <v>2.3024615384615381</v>
      </c>
      <c r="P21" s="44">
        <f t="shared" si="2"/>
        <v>1.0378246322806286E-2</v>
      </c>
      <c r="Q21" s="44">
        <f t="shared" si="3"/>
        <v>2.2183615764375515E-2</v>
      </c>
      <c r="R21" s="41">
        <v>2</v>
      </c>
      <c r="S21" s="13">
        <f t="shared" si="4"/>
        <v>4.9211280838144984E-4</v>
      </c>
      <c r="T21" s="13">
        <f t="shared" si="5"/>
        <v>2.4414789121902831E-2</v>
      </c>
      <c r="U21" s="13">
        <f t="shared" si="6"/>
        <v>2.5338269542647896E-4</v>
      </c>
      <c r="V21" s="31">
        <f t="shared" si="7"/>
        <v>1.3432898701666337E-2</v>
      </c>
      <c r="W21" s="80">
        <v>405</v>
      </c>
      <c r="X21" s="46">
        <f t="shared" si="8"/>
        <v>661.38220047524374</v>
      </c>
      <c r="Y21" s="86">
        <f t="shared" si="9"/>
        <v>256.38220047524374</v>
      </c>
      <c r="Z21" s="80">
        <v>0</v>
      </c>
      <c r="AA21" s="80">
        <v>1013</v>
      </c>
      <c r="AB21" s="80">
        <v>0</v>
      </c>
      <c r="AC21" s="26">
        <f t="shared" si="10"/>
        <v>1013</v>
      </c>
      <c r="AD21" s="46">
        <f t="shared" si="11"/>
        <v>1064.5169234109521</v>
      </c>
      <c r="AE21" s="22">
        <f t="shared" si="12"/>
        <v>51.516923410952131</v>
      </c>
      <c r="AF21" s="22">
        <f t="shared" si="13"/>
        <v>307.89912388619587</v>
      </c>
      <c r="AG21" s="55">
        <f t="shared" si="14"/>
        <v>1418</v>
      </c>
      <c r="AH21">
        <f t="shared" si="15"/>
        <v>1.3432898701666337E-2</v>
      </c>
      <c r="AI21" s="1">
        <f t="shared" si="16"/>
        <v>1403.3483602617839</v>
      </c>
      <c r="AJ21" s="2">
        <v>1013</v>
      </c>
      <c r="AK21" s="1">
        <f t="shared" si="17"/>
        <v>390.34836026178391</v>
      </c>
      <c r="AL21">
        <f t="shared" si="18"/>
        <v>0</v>
      </c>
      <c r="AM21">
        <f t="shared" si="19"/>
        <v>0</v>
      </c>
      <c r="AN21" s="1">
        <f t="shared" si="20"/>
        <v>0</v>
      </c>
      <c r="AO21" s="8">
        <v>2127</v>
      </c>
      <c r="AP21" s="1">
        <f t="shared" si="21"/>
        <v>-2127</v>
      </c>
      <c r="AQ21" s="69">
        <f t="shared" si="22"/>
        <v>2.3024615384615381</v>
      </c>
      <c r="AR21">
        <f t="shared" si="23"/>
        <v>1.0378246322806286E-2</v>
      </c>
      <c r="AS21" s="1">
        <f t="shared" si="24"/>
        <v>293.48309889117695</v>
      </c>
      <c r="AT21" s="8">
        <v>405</v>
      </c>
      <c r="AU21" s="1">
        <f t="shared" si="25"/>
        <v>-111.51690110882305</v>
      </c>
      <c r="AV21" s="82">
        <f t="shared" si="26"/>
        <v>0.96440000000000003</v>
      </c>
      <c r="AW21" s="82">
        <f t="shared" si="27"/>
        <v>2.7236435304414618E-2</v>
      </c>
      <c r="AX21" s="49">
        <f t="shared" si="28"/>
        <v>2530.8079343000882</v>
      </c>
      <c r="AY21" s="8">
        <v>101</v>
      </c>
      <c r="AZ21" s="1">
        <f t="shared" si="29"/>
        <v>2429.8079343000882</v>
      </c>
    </row>
    <row r="22" spans="1:52" x14ac:dyDescent="0.2">
      <c r="A22" s="2" t="s">
        <v>80</v>
      </c>
      <c r="B22" s="3">
        <v>0</v>
      </c>
      <c r="C22" s="3">
        <v>4296</v>
      </c>
      <c r="D22" s="21">
        <f t="shared" si="0"/>
        <v>5704</v>
      </c>
      <c r="E22" s="21">
        <v>0.96540000000000004</v>
      </c>
      <c r="F22" s="21">
        <v>0.93159999999999998</v>
      </c>
      <c r="G22" s="21">
        <v>0.96160000000000001</v>
      </c>
      <c r="H22" s="21">
        <v>1</v>
      </c>
      <c r="I22" s="21">
        <v>0</v>
      </c>
      <c r="J22" s="21">
        <v>0</v>
      </c>
      <c r="K22" s="24">
        <v>1.1000000000000001</v>
      </c>
      <c r="L22" s="21">
        <v>0</v>
      </c>
      <c r="M22" s="21">
        <v>1</v>
      </c>
      <c r="N22" s="88">
        <f t="shared" si="1"/>
        <v>1.3315837104072399</v>
      </c>
      <c r="O22" s="63">
        <f>(SUM(I22:L22) / M22) *((R22 + 1) * N22 / 3)</f>
        <v>1.4647420814479639</v>
      </c>
      <c r="P22" s="45">
        <f t="shared" si="2"/>
        <v>6.6022619126156114E-3</v>
      </c>
      <c r="Q22" s="44">
        <f t="shared" si="3"/>
        <v>1.8453455493655815E-2</v>
      </c>
      <c r="R22" s="41">
        <v>2</v>
      </c>
      <c r="S22" s="13">
        <f t="shared" si="4"/>
        <v>3.4053001965633599E-4</v>
      </c>
      <c r="T22" s="13">
        <f t="shared" si="5"/>
        <v>1.6894436555982686E-2</v>
      </c>
      <c r="U22" s="13">
        <f t="shared" si="6"/>
        <v>1.1154149500866535E-4</v>
      </c>
      <c r="V22" s="31">
        <f t="shared" si="7"/>
        <v>5.9132909647279927E-3</v>
      </c>
      <c r="W22" s="81">
        <v>0</v>
      </c>
      <c r="X22" s="46">
        <f t="shared" si="8"/>
        <v>291.14679393934745</v>
      </c>
      <c r="Y22" s="86">
        <f t="shared" si="9"/>
        <v>291.14679393934745</v>
      </c>
      <c r="Z22" s="80">
        <v>153</v>
      </c>
      <c r="AA22" s="81">
        <v>0</v>
      </c>
      <c r="AB22" s="81">
        <v>0</v>
      </c>
      <c r="AC22" s="7">
        <f t="shared" si="10"/>
        <v>153</v>
      </c>
      <c r="AD22" s="46">
        <f t="shared" si="11"/>
        <v>468.61056908179921</v>
      </c>
      <c r="AE22" s="22">
        <f t="shared" si="12"/>
        <v>315.61056908179921</v>
      </c>
      <c r="AF22" s="22">
        <f t="shared" si="13"/>
        <v>606.7573630211466</v>
      </c>
      <c r="AG22" s="55">
        <f t="shared" si="14"/>
        <v>153</v>
      </c>
      <c r="AH22">
        <f t="shared" si="15"/>
        <v>5.9132909647279927E-3</v>
      </c>
      <c r="AI22" s="1">
        <f t="shared" si="16"/>
        <v>617.76742037609813</v>
      </c>
      <c r="AJ22" s="2">
        <v>535</v>
      </c>
      <c r="AK22" s="1">
        <f t="shared" si="17"/>
        <v>82.76742037609813</v>
      </c>
      <c r="AL22">
        <f t="shared" si="18"/>
        <v>0</v>
      </c>
      <c r="AM22">
        <f t="shared" si="19"/>
        <v>0</v>
      </c>
      <c r="AN22" s="1">
        <f t="shared" si="20"/>
        <v>0</v>
      </c>
      <c r="AO22" s="8">
        <v>0</v>
      </c>
      <c r="AP22" s="1">
        <f t="shared" si="21"/>
        <v>0</v>
      </c>
      <c r="AQ22" s="69">
        <f t="shared" si="22"/>
        <v>1.4647420814479639</v>
      </c>
      <c r="AR22">
        <f t="shared" si="23"/>
        <v>6.6022619126156114E-3</v>
      </c>
      <c r="AS22" s="1">
        <f t="shared" si="24"/>
        <v>186.70324692020566</v>
      </c>
      <c r="AT22" s="8">
        <v>0</v>
      </c>
      <c r="AU22" s="1">
        <f t="shared" si="25"/>
        <v>186.70324692020566</v>
      </c>
      <c r="AV22" s="82">
        <f t="shared" si="26"/>
        <v>0.96440000000000003</v>
      </c>
      <c r="AW22" s="82">
        <f t="shared" si="27"/>
        <v>3.0394237247580478E-2</v>
      </c>
      <c r="AX22" s="49">
        <f t="shared" si="28"/>
        <v>2824.2307013909431</v>
      </c>
      <c r="AY22" s="8">
        <v>2063</v>
      </c>
      <c r="AZ22" s="1">
        <f t="shared" si="29"/>
        <v>761.23070139094307</v>
      </c>
    </row>
    <row r="23" spans="1:52" x14ac:dyDescent="0.2">
      <c r="A23" s="2" t="s">
        <v>149</v>
      </c>
      <c r="B23" s="71">
        <v>1</v>
      </c>
      <c r="C23" s="21"/>
      <c r="D23" s="21">
        <f t="shared" si="0"/>
        <v>10000</v>
      </c>
      <c r="E23" s="21">
        <v>4.9599999999999998E-2</v>
      </c>
      <c r="F23" s="21">
        <v>0.93159999999999998</v>
      </c>
      <c r="G23" s="21">
        <v>0.96160000000000001</v>
      </c>
      <c r="H23" s="21">
        <v>1</v>
      </c>
      <c r="I23" s="21">
        <v>0</v>
      </c>
      <c r="J23" s="21">
        <v>0</v>
      </c>
      <c r="K23" s="21">
        <v>0</v>
      </c>
      <c r="L23" s="21">
        <v>0</v>
      </c>
      <c r="M23" s="21">
        <v>1</v>
      </c>
      <c r="N23" s="88">
        <f t="shared" si="1"/>
        <v>2.4979185520361993</v>
      </c>
      <c r="O23" s="63">
        <v>1</v>
      </c>
      <c r="P23" s="45">
        <f t="shared" si="2"/>
        <v>4.5074569756942988E-3</v>
      </c>
      <c r="Q23" s="44">
        <f t="shared" si="3"/>
        <v>3.2351780318470927E-2</v>
      </c>
      <c r="R23" s="41">
        <v>2</v>
      </c>
      <c r="S23" s="13">
        <f t="shared" si="4"/>
        <v>1.0466376897746029E-3</v>
      </c>
      <c r="T23" s="13">
        <f t="shared" si="5"/>
        <v>5.1925977230560784E-2</v>
      </c>
      <c r="U23" s="13">
        <f t="shared" si="6"/>
        <v>2.3405410828763453E-4</v>
      </c>
      <c r="V23" s="31">
        <f t="shared" si="7"/>
        <v>1.240820775880057E-2</v>
      </c>
      <c r="W23" s="81">
        <v>0</v>
      </c>
      <c r="X23" s="46">
        <f t="shared" si="8"/>
        <v>610.93051721230484</v>
      </c>
      <c r="Y23" s="86">
        <f t="shared" si="9"/>
        <v>610.93051721230484</v>
      </c>
      <c r="Z23" s="80">
        <v>0</v>
      </c>
      <c r="AA23" s="81">
        <v>0</v>
      </c>
      <c r="AB23" s="81">
        <v>0</v>
      </c>
      <c r="AC23" s="7">
        <f t="shared" si="10"/>
        <v>0</v>
      </c>
      <c r="AD23" s="46">
        <f t="shared" si="11"/>
        <v>983.31324026166874</v>
      </c>
      <c r="AE23" s="22">
        <f t="shared" si="12"/>
        <v>983.31324026166874</v>
      </c>
      <c r="AF23" s="22">
        <f t="shared" si="13"/>
        <v>1594.2437574739736</v>
      </c>
      <c r="AG23" s="55">
        <f t="shared" si="14"/>
        <v>0</v>
      </c>
      <c r="AH23">
        <f t="shared" si="15"/>
        <v>1.240820775880057E-2</v>
      </c>
      <c r="AI23" s="1">
        <f t="shared" si="16"/>
        <v>1296.2978727696543</v>
      </c>
      <c r="AJ23" s="2">
        <v>0</v>
      </c>
      <c r="AK23" s="1">
        <f t="shared" si="17"/>
        <v>1296.2978727696543</v>
      </c>
      <c r="AL23">
        <f t="shared" si="18"/>
        <v>1</v>
      </c>
      <c r="AM23">
        <f t="shared" si="19"/>
        <v>1.8690676483522409E-2</v>
      </c>
      <c r="AN23" s="1">
        <f t="shared" si="20"/>
        <v>1967.847873567657</v>
      </c>
      <c r="AO23" s="8">
        <v>1100</v>
      </c>
      <c r="AP23" s="1">
        <f t="shared" si="21"/>
        <v>867.84787356765696</v>
      </c>
      <c r="AQ23" s="69">
        <f t="shared" si="22"/>
        <v>1</v>
      </c>
      <c r="AR23">
        <f t="shared" si="23"/>
        <v>4.5074569756942988E-3</v>
      </c>
      <c r="AS23" s="1">
        <f t="shared" si="24"/>
        <v>127.46493002757254</v>
      </c>
      <c r="AT23" s="8">
        <v>0</v>
      </c>
      <c r="AU23" s="1">
        <f t="shared" si="25"/>
        <v>127.46493002757254</v>
      </c>
      <c r="AV23" s="82">
        <f t="shared" si="26"/>
        <v>0.96440000000000003</v>
      </c>
      <c r="AW23" s="82">
        <f t="shared" si="27"/>
        <v>1.5615850087839151E-3</v>
      </c>
      <c r="AX23" s="49">
        <f t="shared" si="28"/>
        <v>145.10238532110085</v>
      </c>
      <c r="AY23" s="8">
        <v>1056</v>
      </c>
      <c r="AZ23" s="1">
        <f t="shared" si="29"/>
        <v>-910.89761467889912</v>
      </c>
    </row>
    <row r="24" spans="1:52" x14ac:dyDescent="0.2">
      <c r="A24" s="24" t="s">
        <v>105</v>
      </c>
      <c r="B24" s="21">
        <v>1</v>
      </c>
      <c r="C24" s="21">
        <v>7359</v>
      </c>
      <c r="D24" s="21">
        <f t="shared" si="0"/>
        <v>2641</v>
      </c>
      <c r="E24" s="21">
        <v>0.86719999999999997</v>
      </c>
      <c r="F24" s="21">
        <v>0.93159999999999998</v>
      </c>
      <c r="G24" s="21">
        <v>0.96160000000000001</v>
      </c>
      <c r="H24" s="21">
        <v>1</v>
      </c>
      <c r="I24" s="24">
        <v>2</v>
      </c>
      <c r="J24" s="21">
        <v>0</v>
      </c>
      <c r="K24" s="24">
        <v>2.8</v>
      </c>
      <c r="L24" s="21">
        <v>0</v>
      </c>
      <c r="M24" s="21">
        <v>2</v>
      </c>
      <c r="N24" s="88">
        <f t="shared" si="1"/>
        <v>0.5</v>
      </c>
      <c r="O24" s="63">
        <f>(SUM(I24:L24) / M24) *((R24 + 1) * N24 / 3)</f>
        <v>1.2</v>
      </c>
      <c r="P24" s="44">
        <f t="shared" si="2"/>
        <v>5.4089483708331578E-3</v>
      </c>
      <c r="Q24" s="44">
        <f t="shared" si="3"/>
        <v>8.544105182108172E-3</v>
      </c>
      <c r="R24" s="41">
        <v>2</v>
      </c>
      <c r="S24" s="13">
        <f t="shared" si="4"/>
        <v>7.3001733362927719E-5</v>
      </c>
      <c r="T24" s="13">
        <f t="shared" si="5"/>
        <v>3.6217751199187102E-3</v>
      </c>
      <c r="U24" s="13">
        <f t="shared" si="6"/>
        <v>1.9589994634408373E-5</v>
      </c>
      <c r="V24" s="31">
        <f t="shared" si="7"/>
        <v>1.038549270490928E-3</v>
      </c>
      <c r="W24" s="80">
        <v>0</v>
      </c>
      <c r="X24" s="46">
        <f t="shared" si="8"/>
        <v>51.134011881891333</v>
      </c>
      <c r="Y24" s="86">
        <f t="shared" si="9"/>
        <v>51.134011881891333</v>
      </c>
      <c r="Z24" s="80">
        <v>0</v>
      </c>
      <c r="AA24" s="80">
        <v>1003</v>
      </c>
      <c r="AB24" s="80">
        <v>0</v>
      </c>
      <c r="AC24" s="26">
        <f t="shared" si="10"/>
        <v>1003</v>
      </c>
      <c r="AD24" s="46">
        <f t="shared" si="11"/>
        <v>82.301914038594575</v>
      </c>
      <c r="AE24" s="22">
        <f t="shared" si="12"/>
        <v>-920.69808596140547</v>
      </c>
      <c r="AF24" s="22">
        <f t="shared" si="13"/>
        <v>-869.56407407951417</v>
      </c>
      <c r="AG24" s="55">
        <f t="shared" si="14"/>
        <v>1003</v>
      </c>
      <c r="AH24">
        <f t="shared" si="15"/>
        <v>1.038549270490928E-3</v>
      </c>
      <c r="AI24" s="1">
        <f t="shared" si="16"/>
        <v>108.49828083745774</v>
      </c>
      <c r="AJ24" s="2">
        <v>1003</v>
      </c>
      <c r="AK24" s="1">
        <f t="shared" si="17"/>
        <v>-894.50171916254226</v>
      </c>
      <c r="AL24">
        <f t="shared" si="18"/>
        <v>1.2</v>
      </c>
      <c r="AM24">
        <f t="shared" si="19"/>
        <v>2.242881178022689E-2</v>
      </c>
      <c r="AN24" s="1">
        <f t="shared" si="20"/>
        <v>2361.4174482811882</v>
      </c>
      <c r="AO24" s="8">
        <v>2006</v>
      </c>
      <c r="AP24" s="49">
        <f t="shared" si="21"/>
        <v>355.41744828118817</v>
      </c>
      <c r="AQ24" s="69">
        <f t="shared" si="22"/>
        <v>1.2</v>
      </c>
      <c r="AR24">
        <f t="shared" si="23"/>
        <v>5.4089483708331578E-3</v>
      </c>
      <c r="AS24" s="1">
        <f t="shared" si="24"/>
        <v>152.957916033087</v>
      </c>
      <c r="AT24" s="8">
        <v>1003</v>
      </c>
      <c r="AU24" s="49">
        <f t="shared" si="25"/>
        <v>-850.04208396691297</v>
      </c>
      <c r="AV24" s="82">
        <f t="shared" si="26"/>
        <v>0.96440000000000003</v>
      </c>
      <c r="AW24" s="82">
        <f t="shared" si="27"/>
        <v>2.730255079873813E-2</v>
      </c>
      <c r="AX24" s="49">
        <f t="shared" si="28"/>
        <v>2536.9513820656994</v>
      </c>
      <c r="AY24" s="8">
        <v>2006</v>
      </c>
      <c r="AZ24" s="1">
        <f t="shared" si="29"/>
        <v>530.95138206569936</v>
      </c>
    </row>
    <row r="25" spans="1:52" x14ac:dyDescent="0.2">
      <c r="A25" s="24" t="s">
        <v>66</v>
      </c>
      <c r="B25" s="21">
        <v>0</v>
      </c>
      <c r="C25" s="21">
        <v>3239</v>
      </c>
      <c r="D25" s="21">
        <f t="shared" si="0"/>
        <v>6761</v>
      </c>
      <c r="E25" s="21">
        <v>1.66E-2</v>
      </c>
      <c r="F25" s="21">
        <v>0.93159999999999998</v>
      </c>
      <c r="G25" s="21">
        <v>0.96160000000000001</v>
      </c>
      <c r="H25" s="21">
        <v>1</v>
      </c>
      <c r="I25" s="21">
        <v>0</v>
      </c>
      <c r="J25" s="66">
        <f>$AD$62</f>
        <v>1.6666666666666665</v>
      </c>
      <c r="K25" s="21">
        <v>0</v>
      </c>
      <c r="L25" s="21">
        <v>0</v>
      </c>
      <c r="M25" s="21">
        <v>1</v>
      </c>
      <c r="N25" s="88">
        <f t="shared" si="1"/>
        <v>1.618552036199095</v>
      </c>
      <c r="O25" s="63">
        <f>(SUM(I25:L25) / M25) *((R25 + 1) * N25 / 3)</f>
        <v>2.6975867269984919</v>
      </c>
      <c r="P25" s="44">
        <f t="shared" si="2"/>
        <v>1.2159256110149704E-2</v>
      </c>
      <c r="Q25" s="44">
        <f t="shared" si="3"/>
        <v>2.1873038673318194E-2</v>
      </c>
      <c r="R25" s="41">
        <v>2</v>
      </c>
      <c r="S25" s="13">
        <f t="shared" si="4"/>
        <v>4.7842982080447332E-4</v>
      </c>
      <c r="T25" s="13">
        <f t="shared" si="5"/>
        <v>2.3735946282294085E-2</v>
      </c>
      <c r="U25" s="13">
        <f t="shared" si="6"/>
        <v>2.8861144986316948E-4</v>
      </c>
      <c r="V25" s="31">
        <f t="shared" si="7"/>
        <v>1.5300525411286103E-2</v>
      </c>
      <c r="W25" s="80">
        <v>349</v>
      </c>
      <c r="X25" s="46">
        <f t="shared" si="8"/>
        <v>753.33666915008257</v>
      </c>
      <c r="Y25" s="86">
        <f t="shared" si="9"/>
        <v>404.33666915008257</v>
      </c>
      <c r="Z25" s="80">
        <v>279</v>
      </c>
      <c r="AA25" s="80">
        <v>908</v>
      </c>
      <c r="AB25" s="80">
        <v>0</v>
      </c>
      <c r="AC25" s="26">
        <f t="shared" si="10"/>
        <v>1187</v>
      </c>
      <c r="AD25" s="46">
        <f t="shared" si="11"/>
        <v>1212.5207372681898</v>
      </c>
      <c r="AE25" s="22">
        <f t="shared" si="12"/>
        <v>25.520737268189805</v>
      </c>
      <c r="AF25" s="22">
        <f t="shared" si="13"/>
        <v>429.85740641827238</v>
      </c>
      <c r="AG25" s="55">
        <f t="shared" si="14"/>
        <v>1536</v>
      </c>
      <c r="AH25">
        <f t="shared" si="15"/>
        <v>1.5300525411286103E-2</v>
      </c>
      <c r="AI25" s="1">
        <f t="shared" si="16"/>
        <v>1598.4611902424704</v>
      </c>
      <c r="AJ25" s="2">
        <v>1327</v>
      </c>
      <c r="AK25" s="1">
        <f t="shared" si="17"/>
        <v>271.46119024247037</v>
      </c>
      <c r="AL25">
        <f t="shared" si="18"/>
        <v>0</v>
      </c>
      <c r="AM25">
        <f t="shared" si="19"/>
        <v>0</v>
      </c>
      <c r="AN25" s="1">
        <f t="shared" si="20"/>
        <v>0</v>
      </c>
      <c r="AO25" s="8">
        <v>0</v>
      </c>
      <c r="AP25" s="1">
        <f t="shared" si="21"/>
        <v>0</v>
      </c>
      <c r="AQ25" s="69">
        <f t="shared" si="22"/>
        <v>2.6975867269984919</v>
      </c>
      <c r="AR25">
        <f t="shared" si="23"/>
        <v>1.2159256110149704E-2</v>
      </c>
      <c r="AS25" s="1">
        <f t="shared" si="24"/>
        <v>343.84770340017116</v>
      </c>
      <c r="AT25" s="8">
        <v>629</v>
      </c>
      <c r="AU25" s="1">
        <f t="shared" si="25"/>
        <v>-285.15229659982884</v>
      </c>
      <c r="AV25" s="82">
        <f t="shared" si="26"/>
        <v>0.96440000000000003</v>
      </c>
      <c r="AW25" s="82">
        <f t="shared" si="27"/>
        <v>5.2262724084300386E-4</v>
      </c>
      <c r="AX25" s="49">
        <f t="shared" si="28"/>
        <v>48.56249186149747</v>
      </c>
      <c r="AY25" s="8">
        <v>0</v>
      </c>
      <c r="AZ25" s="1">
        <f t="shared" si="29"/>
        <v>48.56249186149747</v>
      </c>
    </row>
    <row r="26" spans="1:52" x14ac:dyDescent="0.2">
      <c r="A26" s="24" t="s">
        <v>126</v>
      </c>
      <c r="B26" s="21">
        <v>0</v>
      </c>
      <c r="C26" s="21">
        <v>5187</v>
      </c>
      <c r="D26" s="21">
        <f t="shared" si="0"/>
        <v>4813</v>
      </c>
      <c r="E26" s="21">
        <v>8.6999999999999994E-3</v>
      </c>
      <c r="F26" s="21">
        <v>0.93159999999999998</v>
      </c>
      <c r="G26" s="21">
        <v>0.96160000000000001</v>
      </c>
      <c r="H26" s="21">
        <v>1</v>
      </c>
      <c r="I26" s="21">
        <v>0</v>
      </c>
      <c r="J26" s="21">
        <v>0</v>
      </c>
      <c r="K26" s="21">
        <v>0</v>
      </c>
      <c r="L26" s="24">
        <v>4.2</v>
      </c>
      <c r="M26" s="21">
        <v>1</v>
      </c>
      <c r="N26" s="88">
        <f t="shared" si="1"/>
        <v>1.089683257918552</v>
      </c>
      <c r="O26" s="63">
        <f>(SUM(I26:L26) / M26) *((R26 + 1) * N26 / 3)</f>
        <v>4.5766696832579186</v>
      </c>
      <c r="P26" s="44">
        <f t="shared" si="2"/>
        <v>2.0629141689249519E-2</v>
      </c>
      <c r="Q26" s="44">
        <f t="shared" si="3"/>
        <v>1.5570911867280057E-2</v>
      </c>
      <c r="R26" s="41">
        <v>2</v>
      </c>
      <c r="S26" s="13">
        <f t="shared" si="4"/>
        <v>2.424532963786029E-4</v>
      </c>
      <c r="T26" s="13">
        <f t="shared" si="5"/>
        <v>1.2028636528406461E-2</v>
      </c>
      <c r="U26" s="13">
        <f t="shared" si="6"/>
        <v>2.4814044727297933E-4</v>
      </c>
      <c r="V26" s="31">
        <f t="shared" si="7"/>
        <v>1.315498474113942E-2</v>
      </c>
      <c r="W26" s="80">
        <v>0</v>
      </c>
      <c r="X26" s="46">
        <f t="shared" si="8"/>
        <v>647.69882871474056</v>
      </c>
      <c r="Y26" s="86">
        <f t="shared" si="9"/>
        <v>647.69882871474056</v>
      </c>
      <c r="Z26" s="80">
        <v>409</v>
      </c>
      <c r="AA26" s="80">
        <v>1226</v>
      </c>
      <c r="AB26" s="80">
        <v>0</v>
      </c>
      <c r="AC26" s="26">
        <f t="shared" si="10"/>
        <v>1635</v>
      </c>
      <c r="AD26" s="46">
        <f t="shared" si="11"/>
        <v>1042.4930757810757</v>
      </c>
      <c r="AE26" s="22">
        <f t="shared" si="12"/>
        <v>-592.50692421892427</v>
      </c>
      <c r="AF26" s="22">
        <f t="shared" si="13"/>
        <v>55.191904495816289</v>
      </c>
      <c r="AG26" s="55">
        <f t="shared" si="14"/>
        <v>1635</v>
      </c>
      <c r="AH26">
        <f t="shared" si="15"/>
        <v>1.3154984741139422E-2</v>
      </c>
      <c r="AI26" s="1">
        <f t="shared" si="16"/>
        <v>1374.3144108915765</v>
      </c>
      <c r="AJ26" s="2">
        <v>1226</v>
      </c>
      <c r="AK26" s="49">
        <f t="shared" si="17"/>
        <v>148.31441089157647</v>
      </c>
      <c r="AL26">
        <f t="shared" si="18"/>
        <v>0</v>
      </c>
      <c r="AM26">
        <f t="shared" si="19"/>
        <v>0</v>
      </c>
      <c r="AN26" s="1">
        <f t="shared" si="20"/>
        <v>0</v>
      </c>
      <c r="AO26" s="8">
        <v>4496</v>
      </c>
      <c r="AP26" s="49">
        <f t="shared" si="21"/>
        <v>-4496</v>
      </c>
      <c r="AQ26" s="69">
        <f t="shared" si="22"/>
        <v>4.5766696832579186</v>
      </c>
      <c r="AR26">
        <f t="shared" si="23"/>
        <v>2.0629141689249519E-2</v>
      </c>
      <c r="AS26" s="1">
        <f t="shared" si="24"/>
        <v>583.36488093578305</v>
      </c>
      <c r="AT26" s="8">
        <v>1226</v>
      </c>
      <c r="AU26" s="1">
        <f t="shared" si="25"/>
        <v>-642.63511906421695</v>
      </c>
      <c r="AV26" s="82">
        <f t="shared" si="26"/>
        <v>0.96440000000000003</v>
      </c>
      <c r="AW26" s="82">
        <f t="shared" si="27"/>
        <v>2.7390704791169479E-4</v>
      </c>
      <c r="AX26" s="49">
        <f t="shared" si="28"/>
        <v>25.451426457531806</v>
      </c>
      <c r="AY26" s="8">
        <v>2452</v>
      </c>
      <c r="AZ26" s="49">
        <f t="shared" si="29"/>
        <v>-2426.5485735424681</v>
      </c>
    </row>
    <row r="27" spans="1:52" x14ac:dyDescent="0.2">
      <c r="A27" s="24" t="s">
        <v>148</v>
      </c>
      <c r="B27" s="21">
        <v>0</v>
      </c>
      <c r="C27" s="21">
        <v>3570</v>
      </c>
      <c r="D27" s="21">
        <f t="shared" si="0"/>
        <v>6430</v>
      </c>
      <c r="E27" s="21">
        <v>0.80830000000000002</v>
      </c>
      <c r="F27" s="21">
        <v>0.93159999999999998</v>
      </c>
      <c r="G27" s="21">
        <v>0.96160000000000001</v>
      </c>
      <c r="H27" s="21">
        <v>1</v>
      </c>
      <c r="I27" s="21">
        <v>0</v>
      </c>
      <c r="J27" s="21">
        <v>0</v>
      </c>
      <c r="K27" s="21">
        <v>0</v>
      </c>
      <c r="L27" s="21">
        <v>0</v>
      </c>
      <c r="M27" s="21">
        <v>1</v>
      </c>
      <c r="N27" s="88">
        <f t="shared" si="1"/>
        <v>1.5286877828054299</v>
      </c>
      <c r="O27" s="63">
        <v>1</v>
      </c>
      <c r="P27" s="44">
        <f t="shared" si="2"/>
        <v>4.5074569756942988E-3</v>
      </c>
      <c r="Q27" s="44">
        <f t="shared" si="3"/>
        <v>2.0802194744776806E-2</v>
      </c>
      <c r="R27" s="41">
        <v>2</v>
      </c>
      <c r="S27" s="21">
        <f t="shared" si="4"/>
        <v>4.3273130619961975E-4</v>
      </c>
      <c r="T27" s="21">
        <f t="shared" si="5"/>
        <v>2.1468743359998124E-2</v>
      </c>
      <c r="U27" s="21">
        <f t="shared" si="6"/>
        <v>9.6769437017414194E-5</v>
      </c>
      <c r="V27" s="31">
        <f t="shared" si="7"/>
        <v>5.1301610896683364E-3</v>
      </c>
      <c r="W27" s="80">
        <v>0</v>
      </c>
      <c r="X27" s="46">
        <f t="shared" si="8"/>
        <v>252.5886114109102</v>
      </c>
      <c r="Y27" s="86">
        <f t="shared" si="9"/>
        <v>252.5886114109102</v>
      </c>
      <c r="Z27" s="80">
        <v>0</v>
      </c>
      <c r="AA27" s="80">
        <v>1008</v>
      </c>
      <c r="AB27" s="80">
        <v>0</v>
      </c>
      <c r="AC27" s="26">
        <f t="shared" si="10"/>
        <v>1008</v>
      </c>
      <c r="AD27" s="46">
        <f t="shared" si="11"/>
        <v>406.54987587294664</v>
      </c>
      <c r="AE27" s="22">
        <f t="shared" si="12"/>
        <v>-601.45012412705341</v>
      </c>
      <c r="AF27" s="22">
        <f t="shared" si="13"/>
        <v>-348.86151271614324</v>
      </c>
      <c r="AG27" s="55">
        <f t="shared" si="14"/>
        <v>1008</v>
      </c>
      <c r="AH27">
        <f t="shared" si="15"/>
        <v>5.1301610896683364E-3</v>
      </c>
      <c r="AI27" s="1">
        <f t="shared" si="16"/>
        <v>535.95305919874079</v>
      </c>
      <c r="AJ27" s="2">
        <v>756</v>
      </c>
      <c r="AK27" s="49">
        <f t="shared" si="17"/>
        <v>-220.04694080125921</v>
      </c>
      <c r="AL27">
        <f t="shared" si="18"/>
        <v>0</v>
      </c>
      <c r="AM27">
        <f t="shared" si="19"/>
        <v>0</v>
      </c>
      <c r="AN27" s="1">
        <f t="shared" si="20"/>
        <v>0</v>
      </c>
      <c r="AO27" s="8">
        <v>1109</v>
      </c>
      <c r="AP27" s="49">
        <f t="shared" si="21"/>
        <v>-1109</v>
      </c>
      <c r="AQ27" s="69">
        <f t="shared" si="22"/>
        <v>1</v>
      </c>
      <c r="AR27">
        <f t="shared" si="23"/>
        <v>4.5074569756942988E-3</v>
      </c>
      <c r="AS27" s="1">
        <f t="shared" si="24"/>
        <v>127.46493002757254</v>
      </c>
      <c r="AT27" s="8">
        <v>0</v>
      </c>
      <c r="AU27" s="1">
        <f t="shared" si="25"/>
        <v>127.46493002757254</v>
      </c>
      <c r="AV27" s="82">
        <f t="shared" si="26"/>
        <v>0.96440000000000003</v>
      </c>
      <c r="AW27" s="82">
        <f t="shared" si="27"/>
        <v>2.5448168600807231E-2</v>
      </c>
      <c r="AX27" s="49">
        <f t="shared" si="28"/>
        <v>2364.6422994968921</v>
      </c>
      <c r="AY27" s="8">
        <v>1008</v>
      </c>
      <c r="AZ27" s="49">
        <f t="shared" si="29"/>
        <v>1356.6422994968921</v>
      </c>
    </row>
    <row r="28" spans="1:52" x14ac:dyDescent="0.2">
      <c r="A28" s="39" t="s">
        <v>15</v>
      </c>
      <c r="B28" s="21">
        <v>0</v>
      </c>
      <c r="C28" s="21">
        <v>5175</v>
      </c>
      <c r="D28" s="21">
        <f t="shared" si="0"/>
        <v>4825</v>
      </c>
      <c r="E28" s="21">
        <v>0.99980000000000002</v>
      </c>
      <c r="F28" s="21">
        <v>0.93159999999999998</v>
      </c>
      <c r="G28" s="21">
        <v>0.96160000000000001</v>
      </c>
      <c r="H28" s="21">
        <v>1</v>
      </c>
      <c r="I28" s="24">
        <v>6.8</v>
      </c>
      <c r="J28" s="21">
        <v>0</v>
      </c>
      <c r="K28" s="21">
        <v>0</v>
      </c>
      <c r="L28" s="21">
        <v>0</v>
      </c>
      <c r="M28" s="21">
        <v>1</v>
      </c>
      <c r="N28" s="88">
        <f t="shared" si="1"/>
        <v>1.0929411764705881</v>
      </c>
      <c r="O28" s="63">
        <f t="shared" ref="O28:O54" si="30">(SUM(I28:L28) / M28) *((R28 + 1) * N28 / 3)</f>
        <v>7.4319999999999986</v>
      </c>
      <c r="P28" s="13">
        <f t="shared" si="2"/>
        <v>3.3499420243360022E-2</v>
      </c>
      <c r="Q28" s="13">
        <f t="shared" si="3"/>
        <v>1.5609734003662222E-2</v>
      </c>
      <c r="R28" s="41">
        <v>2</v>
      </c>
      <c r="S28" s="13">
        <f t="shared" si="4"/>
        <v>2.4366379566508861E-4</v>
      </c>
      <c r="T28" s="13">
        <f t="shared" si="5"/>
        <v>1.2088692036632239E-2</v>
      </c>
      <c r="U28" s="13">
        <f t="shared" si="6"/>
        <v>4.0496417472770313E-4</v>
      </c>
      <c r="V28" s="31">
        <f t="shared" si="7"/>
        <v>2.1468880216011267E-2</v>
      </c>
      <c r="W28" s="80">
        <v>1889</v>
      </c>
      <c r="X28" s="46">
        <f t="shared" si="8"/>
        <v>1057.0417863155308</v>
      </c>
      <c r="Y28" s="86">
        <f t="shared" si="9"/>
        <v>-831.95821368446923</v>
      </c>
      <c r="Z28" s="80">
        <v>0</v>
      </c>
      <c r="AA28" s="80">
        <v>1133</v>
      </c>
      <c r="AB28" s="80">
        <v>0</v>
      </c>
      <c r="AC28" s="26">
        <f t="shared" si="10"/>
        <v>1133</v>
      </c>
      <c r="AD28" s="46">
        <f t="shared" si="11"/>
        <v>1701.3443504782449</v>
      </c>
      <c r="AE28" s="22">
        <f t="shared" si="12"/>
        <v>568.34435047824491</v>
      </c>
      <c r="AF28" s="22">
        <f t="shared" si="13"/>
        <v>-263.61386320622432</v>
      </c>
      <c r="AG28" s="55">
        <f t="shared" si="14"/>
        <v>3022</v>
      </c>
      <c r="AH28">
        <f t="shared" si="15"/>
        <v>2.1468880216011267E-2</v>
      </c>
      <c r="AI28" s="1">
        <f t="shared" si="16"/>
        <v>2242.8753850469129</v>
      </c>
      <c r="AJ28" s="2">
        <v>1511</v>
      </c>
      <c r="AK28" s="49">
        <f t="shared" si="17"/>
        <v>731.87538504691292</v>
      </c>
      <c r="AL28">
        <f t="shared" si="18"/>
        <v>0</v>
      </c>
      <c r="AM28">
        <f t="shared" si="19"/>
        <v>0</v>
      </c>
      <c r="AN28" s="1">
        <f t="shared" si="20"/>
        <v>0</v>
      </c>
      <c r="AO28" s="8">
        <v>7556</v>
      </c>
      <c r="AP28" s="1">
        <f t="shared" si="21"/>
        <v>-7556</v>
      </c>
      <c r="AQ28" s="69">
        <f t="shared" si="22"/>
        <v>7.4319999999999986</v>
      </c>
      <c r="AR28">
        <f t="shared" si="23"/>
        <v>3.3499420243360022E-2</v>
      </c>
      <c r="AS28" s="1">
        <f t="shared" si="24"/>
        <v>947.31935996491882</v>
      </c>
      <c r="AT28" s="8">
        <v>1511</v>
      </c>
      <c r="AU28" s="1">
        <f t="shared" si="25"/>
        <v>-563.68064003508118</v>
      </c>
      <c r="AV28" s="82">
        <f t="shared" si="26"/>
        <v>0.96440000000000003</v>
      </c>
      <c r="AW28" s="82">
        <f t="shared" si="27"/>
        <v>3.1477272011737063E-2</v>
      </c>
      <c r="AX28" s="49">
        <f t="shared" si="28"/>
        <v>2924.8662266942874</v>
      </c>
      <c r="AY28" s="8">
        <v>1511</v>
      </c>
      <c r="AZ28" s="1">
        <f t="shared" si="29"/>
        <v>1413.8662266942874</v>
      </c>
    </row>
    <row r="29" spans="1:52" x14ac:dyDescent="0.2">
      <c r="A29" s="39" t="s">
        <v>27</v>
      </c>
      <c r="B29" s="21">
        <v>1</v>
      </c>
      <c r="C29" s="21">
        <v>5766</v>
      </c>
      <c r="D29" s="21">
        <f t="shared" si="0"/>
        <v>4234</v>
      </c>
      <c r="E29" s="21">
        <v>0.99170000000000003</v>
      </c>
      <c r="F29" s="21">
        <v>0.93159999999999998</v>
      </c>
      <c r="G29" s="21">
        <v>0.96160000000000001</v>
      </c>
      <c r="H29" s="21">
        <v>1</v>
      </c>
      <c r="I29" s="24">
        <v>8.6999999999999993</v>
      </c>
      <c r="J29" s="66">
        <f>$AD$63</f>
        <v>6.3333333333333321</v>
      </c>
      <c r="K29" s="24">
        <v>8.1</v>
      </c>
      <c r="L29" s="24">
        <v>10.7</v>
      </c>
      <c r="M29" s="21">
        <v>3</v>
      </c>
      <c r="N29" s="88">
        <f t="shared" si="1"/>
        <v>0.93248868778280536</v>
      </c>
      <c r="O29" s="63">
        <f t="shared" si="30"/>
        <v>10.516400201106084</v>
      </c>
      <c r="P29" s="13">
        <f t="shared" si="2"/>
        <v>4.7402221445668538E-2</v>
      </c>
      <c r="Q29" s="13">
        <f t="shared" si="3"/>
        <v>1.3697743786840589E-2</v>
      </c>
      <c r="R29" s="41">
        <v>2</v>
      </c>
      <c r="S29" s="13">
        <f t="shared" si="4"/>
        <v>1.8762818484992997E-4</v>
      </c>
      <c r="T29" s="13">
        <f t="shared" si="5"/>
        <v>9.3086432387381873E-3</v>
      </c>
      <c r="U29" s="13">
        <f t="shared" si="6"/>
        <v>4.4125036816139272E-4</v>
      </c>
      <c r="V29" s="31">
        <f t="shared" si="7"/>
        <v>2.3392566282431117E-2</v>
      </c>
      <c r="W29" s="80">
        <v>0</v>
      </c>
      <c r="X29" s="46">
        <f t="shared" si="8"/>
        <v>1151.7563934817786</v>
      </c>
      <c r="Y29" s="86">
        <f t="shared" si="9"/>
        <v>1151.7563934817786</v>
      </c>
      <c r="Z29" s="80">
        <v>0</v>
      </c>
      <c r="AA29" s="80">
        <v>1852</v>
      </c>
      <c r="AB29" s="80">
        <v>0</v>
      </c>
      <c r="AC29" s="26">
        <f t="shared" si="10"/>
        <v>1852</v>
      </c>
      <c r="AD29" s="46">
        <f t="shared" si="11"/>
        <v>1853.7907001838187</v>
      </c>
      <c r="AE29" s="22">
        <f t="shared" si="12"/>
        <v>1.7907001838186716</v>
      </c>
      <c r="AF29" s="22">
        <f t="shared" si="13"/>
        <v>1153.5470936655972</v>
      </c>
      <c r="AG29" s="55">
        <f t="shared" si="14"/>
        <v>1852</v>
      </c>
      <c r="AH29">
        <f t="shared" si="15"/>
        <v>2.339256628243112E-2</v>
      </c>
      <c r="AI29" s="1">
        <f t="shared" si="16"/>
        <v>2443.8447920918616</v>
      </c>
      <c r="AJ29" s="2">
        <v>1852</v>
      </c>
      <c r="AK29" s="49">
        <f t="shared" si="17"/>
        <v>591.84479209186156</v>
      </c>
      <c r="AL29">
        <f t="shared" si="18"/>
        <v>10.516400201106084</v>
      </c>
      <c r="AM29">
        <f t="shared" si="19"/>
        <v>0.19655863393012382</v>
      </c>
      <c r="AN29" s="1">
        <f t="shared" si="20"/>
        <v>20694.675773333085</v>
      </c>
      <c r="AO29" s="8">
        <v>11110</v>
      </c>
      <c r="AP29" s="49">
        <f t="shared" si="21"/>
        <v>9584.6757733330851</v>
      </c>
      <c r="AQ29" s="69">
        <f t="shared" si="22"/>
        <v>10.516400201106084</v>
      </c>
      <c r="AR29">
        <f t="shared" si="23"/>
        <v>4.7402221445668538E-2</v>
      </c>
      <c r="AS29" s="1">
        <f t="shared" si="24"/>
        <v>1340.4722157759365</v>
      </c>
      <c r="AT29" s="8">
        <v>1852</v>
      </c>
      <c r="AU29" s="49">
        <f t="shared" si="25"/>
        <v>-511.52778422406345</v>
      </c>
      <c r="AV29" s="82">
        <f t="shared" si="26"/>
        <v>0.96440000000000003</v>
      </c>
      <c r="AW29" s="82">
        <f t="shared" si="27"/>
        <v>3.1222255105060659E-2</v>
      </c>
      <c r="AX29" s="49">
        <f t="shared" si="28"/>
        <v>2901.1700710269301</v>
      </c>
      <c r="AY29" s="8">
        <v>0</v>
      </c>
      <c r="AZ29" s="49">
        <f t="shared" si="29"/>
        <v>2901.1700710269301</v>
      </c>
    </row>
    <row r="30" spans="1:52" x14ac:dyDescent="0.2">
      <c r="A30" s="39" t="s">
        <v>81</v>
      </c>
      <c r="B30" s="21">
        <v>1</v>
      </c>
      <c r="C30" s="21">
        <v>5685</v>
      </c>
      <c r="D30" s="21">
        <f t="shared" si="0"/>
        <v>4315</v>
      </c>
      <c r="E30" s="21">
        <v>1</v>
      </c>
      <c r="F30" s="21">
        <v>0.93159999999999998</v>
      </c>
      <c r="G30" s="21">
        <v>0.96160000000000001</v>
      </c>
      <c r="H30" s="21">
        <v>1</v>
      </c>
      <c r="I30" s="21">
        <v>0</v>
      </c>
      <c r="J30" s="21">
        <v>0</v>
      </c>
      <c r="K30" s="24">
        <v>2.1</v>
      </c>
      <c r="L30" s="21">
        <v>0</v>
      </c>
      <c r="M30" s="21">
        <v>1</v>
      </c>
      <c r="N30" s="88">
        <f t="shared" si="1"/>
        <v>0.95447963800904978</v>
      </c>
      <c r="O30" s="63">
        <f t="shared" si="30"/>
        <v>2.0044072398190047</v>
      </c>
      <c r="P30" s="44">
        <f t="shared" si="2"/>
        <v>9.0347793952543273E-3</v>
      </c>
      <c r="Q30" s="44">
        <f t="shared" si="3"/>
        <v>1.3959793207420204E-2</v>
      </c>
      <c r="R30" s="41">
        <v>2</v>
      </c>
      <c r="S30" s="13">
        <f t="shared" si="4"/>
        <v>1.9487582639393528E-4</v>
      </c>
      <c r="T30" s="13">
        <f t="shared" si="5"/>
        <v>9.66821453400688E-3</v>
      </c>
      <c r="U30" s="13">
        <f t="shared" si="6"/>
        <v>8.7350185460743777E-5</v>
      </c>
      <c r="V30" s="31">
        <f t="shared" si="7"/>
        <v>4.6308063417314169E-3</v>
      </c>
      <c r="W30" s="80">
        <v>196</v>
      </c>
      <c r="X30" s="46">
        <f t="shared" si="8"/>
        <v>228.00238104148804</v>
      </c>
      <c r="Y30" s="86">
        <f t="shared" si="9"/>
        <v>32.002381041488036</v>
      </c>
      <c r="Z30" s="80">
        <v>0</v>
      </c>
      <c r="AA30" s="80">
        <v>491</v>
      </c>
      <c r="AB30" s="80">
        <v>196</v>
      </c>
      <c r="AC30" s="26">
        <f t="shared" si="10"/>
        <v>687</v>
      </c>
      <c r="AD30" s="46">
        <f t="shared" si="11"/>
        <v>366.97751016318961</v>
      </c>
      <c r="AE30" s="22">
        <f t="shared" si="12"/>
        <v>-320.02248983681039</v>
      </c>
      <c r="AF30" s="22">
        <f t="shared" si="13"/>
        <v>-288.02010879532236</v>
      </c>
      <c r="AG30" s="55">
        <f t="shared" si="14"/>
        <v>883</v>
      </c>
      <c r="AH30">
        <f t="shared" si="15"/>
        <v>4.6308063417314169E-3</v>
      </c>
      <c r="AI30" s="1">
        <f t="shared" si="16"/>
        <v>483.78496932702285</v>
      </c>
      <c r="AJ30" s="2">
        <v>589</v>
      </c>
      <c r="AK30" s="1">
        <f t="shared" si="17"/>
        <v>-105.21503067297715</v>
      </c>
      <c r="AL30">
        <f t="shared" si="18"/>
        <v>2.0044072398190047</v>
      </c>
      <c r="AM30">
        <f t="shared" si="19"/>
        <v>3.7463727260687134E-2</v>
      </c>
      <c r="AN30" s="1">
        <f t="shared" si="20"/>
        <v>3944.3685246414448</v>
      </c>
      <c r="AO30" s="8">
        <v>3238</v>
      </c>
      <c r="AP30" s="1">
        <f t="shared" si="21"/>
        <v>706.36852464144476</v>
      </c>
      <c r="AQ30" s="69">
        <f t="shared" si="22"/>
        <v>2.0044072398190047</v>
      </c>
      <c r="AR30">
        <f t="shared" si="23"/>
        <v>9.0347793952543273E-3</v>
      </c>
      <c r="AS30" s="1">
        <f t="shared" si="24"/>
        <v>255.49162857028921</v>
      </c>
      <c r="AT30" s="8">
        <v>589</v>
      </c>
      <c r="AU30" s="1">
        <f t="shared" si="25"/>
        <v>-333.50837142971079</v>
      </c>
      <c r="AV30" s="82">
        <f t="shared" si="26"/>
        <v>0.96440000000000003</v>
      </c>
      <c r="AW30" s="82">
        <f t="shared" si="27"/>
        <v>3.1483568725482164E-2</v>
      </c>
      <c r="AX30" s="49">
        <f t="shared" si="28"/>
        <v>2925.4513169576794</v>
      </c>
      <c r="AY30" s="8">
        <v>2453</v>
      </c>
      <c r="AZ30" s="1">
        <f t="shared" si="29"/>
        <v>472.45131695767941</v>
      </c>
    </row>
    <row r="31" spans="1:52" x14ac:dyDescent="0.2">
      <c r="A31" s="39" t="s">
        <v>3</v>
      </c>
      <c r="B31" s="21">
        <v>0</v>
      </c>
      <c r="C31" s="21">
        <v>2959</v>
      </c>
      <c r="D31" s="21">
        <f t="shared" si="0"/>
        <v>7041</v>
      </c>
      <c r="E31" s="21">
        <v>0.99780000000000002</v>
      </c>
      <c r="F31" s="21">
        <v>0.93159999999999998</v>
      </c>
      <c r="G31" s="21">
        <v>0.96160000000000001</v>
      </c>
      <c r="H31" s="21">
        <v>1</v>
      </c>
      <c r="I31" s="24">
        <v>3.2</v>
      </c>
      <c r="J31" s="21">
        <v>0</v>
      </c>
      <c r="K31" s="21">
        <v>0</v>
      </c>
      <c r="L31" s="21">
        <v>0</v>
      </c>
      <c r="M31" s="21">
        <v>1</v>
      </c>
      <c r="N31" s="88">
        <f t="shared" si="1"/>
        <v>1.6945701357466063</v>
      </c>
      <c r="O31" s="63">
        <f t="shared" si="30"/>
        <v>5.4226244343891405</v>
      </c>
      <c r="P31" s="13">
        <f t="shared" si="2"/>
        <v>2.4442246333357679E-2</v>
      </c>
      <c r="Q31" s="13">
        <f t="shared" si="3"/>
        <v>2.2778888522235377E-2</v>
      </c>
      <c r="R31" s="41">
        <v>2</v>
      </c>
      <c r="S31" s="13">
        <f t="shared" si="4"/>
        <v>5.1887776230842661E-4</v>
      </c>
      <c r="T31" s="13">
        <f t="shared" si="5"/>
        <v>2.5742656827955439E-2</v>
      </c>
      <c r="U31" s="13">
        <f t="shared" si="6"/>
        <v>6.292083594639789E-4</v>
      </c>
      <c r="V31" s="31">
        <f t="shared" si="7"/>
        <v>3.3357022036154517E-2</v>
      </c>
      <c r="W31" s="80">
        <f>954+2316</f>
        <v>3270</v>
      </c>
      <c r="X31" s="46">
        <f t="shared" si="8"/>
        <v>1642.3663369721039</v>
      </c>
      <c r="Y31" s="86">
        <f t="shared" si="9"/>
        <v>-1627.6336630278961</v>
      </c>
      <c r="Z31" s="80">
        <v>0</v>
      </c>
      <c r="AA31" s="80">
        <v>1771</v>
      </c>
      <c r="AB31" s="80">
        <v>545</v>
      </c>
      <c r="AC31" s="26">
        <f t="shared" si="10"/>
        <v>2316</v>
      </c>
      <c r="AD31" s="46">
        <f t="shared" si="11"/>
        <v>2643.4439252991369</v>
      </c>
      <c r="AE31" s="22">
        <f t="shared" si="12"/>
        <v>327.44392529913694</v>
      </c>
      <c r="AF31" s="22">
        <f t="shared" si="13"/>
        <v>-1300.1897377287592</v>
      </c>
      <c r="AG31" s="55">
        <f t="shared" si="14"/>
        <v>5586</v>
      </c>
      <c r="AH31">
        <f t="shared" si="15"/>
        <v>3.3357022036154517E-2</v>
      </c>
      <c r="AI31" s="1">
        <f t="shared" si="16"/>
        <v>3484.8414491390986</v>
      </c>
      <c r="AJ31" s="2">
        <v>1499</v>
      </c>
      <c r="AK31" s="1">
        <f t="shared" si="17"/>
        <v>1985.8414491390986</v>
      </c>
      <c r="AL31">
        <f t="shared" si="18"/>
        <v>0</v>
      </c>
      <c r="AM31">
        <f t="shared" si="19"/>
        <v>0</v>
      </c>
      <c r="AN31" s="1">
        <f t="shared" si="20"/>
        <v>0</v>
      </c>
      <c r="AO31" s="8">
        <v>0</v>
      </c>
      <c r="AP31" s="1">
        <f t="shared" si="21"/>
        <v>0</v>
      </c>
      <c r="AQ31" s="69">
        <f t="shared" si="22"/>
        <v>5.4226244343891405</v>
      </c>
      <c r="AR31">
        <f t="shared" si="23"/>
        <v>2.4442246333357679E-2</v>
      </c>
      <c r="AS31" s="1">
        <f t="shared" si="24"/>
        <v>691.19444409521668</v>
      </c>
      <c r="AT31" s="8">
        <v>1499</v>
      </c>
      <c r="AU31" s="1">
        <f t="shared" si="25"/>
        <v>-807.80555590478332</v>
      </c>
      <c r="AV31" s="82">
        <f t="shared" si="26"/>
        <v>0.96440000000000003</v>
      </c>
      <c r="AW31" s="82">
        <f t="shared" si="27"/>
        <v>3.1414304874286099E-2</v>
      </c>
      <c r="AX31" s="49">
        <f t="shared" si="28"/>
        <v>2919.0153240603718</v>
      </c>
      <c r="AY31" s="8">
        <v>681</v>
      </c>
      <c r="AZ31" s="1">
        <f t="shared" si="29"/>
        <v>2238.0153240603718</v>
      </c>
    </row>
    <row r="32" spans="1:52" x14ac:dyDescent="0.2">
      <c r="A32" s="39" t="s">
        <v>18</v>
      </c>
      <c r="B32" s="21">
        <v>0</v>
      </c>
      <c r="C32" s="21">
        <v>1834</v>
      </c>
      <c r="D32" s="21">
        <f t="shared" si="0"/>
        <v>8166</v>
      </c>
      <c r="E32" s="21">
        <v>1</v>
      </c>
      <c r="F32" s="21">
        <v>0.93159999999999998</v>
      </c>
      <c r="G32" s="21">
        <v>0.96160000000000001</v>
      </c>
      <c r="H32" s="21">
        <v>1</v>
      </c>
      <c r="I32" s="24">
        <v>1.6</v>
      </c>
      <c r="J32" s="21">
        <v>0</v>
      </c>
      <c r="K32" s="24">
        <v>1.6</v>
      </c>
      <c r="L32" s="21">
        <v>0</v>
      </c>
      <c r="M32" s="21">
        <v>2</v>
      </c>
      <c r="N32" s="88">
        <f t="shared" si="1"/>
        <v>2</v>
      </c>
      <c r="O32" s="63">
        <f t="shared" si="30"/>
        <v>3.2</v>
      </c>
      <c r="P32" s="13">
        <f t="shared" si="2"/>
        <v>1.4423862322221755E-2</v>
      </c>
      <c r="Q32" s="13">
        <f t="shared" si="3"/>
        <v>2.6418463808063359E-2</v>
      </c>
      <c r="R32" s="41">
        <v>2</v>
      </c>
      <c r="S32" s="13">
        <f t="shared" si="4"/>
        <v>6.9793522997795357E-4</v>
      </c>
      <c r="T32" s="13">
        <f t="shared" si="5"/>
        <v>3.4626088105088243E-2</v>
      </c>
      <c r="U32" s="13">
        <f t="shared" si="6"/>
        <v>4.9944192758491317E-4</v>
      </c>
      <c r="V32" s="31">
        <f t="shared" si="7"/>
        <v>2.6477549342195587E-2</v>
      </c>
      <c r="W32" s="80">
        <v>139</v>
      </c>
      <c r="X32" s="46">
        <f t="shared" si="8"/>
        <v>1303.648619412342</v>
      </c>
      <c r="Y32" s="86">
        <f t="shared" si="9"/>
        <v>1164.648619412342</v>
      </c>
      <c r="Z32" s="80">
        <v>279</v>
      </c>
      <c r="AA32" s="80">
        <v>1532</v>
      </c>
      <c r="AB32" s="80">
        <v>0</v>
      </c>
      <c r="AC32" s="26">
        <f t="shared" si="10"/>
        <v>1811</v>
      </c>
      <c r="AD32" s="46">
        <f t="shared" si="11"/>
        <v>2098.2663527209738</v>
      </c>
      <c r="AE32" s="22">
        <f t="shared" si="12"/>
        <v>287.26635272097383</v>
      </c>
      <c r="AF32" s="22">
        <f t="shared" si="13"/>
        <v>1451.9149721333158</v>
      </c>
      <c r="AG32" s="55">
        <f t="shared" si="14"/>
        <v>1950</v>
      </c>
      <c r="AH32">
        <f t="shared" si="15"/>
        <v>2.6477549342195587E-2</v>
      </c>
      <c r="AI32" s="1">
        <f t="shared" si="16"/>
        <v>2766.1360573285151</v>
      </c>
      <c r="AJ32" s="2">
        <v>1393</v>
      </c>
      <c r="AK32" s="1">
        <f t="shared" si="17"/>
        <v>1373.1360573285151</v>
      </c>
      <c r="AL32">
        <f t="shared" si="18"/>
        <v>0</v>
      </c>
      <c r="AM32">
        <f t="shared" si="19"/>
        <v>0</v>
      </c>
      <c r="AN32" s="1">
        <f t="shared" si="20"/>
        <v>0</v>
      </c>
      <c r="AO32" s="8">
        <v>0</v>
      </c>
      <c r="AP32" s="1">
        <f t="shared" si="21"/>
        <v>0</v>
      </c>
      <c r="AQ32" s="69">
        <f t="shared" si="22"/>
        <v>3.2</v>
      </c>
      <c r="AR32">
        <f t="shared" si="23"/>
        <v>1.4423862322221755E-2</v>
      </c>
      <c r="AS32" s="1">
        <f t="shared" si="24"/>
        <v>407.8877760882321</v>
      </c>
      <c r="AT32" s="8">
        <v>557</v>
      </c>
      <c r="AU32" s="1">
        <f t="shared" si="25"/>
        <v>-149.1122239117679</v>
      </c>
      <c r="AV32" s="82">
        <f t="shared" si="26"/>
        <v>0.96440000000000003</v>
      </c>
      <c r="AW32" s="82">
        <f t="shared" si="27"/>
        <v>3.1483568725482164E-2</v>
      </c>
      <c r="AX32" s="49">
        <f t="shared" si="28"/>
        <v>2925.4513169576794</v>
      </c>
      <c r="AY32" s="8">
        <v>557</v>
      </c>
      <c r="AZ32" s="49">
        <f t="shared" si="29"/>
        <v>2368.4513169576794</v>
      </c>
    </row>
    <row r="33" spans="1:52" x14ac:dyDescent="0.2">
      <c r="A33" s="31" t="s">
        <v>4</v>
      </c>
      <c r="B33" s="21">
        <v>0</v>
      </c>
      <c r="C33" s="21">
        <v>4021</v>
      </c>
      <c r="D33" s="21">
        <f t="shared" si="0"/>
        <v>5979</v>
      </c>
      <c r="E33" s="21">
        <v>1</v>
      </c>
      <c r="F33" s="21">
        <v>0.93159999999999998</v>
      </c>
      <c r="G33" s="21">
        <v>0.96160000000000001</v>
      </c>
      <c r="H33" s="21">
        <v>1</v>
      </c>
      <c r="I33" s="24">
        <v>3.7</v>
      </c>
      <c r="J33" s="66">
        <f>$AD$64</f>
        <v>4.0666666666666664</v>
      </c>
      <c r="K33" s="24">
        <v>3.8</v>
      </c>
      <c r="L33" s="21">
        <v>0</v>
      </c>
      <c r="M33" s="21">
        <v>2</v>
      </c>
      <c r="N33" s="88">
        <f t="shared" si="1"/>
        <v>1.4062443438914027</v>
      </c>
      <c r="O33" s="63">
        <f t="shared" si="30"/>
        <v>8.1327797888386115</v>
      </c>
      <c r="P33" s="44">
        <f t="shared" si="2"/>
        <v>3.6658154990986201E-2</v>
      </c>
      <c r="Q33" s="44">
        <f t="shared" si="3"/>
        <v>1.9343129452413767E-2</v>
      </c>
      <c r="R33" s="41">
        <v>2</v>
      </c>
      <c r="S33" s="13">
        <f t="shared" si="4"/>
        <v>3.7415665701283693E-4</v>
      </c>
      <c r="T33" s="13">
        <f t="shared" si="5"/>
        <v>1.8562727333940453E-2</v>
      </c>
      <c r="U33" s="13">
        <f t="shared" si="6"/>
        <v>6.8047533566300514E-4</v>
      </c>
      <c r="V33" s="31">
        <f t="shared" si="7"/>
        <v>3.607490336922322E-2</v>
      </c>
      <c r="W33" s="80">
        <v>943</v>
      </c>
      <c r="X33" s="46">
        <f t="shared" si="8"/>
        <v>1776.1839422870744</v>
      </c>
      <c r="Y33" s="86">
        <f t="shared" si="9"/>
        <v>833.18394228707439</v>
      </c>
      <c r="Z33" s="80">
        <v>1179</v>
      </c>
      <c r="AA33" s="80">
        <v>1651</v>
      </c>
      <c r="AB33" s="80">
        <v>0</v>
      </c>
      <c r="AC33" s="26">
        <f t="shared" si="10"/>
        <v>2830</v>
      </c>
      <c r="AD33" s="46">
        <f t="shared" si="11"/>
        <v>2858.8278673008326</v>
      </c>
      <c r="AE33" s="22">
        <f t="shared" si="12"/>
        <v>28.827867300832622</v>
      </c>
      <c r="AF33" s="22">
        <f t="shared" si="13"/>
        <v>862.01180958790701</v>
      </c>
      <c r="AG33" s="55">
        <f t="shared" si="14"/>
        <v>3773</v>
      </c>
      <c r="AH33">
        <f t="shared" si="15"/>
        <v>3.607490336922322E-2</v>
      </c>
      <c r="AI33" s="1">
        <f t="shared" si="16"/>
        <v>3768.781229886119</v>
      </c>
      <c r="AJ33" s="2">
        <v>3066</v>
      </c>
      <c r="AK33" s="1">
        <f t="shared" si="17"/>
        <v>702.78122988611904</v>
      </c>
      <c r="AL33">
        <f t="shared" si="18"/>
        <v>0</v>
      </c>
      <c r="AM33">
        <f t="shared" si="19"/>
        <v>0</v>
      </c>
      <c r="AN33" s="1">
        <f t="shared" si="20"/>
        <v>0</v>
      </c>
      <c r="AO33" s="8">
        <v>0</v>
      </c>
      <c r="AP33" s="49">
        <f t="shared" si="21"/>
        <v>0</v>
      </c>
      <c r="AQ33" s="69">
        <f t="shared" si="22"/>
        <v>8.1327797888386115</v>
      </c>
      <c r="AR33">
        <f t="shared" si="23"/>
        <v>3.6658154990986201E-2</v>
      </c>
      <c r="AS33" s="1">
        <f t="shared" si="24"/>
        <v>1036.6442067139697</v>
      </c>
      <c r="AT33" s="8">
        <v>2830</v>
      </c>
      <c r="AU33" s="74">
        <f t="shared" si="25"/>
        <v>-1793.3557932860303</v>
      </c>
      <c r="AV33" s="82">
        <f t="shared" si="26"/>
        <v>0.96440000000000003</v>
      </c>
      <c r="AW33" s="82">
        <f t="shared" si="27"/>
        <v>3.1483568725482164E-2</v>
      </c>
      <c r="AX33" s="49">
        <f t="shared" si="28"/>
        <v>2925.4513169576794</v>
      </c>
      <c r="AY33" s="8">
        <v>2123</v>
      </c>
      <c r="AZ33" s="1">
        <f t="shared" si="29"/>
        <v>802.45131695767941</v>
      </c>
    </row>
    <row r="34" spans="1:52" x14ac:dyDescent="0.2">
      <c r="A34" s="31" t="s">
        <v>106</v>
      </c>
      <c r="B34" s="21">
        <v>0</v>
      </c>
      <c r="C34" s="21">
        <v>3451</v>
      </c>
      <c r="D34" s="21">
        <f t="shared" ref="D34:D54" si="31">10000-C34</f>
        <v>6549</v>
      </c>
      <c r="E34" s="21">
        <v>0.32129999999999997</v>
      </c>
      <c r="F34" s="21">
        <v>0.93159999999999998</v>
      </c>
      <c r="G34" s="21">
        <v>0.96160000000000001</v>
      </c>
      <c r="H34" s="21">
        <v>1</v>
      </c>
      <c r="I34" s="24">
        <v>1.8</v>
      </c>
      <c r="J34" s="21">
        <v>0</v>
      </c>
      <c r="K34" s="21">
        <v>0</v>
      </c>
      <c r="L34" s="21">
        <v>0</v>
      </c>
      <c r="M34" s="21">
        <v>1</v>
      </c>
      <c r="N34" s="88">
        <f t="shared" ref="N34:N54" si="32">1.5 * (C34-MAX($C$2:$C$54))/(MIN($C$2:$C$54)-MAX($C$2:$C$54)) + 0.5</f>
        <v>1.5609954751131221</v>
      </c>
      <c r="O34" s="63">
        <f t="shared" si="30"/>
        <v>2.8097918552036196</v>
      </c>
      <c r="P34" s="44">
        <f t="shared" ref="P34:P54" si="33">O34/$O$55</f>
        <v>1.2665015897986579E-2</v>
      </c>
      <c r="Q34" s="44">
        <f t="shared" ref="Q34:Q54" si="34">D34/$D$55</f>
        <v>2.118718093056661E-2</v>
      </c>
      <c r="R34" s="41">
        <v>2</v>
      </c>
      <c r="S34" s="13">
        <f t="shared" ref="S34:S54" si="35">Q34^R34</f>
        <v>4.4889663578456541E-4</v>
      </c>
      <c r="T34" s="13">
        <f t="shared" ref="T34:T54" si="36">S34/$S$55</f>
        <v>2.2270740597583907E-2</v>
      </c>
      <c r="U34" s="13">
        <f t="shared" ref="U34:U54" si="37">T34*P34</f>
        <v>2.8205928372833529E-4</v>
      </c>
      <c r="V34" s="31">
        <f t="shared" ref="V34:V54" si="38">U34/$U$55</f>
        <v>1.4953167104841476E-2</v>
      </c>
      <c r="W34" s="80">
        <v>374</v>
      </c>
      <c r="X34" s="46">
        <f t="shared" ref="X34:X54" si="39">$F$61*V34</f>
        <v>736.23413557397487</v>
      </c>
      <c r="Y34" s="86">
        <f t="shared" ref="Y34:Y54" si="40">X34-W34</f>
        <v>362.23413557397487</v>
      </c>
      <c r="Z34" s="80">
        <v>374</v>
      </c>
      <c r="AA34" s="80">
        <v>374</v>
      </c>
      <c r="AB34" s="80">
        <v>0</v>
      </c>
      <c r="AC34" s="26">
        <f t="shared" ref="AC34:AC54" si="41">SUM(Z34:AB34)</f>
        <v>748</v>
      </c>
      <c r="AD34" s="46">
        <f t="shared" ref="AD34:AD54" si="42">V34*$F$60</f>
        <v>1184.9936335573725</v>
      </c>
      <c r="AE34" s="22">
        <f t="shared" ref="AE34:AE54" si="43">AD34-AC34</f>
        <v>436.9936335573725</v>
      </c>
      <c r="AF34" s="22">
        <f t="shared" ref="AF34:AF54" si="44">AE34+Y34</f>
        <v>799.22776913134737</v>
      </c>
      <c r="AG34" s="55">
        <f t="shared" ref="AG34:AG54" si="45">W34+AC34</f>
        <v>1122</v>
      </c>
      <c r="AH34">
        <f t="shared" ref="AH34:AH54" si="46">X34/$X$55</f>
        <v>1.4953167104841476E-2</v>
      </c>
      <c r="AI34" s="1">
        <f t="shared" ref="AI34:AI54" si="47">AH34*$AI$55</f>
        <v>1562.1723206098939</v>
      </c>
      <c r="AJ34" s="2">
        <v>1122</v>
      </c>
      <c r="AK34" s="1">
        <f t="shared" ref="AK34:AK54" si="48">AI34-AJ34</f>
        <v>440.17232060989386</v>
      </c>
      <c r="AL34">
        <f t="shared" ref="AL34:AL54" si="49">B34*O34</f>
        <v>0</v>
      </c>
      <c r="AM34">
        <f t="shared" ref="AM34:AM54" si="50">AL34/$AL$55</f>
        <v>0</v>
      </c>
      <c r="AN34" s="1">
        <f t="shared" ref="AN34:AN54" si="51">AM34*$AN$55</f>
        <v>0</v>
      </c>
      <c r="AO34" s="8">
        <v>0</v>
      </c>
      <c r="AP34" s="1">
        <f t="shared" ref="AP34:AP54" si="52">AN34-AO34</f>
        <v>0</v>
      </c>
      <c r="AQ34" s="69">
        <f t="shared" ref="AQ34:AQ54" si="53">O34</f>
        <v>2.8097918552036196</v>
      </c>
      <c r="AR34">
        <f t="shared" ref="AR34:AR54" si="54">AQ34/$AQ$55</f>
        <v>1.2665015897986579E-2</v>
      </c>
      <c r="AS34" s="1">
        <f t="shared" ref="AS34:AS54" si="55">AR34*$AS$55*$B$55</f>
        <v>358.14992221557253</v>
      </c>
      <c r="AT34" s="8">
        <v>748</v>
      </c>
      <c r="AU34" s="1">
        <f t="shared" ref="AU34:AU54" si="56">AS34-AT34</f>
        <v>-389.85007778442747</v>
      </c>
      <c r="AV34" s="82">
        <f t="shared" ref="AV34:AV54" si="57">AVERAGE(F34:H34)</f>
        <v>0.96440000000000003</v>
      </c>
      <c r="AW34" s="82">
        <f t="shared" ref="AW34:AW54" si="58">E34/$E$55</f>
        <v>1.0115670631497417E-2</v>
      </c>
      <c r="AX34" s="49">
        <f t="shared" ref="AX34:AX54" si="59">AV34*$AX$55*AW34</f>
        <v>939.94750813850214</v>
      </c>
      <c r="AY34" s="8">
        <v>374</v>
      </c>
      <c r="AZ34" s="1">
        <f t="shared" ref="AZ34:AZ54" si="60">AX34-AY34</f>
        <v>565.94750813850214</v>
      </c>
    </row>
    <row r="35" spans="1:52" x14ac:dyDescent="0.2">
      <c r="A35" s="31" t="s">
        <v>21</v>
      </c>
      <c r="B35" s="21">
        <v>0</v>
      </c>
      <c r="C35" s="21">
        <v>2560</v>
      </c>
      <c r="D35" s="21">
        <f t="shared" si="31"/>
        <v>7440</v>
      </c>
      <c r="E35" s="21">
        <v>0.99839999999999995</v>
      </c>
      <c r="F35" s="21">
        <v>0.93159999999999998</v>
      </c>
      <c r="G35" s="21">
        <v>0.96160000000000001</v>
      </c>
      <c r="H35" s="21">
        <v>1</v>
      </c>
      <c r="I35" s="24">
        <v>2.4</v>
      </c>
      <c r="J35" s="66">
        <f>$AD$66</f>
        <v>7.2666666666666657</v>
      </c>
      <c r="K35" s="24">
        <v>4.7</v>
      </c>
      <c r="L35" s="24">
        <v>4.7</v>
      </c>
      <c r="M35" s="21">
        <v>3</v>
      </c>
      <c r="N35" s="88">
        <f t="shared" si="32"/>
        <v>1.8028959276018099</v>
      </c>
      <c r="O35" s="63">
        <f t="shared" si="30"/>
        <v>11.458405228758169</v>
      </c>
      <c r="P35" s="44">
        <f t="shared" si="33"/>
        <v>5.1648268578698031E-2</v>
      </c>
      <c r="Q35" s="44">
        <f t="shared" si="34"/>
        <v>2.4069724556942368E-2</v>
      </c>
      <c r="R35" s="41">
        <v>2</v>
      </c>
      <c r="S35" s="13">
        <f t="shared" si="35"/>
        <v>5.7935164024707452E-4</v>
      </c>
      <c r="T35" s="13">
        <f t="shared" si="36"/>
        <v>2.8742897732295689E-2</v>
      </c>
      <c r="U35" s="13">
        <f t="shared" si="37"/>
        <v>1.4845209018076583E-3</v>
      </c>
      <c r="V35" s="31">
        <f t="shared" si="38"/>
        <v>7.8700792336763178E-2</v>
      </c>
      <c r="W35" s="80">
        <v>2355</v>
      </c>
      <c r="X35" s="46">
        <f t="shared" si="39"/>
        <v>3874.9122114928718</v>
      </c>
      <c r="Y35" s="86">
        <f t="shared" si="40"/>
        <v>1519.9122114928718</v>
      </c>
      <c r="Z35" s="80">
        <v>1570</v>
      </c>
      <c r="AA35" s="80">
        <v>7120</v>
      </c>
      <c r="AB35" s="80">
        <v>0</v>
      </c>
      <c r="AC35" s="26">
        <f t="shared" si="41"/>
        <v>8690</v>
      </c>
      <c r="AD35" s="46">
        <f t="shared" si="42"/>
        <v>6236.8016903114712</v>
      </c>
      <c r="AE35" s="22">
        <f t="shared" si="43"/>
        <v>-2453.1983096885288</v>
      </c>
      <c r="AF35" s="22">
        <f t="shared" si="44"/>
        <v>-933.2860981956569</v>
      </c>
      <c r="AG35" s="55">
        <f t="shared" si="45"/>
        <v>11045</v>
      </c>
      <c r="AH35">
        <f t="shared" si="46"/>
        <v>7.8700792336763178E-2</v>
      </c>
      <c r="AI35" s="1">
        <f t="shared" si="47"/>
        <v>8221.9504762139859</v>
      </c>
      <c r="AJ35" s="2">
        <v>8409</v>
      </c>
      <c r="AK35" s="49">
        <f t="shared" si="48"/>
        <v>-187.04952378601411</v>
      </c>
      <c r="AL35">
        <f t="shared" si="49"/>
        <v>0</v>
      </c>
      <c r="AM35">
        <f t="shared" si="50"/>
        <v>0</v>
      </c>
      <c r="AN35" s="1">
        <f t="shared" si="51"/>
        <v>0</v>
      </c>
      <c r="AO35" s="8">
        <v>0</v>
      </c>
      <c r="AP35" s="49">
        <f t="shared" si="52"/>
        <v>0</v>
      </c>
      <c r="AQ35" s="69">
        <f t="shared" si="53"/>
        <v>11.458405228758169</v>
      </c>
      <c r="AR35">
        <f t="shared" si="54"/>
        <v>5.1648268578698031E-2</v>
      </c>
      <c r="AS35" s="1">
        <f t="shared" si="55"/>
        <v>1460.5448207112311</v>
      </c>
      <c r="AT35" s="8">
        <v>1682</v>
      </c>
      <c r="AU35" s="1">
        <f t="shared" si="56"/>
        <v>-221.45517928876893</v>
      </c>
      <c r="AV35" s="82">
        <f t="shared" si="57"/>
        <v>0.96440000000000003</v>
      </c>
      <c r="AW35" s="82">
        <f t="shared" si="58"/>
        <v>3.1433195015521387E-2</v>
      </c>
      <c r="AX35" s="49">
        <f t="shared" si="59"/>
        <v>2920.7705948505463</v>
      </c>
      <c r="AY35" s="8">
        <v>1570</v>
      </c>
      <c r="AZ35" s="1">
        <f t="shared" si="60"/>
        <v>1350.7705948505463</v>
      </c>
    </row>
    <row r="36" spans="1:52" x14ac:dyDescent="0.2">
      <c r="A36" s="31" t="s">
        <v>41</v>
      </c>
      <c r="B36" s="21">
        <v>0</v>
      </c>
      <c r="C36" s="21">
        <v>3838</v>
      </c>
      <c r="D36" s="21">
        <f t="shared" si="31"/>
        <v>6162</v>
      </c>
      <c r="E36" s="21">
        <v>8.9899999999999994E-2</v>
      </c>
      <c r="F36" s="21">
        <v>0.93159999999999998</v>
      </c>
      <c r="G36" s="21">
        <v>0.96160000000000001</v>
      </c>
      <c r="H36" s="21">
        <v>1</v>
      </c>
      <c r="I36" s="21">
        <v>0</v>
      </c>
      <c r="J36" s="66">
        <f>$AD$65</f>
        <v>4.333333333333333</v>
      </c>
      <c r="K36" s="24">
        <v>3.7</v>
      </c>
      <c r="L36" s="24">
        <v>5.2</v>
      </c>
      <c r="M36" s="21">
        <v>3</v>
      </c>
      <c r="N36" s="88">
        <f t="shared" si="32"/>
        <v>1.4559276018099547</v>
      </c>
      <c r="O36" s="63">
        <f t="shared" si="30"/>
        <v>6.4222584213172453</v>
      </c>
      <c r="P36" s="44">
        <f t="shared" si="33"/>
        <v>2.894805352087787E-2</v>
      </c>
      <c r="Q36" s="44">
        <f t="shared" si="34"/>
        <v>1.9935167032241786E-2</v>
      </c>
      <c r="R36" s="41">
        <v>2</v>
      </c>
      <c r="S36" s="13">
        <f t="shared" si="35"/>
        <v>3.9741088460337976E-4</v>
      </c>
      <c r="T36" s="13">
        <f t="shared" si="36"/>
        <v>1.971642025382837E-2</v>
      </c>
      <c r="U36" s="13">
        <f t="shared" si="37"/>
        <v>5.7075198874794407E-4</v>
      </c>
      <c r="V36" s="31">
        <f t="shared" si="38"/>
        <v>3.0258000198953354E-2</v>
      </c>
      <c r="W36" s="80">
        <v>1331</v>
      </c>
      <c r="X36" s="46">
        <f t="shared" si="39"/>
        <v>1489.7828977956674</v>
      </c>
      <c r="Y36" s="86">
        <f t="shared" si="40"/>
        <v>158.7828977956674</v>
      </c>
      <c r="Z36" s="80">
        <v>2439</v>
      </c>
      <c r="AA36" s="80">
        <v>998</v>
      </c>
      <c r="AB36" s="80">
        <v>0</v>
      </c>
      <c r="AC36" s="26">
        <f t="shared" si="41"/>
        <v>3437</v>
      </c>
      <c r="AD36" s="46">
        <f t="shared" si="42"/>
        <v>2397.8557417664565</v>
      </c>
      <c r="AE36" s="22">
        <f t="shared" si="43"/>
        <v>-1039.1442582335435</v>
      </c>
      <c r="AF36" s="22">
        <f t="shared" si="44"/>
        <v>-880.3613604378761</v>
      </c>
      <c r="AG36" s="55">
        <f t="shared" si="45"/>
        <v>4768</v>
      </c>
      <c r="AH36">
        <f t="shared" si="46"/>
        <v>3.0258000198953354E-2</v>
      </c>
      <c r="AI36" s="1">
        <f t="shared" si="47"/>
        <v>3161.083538784856</v>
      </c>
      <c r="AJ36" s="2">
        <v>2772</v>
      </c>
      <c r="AK36" s="1">
        <f t="shared" si="48"/>
        <v>389.08353878485605</v>
      </c>
      <c r="AL36">
        <f t="shared" si="49"/>
        <v>0</v>
      </c>
      <c r="AM36">
        <f t="shared" si="50"/>
        <v>0</v>
      </c>
      <c r="AN36" s="1">
        <f t="shared" si="51"/>
        <v>0</v>
      </c>
      <c r="AO36" s="8">
        <v>0</v>
      </c>
      <c r="AP36" s="1">
        <f t="shared" si="52"/>
        <v>0</v>
      </c>
      <c r="AQ36" s="69">
        <f t="shared" si="53"/>
        <v>6.4222584213172453</v>
      </c>
      <c r="AR36">
        <f t="shared" si="54"/>
        <v>2.894805352087787E-2</v>
      </c>
      <c r="AS36" s="1">
        <f t="shared" si="55"/>
        <v>818.61272029219094</v>
      </c>
      <c r="AT36" s="8">
        <v>1552</v>
      </c>
      <c r="AU36" s="1">
        <f t="shared" si="56"/>
        <v>-733.38727970780906</v>
      </c>
      <c r="AV36" s="82">
        <f t="shared" si="57"/>
        <v>0.96440000000000003</v>
      </c>
      <c r="AW36" s="82">
        <f t="shared" si="58"/>
        <v>2.8303728284208461E-3</v>
      </c>
      <c r="AX36" s="49">
        <f t="shared" si="59"/>
        <v>262.99807339449529</v>
      </c>
      <c r="AY36" s="8">
        <v>2328</v>
      </c>
      <c r="AZ36" s="1">
        <f t="shared" si="60"/>
        <v>-2065.0019266055047</v>
      </c>
    </row>
    <row r="37" spans="1:52" x14ac:dyDescent="0.2">
      <c r="A37" s="31" t="s">
        <v>76</v>
      </c>
      <c r="B37" s="21">
        <v>0</v>
      </c>
      <c r="C37" s="21">
        <v>3482</v>
      </c>
      <c r="D37" s="21">
        <f t="shared" si="31"/>
        <v>6518</v>
      </c>
      <c r="E37" s="21">
        <v>0.38979999999999998</v>
      </c>
      <c r="F37" s="21">
        <v>0.93159999999999998</v>
      </c>
      <c r="G37" s="21">
        <v>0.96160000000000001</v>
      </c>
      <c r="H37" s="21">
        <v>1</v>
      </c>
      <c r="I37" s="21">
        <v>0</v>
      </c>
      <c r="J37" s="66">
        <f>$AD$67</f>
        <v>1.1333333333333333</v>
      </c>
      <c r="K37" s="21">
        <v>0</v>
      </c>
      <c r="L37" s="21">
        <v>0</v>
      </c>
      <c r="M37" s="21">
        <v>1</v>
      </c>
      <c r="N37" s="88">
        <f t="shared" si="32"/>
        <v>1.5525791855203619</v>
      </c>
      <c r="O37" s="63">
        <f t="shared" si="30"/>
        <v>1.7595897435897436</v>
      </c>
      <c r="P37" s="44">
        <f t="shared" si="33"/>
        <v>7.9312750641037325E-3</v>
      </c>
      <c r="Q37" s="44">
        <f t="shared" si="34"/>
        <v>2.1086890411579347E-2</v>
      </c>
      <c r="R37" s="41">
        <v>2</v>
      </c>
      <c r="S37" s="13">
        <f t="shared" si="35"/>
        <v>4.4465694722995705E-4</v>
      </c>
      <c r="T37" s="13">
        <f t="shared" si="36"/>
        <v>2.2060400406797662E-2</v>
      </c>
      <c r="U37" s="13">
        <f t="shared" si="37"/>
        <v>1.7496710365057813E-4</v>
      </c>
      <c r="V37" s="31">
        <f t="shared" si="38"/>
        <v>9.2757533244575228E-3</v>
      </c>
      <c r="W37" s="80">
        <v>610</v>
      </c>
      <c r="X37" s="46">
        <f t="shared" si="39"/>
        <v>456.70099068299061</v>
      </c>
      <c r="Y37" s="86">
        <f t="shared" si="40"/>
        <v>-153.29900931700939</v>
      </c>
      <c r="Z37" s="80">
        <v>610</v>
      </c>
      <c r="AA37" s="80">
        <v>0</v>
      </c>
      <c r="AB37" s="80">
        <v>0</v>
      </c>
      <c r="AC37" s="26">
        <f t="shared" si="41"/>
        <v>610</v>
      </c>
      <c r="AD37" s="46">
        <f t="shared" si="42"/>
        <v>735.07562370328526</v>
      </c>
      <c r="AE37" s="22">
        <f t="shared" si="43"/>
        <v>125.07562370328526</v>
      </c>
      <c r="AF37" s="22">
        <f t="shared" si="44"/>
        <v>-28.223385613724133</v>
      </c>
      <c r="AG37" s="55">
        <f t="shared" si="45"/>
        <v>1220</v>
      </c>
      <c r="AH37">
        <f t="shared" si="46"/>
        <v>9.2757533244575228E-3</v>
      </c>
      <c r="AI37" s="1">
        <f t="shared" si="47"/>
        <v>969.04722555940191</v>
      </c>
      <c r="AJ37" s="2">
        <v>366</v>
      </c>
      <c r="AK37" s="1">
        <f t="shared" si="48"/>
        <v>603.04722555940191</v>
      </c>
      <c r="AL37">
        <f t="shared" si="49"/>
        <v>0</v>
      </c>
      <c r="AM37">
        <f t="shared" si="50"/>
        <v>0</v>
      </c>
      <c r="AN37" s="1">
        <f t="shared" si="51"/>
        <v>0</v>
      </c>
      <c r="AO37" s="8">
        <v>0</v>
      </c>
      <c r="AP37" s="1">
        <f t="shared" si="52"/>
        <v>0</v>
      </c>
      <c r="AQ37" s="69">
        <f t="shared" si="53"/>
        <v>1.7595897435897436</v>
      </c>
      <c r="AR37">
        <f t="shared" si="54"/>
        <v>7.9312750641037325E-3</v>
      </c>
      <c r="AS37" s="1">
        <f t="shared" si="55"/>
        <v>224.28598354390095</v>
      </c>
      <c r="AT37" s="8">
        <v>610</v>
      </c>
      <c r="AU37" s="1">
        <f t="shared" si="56"/>
        <v>-385.71401645609905</v>
      </c>
      <c r="AV37" s="82">
        <f t="shared" si="57"/>
        <v>0.96440000000000003</v>
      </c>
      <c r="AW37" s="82">
        <f t="shared" si="58"/>
        <v>1.2272295089192945E-2</v>
      </c>
      <c r="AX37" s="49">
        <f t="shared" si="59"/>
        <v>1140.3409233501031</v>
      </c>
      <c r="AY37" s="8">
        <v>244</v>
      </c>
      <c r="AZ37" s="1">
        <f t="shared" si="60"/>
        <v>896.34092335010314</v>
      </c>
    </row>
    <row r="38" spans="1:52" x14ac:dyDescent="0.2">
      <c r="A38" s="31" t="s">
        <v>82</v>
      </c>
      <c r="B38" s="21">
        <v>0</v>
      </c>
      <c r="C38" s="21">
        <v>2858</v>
      </c>
      <c r="D38" s="21">
        <f t="shared" si="31"/>
        <v>7142</v>
      </c>
      <c r="E38" s="21">
        <v>0.1162</v>
      </c>
      <c r="F38" s="21">
        <v>0.93159999999999998</v>
      </c>
      <c r="G38" s="21">
        <v>0.96160000000000001</v>
      </c>
      <c r="H38" s="21">
        <v>1</v>
      </c>
      <c r="I38" s="21">
        <v>0</v>
      </c>
      <c r="J38" s="21">
        <v>0</v>
      </c>
      <c r="K38" s="24">
        <v>2.5</v>
      </c>
      <c r="L38" s="24">
        <v>2.2999999999999998</v>
      </c>
      <c r="M38" s="21">
        <v>2</v>
      </c>
      <c r="N38" s="88">
        <f t="shared" si="32"/>
        <v>1.7219909502262443</v>
      </c>
      <c r="O38" s="63">
        <f t="shared" si="30"/>
        <v>4.1327782805429862</v>
      </c>
      <c r="P38" s="44">
        <f t="shared" si="33"/>
        <v>1.8628320289631371E-2</v>
      </c>
      <c r="Q38" s="44">
        <f t="shared" si="34"/>
        <v>2.3105641503451936E-2</v>
      </c>
      <c r="R38" s="41">
        <v>2</v>
      </c>
      <c r="S38" s="13">
        <f t="shared" si="35"/>
        <v>5.3387066928604063E-4</v>
      </c>
      <c r="T38" s="13">
        <f t="shared" si="36"/>
        <v>2.6486487624367099E-2</v>
      </c>
      <c r="U38" s="13">
        <f t="shared" si="37"/>
        <v>4.9339877481406787E-4</v>
      </c>
      <c r="V38" s="31">
        <f t="shared" si="38"/>
        <v>2.6157176007809722E-2</v>
      </c>
      <c r="W38" s="80">
        <v>1069</v>
      </c>
      <c r="X38" s="46">
        <f t="shared" si="39"/>
        <v>1287.8747179205195</v>
      </c>
      <c r="Y38" s="86">
        <f t="shared" si="40"/>
        <v>218.87471792051952</v>
      </c>
      <c r="Z38" s="80">
        <v>1229</v>
      </c>
      <c r="AA38" s="80">
        <v>0</v>
      </c>
      <c r="AB38" s="80">
        <v>0</v>
      </c>
      <c r="AC38" s="26">
        <f t="shared" si="41"/>
        <v>1229</v>
      </c>
      <c r="AD38" s="46">
        <f t="shared" si="42"/>
        <v>2072.8777270908972</v>
      </c>
      <c r="AE38" s="22">
        <f t="shared" si="43"/>
        <v>843.87772709089722</v>
      </c>
      <c r="AF38" s="22">
        <f t="shared" si="44"/>
        <v>1062.7524450114167</v>
      </c>
      <c r="AG38" s="55">
        <f t="shared" si="45"/>
        <v>2298</v>
      </c>
      <c r="AH38">
        <f t="shared" si="46"/>
        <v>2.6157176007809722E-2</v>
      </c>
      <c r="AI38" s="1">
        <f t="shared" si="47"/>
        <v>2732.6663347118897</v>
      </c>
      <c r="AJ38" s="2">
        <v>2030</v>
      </c>
      <c r="AK38" s="1">
        <f t="shared" si="48"/>
        <v>702.6663347118897</v>
      </c>
      <c r="AL38">
        <f t="shared" si="49"/>
        <v>0</v>
      </c>
      <c r="AM38">
        <f t="shared" si="50"/>
        <v>0</v>
      </c>
      <c r="AN38" s="1">
        <f t="shared" si="51"/>
        <v>0</v>
      </c>
      <c r="AO38" s="8">
        <v>0</v>
      </c>
      <c r="AP38" s="1">
        <f t="shared" si="52"/>
        <v>0</v>
      </c>
      <c r="AQ38" s="69">
        <f t="shared" si="53"/>
        <v>4.1327782805429862</v>
      </c>
      <c r="AR38">
        <f t="shared" si="54"/>
        <v>1.8628320289631371E-2</v>
      </c>
      <c r="AS38" s="1">
        <f t="shared" si="55"/>
        <v>526.78429434888312</v>
      </c>
      <c r="AT38" s="8">
        <v>1229</v>
      </c>
      <c r="AU38" s="1">
        <f t="shared" si="56"/>
        <v>-702.21570565111688</v>
      </c>
      <c r="AV38" s="82">
        <f t="shared" si="57"/>
        <v>0.96440000000000003</v>
      </c>
      <c r="AW38" s="82">
        <f t="shared" si="58"/>
        <v>3.658390685901027E-3</v>
      </c>
      <c r="AX38" s="49">
        <f t="shared" si="59"/>
        <v>339.93744303048231</v>
      </c>
      <c r="AY38" s="8">
        <v>0</v>
      </c>
      <c r="AZ38" s="1">
        <f t="shared" si="60"/>
        <v>339.93744303048231</v>
      </c>
    </row>
    <row r="39" spans="1:52" x14ac:dyDescent="0.2">
      <c r="A39" s="31" t="s">
        <v>98</v>
      </c>
      <c r="B39" s="21">
        <v>1</v>
      </c>
      <c r="C39" s="21">
        <v>7267</v>
      </c>
      <c r="D39" s="21">
        <f t="shared" si="31"/>
        <v>2733</v>
      </c>
      <c r="E39" s="21">
        <v>9.1399999999999995E-2</v>
      </c>
      <c r="F39" s="21">
        <v>0.93159999999999998</v>
      </c>
      <c r="G39" s="21">
        <v>0.96160000000000001</v>
      </c>
      <c r="H39" s="21">
        <v>1</v>
      </c>
      <c r="I39" s="21">
        <v>0</v>
      </c>
      <c r="J39" s="21">
        <v>0</v>
      </c>
      <c r="K39" s="21">
        <v>0</v>
      </c>
      <c r="L39" s="24">
        <v>3.4</v>
      </c>
      <c r="M39" s="21">
        <v>1</v>
      </c>
      <c r="N39" s="88">
        <f t="shared" si="32"/>
        <v>0.52497737556561086</v>
      </c>
      <c r="O39" s="63">
        <f t="shared" si="30"/>
        <v>1.7849230769230768</v>
      </c>
      <c r="P39" s="44">
        <f t="shared" si="33"/>
        <v>8.0454639741546537E-3</v>
      </c>
      <c r="Q39" s="44">
        <f t="shared" si="34"/>
        <v>8.8417415610381033E-3</v>
      </c>
      <c r="R39" s="41">
        <v>2</v>
      </c>
      <c r="S39" s="21">
        <f t="shared" si="35"/>
        <v>7.8176393832188519E-5</v>
      </c>
      <c r="T39" s="21">
        <f t="shared" si="36"/>
        <v>3.87850130542478E-3</v>
      </c>
      <c r="U39" s="21">
        <f t="shared" si="37"/>
        <v>3.1204342526506861E-5</v>
      </c>
      <c r="V39" s="31">
        <f t="shared" si="38"/>
        <v>1.6542754488626462E-3</v>
      </c>
      <c r="W39" s="80">
        <v>0</v>
      </c>
      <c r="X39" s="46">
        <f t="shared" si="39"/>
        <v>81.449906000201253</v>
      </c>
      <c r="Y39" s="86">
        <f t="shared" si="40"/>
        <v>81.449906000201253</v>
      </c>
      <c r="Z39" s="80">
        <v>0</v>
      </c>
      <c r="AA39" s="80">
        <v>0</v>
      </c>
      <c r="AB39" s="80">
        <v>0</v>
      </c>
      <c r="AC39" s="26">
        <f t="shared" si="41"/>
        <v>0</v>
      </c>
      <c r="AD39" s="46">
        <f t="shared" si="42"/>
        <v>131.09636649601813</v>
      </c>
      <c r="AE39" s="22">
        <f t="shared" si="43"/>
        <v>131.09636649601813</v>
      </c>
      <c r="AF39" s="22">
        <f t="shared" si="44"/>
        <v>212.54627249621939</v>
      </c>
      <c r="AG39" s="55">
        <f t="shared" si="45"/>
        <v>0</v>
      </c>
      <c r="AH39">
        <f t="shared" si="46"/>
        <v>1.6542754488626462E-3</v>
      </c>
      <c r="AI39" s="1">
        <f t="shared" si="47"/>
        <v>172.82381041812951</v>
      </c>
      <c r="AJ39" s="2">
        <v>258</v>
      </c>
      <c r="AK39" s="1">
        <f t="shared" si="48"/>
        <v>-85.176189581870489</v>
      </c>
      <c r="AL39">
        <f t="shared" si="49"/>
        <v>1.7849230769230768</v>
      </c>
      <c r="AM39">
        <f t="shared" si="50"/>
        <v>3.3361419778742608E-2</v>
      </c>
      <c r="AN39" s="1">
        <f t="shared" si="51"/>
        <v>3512.4570814049157</v>
      </c>
      <c r="AO39" s="8">
        <v>3353</v>
      </c>
      <c r="AP39" s="1">
        <f t="shared" si="52"/>
        <v>159.4570814049157</v>
      </c>
      <c r="AQ39" s="69">
        <f t="shared" si="53"/>
        <v>1.7849230769230768</v>
      </c>
      <c r="AR39">
        <f t="shared" si="54"/>
        <v>8.0454639741546537E-3</v>
      </c>
      <c r="AS39" s="1">
        <f t="shared" si="55"/>
        <v>227.51509510459942</v>
      </c>
      <c r="AT39" s="8">
        <v>774</v>
      </c>
      <c r="AU39" s="1">
        <f t="shared" si="56"/>
        <v>-546.48490489540063</v>
      </c>
      <c r="AV39" s="82">
        <f t="shared" si="57"/>
        <v>0.96440000000000003</v>
      </c>
      <c r="AW39" s="82">
        <f t="shared" si="58"/>
        <v>2.8775981815090694E-3</v>
      </c>
      <c r="AX39" s="49">
        <f t="shared" si="59"/>
        <v>267.38625036993182</v>
      </c>
      <c r="AY39" s="8">
        <v>516</v>
      </c>
      <c r="AZ39" s="1">
        <f t="shared" si="60"/>
        <v>-248.61374963006818</v>
      </c>
    </row>
    <row r="40" spans="1:52" x14ac:dyDescent="0.2">
      <c r="A40" s="31" t="s">
        <v>16</v>
      </c>
      <c r="B40" s="21">
        <v>0</v>
      </c>
      <c r="C40" s="21">
        <v>2952</v>
      </c>
      <c r="D40" s="21">
        <f t="shared" si="31"/>
        <v>7048</v>
      </c>
      <c r="E40" s="21">
        <v>8.8999999999999999E-3</v>
      </c>
      <c r="F40" s="21">
        <v>0.93159999999999998</v>
      </c>
      <c r="G40" s="21">
        <v>0.96160000000000001</v>
      </c>
      <c r="H40" s="21">
        <v>1</v>
      </c>
      <c r="I40" s="24">
        <v>5.8</v>
      </c>
      <c r="J40" s="66">
        <f>$AD$68</f>
        <v>8.466666666666665</v>
      </c>
      <c r="K40" s="24">
        <v>7.2</v>
      </c>
      <c r="L40" s="24">
        <v>6.1</v>
      </c>
      <c r="M40" s="21">
        <v>3</v>
      </c>
      <c r="N40" s="88">
        <f t="shared" si="32"/>
        <v>1.6964705882352942</v>
      </c>
      <c r="O40" s="63">
        <f t="shared" si="30"/>
        <v>15.588679738562091</v>
      </c>
      <c r="P40" s="44">
        <f t="shared" si="33"/>
        <v>7.0265303229446061E-2</v>
      </c>
      <c r="Q40" s="44">
        <f t="shared" si="34"/>
        <v>2.2801534768458309E-2</v>
      </c>
      <c r="R40" s="41">
        <v>2</v>
      </c>
      <c r="S40" s="13">
        <f t="shared" si="35"/>
        <v>5.199099877972131E-4</v>
      </c>
      <c r="T40" s="13">
        <f t="shared" si="36"/>
        <v>2.5793867784479542E-2</v>
      </c>
      <c r="U40" s="13">
        <f t="shared" si="37"/>
        <v>1.8124139413366951E-3</v>
      </c>
      <c r="V40" s="31">
        <f t="shared" si="38"/>
        <v>9.6083802559941756E-2</v>
      </c>
      <c r="W40" s="80">
        <f>4291+2503</f>
        <v>6794</v>
      </c>
      <c r="X40" s="46">
        <f t="shared" si="39"/>
        <v>4730.7821028412927</v>
      </c>
      <c r="Y40" s="86">
        <f t="shared" si="40"/>
        <v>-2063.2178971587073</v>
      </c>
      <c r="Z40" s="80">
        <v>1430</v>
      </c>
      <c r="AA40" s="80">
        <v>4649</v>
      </c>
      <c r="AB40" s="80">
        <v>0</v>
      </c>
      <c r="AC40" s="26">
        <f t="shared" si="41"/>
        <v>6079</v>
      </c>
      <c r="AD40" s="46">
        <f t="shared" si="42"/>
        <v>7614.3531014677046</v>
      </c>
      <c r="AE40" s="22">
        <f t="shared" si="43"/>
        <v>1535.3531014677046</v>
      </c>
      <c r="AF40" s="22">
        <f t="shared" si="44"/>
        <v>-527.86479569100266</v>
      </c>
      <c r="AG40" s="55">
        <f t="shared" si="45"/>
        <v>12873</v>
      </c>
      <c r="AH40">
        <f t="shared" si="46"/>
        <v>9.6083802559941769E-2</v>
      </c>
      <c r="AI40" s="1">
        <f t="shared" si="47"/>
        <v>10037.970937239677</v>
      </c>
      <c r="AJ40" s="2">
        <v>4291</v>
      </c>
      <c r="AK40" s="74">
        <f t="shared" si="48"/>
        <v>5746.9709372396774</v>
      </c>
      <c r="AL40">
        <f t="shared" si="49"/>
        <v>0</v>
      </c>
      <c r="AM40">
        <f t="shared" si="50"/>
        <v>0</v>
      </c>
      <c r="AN40" s="1">
        <f t="shared" si="51"/>
        <v>0</v>
      </c>
      <c r="AO40" s="8">
        <v>0</v>
      </c>
      <c r="AP40" s="1">
        <f t="shared" si="52"/>
        <v>0</v>
      </c>
      <c r="AQ40" s="69">
        <f t="shared" si="53"/>
        <v>15.588679738562091</v>
      </c>
      <c r="AR40">
        <f t="shared" si="54"/>
        <v>7.0265303229446061E-2</v>
      </c>
      <c r="AS40" s="1">
        <f t="shared" si="55"/>
        <v>1987.009972098054</v>
      </c>
      <c r="AT40" s="8">
        <v>2503</v>
      </c>
      <c r="AU40" s="49">
        <f t="shared" si="56"/>
        <v>-515.99002790194595</v>
      </c>
      <c r="AV40" s="82">
        <f t="shared" si="57"/>
        <v>0.96440000000000003</v>
      </c>
      <c r="AW40" s="82">
        <f t="shared" si="58"/>
        <v>2.8020376165679121E-4</v>
      </c>
      <c r="AX40" s="49">
        <f t="shared" si="59"/>
        <v>26.036516720923341</v>
      </c>
      <c r="AY40" s="8">
        <v>2146</v>
      </c>
      <c r="AZ40" s="1">
        <f t="shared" si="60"/>
        <v>-2119.9634832790766</v>
      </c>
    </row>
    <row r="41" spans="1:52" x14ac:dyDescent="0.2">
      <c r="A41" s="31" t="s">
        <v>67</v>
      </c>
      <c r="B41" s="21">
        <v>1</v>
      </c>
      <c r="C41" s="21">
        <v>6425</v>
      </c>
      <c r="D41" s="21">
        <f t="shared" si="31"/>
        <v>3575</v>
      </c>
      <c r="E41" s="21">
        <v>0.99270000000000003</v>
      </c>
      <c r="F41" s="21">
        <v>0.93159999999999998</v>
      </c>
      <c r="G41" s="21">
        <v>0.96160000000000001</v>
      </c>
      <c r="H41" s="21">
        <v>1</v>
      </c>
      <c r="I41" s="21">
        <v>0</v>
      </c>
      <c r="J41" s="66">
        <f>$AD$69</f>
        <v>3.6666666666666661</v>
      </c>
      <c r="K41" s="21">
        <v>0</v>
      </c>
      <c r="L41" s="21">
        <v>0</v>
      </c>
      <c r="M41" s="21">
        <v>1</v>
      </c>
      <c r="N41" s="88">
        <f t="shared" si="32"/>
        <v>0.75357466063348411</v>
      </c>
      <c r="O41" s="63">
        <f t="shared" si="30"/>
        <v>2.7631070889894409</v>
      </c>
      <c r="P41" s="44">
        <f t="shared" si="33"/>
        <v>1.2454586322855822E-2</v>
      </c>
      <c r="Q41" s="44">
        <f t="shared" si="34"/>
        <v>1.1565761463853356E-2</v>
      </c>
      <c r="R41" s="41">
        <v>2</v>
      </c>
      <c r="S41" s="13">
        <f t="shared" si="35"/>
        <v>1.3376683823875532E-4</v>
      </c>
      <c r="T41" s="13">
        <f t="shared" si="36"/>
        <v>6.6364644274233579E-3</v>
      </c>
      <c r="U41" s="13">
        <f t="shared" si="37"/>
        <v>8.2654419089906142E-5</v>
      </c>
      <c r="V41" s="31">
        <f t="shared" si="38"/>
        <v>4.3818637141380661E-3</v>
      </c>
      <c r="W41" s="80">
        <v>613</v>
      </c>
      <c r="X41" s="46">
        <f t="shared" si="39"/>
        <v>215.74544182930183</v>
      </c>
      <c r="Y41" s="86">
        <f t="shared" si="40"/>
        <v>-397.25455817069815</v>
      </c>
      <c r="Z41" s="80">
        <v>613</v>
      </c>
      <c r="AA41" s="80">
        <v>613</v>
      </c>
      <c r="AB41" s="80">
        <v>0</v>
      </c>
      <c r="AC41" s="26">
        <f t="shared" si="41"/>
        <v>1226</v>
      </c>
      <c r="AD41" s="46">
        <f t="shared" si="42"/>
        <v>347.24955375429931</v>
      </c>
      <c r="AE41" s="22">
        <f t="shared" si="43"/>
        <v>-878.75044624570069</v>
      </c>
      <c r="AF41" s="22">
        <f t="shared" si="44"/>
        <v>-1276.0050044163988</v>
      </c>
      <c r="AG41" s="55">
        <f t="shared" si="45"/>
        <v>1839</v>
      </c>
      <c r="AH41">
        <f t="shared" si="46"/>
        <v>4.3818637141380661E-3</v>
      </c>
      <c r="AI41" s="1">
        <f t="shared" si="47"/>
        <v>457.77768407971791</v>
      </c>
      <c r="AJ41" s="2">
        <v>1533</v>
      </c>
      <c r="AK41" s="1">
        <f t="shared" si="48"/>
        <v>-1075.2223159202822</v>
      </c>
      <c r="AL41">
        <f t="shared" si="49"/>
        <v>2.7631070889894409</v>
      </c>
      <c r="AM41">
        <f t="shared" si="50"/>
        <v>5.1644340689629004E-2</v>
      </c>
      <c r="AN41" s="1">
        <f t="shared" si="51"/>
        <v>5437.3744095075899</v>
      </c>
      <c r="AO41" s="8">
        <v>613</v>
      </c>
      <c r="AP41" s="1">
        <f t="shared" si="52"/>
        <v>4824.3744095075899</v>
      </c>
      <c r="AQ41" s="69">
        <f t="shared" si="53"/>
        <v>2.7631070889894409</v>
      </c>
      <c r="AR41">
        <f t="shared" si="54"/>
        <v>1.2454586322855822E-2</v>
      </c>
      <c r="AS41" s="1">
        <f t="shared" si="55"/>
        <v>352.19925175672864</v>
      </c>
      <c r="AT41" s="8">
        <v>1227</v>
      </c>
      <c r="AU41" s="1">
        <f t="shared" si="56"/>
        <v>-874.8007482432713</v>
      </c>
      <c r="AV41" s="82">
        <f t="shared" si="57"/>
        <v>0.96440000000000003</v>
      </c>
      <c r="AW41" s="82">
        <f t="shared" si="58"/>
        <v>3.1253738673786141E-2</v>
      </c>
      <c r="AX41" s="49">
        <f t="shared" si="59"/>
        <v>2904.0955223438878</v>
      </c>
      <c r="AY41" s="8">
        <v>1840</v>
      </c>
      <c r="AZ41" s="1">
        <f t="shared" si="60"/>
        <v>1064.0955223438878</v>
      </c>
    </row>
    <row r="42" spans="1:52" x14ac:dyDescent="0.2">
      <c r="A42" s="41" t="s">
        <v>103</v>
      </c>
      <c r="B42" s="21">
        <v>0</v>
      </c>
      <c r="C42" s="21">
        <v>4404</v>
      </c>
      <c r="D42" s="21">
        <f t="shared" si="31"/>
        <v>5596</v>
      </c>
      <c r="E42" s="21">
        <v>1</v>
      </c>
      <c r="F42" s="21">
        <v>0.93159999999999998</v>
      </c>
      <c r="G42" s="21">
        <v>0.96160000000000001</v>
      </c>
      <c r="H42" s="21">
        <v>1</v>
      </c>
      <c r="I42" s="24">
        <v>11</v>
      </c>
      <c r="J42" s="21">
        <v>0</v>
      </c>
      <c r="K42" s="24">
        <v>6.4</v>
      </c>
      <c r="L42" s="24">
        <v>3.8</v>
      </c>
      <c r="M42" s="21">
        <v>3</v>
      </c>
      <c r="N42" s="88">
        <f t="shared" si="32"/>
        <v>1.3022624434389141</v>
      </c>
      <c r="O42" s="63">
        <f t="shared" si="30"/>
        <v>9.2026546003016598</v>
      </c>
      <c r="P42" s="13">
        <f t="shared" si="33"/>
        <v>4.1480569673034942E-2</v>
      </c>
      <c r="Q42" s="13">
        <f t="shared" si="34"/>
        <v>1.8104056266216331E-2</v>
      </c>
      <c r="R42" s="41">
        <v>2</v>
      </c>
      <c r="S42" s="13">
        <f t="shared" si="35"/>
        <v>3.2775685329032681E-4</v>
      </c>
      <c r="T42" s="13">
        <f t="shared" si="36"/>
        <v>1.6260731929860925E-2</v>
      </c>
      <c r="U42" s="13">
        <f t="shared" si="37"/>
        <v>6.7450442375114E-4</v>
      </c>
      <c r="V42" s="31">
        <f t="shared" si="38"/>
        <v>3.5758359831261174E-2</v>
      </c>
      <c r="W42" s="80">
        <v>1498</v>
      </c>
      <c r="X42" s="46">
        <f t="shared" si="39"/>
        <v>1760.5986046519752</v>
      </c>
      <c r="Y42" s="86">
        <f t="shared" si="40"/>
        <v>262.59860465197517</v>
      </c>
      <c r="Z42" s="80">
        <v>1498</v>
      </c>
      <c r="AA42" s="80">
        <v>1498</v>
      </c>
      <c r="AB42" s="80">
        <v>0</v>
      </c>
      <c r="AC42" s="26">
        <f t="shared" si="41"/>
        <v>2996</v>
      </c>
      <c r="AD42" s="46">
        <f t="shared" si="42"/>
        <v>2833.7427415479542</v>
      </c>
      <c r="AE42" s="22">
        <f t="shared" si="43"/>
        <v>-162.25725845204579</v>
      </c>
      <c r="AF42" s="22">
        <f t="shared" si="44"/>
        <v>100.34134619992938</v>
      </c>
      <c r="AG42" s="55">
        <f t="shared" si="45"/>
        <v>4494</v>
      </c>
      <c r="AH42">
        <f t="shared" si="46"/>
        <v>3.5758359831261174E-2</v>
      </c>
      <c r="AI42" s="1">
        <f t="shared" si="47"/>
        <v>3735.7116099316863</v>
      </c>
      <c r="AJ42" s="2">
        <v>2996</v>
      </c>
      <c r="AK42" s="49">
        <f t="shared" si="48"/>
        <v>739.71160993168633</v>
      </c>
      <c r="AL42">
        <f t="shared" si="49"/>
        <v>0</v>
      </c>
      <c r="AM42">
        <f t="shared" si="50"/>
        <v>0</v>
      </c>
      <c r="AN42" s="1">
        <f t="shared" si="51"/>
        <v>0</v>
      </c>
      <c r="AO42" s="8">
        <v>0</v>
      </c>
      <c r="AP42" s="1">
        <f t="shared" si="52"/>
        <v>0</v>
      </c>
      <c r="AQ42" s="69">
        <f t="shared" si="53"/>
        <v>9.2026546003016598</v>
      </c>
      <c r="AR42">
        <f t="shared" si="54"/>
        <v>4.1480569673034942E-2</v>
      </c>
      <c r="AS42" s="1">
        <f t="shared" si="55"/>
        <v>1173.0157246953693</v>
      </c>
      <c r="AT42" s="8">
        <v>1498</v>
      </c>
      <c r="AU42" s="1">
        <f t="shared" si="56"/>
        <v>-324.98427530463073</v>
      </c>
      <c r="AV42" s="82">
        <f t="shared" si="57"/>
        <v>0.96440000000000003</v>
      </c>
      <c r="AW42" s="82">
        <f t="shared" si="58"/>
        <v>3.1483568725482164E-2</v>
      </c>
      <c r="AX42" s="49">
        <f t="shared" si="59"/>
        <v>2925.4513169576794</v>
      </c>
      <c r="AY42" s="8">
        <v>1498</v>
      </c>
      <c r="AZ42" s="1">
        <f t="shared" si="60"/>
        <v>1427.4513169576794</v>
      </c>
    </row>
    <row r="43" spans="1:52" x14ac:dyDescent="0.2">
      <c r="A43" s="41" t="s">
        <v>77</v>
      </c>
      <c r="B43" s="21">
        <v>0</v>
      </c>
      <c r="C43" s="21">
        <v>2982</v>
      </c>
      <c r="D43" s="21">
        <f t="shared" si="31"/>
        <v>7018</v>
      </c>
      <c r="E43" s="21">
        <v>1</v>
      </c>
      <c r="F43" s="21">
        <v>0.93159999999999998</v>
      </c>
      <c r="G43" s="21">
        <v>0.96160000000000001</v>
      </c>
      <c r="H43" s="21">
        <v>1</v>
      </c>
      <c r="I43" s="24">
        <v>5.0999999999999996</v>
      </c>
      <c r="J43" s="66">
        <f>$AD$70</f>
        <v>1.4</v>
      </c>
      <c r="K43" s="24">
        <v>3.2</v>
      </c>
      <c r="L43" s="24">
        <v>2</v>
      </c>
      <c r="M43" s="21">
        <v>3</v>
      </c>
      <c r="N43" s="88">
        <f t="shared" si="32"/>
        <v>1.6883257918552037</v>
      </c>
      <c r="O43" s="63">
        <f t="shared" si="30"/>
        <v>6.5844705882352947</v>
      </c>
      <c r="P43" s="13">
        <f t="shared" si="33"/>
        <v>2.9679217884195121E-2</v>
      </c>
      <c r="Q43" s="13">
        <f t="shared" si="34"/>
        <v>2.2704479427502894E-2</v>
      </c>
      <c r="R43" s="41">
        <v>2</v>
      </c>
      <c r="S43" s="13">
        <f t="shared" si="35"/>
        <v>5.1549338607390213E-4</v>
      </c>
      <c r="T43" s="13">
        <f t="shared" si="36"/>
        <v>2.5574750545762016E-2</v>
      </c>
      <c r="U43" s="13">
        <f t="shared" si="37"/>
        <v>7.5903859378160892E-4</v>
      </c>
      <c r="V43" s="31">
        <f t="shared" si="38"/>
        <v>4.0239877169836541E-2</v>
      </c>
      <c r="W43" s="80">
        <v>1872</v>
      </c>
      <c r="X43" s="46">
        <f t="shared" si="39"/>
        <v>1981.2505923340718</v>
      </c>
      <c r="Y43" s="86">
        <f t="shared" si="40"/>
        <v>109.25059233407183</v>
      </c>
      <c r="Z43" s="80">
        <v>1008</v>
      </c>
      <c r="AA43" s="80">
        <v>1152</v>
      </c>
      <c r="AB43" s="80">
        <v>0</v>
      </c>
      <c r="AC43" s="26">
        <f t="shared" si="41"/>
        <v>2160</v>
      </c>
      <c r="AD43" s="46">
        <f t="shared" si="42"/>
        <v>3188.8895460780363</v>
      </c>
      <c r="AE43" s="22">
        <f t="shared" si="43"/>
        <v>1028.8895460780363</v>
      </c>
      <c r="AF43" s="22">
        <f t="shared" si="44"/>
        <v>1138.1401384121082</v>
      </c>
      <c r="AG43" s="55">
        <f t="shared" si="45"/>
        <v>4032</v>
      </c>
      <c r="AH43">
        <f t="shared" si="46"/>
        <v>4.0239877169836541E-2</v>
      </c>
      <c r="AI43" s="1">
        <f t="shared" si="47"/>
        <v>4203.9002078099929</v>
      </c>
      <c r="AJ43" s="2">
        <v>3168</v>
      </c>
      <c r="AK43" s="1">
        <f t="shared" si="48"/>
        <v>1035.9002078099929</v>
      </c>
      <c r="AL43">
        <f t="shared" si="49"/>
        <v>0</v>
      </c>
      <c r="AM43">
        <f t="shared" si="50"/>
        <v>0</v>
      </c>
      <c r="AN43" s="1">
        <f t="shared" si="51"/>
        <v>0</v>
      </c>
      <c r="AO43" s="8">
        <v>3168</v>
      </c>
      <c r="AP43" s="1">
        <f t="shared" si="52"/>
        <v>-3168</v>
      </c>
      <c r="AQ43" s="69">
        <f t="shared" si="53"/>
        <v>6.5844705882352947</v>
      </c>
      <c r="AR43">
        <f t="shared" si="54"/>
        <v>2.9679217884195121E-2</v>
      </c>
      <c r="AS43" s="1">
        <f t="shared" si="55"/>
        <v>839.28908279802101</v>
      </c>
      <c r="AT43" s="8">
        <v>1728</v>
      </c>
      <c r="AU43" s="1">
        <f t="shared" si="56"/>
        <v>-888.71091720197899</v>
      </c>
      <c r="AV43" s="82">
        <f t="shared" si="57"/>
        <v>0.96440000000000003</v>
      </c>
      <c r="AW43" s="82">
        <f t="shared" si="58"/>
        <v>3.1483568725482164E-2</v>
      </c>
      <c r="AX43" s="49">
        <f t="shared" si="59"/>
        <v>2925.4513169576794</v>
      </c>
      <c r="AY43" s="8">
        <v>1584</v>
      </c>
      <c r="AZ43" s="1">
        <f t="shared" si="60"/>
        <v>1341.4513169576794</v>
      </c>
    </row>
    <row r="44" spans="1:52" x14ac:dyDescent="0.2">
      <c r="A44" s="41" t="s">
        <v>14</v>
      </c>
      <c r="B44" s="21">
        <v>1</v>
      </c>
      <c r="C44" s="21">
        <v>6848</v>
      </c>
      <c r="D44" s="21">
        <f t="shared" si="31"/>
        <v>3152</v>
      </c>
      <c r="E44" s="21">
        <v>3.85E-2</v>
      </c>
      <c r="F44" s="21">
        <v>0.93159999999999998</v>
      </c>
      <c r="G44" s="21">
        <v>0.96160000000000001</v>
      </c>
      <c r="H44" s="21">
        <v>1</v>
      </c>
      <c r="I44" s="24">
        <v>6.5</v>
      </c>
      <c r="J44" s="21">
        <v>0</v>
      </c>
      <c r="K44" s="24">
        <v>3.6</v>
      </c>
      <c r="L44" s="21">
        <v>0</v>
      </c>
      <c r="M44" s="21">
        <v>2</v>
      </c>
      <c r="N44" s="88">
        <f t="shared" si="32"/>
        <v>0.63873303167420814</v>
      </c>
      <c r="O44" s="63">
        <f t="shared" si="30"/>
        <v>3.225601809954751</v>
      </c>
      <c r="P44" s="13">
        <f t="shared" si="33"/>
        <v>1.4539261379092698E-2</v>
      </c>
      <c r="Q44" s="13">
        <f t="shared" si="34"/>
        <v>1.0197281156382037E-2</v>
      </c>
      <c r="R44" s="41">
        <v>2</v>
      </c>
      <c r="S44" s="13">
        <f t="shared" si="35"/>
        <v>1.0398454298230416E-4</v>
      </c>
      <c r="T44" s="13">
        <f t="shared" si="36"/>
        <v>5.1588998408725337E-3</v>
      </c>
      <c r="U44" s="13">
        <f t="shared" si="37"/>
        <v>7.5006593215005499E-5</v>
      </c>
      <c r="V44" s="31">
        <f t="shared" si="38"/>
        <v>3.9764198060897689E-3</v>
      </c>
      <c r="W44" s="80">
        <v>0</v>
      </c>
      <c r="X44" s="46">
        <f t="shared" si="39"/>
        <v>195.78300557263586</v>
      </c>
      <c r="Y44" s="86">
        <f t="shared" si="40"/>
        <v>195.78300557263586</v>
      </c>
      <c r="Z44" s="80">
        <v>0</v>
      </c>
      <c r="AA44" s="80">
        <v>1014</v>
      </c>
      <c r="AB44" s="80">
        <v>0</v>
      </c>
      <c r="AC44" s="26">
        <f t="shared" si="41"/>
        <v>1014</v>
      </c>
      <c r="AD44" s="46">
        <f t="shared" si="42"/>
        <v>315.11934037319594</v>
      </c>
      <c r="AE44" s="22">
        <f t="shared" si="43"/>
        <v>-698.88065962680412</v>
      </c>
      <c r="AF44" s="22">
        <f t="shared" si="44"/>
        <v>-503.09765405416829</v>
      </c>
      <c r="AG44" s="55">
        <f t="shared" si="45"/>
        <v>1014</v>
      </c>
      <c r="AH44">
        <f t="shared" si="46"/>
        <v>3.9764198060897689E-3</v>
      </c>
      <c r="AI44" s="1">
        <f t="shared" si="47"/>
        <v>415.42055356200422</v>
      </c>
      <c r="AJ44" s="2">
        <v>338</v>
      </c>
      <c r="AK44" s="1">
        <f t="shared" si="48"/>
        <v>77.420553562004216</v>
      </c>
      <c r="AL44">
        <f t="shared" si="49"/>
        <v>3.225601809954751</v>
      </c>
      <c r="AM44">
        <f t="shared" si="50"/>
        <v>6.0288679894528581E-2</v>
      </c>
      <c r="AN44" s="1">
        <f t="shared" si="51"/>
        <v>6347.4936626954413</v>
      </c>
      <c r="AO44" s="8">
        <v>3717</v>
      </c>
      <c r="AP44" s="1">
        <f t="shared" si="52"/>
        <v>2630.4936626954413</v>
      </c>
      <c r="AQ44" s="69">
        <f t="shared" si="53"/>
        <v>3.225601809954751</v>
      </c>
      <c r="AR44">
        <f t="shared" si="54"/>
        <v>1.4539261379092698E-2</v>
      </c>
      <c r="AS44" s="1">
        <f t="shared" si="55"/>
        <v>411.15110900269366</v>
      </c>
      <c r="AT44" s="8">
        <v>1014</v>
      </c>
      <c r="AU44" s="1">
        <f t="shared" si="56"/>
        <v>-602.8488909973064</v>
      </c>
      <c r="AV44" s="82">
        <f t="shared" si="57"/>
        <v>0.96440000000000003</v>
      </c>
      <c r="AW44" s="82">
        <f t="shared" si="58"/>
        <v>1.2121173959310633E-3</v>
      </c>
      <c r="AX44" s="49">
        <f t="shared" si="59"/>
        <v>112.62987570287065</v>
      </c>
      <c r="AY44" s="8">
        <v>0</v>
      </c>
      <c r="AZ44" s="1">
        <f t="shared" si="60"/>
        <v>112.62987570287065</v>
      </c>
    </row>
    <row r="45" spans="1:52" x14ac:dyDescent="0.2">
      <c r="A45" s="41" t="s">
        <v>10</v>
      </c>
      <c r="B45" s="21">
        <v>1</v>
      </c>
      <c r="C45" s="21">
        <v>5710</v>
      </c>
      <c r="D45" s="21">
        <f t="shared" si="31"/>
        <v>4290</v>
      </c>
      <c r="E45" s="21">
        <v>0.75880000000000003</v>
      </c>
      <c r="F45" s="21">
        <v>0.93159999999999998</v>
      </c>
      <c r="G45" s="21">
        <v>0.96160000000000001</v>
      </c>
      <c r="H45" s="21">
        <v>1</v>
      </c>
      <c r="I45" s="24">
        <v>6.3</v>
      </c>
      <c r="J45" s="21">
        <v>0</v>
      </c>
      <c r="K45" s="21">
        <v>0</v>
      </c>
      <c r="L45" s="21">
        <v>0</v>
      </c>
      <c r="M45" s="21">
        <v>1</v>
      </c>
      <c r="N45" s="88">
        <f t="shared" si="32"/>
        <v>0.94769230769230761</v>
      </c>
      <c r="O45" s="63">
        <f t="shared" si="30"/>
        <v>5.9704615384615378</v>
      </c>
      <c r="P45" s="13">
        <f t="shared" si="33"/>
        <v>2.6911598509652971E-2</v>
      </c>
      <c r="Q45" s="13">
        <f t="shared" si="34"/>
        <v>1.3878913756624027E-2</v>
      </c>
      <c r="R45" s="41">
        <v>2</v>
      </c>
      <c r="S45" s="13">
        <f t="shared" si="35"/>
        <v>1.9262424706380766E-4</v>
      </c>
      <c r="T45" s="13">
        <f t="shared" si="36"/>
        <v>9.5565087754896361E-3</v>
      </c>
      <c r="U45" s="13">
        <f t="shared" si="37"/>
        <v>2.5718092731995241E-4</v>
      </c>
      <c r="V45" s="31">
        <f t="shared" si="38"/>
        <v>1.3634259193883815E-2</v>
      </c>
      <c r="W45" s="80">
        <v>0</v>
      </c>
      <c r="X45" s="46">
        <f t="shared" si="39"/>
        <v>671.2963856700635</v>
      </c>
      <c r="Y45" s="86">
        <f t="shared" si="40"/>
        <v>671.2963856700635</v>
      </c>
      <c r="Z45" s="80">
        <v>1399</v>
      </c>
      <c r="AA45" s="80">
        <v>0</v>
      </c>
      <c r="AB45" s="80">
        <v>0</v>
      </c>
      <c r="AC45" s="26">
        <f t="shared" si="41"/>
        <v>1399</v>
      </c>
      <c r="AD45" s="46">
        <f t="shared" si="42"/>
        <v>1080.4741383377107</v>
      </c>
      <c r="AE45" s="22">
        <f t="shared" si="43"/>
        <v>-318.52586166228934</v>
      </c>
      <c r="AF45" s="22">
        <f t="shared" si="44"/>
        <v>352.77052400777416</v>
      </c>
      <c r="AG45" s="55">
        <f t="shared" si="45"/>
        <v>1399</v>
      </c>
      <c r="AH45">
        <f t="shared" si="46"/>
        <v>1.3634259193883815E-2</v>
      </c>
      <c r="AI45" s="1">
        <f t="shared" si="47"/>
        <v>1424.384692244236</v>
      </c>
      <c r="AJ45" s="2">
        <v>1184</v>
      </c>
      <c r="AK45" s="49">
        <f t="shared" si="48"/>
        <v>240.38469224423602</v>
      </c>
      <c r="AL45">
        <f t="shared" si="49"/>
        <v>5.9704615384615378</v>
      </c>
      <c r="AM45">
        <f t="shared" si="50"/>
        <v>0.11159196507269808</v>
      </c>
      <c r="AN45" s="1">
        <f t="shared" si="51"/>
        <v>11748.960042679018</v>
      </c>
      <c r="AO45" s="8">
        <v>0</v>
      </c>
      <c r="AP45" s="1">
        <f t="shared" si="52"/>
        <v>11748.960042679018</v>
      </c>
      <c r="AQ45" s="69">
        <f t="shared" si="53"/>
        <v>5.9704615384615378</v>
      </c>
      <c r="AR45">
        <f t="shared" si="54"/>
        <v>2.6911598509652971E-2</v>
      </c>
      <c r="AS45" s="1">
        <f t="shared" si="55"/>
        <v>761.02446223231289</v>
      </c>
      <c r="AT45" s="8">
        <v>1722</v>
      </c>
      <c r="AU45" s="1">
        <f t="shared" si="56"/>
        <v>-960.97553776768711</v>
      </c>
      <c r="AV45" s="82">
        <f t="shared" si="57"/>
        <v>0.96440000000000003</v>
      </c>
      <c r="AW45" s="82">
        <f t="shared" si="58"/>
        <v>2.3889731948895866E-2</v>
      </c>
      <c r="AX45" s="49">
        <f t="shared" si="59"/>
        <v>2219.8324593074872</v>
      </c>
      <c r="AY45" s="8">
        <v>1291</v>
      </c>
      <c r="AZ45" s="1">
        <f t="shared" si="60"/>
        <v>928.83245930748717</v>
      </c>
    </row>
    <row r="46" spans="1:52" x14ac:dyDescent="0.2">
      <c r="A46" s="23" t="s">
        <v>7</v>
      </c>
      <c r="B46" s="21">
        <v>0</v>
      </c>
      <c r="C46" s="21">
        <v>4406</v>
      </c>
      <c r="D46" s="21">
        <f t="shared" si="31"/>
        <v>5594</v>
      </c>
      <c r="E46" s="21">
        <v>1</v>
      </c>
      <c r="F46" s="21">
        <v>0.93159999999999998</v>
      </c>
      <c r="G46" s="21">
        <v>0.96160000000000001</v>
      </c>
      <c r="H46" s="21">
        <v>1</v>
      </c>
      <c r="I46" s="24">
        <v>7.3</v>
      </c>
      <c r="J46" s="21">
        <v>0</v>
      </c>
      <c r="K46" s="24">
        <v>4</v>
      </c>
      <c r="L46" s="24">
        <v>3.4</v>
      </c>
      <c r="M46" s="21">
        <v>3</v>
      </c>
      <c r="N46" s="88">
        <f t="shared" si="32"/>
        <v>1.3017194570135746</v>
      </c>
      <c r="O46" s="63">
        <f t="shared" si="30"/>
        <v>6.3784253393665162</v>
      </c>
      <c r="P46" s="44">
        <f t="shared" si="33"/>
        <v>2.8750477789872875E-2</v>
      </c>
      <c r="Q46" s="44">
        <f t="shared" si="34"/>
        <v>1.8097585910152637E-2</v>
      </c>
      <c r="R46" s="41">
        <v>2</v>
      </c>
      <c r="S46" s="13">
        <f t="shared" si="35"/>
        <v>3.2752261577535525E-4</v>
      </c>
      <c r="T46" s="13">
        <f t="shared" si="36"/>
        <v>1.6249110896156726E-2</v>
      </c>
      <c r="U46" s="13">
        <f t="shared" si="37"/>
        <v>4.6716970192513528E-4</v>
      </c>
      <c r="V46" s="31">
        <f t="shared" si="38"/>
        <v>2.4766660848269607E-2</v>
      </c>
      <c r="W46" s="80">
        <v>890</v>
      </c>
      <c r="X46" s="46">
        <f t="shared" si="39"/>
        <v>1219.4113135254024</v>
      </c>
      <c r="Y46" s="86">
        <f t="shared" si="40"/>
        <v>329.41131352540242</v>
      </c>
      <c r="Z46" s="80">
        <v>485</v>
      </c>
      <c r="AA46" s="80">
        <v>0</v>
      </c>
      <c r="AB46" s="80">
        <v>0</v>
      </c>
      <c r="AC46" s="26">
        <f t="shared" si="41"/>
        <v>485</v>
      </c>
      <c r="AD46" s="46">
        <f t="shared" si="42"/>
        <v>1962.6835722428216</v>
      </c>
      <c r="AE46" s="22">
        <f t="shared" si="43"/>
        <v>1477.6835722428216</v>
      </c>
      <c r="AF46" s="22">
        <f t="shared" si="44"/>
        <v>1807.094885768224</v>
      </c>
      <c r="AG46" s="55">
        <f t="shared" si="45"/>
        <v>1375</v>
      </c>
      <c r="AH46">
        <f t="shared" si="46"/>
        <v>2.4766660848269607E-2</v>
      </c>
      <c r="AI46" s="1">
        <f t="shared" si="47"/>
        <v>2587.3978254795743</v>
      </c>
      <c r="AJ46" s="2">
        <v>1780</v>
      </c>
      <c r="AK46" s="1">
        <f t="shared" si="48"/>
        <v>807.39782547957429</v>
      </c>
      <c r="AL46">
        <f t="shared" si="49"/>
        <v>0</v>
      </c>
      <c r="AM46">
        <f t="shared" si="50"/>
        <v>0</v>
      </c>
      <c r="AN46" s="1">
        <f t="shared" si="51"/>
        <v>0</v>
      </c>
      <c r="AO46" s="8">
        <v>3641</v>
      </c>
      <c r="AP46" s="1">
        <f t="shared" si="52"/>
        <v>-3641</v>
      </c>
      <c r="AQ46" s="69">
        <f t="shared" si="53"/>
        <v>6.3784253393665162</v>
      </c>
      <c r="AR46">
        <f t="shared" si="54"/>
        <v>2.8750477789872875E-2</v>
      </c>
      <c r="AS46" s="1">
        <f t="shared" si="55"/>
        <v>813.02553956844849</v>
      </c>
      <c r="AT46" s="8">
        <v>1780</v>
      </c>
      <c r="AU46" s="1">
        <f t="shared" si="56"/>
        <v>-966.97446043155151</v>
      </c>
      <c r="AV46" s="82">
        <f t="shared" si="57"/>
        <v>0.96440000000000003</v>
      </c>
      <c r="AW46" s="82">
        <f t="shared" si="58"/>
        <v>3.1483568725482164E-2</v>
      </c>
      <c r="AX46" s="49">
        <f t="shared" si="59"/>
        <v>2925.4513169576794</v>
      </c>
      <c r="AY46" s="8">
        <v>1537</v>
      </c>
      <c r="AZ46" s="1">
        <f t="shared" si="60"/>
        <v>1388.4513169576794</v>
      </c>
    </row>
    <row r="47" spans="1:52" x14ac:dyDescent="0.2">
      <c r="A47" s="23" t="s">
        <v>9</v>
      </c>
      <c r="B47" s="21">
        <v>1</v>
      </c>
      <c r="C47" s="21">
        <v>4387</v>
      </c>
      <c r="D47" s="21">
        <f t="shared" si="31"/>
        <v>5613</v>
      </c>
      <c r="E47" s="21">
        <v>0.2989</v>
      </c>
      <c r="F47" s="21">
        <v>0.93159999999999998</v>
      </c>
      <c r="G47" s="21">
        <v>0.96160000000000001</v>
      </c>
      <c r="H47" s="21">
        <v>1</v>
      </c>
      <c r="I47" s="24">
        <v>1.5</v>
      </c>
      <c r="J47" s="21">
        <v>0</v>
      </c>
      <c r="K47" s="21">
        <v>0</v>
      </c>
      <c r="L47" s="21">
        <v>0</v>
      </c>
      <c r="M47" s="21">
        <v>1</v>
      </c>
      <c r="N47" s="88">
        <f t="shared" si="32"/>
        <v>1.3068778280542985</v>
      </c>
      <c r="O47" s="63">
        <f t="shared" si="30"/>
        <v>1.9603167420814478</v>
      </c>
      <c r="P47" s="44">
        <f t="shared" si="33"/>
        <v>8.8360433736653417E-3</v>
      </c>
      <c r="Q47" s="44">
        <f t="shared" si="34"/>
        <v>1.8159054292757732E-2</v>
      </c>
      <c r="R47" s="41">
        <v>2</v>
      </c>
      <c r="S47" s="13">
        <f t="shared" si="35"/>
        <v>3.2975125280732302E-4</v>
      </c>
      <c r="T47" s="13">
        <f t="shared" si="36"/>
        <v>1.6359678437253077E-2</v>
      </c>
      <c r="U47" s="13">
        <f t="shared" si="37"/>
        <v>1.4455482825078583E-4</v>
      </c>
      <c r="V47" s="31">
        <f t="shared" si="38"/>
        <v>7.6634687363368401E-3</v>
      </c>
      <c r="W47" s="80">
        <v>802</v>
      </c>
      <c r="X47" s="46">
        <f t="shared" si="39"/>
        <v>377.31854670228068</v>
      </c>
      <c r="Y47" s="86">
        <f t="shared" si="40"/>
        <v>-424.68145329771932</v>
      </c>
      <c r="Z47" s="80">
        <v>641</v>
      </c>
      <c r="AA47" s="80">
        <v>0</v>
      </c>
      <c r="AB47" s="80">
        <v>0</v>
      </c>
      <c r="AC47" s="26">
        <f t="shared" si="41"/>
        <v>641</v>
      </c>
      <c r="AD47" s="46">
        <f t="shared" si="42"/>
        <v>607.30690694848556</v>
      </c>
      <c r="AE47" s="22">
        <f t="shared" si="43"/>
        <v>-33.693093051514438</v>
      </c>
      <c r="AF47" s="22">
        <f t="shared" si="44"/>
        <v>-458.37454634923375</v>
      </c>
      <c r="AG47" s="55">
        <f t="shared" si="45"/>
        <v>1443</v>
      </c>
      <c r="AH47">
        <f t="shared" si="46"/>
        <v>7.663468736336841E-3</v>
      </c>
      <c r="AI47" s="1">
        <f t="shared" si="47"/>
        <v>800.61024235384616</v>
      </c>
      <c r="AJ47" s="2">
        <v>1443</v>
      </c>
      <c r="AK47" s="1">
        <f t="shared" si="48"/>
        <v>-642.38975764615384</v>
      </c>
      <c r="AL47">
        <f t="shared" si="49"/>
        <v>1.9603167420814478</v>
      </c>
      <c r="AM47">
        <f t="shared" si="50"/>
        <v>3.6639646031476979E-2</v>
      </c>
      <c r="AN47" s="1">
        <f t="shared" si="51"/>
        <v>3857.6051324240539</v>
      </c>
      <c r="AO47" s="8">
        <v>0</v>
      </c>
      <c r="AP47" s="1">
        <f t="shared" si="52"/>
        <v>3857.6051324240539</v>
      </c>
      <c r="AQ47" s="69">
        <f t="shared" si="53"/>
        <v>1.9603167420814478</v>
      </c>
      <c r="AR47">
        <f t="shared" si="54"/>
        <v>8.8360433736653417E-3</v>
      </c>
      <c r="AS47" s="1">
        <f t="shared" si="55"/>
        <v>249.87163636129065</v>
      </c>
      <c r="AT47" s="8">
        <v>641</v>
      </c>
      <c r="AU47" s="1">
        <f t="shared" si="56"/>
        <v>-391.12836363870935</v>
      </c>
      <c r="AV47" s="82">
        <f t="shared" si="57"/>
        <v>0.96440000000000003</v>
      </c>
      <c r="AW47" s="82">
        <f t="shared" si="58"/>
        <v>9.4104386920466181E-3</v>
      </c>
      <c r="AX47" s="49">
        <f t="shared" si="59"/>
        <v>874.4173986386503</v>
      </c>
      <c r="AY47" s="8">
        <v>641</v>
      </c>
      <c r="AZ47" s="1">
        <f t="shared" si="60"/>
        <v>233.4173986386503</v>
      </c>
    </row>
    <row r="48" spans="1:52" x14ac:dyDescent="0.2">
      <c r="A48" s="23" t="s">
        <v>127</v>
      </c>
      <c r="B48" s="21">
        <v>0</v>
      </c>
      <c r="C48" s="21">
        <v>3615</v>
      </c>
      <c r="D48" s="21">
        <f t="shared" si="31"/>
        <v>6385</v>
      </c>
      <c r="E48" s="21">
        <v>0.99809999999999999</v>
      </c>
      <c r="F48" s="21">
        <v>0.93159999999999998</v>
      </c>
      <c r="G48" s="21">
        <v>0.96160000000000001</v>
      </c>
      <c r="H48" s="21">
        <v>1</v>
      </c>
      <c r="I48" s="21">
        <v>0</v>
      </c>
      <c r="J48" s="21">
        <v>0</v>
      </c>
      <c r="K48" s="21">
        <v>0</v>
      </c>
      <c r="L48" s="24">
        <v>3.3</v>
      </c>
      <c r="M48" s="21">
        <v>1</v>
      </c>
      <c r="N48" s="88">
        <f t="shared" si="32"/>
        <v>1.516470588235294</v>
      </c>
      <c r="O48" s="63">
        <f t="shared" si="30"/>
        <v>5.00435294117647</v>
      </c>
      <c r="P48" s="44">
        <f t="shared" si="33"/>
        <v>2.2556905573542157E-2</v>
      </c>
      <c r="Q48" s="44">
        <f t="shared" si="34"/>
        <v>2.0656611733343686E-2</v>
      </c>
      <c r="R48" s="41">
        <v>2</v>
      </c>
      <c r="S48" s="13">
        <f t="shared" si="35"/>
        <v>4.2669560830211207E-4</v>
      </c>
      <c r="T48" s="13">
        <f t="shared" si="36"/>
        <v>2.1169299230803785E-2</v>
      </c>
      <c r="U48" s="13">
        <f t="shared" si="37"/>
        <v>4.7751388380729958E-4</v>
      </c>
      <c r="V48" s="31">
        <f t="shared" si="38"/>
        <v>2.5315050102479919E-2</v>
      </c>
      <c r="W48" s="80">
        <v>1460</v>
      </c>
      <c r="X48" s="46">
        <f t="shared" si="39"/>
        <v>1246.4118068457012</v>
      </c>
      <c r="Y48" s="86">
        <f t="shared" si="40"/>
        <v>-213.58819315429878</v>
      </c>
      <c r="Z48" s="80">
        <v>1095</v>
      </c>
      <c r="AA48" s="80">
        <v>0</v>
      </c>
      <c r="AB48" s="80">
        <v>0</v>
      </c>
      <c r="AC48" s="26">
        <f t="shared" si="41"/>
        <v>1095</v>
      </c>
      <c r="AD48" s="46">
        <f t="shared" si="42"/>
        <v>2006.1417754712261</v>
      </c>
      <c r="AE48" s="22">
        <f t="shared" si="43"/>
        <v>911.14177547122608</v>
      </c>
      <c r="AF48" s="22">
        <f t="shared" si="44"/>
        <v>697.5535823169273</v>
      </c>
      <c r="AG48" s="55">
        <f t="shared" si="45"/>
        <v>2555</v>
      </c>
      <c r="AH48">
        <f t="shared" si="46"/>
        <v>2.5315050102479919E-2</v>
      </c>
      <c r="AI48" s="1">
        <f t="shared" si="47"/>
        <v>2644.6885992561797</v>
      </c>
      <c r="AJ48" s="2">
        <v>1460</v>
      </c>
      <c r="AK48" s="1">
        <f t="shared" si="48"/>
        <v>1184.6885992561797</v>
      </c>
      <c r="AL48">
        <f t="shared" si="49"/>
        <v>0</v>
      </c>
      <c r="AM48">
        <f t="shared" si="50"/>
        <v>0</v>
      </c>
      <c r="AN48" s="1">
        <f t="shared" si="51"/>
        <v>0</v>
      </c>
      <c r="AO48" s="8">
        <v>0</v>
      </c>
      <c r="AP48" s="1">
        <f t="shared" si="52"/>
        <v>0</v>
      </c>
      <c r="AQ48" s="69">
        <f t="shared" si="53"/>
        <v>5.00435294117647</v>
      </c>
      <c r="AR48">
        <f t="shared" si="54"/>
        <v>2.2556905573542157E-2</v>
      </c>
      <c r="AS48" s="1">
        <f t="shared" si="55"/>
        <v>637.87949748033543</v>
      </c>
      <c r="AT48" s="8">
        <v>1095</v>
      </c>
      <c r="AU48" s="1">
        <f t="shared" si="56"/>
        <v>-457.12050251966457</v>
      </c>
      <c r="AV48" s="82">
        <f t="shared" si="57"/>
        <v>0.96440000000000003</v>
      </c>
      <c r="AW48" s="82">
        <f t="shared" si="58"/>
        <v>3.1423749944903746E-2</v>
      </c>
      <c r="AX48" s="49">
        <f t="shared" si="59"/>
        <v>2919.8929594554593</v>
      </c>
      <c r="AY48" s="8">
        <v>1460</v>
      </c>
      <c r="AZ48" s="1">
        <f t="shared" si="60"/>
        <v>1459.8929594554593</v>
      </c>
    </row>
    <row r="49" spans="1:52" x14ac:dyDescent="0.2">
      <c r="A49" s="23" t="s">
        <v>128</v>
      </c>
      <c r="B49" s="21">
        <v>0</v>
      </c>
      <c r="C49" s="21">
        <v>3104</v>
      </c>
      <c r="D49" s="21">
        <f t="shared" si="31"/>
        <v>6896</v>
      </c>
      <c r="E49" s="21">
        <v>1.4E-2</v>
      </c>
      <c r="F49" s="21">
        <v>0.93159999999999998</v>
      </c>
      <c r="G49" s="21">
        <v>0.96160000000000001</v>
      </c>
      <c r="H49" s="21">
        <v>1</v>
      </c>
      <c r="I49" s="21">
        <v>0</v>
      </c>
      <c r="J49" s="21">
        <v>0</v>
      </c>
      <c r="K49" s="21">
        <v>0</v>
      </c>
      <c r="L49" s="24">
        <v>3</v>
      </c>
      <c r="M49" s="21">
        <v>1</v>
      </c>
      <c r="N49" s="88">
        <f t="shared" si="32"/>
        <v>1.6552036199095022</v>
      </c>
      <c r="O49" s="63">
        <f t="shared" si="30"/>
        <v>4.9656108597285069</v>
      </c>
      <c r="P49" s="44">
        <f t="shared" si="33"/>
        <v>2.238227730826662E-2</v>
      </c>
      <c r="Q49" s="44">
        <f t="shared" si="34"/>
        <v>2.2309787707617549E-2</v>
      </c>
      <c r="R49" s="41">
        <v>2</v>
      </c>
      <c r="S49" s="13">
        <f t="shared" si="35"/>
        <v>4.9772662755896311E-4</v>
      </c>
      <c r="T49" s="13">
        <f t="shared" si="36"/>
        <v>2.469330292819507E-2</v>
      </c>
      <c r="U49" s="13">
        <f t="shared" si="37"/>
        <v>5.5269235379589419E-4</v>
      </c>
      <c r="V49" s="31">
        <f t="shared" si="38"/>
        <v>2.9300581830300987E-2</v>
      </c>
      <c r="W49" s="80">
        <f>389+1685</f>
        <v>2074</v>
      </c>
      <c r="X49" s="46">
        <f t="shared" si="39"/>
        <v>1442.6434469966994</v>
      </c>
      <c r="Y49" s="86">
        <f t="shared" si="40"/>
        <v>-631.35655300330063</v>
      </c>
      <c r="Z49" s="80">
        <v>1102</v>
      </c>
      <c r="AA49" s="80">
        <v>0</v>
      </c>
      <c r="AB49" s="80">
        <v>0</v>
      </c>
      <c r="AC49" s="26">
        <f t="shared" si="41"/>
        <v>1102</v>
      </c>
      <c r="AD49" s="46">
        <f t="shared" si="42"/>
        <v>2321.9832083058623</v>
      </c>
      <c r="AE49" s="22">
        <f t="shared" si="43"/>
        <v>1219.9832083058623</v>
      </c>
      <c r="AF49" s="22">
        <f t="shared" si="44"/>
        <v>588.62665530256163</v>
      </c>
      <c r="AG49" s="55">
        <f t="shared" si="45"/>
        <v>3176</v>
      </c>
      <c r="AH49">
        <f t="shared" si="46"/>
        <v>2.9300581830300987E-2</v>
      </c>
      <c r="AI49" s="1">
        <f t="shared" si="47"/>
        <v>3061.0610843933746</v>
      </c>
      <c r="AJ49" s="2">
        <v>1167</v>
      </c>
      <c r="AK49" s="49">
        <f t="shared" si="48"/>
        <v>1894.0610843933746</v>
      </c>
      <c r="AL49">
        <f t="shared" si="49"/>
        <v>0</v>
      </c>
      <c r="AM49">
        <f t="shared" si="50"/>
        <v>0</v>
      </c>
      <c r="AN49" s="1">
        <f t="shared" si="51"/>
        <v>0</v>
      </c>
      <c r="AO49" s="8">
        <v>0</v>
      </c>
      <c r="AP49" s="1">
        <f t="shared" si="52"/>
        <v>0</v>
      </c>
      <c r="AQ49" s="69">
        <f t="shared" si="53"/>
        <v>4.9656108597285069</v>
      </c>
      <c r="AR49">
        <f t="shared" si="54"/>
        <v>2.238227730826662E-2</v>
      </c>
      <c r="AS49" s="1">
        <f t="shared" si="55"/>
        <v>632.94124077944832</v>
      </c>
      <c r="AT49" s="8">
        <v>1102</v>
      </c>
      <c r="AU49" s="1">
        <f t="shared" si="56"/>
        <v>-469.05875922055168</v>
      </c>
      <c r="AV49" s="82">
        <f t="shared" si="57"/>
        <v>0.96440000000000003</v>
      </c>
      <c r="AW49" s="82">
        <f t="shared" si="58"/>
        <v>4.4076996215675025E-4</v>
      </c>
      <c r="AX49" s="49">
        <f t="shared" si="59"/>
        <v>40.956318437407504</v>
      </c>
      <c r="AY49" s="8">
        <v>259</v>
      </c>
      <c r="AZ49" s="1">
        <f t="shared" si="60"/>
        <v>-218.0436815625925</v>
      </c>
    </row>
    <row r="50" spans="1:52" x14ac:dyDescent="0.2">
      <c r="A50" s="23" t="s">
        <v>151</v>
      </c>
      <c r="B50" s="21">
        <v>1</v>
      </c>
      <c r="C50" s="21">
        <v>6936</v>
      </c>
      <c r="D50" s="21">
        <f t="shared" si="31"/>
        <v>3064</v>
      </c>
      <c r="E50" s="21">
        <v>0.99080000000000001</v>
      </c>
      <c r="F50" s="21">
        <v>0.93159999999999998</v>
      </c>
      <c r="G50" s="21">
        <v>0.96160000000000001</v>
      </c>
      <c r="H50" s="21">
        <v>1</v>
      </c>
      <c r="I50" s="21">
        <v>0</v>
      </c>
      <c r="J50" s="21">
        <v>0</v>
      </c>
      <c r="K50" s="24">
        <v>4.4000000000000004</v>
      </c>
      <c r="L50" s="24">
        <v>9.6999999999999993</v>
      </c>
      <c r="M50" s="21">
        <v>2</v>
      </c>
      <c r="N50" s="88">
        <f t="shared" si="32"/>
        <v>0.61484162895927597</v>
      </c>
      <c r="O50" s="63">
        <f t="shared" si="30"/>
        <v>4.3346334841628957</v>
      </c>
      <c r="P50" s="44">
        <f t="shared" si="33"/>
        <v>1.9538173935268126E-2</v>
      </c>
      <c r="Q50" s="44">
        <f t="shared" si="34"/>
        <v>9.9125854895794913E-3</v>
      </c>
      <c r="R50" s="41">
        <v>2</v>
      </c>
      <c r="S50" s="21">
        <f t="shared" si="35"/>
        <v>9.8259351088221886E-5</v>
      </c>
      <c r="T50" s="21">
        <f t="shared" si="36"/>
        <v>4.8748605913431862E-3</v>
      </c>
      <c r="U50" s="21">
        <f t="shared" si="37"/>
        <v>9.5245874143847205E-5</v>
      </c>
      <c r="V50" s="31">
        <f t="shared" si="38"/>
        <v>5.0493905156881432E-3</v>
      </c>
      <c r="W50" s="80">
        <v>0</v>
      </c>
      <c r="X50" s="46">
        <f t="shared" si="39"/>
        <v>248.61179143042142</v>
      </c>
      <c r="Y50" s="86">
        <f t="shared" si="40"/>
        <v>248.61179143042142</v>
      </c>
      <c r="Z50" s="80">
        <v>0</v>
      </c>
      <c r="AA50" s="80">
        <f>3456-3253</f>
        <v>203</v>
      </c>
      <c r="AB50" s="80">
        <v>0</v>
      </c>
      <c r="AC50" s="26">
        <f t="shared" si="41"/>
        <v>203</v>
      </c>
      <c r="AD50" s="46">
        <f t="shared" si="42"/>
        <v>400.1490501967383</v>
      </c>
      <c r="AE50" s="22">
        <f t="shared" si="43"/>
        <v>197.1490501967383</v>
      </c>
      <c r="AF50" s="22">
        <f t="shared" si="44"/>
        <v>445.76084162715972</v>
      </c>
      <c r="AG50" s="55">
        <f t="shared" si="45"/>
        <v>203</v>
      </c>
      <c r="AH50">
        <f t="shared" si="46"/>
        <v>5.0493905156881432E-3</v>
      </c>
      <c r="AI50" s="1">
        <f t="shared" si="47"/>
        <v>527.51487656445602</v>
      </c>
      <c r="AJ50" s="2">
        <v>2846</v>
      </c>
      <c r="AK50" s="49">
        <f t="shared" si="48"/>
        <v>-2318.4851234355438</v>
      </c>
      <c r="AL50">
        <f t="shared" si="49"/>
        <v>4.3346334841628957</v>
      </c>
      <c r="AM50">
        <f t="shared" si="50"/>
        <v>8.1017232127132244E-2</v>
      </c>
      <c r="AN50" s="1">
        <f t="shared" si="51"/>
        <v>8529.899284505118</v>
      </c>
      <c r="AO50" s="8">
        <v>10978</v>
      </c>
      <c r="AP50" s="49">
        <f t="shared" si="52"/>
        <v>-2448.100715494882</v>
      </c>
      <c r="AQ50" s="69">
        <f t="shared" si="53"/>
        <v>4.3346334841628957</v>
      </c>
      <c r="AR50">
        <f t="shared" si="54"/>
        <v>1.9538173935268126E-2</v>
      </c>
      <c r="AS50" s="1">
        <f t="shared" si="55"/>
        <v>552.5137537539963</v>
      </c>
      <c r="AT50" s="8">
        <v>2033</v>
      </c>
      <c r="AU50" s="1">
        <f t="shared" si="56"/>
        <v>-1480.4862462460037</v>
      </c>
      <c r="AV50" s="82">
        <f t="shared" si="57"/>
        <v>0.96440000000000003</v>
      </c>
      <c r="AW50" s="82">
        <f t="shared" si="58"/>
        <v>3.1193919893207727E-2</v>
      </c>
      <c r="AX50" s="49">
        <f t="shared" si="59"/>
        <v>2898.5371648416685</v>
      </c>
      <c r="AY50" s="8">
        <v>2439</v>
      </c>
      <c r="AZ50" s="1">
        <f t="shared" si="60"/>
        <v>459.53716484166853</v>
      </c>
    </row>
    <row r="51" spans="1:52" x14ac:dyDescent="0.2">
      <c r="A51" s="23" t="s">
        <v>102</v>
      </c>
      <c r="B51" s="21">
        <v>0</v>
      </c>
      <c r="C51" s="21">
        <v>4327</v>
      </c>
      <c r="D51" s="21">
        <f t="shared" si="31"/>
        <v>5673</v>
      </c>
      <c r="E51" s="21">
        <v>0.99929999999999997</v>
      </c>
      <c r="F51" s="21">
        <v>0.93159999999999998</v>
      </c>
      <c r="G51" s="21">
        <v>0.96160000000000001</v>
      </c>
      <c r="H51" s="21">
        <v>1</v>
      </c>
      <c r="I51" s="24">
        <v>5.4</v>
      </c>
      <c r="J51" s="21">
        <v>0</v>
      </c>
      <c r="K51" s="24">
        <v>3.1</v>
      </c>
      <c r="L51" s="21">
        <v>0</v>
      </c>
      <c r="M51" s="21">
        <v>2</v>
      </c>
      <c r="N51" s="88">
        <f t="shared" si="32"/>
        <v>1.3231674208144797</v>
      </c>
      <c r="O51" s="63">
        <f t="shared" si="30"/>
        <v>5.6234615384615383</v>
      </c>
      <c r="P51" s="44">
        <f t="shared" si="33"/>
        <v>2.5347510939087051E-2</v>
      </c>
      <c r="Q51" s="44">
        <f t="shared" si="34"/>
        <v>1.8353164974668556E-2</v>
      </c>
      <c r="R51" s="41">
        <v>2</v>
      </c>
      <c r="S51" s="13">
        <f t="shared" si="35"/>
        <v>3.3683866458740063E-4</v>
      </c>
      <c r="T51" s="13">
        <f t="shared" si="36"/>
        <v>1.6711300384667539E-2</v>
      </c>
      <c r="U51" s="13">
        <f t="shared" si="37"/>
        <v>4.235898693067301E-4</v>
      </c>
      <c r="V51" s="31">
        <f t="shared" si="38"/>
        <v>2.2456307822727378E-2</v>
      </c>
      <c r="W51" s="80">
        <v>0</v>
      </c>
      <c r="X51" s="46">
        <f t="shared" si="39"/>
        <v>1105.6587719598051</v>
      </c>
      <c r="Y51" s="86">
        <f t="shared" si="40"/>
        <v>1105.6587719598051</v>
      </c>
      <c r="Z51" s="80">
        <v>644</v>
      </c>
      <c r="AA51" s="80">
        <v>965</v>
      </c>
      <c r="AB51" s="80">
        <v>0</v>
      </c>
      <c r="AC51" s="26">
        <f t="shared" si="41"/>
        <v>1609</v>
      </c>
      <c r="AD51" s="46">
        <f t="shared" si="42"/>
        <v>1779.5950260276766</v>
      </c>
      <c r="AE51" s="22">
        <f t="shared" si="43"/>
        <v>170.59502602767657</v>
      </c>
      <c r="AF51" s="22">
        <f t="shared" si="44"/>
        <v>1276.2537979874817</v>
      </c>
      <c r="AG51" s="55">
        <f t="shared" si="45"/>
        <v>1609</v>
      </c>
      <c r="AH51">
        <f t="shared" si="46"/>
        <v>2.2456307822727378E-2</v>
      </c>
      <c r="AI51" s="1">
        <f t="shared" si="47"/>
        <v>2346.0329345481518</v>
      </c>
      <c r="AJ51" s="2">
        <v>1287</v>
      </c>
      <c r="AK51" s="1">
        <f t="shared" si="48"/>
        <v>1059.0329345481518</v>
      </c>
      <c r="AL51">
        <f t="shared" si="49"/>
        <v>0</v>
      </c>
      <c r="AM51">
        <f t="shared" si="50"/>
        <v>0</v>
      </c>
      <c r="AN51" s="1">
        <f t="shared" si="51"/>
        <v>0</v>
      </c>
      <c r="AO51" s="8">
        <v>4505</v>
      </c>
      <c r="AP51" s="1">
        <f t="shared" si="52"/>
        <v>-4505</v>
      </c>
      <c r="AQ51" s="69">
        <f t="shared" si="53"/>
        <v>5.6234615384615383</v>
      </c>
      <c r="AR51">
        <f t="shared" si="54"/>
        <v>2.5347510939087051E-2</v>
      </c>
      <c r="AS51" s="1">
        <f t="shared" si="55"/>
        <v>716.79413151274525</v>
      </c>
      <c r="AT51" s="8">
        <v>965</v>
      </c>
      <c r="AU51" s="1">
        <f t="shared" si="56"/>
        <v>-248.20586848725475</v>
      </c>
      <c r="AV51" s="82">
        <f t="shared" si="57"/>
        <v>0.96440000000000003</v>
      </c>
      <c r="AW51" s="82">
        <f t="shared" si="58"/>
        <v>3.1461530227374322E-2</v>
      </c>
      <c r="AX51" s="49">
        <f t="shared" si="59"/>
        <v>2923.4035010358084</v>
      </c>
      <c r="AY51" s="8">
        <v>1609</v>
      </c>
      <c r="AZ51" s="1">
        <f t="shared" si="60"/>
        <v>1314.4035010358084</v>
      </c>
    </row>
    <row r="52" spans="1:52" x14ac:dyDescent="0.2">
      <c r="A52" s="10" t="s">
        <v>101</v>
      </c>
      <c r="B52" s="21">
        <v>0</v>
      </c>
      <c r="C52" s="3">
        <v>2924</v>
      </c>
      <c r="D52" s="21">
        <f t="shared" si="31"/>
        <v>7076</v>
      </c>
      <c r="E52" s="21">
        <v>0.99690000000000001</v>
      </c>
      <c r="F52" s="21">
        <v>0.93159999999999998</v>
      </c>
      <c r="G52" s="21">
        <v>0.96160000000000001</v>
      </c>
      <c r="H52" s="21">
        <v>1</v>
      </c>
      <c r="I52" s="24">
        <v>3.6</v>
      </c>
      <c r="J52" s="21">
        <v>0</v>
      </c>
      <c r="K52" s="24">
        <v>2.1</v>
      </c>
      <c r="L52" s="21">
        <v>0</v>
      </c>
      <c r="M52" s="21">
        <v>2</v>
      </c>
      <c r="N52" s="88">
        <f t="shared" si="32"/>
        <v>1.7040723981900452</v>
      </c>
      <c r="O52" s="63">
        <f t="shared" si="30"/>
        <v>4.8566063348416293</v>
      </c>
      <c r="P52" s="45">
        <f t="shared" si="33"/>
        <v>2.1890944102183021E-2</v>
      </c>
      <c r="Q52" s="44">
        <f t="shared" si="34"/>
        <v>2.2892119753350027E-2</v>
      </c>
      <c r="R52" s="41">
        <v>2</v>
      </c>
      <c r="S52">
        <f t="shared" si="35"/>
        <v>5.2404914680171852E-4</v>
      </c>
      <c r="T52">
        <f t="shared" si="36"/>
        <v>2.5999220485152783E-2</v>
      </c>
      <c r="U52">
        <f t="shared" si="37"/>
        <v>5.6914748234081127E-4</v>
      </c>
      <c r="V52" s="5">
        <f t="shared" si="38"/>
        <v>3.017293846260663E-2</v>
      </c>
      <c r="W52" s="81">
        <f>619+2103</f>
        <v>2722</v>
      </c>
      <c r="X52" s="46">
        <f t="shared" si="39"/>
        <v>1485.5947981449001</v>
      </c>
      <c r="Y52" s="86">
        <f t="shared" si="40"/>
        <v>-1236.4052018550999</v>
      </c>
      <c r="Z52" s="80">
        <v>742</v>
      </c>
      <c r="AA52" s="81">
        <v>866</v>
      </c>
      <c r="AB52" s="81">
        <v>0</v>
      </c>
      <c r="AC52" s="7">
        <f t="shared" si="41"/>
        <v>1608</v>
      </c>
      <c r="AD52" s="46">
        <f t="shared" si="42"/>
        <v>2391.1148543461877</v>
      </c>
      <c r="AE52" s="1">
        <f t="shared" si="43"/>
        <v>783.11485434618771</v>
      </c>
      <c r="AF52" s="1">
        <f t="shared" si="44"/>
        <v>-453.29034750891219</v>
      </c>
      <c r="AG52" s="55">
        <f t="shared" si="45"/>
        <v>4330</v>
      </c>
      <c r="AH52">
        <f t="shared" si="46"/>
        <v>3.017293846260663E-2</v>
      </c>
      <c r="AI52" s="1">
        <f t="shared" si="47"/>
        <v>3152.197054126977</v>
      </c>
      <c r="AJ52" s="2">
        <v>2969</v>
      </c>
      <c r="AK52" s="1">
        <f t="shared" si="48"/>
        <v>183.19705412697704</v>
      </c>
      <c r="AL52">
        <f t="shared" si="49"/>
        <v>0</v>
      </c>
      <c r="AM52">
        <f t="shared" si="50"/>
        <v>0</v>
      </c>
      <c r="AN52" s="1">
        <f t="shared" si="51"/>
        <v>0</v>
      </c>
      <c r="AO52" s="8">
        <v>0</v>
      </c>
      <c r="AP52" s="1">
        <f t="shared" si="52"/>
        <v>0</v>
      </c>
      <c r="AQ52" s="69">
        <f t="shared" si="53"/>
        <v>4.8566063348416293</v>
      </c>
      <c r="AR52">
        <f t="shared" si="54"/>
        <v>2.1890944102183021E-2</v>
      </c>
      <c r="AS52" s="1">
        <f t="shared" si="55"/>
        <v>619.04698664205375</v>
      </c>
      <c r="AT52" s="8">
        <v>1237</v>
      </c>
      <c r="AU52" s="1">
        <f t="shared" si="56"/>
        <v>-617.95301335794625</v>
      </c>
      <c r="AV52" s="82">
        <f t="shared" si="57"/>
        <v>0.96440000000000003</v>
      </c>
      <c r="AW52" s="82">
        <f t="shared" si="58"/>
        <v>3.1385969662433164E-2</v>
      </c>
      <c r="AX52" s="49">
        <f t="shared" si="59"/>
        <v>2916.3824178751097</v>
      </c>
      <c r="AY52" s="8">
        <v>1856</v>
      </c>
      <c r="AZ52" s="49">
        <f t="shared" si="60"/>
        <v>1060.3824178751097</v>
      </c>
    </row>
    <row r="53" spans="1:52" x14ac:dyDescent="0.2">
      <c r="A53" s="23" t="s">
        <v>22</v>
      </c>
      <c r="B53" s="21">
        <v>0</v>
      </c>
      <c r="C53" s="21">
        <v>2913</v>
      </c>
      <c r="D53" s="21">
        <f t="shared" si="31"/>
        <v>7087</v>
      </c>
      <c r="E53" s="21">
        <v>0.1278</v>
      </c>
      <c r="F53" s="21">
        <v>0.93159999999999998</v>
      </c>
      <c r="G53" s="21">
        <v>0.96160000000000001</v>
      </c>
      <c r="H53" s="21">
        <v>1</v>
      </c>
      <c r="I53" s="21">
        <v>0</v>
      </c>
      <c r="J53" s="66">
        <f>$AD$71</f>
        <v>5.2666666666666657</v>
      </c>
      <c r="K53" s="24">
        <v>3</v>
      </c>
      <c r="L53" s="24">
        <v>2.2999999999999998</v>
      </c>
      <c r="M53" s="21">
        <v>2</v>
      </c>
      <c r="N53" s="88">
        <f t="shared" si="32"/>
        <v>1.7070588235294117</v>
      </c>
      <c r="O53" s="63">
        <f t="shared" si="30"/>
        <v>9.0189607843137249</v>
      </c>
      <c r="P53" s="44">
        <f t="shared" si="33"/>
        <v>4.0652577700768217E-2</v>
      </c>
      <c r="Q53" s="44">
        <f t="shared" si="34"/>
        <v>2.2927706711700344E-2</v>
      </c>
      <c r="R53" s="41">
        <v>2</v>
      </c>
      <c r="S53" s="13">
        <f t="shared" si="35"/>
        <v>5.2567973505774897E-4</v>
      </c>
      <c r="T53" s="13">
        <f t="shared" si="36"/>
        <v>2.6080117522859585E-2</v>
      </c>
      <c r="U53" s="13">
        <f t="shared" si="37"/>
        <v>1.0602240040432161E-3</v>
      </c>
      <c r="V53" s="31">
        <f t="shared" si="38"/>
        <v>5.6207001916277269E-2</v>
      </c>
      <c r="W53" s="80">
        <v>2086</v>
      </c>
      <c r="X53" s="46">
        <f t="shared" si="39"/>
        <v>2767.4079463498274</v>
      </c>
      <c r="Y53" s="86">
        <f t="shared" si="40"/>
        <v>681.4079463498274</v>
      </c>
      <c r="Z53" s="80">
        <v>1192</v>
      </c>
      <c r="AA53" s="80">
        <v>1987</v>
      </c>
      <c r="AB53" s="80">
        <v>0</v>
      </c>
      <c r="AC53" s="26">
        <f t="shared" si="41"/>
        <v>3179</v>
      </c>
      <c r="AD53" s="46">
        <f t="shared" si="42"/>
        <v>4454.2362808592243</v>
      </c>
      <c r="AE53" s="22">
        <f t="shared" si="43"/>
        <v>1275.2362808592243</v>
      </c>
      <c r="AF53" s="22">
        <f t="shared" si="44"/>
        <v>1956.6442272090517</v>
      </c>
      <c r="AG53" s="55">
        <f t="shared" si="45"/>
        <v>5265</v>
      </c>
      <c r="AH53">
        <f t="shared" si="46"/>
        <v>5.6207001916277262E-2</v>
      </c>
      <c r="AI53" s="1">
        <f t="shared" si="47"/>
        <v>5872.0016971954019</v>
      </c>
      <c r="AJ53" s="2">
        <v>3973</v>
      </c>
      <c r="AK53" s="49">
        <f t="shared" si="48"/>
        <v>1899.0016971954019</v>
      </c>
      <c r="AL53">
        <f t="shared" si="49"/>
        <v>0</v>
      </c>
      <c r="AM53">
        <f t="shared" si="50"/>
        <v>0</v>
      </c>
      <c r="AN53" s="1">
        <f t="shared" si="51"/>
        <v>0</v>
      </c>
      <c r="AO53" s="8">
        <v>10231</v>
      </c>
      <c r="AP53" s="49">
        <f t="shared" si="52"/>
        <v>-10231</v>
      </c>
      <c r="AQ53" s="69">
        <f t="shared" si="53"/>
        <v>9.0189607843137249</v>
      </c>
      <c r="AR53">
        <f t="shared" si="54"/>
        <v>4.0652577700768217E-2</v>
      </c>
      <c r="AS53" s="1">
        <f t="shared" si="55"/>
        <v>1149.6012052939693</v>
      </c>
      <c r="AT53" s="8">
        <v>2285</v>
      </c>
      <c r="AU53" s="49">
        <f t="shared" si="56"/>
        <v>-1135.3987947060307</v>
      </c>
      <c r="AV53" s="82">
        <f t="shared" si="57"/>
        <v>0.96440000000000003</v>
      </c>
      <c r="AW53" s="82">
        <f t="shared" si="58"/>
        <v>4.0236000831166199E-3</v>
      </c>
      <c r="AX53" s="49">
        <f t="shared" si="59"/>
        <v>373.87267830719134</v>
      </c>
      <c r="AY53" s="8">
        <v>0</v>
      </c>
      <c r="AZ53" s="49">
        <f t="shared" si="60"/>
        <v>373.87267830719134</v>
      </c>
    </row>
    <row r="54" spans="1:52" x14ac:dyDescent="0.2">
      <c r="A54" s="23" t="s">
        <v>83</v>
      </c>
      <c r="B54" s="21">
        <v>0</v>
      </c>
      <c r="C54" s="21">
        <v>3206</v>
      </c>
      <c r="D54" s="21">
        <f t="shared" si="31"/>
        <v>6794</v>
      </c>
      <c r="E54" s="21">
        <v>0.99980000000000002</v>
      </c>
      <c r="F54" s="21">
        <v>0.93159999999999998</v>
      </c>
      <c r="G54" s="21">
        <v>0.96160000000000001</v>
      </c>
      <c r="H54" s="21">
        <v>1</v>
      </c>
      <c r="I54" s="21">
        <v>0</v>
      </c>
      <c r="J54" s="21">
        <v>0</v>
      </c>
      <c r="K54" s="24">
        <v>2.2999999999999998</v>
      </c>
      <c r="L54" s="21">
        <v>0</v>
      </c>
      <c r="M54" s="21">
        <v>1</v>
      </c>
      <c r="N54" s="88">
        <f t="shared" si="32"/>
        <v>1.6275113122171945</v>
      </c>
      <c r="O54" s="63">
        <f t="shared" si="30"/>
        <v>3.743276018099547</v>
      </c>
      <c r="P54" s="44">
        <f t="shared" si="33"/>
        <v>1.687265559973198E-2</v>
      </c>
      <c r="Q54" s="44">
        <f t="shared" si="34"/>
        <v>2.1979799548369146E-2</v>
      </c>
      <c r="R54" s="41">
        <v>2</v>
      </c>
      <c r="S54" s="13">
        <f t="shared" si="35"/>
        <v>4.8311158818648855E-4</v>
      </c>
      <c r="T54" s="13">
        <f t="shared" si="36"/>
        <v>2.3968218967342966E-2</v>
      </c>
      <c r="U54" s="13">
        <f t="shared" si="37"/>
        <v>4.0440750397494155E-4</v>
      </c>
      <c r="V54" s="31">
        <f t="shared" si="38"/>
        <v>2.1439368722262885E-2</v>
      </c>
      <c r="W54" s="80">
        <v>885</v>
      </c>
      <c r="X54" s="46">
        <f t="shared" si="39"/>
        <v>1055.5887584093355</v>
      </c>
      <c r="Y54" s="87">
        <f t="shared" si="40"/>
        <v>170.58875840933547</v>
      </c>
      <c r="Z54" s="84">
        <v>0</v>
      </c>
      <c r="AA54" s="80">
        <f>8295-4904</f>
        <v>3391</v>
      </c>
      <c r="AB54" s="80">
        <v>0</v>
      </c>
      <c r="AC54" s="26">
        <f t="shared" si="41"/>
        <v>3391</v>
      </c>
      <c r="AD54" s="46">
        <f t="shared" si="42"/>
        <v>1699.0056531331668</v>
      </c>
      <c r="AE54" s="22">
        <f t="shared" si="43"/>
        <v>-1691.9943468668332</v>
      </c>
      <c r="AF54" s="22">
        <f t="shared" si="44"/>
        <v>-1521.4055884574977</v>
      </c>
      <c r="AG54" s="55">
        <f t="shared" si="45"/>
        <v>4276</v>
      </c>
      <c r="AH54">
        <f t="shared" si="46"/>
        <v>2.1439368722262885E-2</v>
      </c>
      <c r="AI54" s="1">
        <f t="shared" si="47"/>
        <v>2239.792289783526</v>
      </c>
      <c r="AJ54" s="2">
        <v>7493</v>
      </c>
      <c r="AK54" s="49">
        <f t="shared" si="48"/>
        <v>-5253.207710216474</v>
      </c>
      <c r="AL54">
        <f t="shared" si="49"/>
        <v>0</v>
      </c>
      <c r="AM54">
        <f t="shared" si="50"/>
        <v>0</v>
      </c>
      <c r="AN54" s="1">
        <f t="shared" si="51"/>
        <v>0</v>
      </c>
      <c r="AO54" s="8">
        <v>662</v>
      </c>
      <c r="AP54" s="1">
        <f t="shared" si="52"/>
        <v>-662</v>
      </c>
      <c r="AQ54" s="69">
        <f t="shared" si="53"/>
        <v>3.743276018099547</v>
      </c>
      <c r="AR54">
        <f t="shared" si="54"/>
        <v>1.687265559973198E-2</v>
      </c>
      <c r="AS54" s="1">
        <f t="shared" si="55"/>
        <v>477.136415720949</v>
      </c>
      <c r="AT54" s="8">
        <v>844</v>
      </c>
      <c r="AU54" s="1">
        <f t="shared" si="56"/>
        <v>-366.863584279051</v>
      </c>
      <c r="AV54" s="82">
        <f t="shared" si="57"/>
        <v>0.96440000000000003</v>
      </c>
      <c r="AW54" s="82">
        <f t="shared" si="58"/>
        <v>3.1477272011737063E-2</v>
      </c>
      <c r="AX54" s="49">
        <f t="shared" si="59"/>
        <v>2924.8662266942874</v>
      </c>
      <c r="AY54" s="8">
        <v>1886</v>
      </c>
      <c r="AZ54" s="1">
        <f t="shared" si="60"/>
        <v>1038.8662266942874</v>
      </c>
    </row>
    <row r="55" spans="1:52" ht="17" thickBot="1" x14ac:dyDescent="0.25">
      <c r="A55" s="4" t="s">
        <v>35</v>
      </c>
      <c r="B55" s="32">
        <f>AVERAGE(B2:B54)</f>
        <v>0.28301886792452829</v>
      </c>
      <c r="C55" s="4">
        <f>SUM(C2:C54)</f>
        <v>220898</v>
      </c>
      <c r="D55" s="4">
        <f>SUM(D2:D54)</f>
        <v>309102</v>
      </c>
      <c r="E55" s="4">
        <f>SUM(E2:E54)</f>
        <v>31.76260000000001</v>
      </c>
      <c r="F55" s="4"/>
      <c r="G55" s="4"/>
      <c r="H55" s="4"/>
      <c r="I55" s="4">
        <f>SUM(I2:I54)</f>
        <v>99.999999999999986</v>
      </c>
      <c r="J55" s="64"/>
      <c r="K55" s="4">
        <f>MEDIAN(K8:K54)</f>
        <v>1.1000000000000001</v>
      </c>
      <c r="L55" s="4">
        <f>SUM(L2:L54)</f>
        <v>94.7</v>
      </c>
      <c r="M55" s="4"/>
      <c r="N55" s="4" t="s">
        <v>90</v>
      </c>
      <c r="O55" s="64">
        <f>SUM(O2:O54)</f>
        <v>221.85458572146808</v>
      </c>
      <c r="P55" s="4">
        <f>SUM(P2:P54)</f>
        <v>0.99999999999999978</v>
      </c>
      <c r="Q55" s="4">
        <f>SUM(Q2:Q54)</f>
        <v>1</v>
      </c>
      <c r="R55" s="4"/>
      <c r="S55" s="4">
        <f t="shared" ref="S55:Y55" si="61">SUM(S2:S54)</f>
        <v>2.0156340729560875E-2</v>
      </c>
      <c r="T55" s="4">
        <f t="shared" si="61"/>
        <v>1.0000000000000002</v>
      </c>
      <c r="U55" s="4">
        <f t="shared" si="61"/>
        <v>1.8862845693539482E-2</v>
      </c>
      <c r="V55" s="28">
        <f t="shared" si="61"/>
        <v>1</v>
      </c>
      <c r="W55" s="12">
        <f t="shared" si="61"/>
        <v>46788</v>
      </c>
      <c r="X55" s="12">
        <f t="shared" si="61"/>
        <v>49236</v>
      </c>
      <c r="Y55" s="12">
        <f t="shared" si="61"/>
        <v>2448</v>
      </c>
      <c r="Z55" s="4"/>
      <c r="AA55" s="4"/>
      <c r="AB55" s="4"/>
      <c r="AC55" s="12">
        <f t="shared" ref="AC55:AH55" si="62">SUM(AC2:AC54)</f>
        <v>80865</v>
      </c>
      <c r="AD55" s="12">
        <f t="shared" si="62"/>
        <v>79246.999999999985</v>
      </c>
      <c r="AE55" s="12">
        <f t="shared" si="62"/>
        <v>-1618.0000000000027</v>
      </c>
      <c r="AF55" s="12">
        <f t="shared" si="62"/>
        <v>830.00000000000091</v>
      </c>
      <c r="AG55" s="12">
        <f t="shared" si="62"/>
        <v>127653</v>
      </c>
      <c r="AH55" s="60">
        <f t="shared" si="62"/>
        <v>1</v>
      </c>
      <c r="AI55" s="1">
        <v>104471</v>
      </c>
      <c r="AL55">
        <f>SUM(AL2:AL54)</f>
        <v>53.50261136249371</v>
      </c>
      <c r="AN55" s="1">
        <v>105285</v>
      </c>
      <c r="AO55" s="1"/>
      <c r="AP55" s="1"/>
      <c r="AQ55">
        <f>SUM(AQ2:AQ54)</f>
        <v>221.85458572146808</v>
      </c>
      <c r="AS55" s="1">
        <v>99918</v>
      </c>
      <c r="AT55" s="1" t="s">
        <v>129</v>
      </c>
      <c r="AU55" s="1"/>
      <c r="AV55" s="82"/>
      <c r="AW55" s="82">
        <f>SUM(AW2:AW54)</f>
        <v>0.99999999999999967</v>
      </c>
      <c r="AX55" s="1">
        <v>96350</v>
      </c>
      <c r="AZ55" s="82"/>
    </row>
    <row r="56" spans="1:52" x14ac:dyDescent="0.2">
      <c r="A56" s="29" t="s">
        <v>58</v>
      </c>
      <c r="B56" s="21"/>
      <c r="C56">
        <f>MEDIAN(C2:C54)</f>
        <v>3994</v>
      </c>
      <c r="K56">
        <f>SUM(K2:K54)</f>
        <v>99.3</v>
      </c>
      <c r="P56" t="s">
        <v>47</v>
      </c>
      <c r="Q56" s="21">
        <f>MEDIAN(Q2:Q54)</f>
        <v>1.9517829066133509E-2</v>
      </c>
      <c r="R56" s="30">
        <v>0</v>
      </c>
      <c r="Z56" s="14" t="s">
        <v>95</v>
      </c>
      <c r="AA56" s="15">
        <v>4.0999999999999996</v>
      </c>
      <c r="AB56" s="15">
        <f t="shared" ref="AB56:AB71" si="63">AA56/$AA$72</f>
        <v>4.0999999999999995E-2</v>
      </c>
      <c r="AC56" s="56">
        <f t="shared" ref="AC56:AC71" si="64">AB56*$AA$74</f>
        <v>2.7333333333333325</v>
      </c>
      <c r="AD56" s="50">
        <v>2.7333333333333325</v>
      </c>
      <c r="AI56" s="72">
        <f>0.01*$AI$55</f>
        <v>1044.71</v>
      </c>
      <c r="AN56" s="72">
        <f>0.01*AN55</f>
        <v>1052.8499999999999</v>
      </c>
      <c r="AO56" s="1"/>
      <c r="AP56" s="1"/>
      <c r="AS56" s="72">
        <f>0.01*AS55</f>
        <v>999.18000000000006</v>
      </c>
      <c r="AT56" s="1"/>
      <c r="AU56" s="1"/>
      <c r="AV56" s="82"/>
      <c r="AW56" s="82"/>
      <c r="AX56" s="72">
        <f>0.01*AX55</f>
        <v>963.5</v>
      </c>
      <c r="AZ56" s="82"/>
    </row>
    <row r="57" spans="1:52" x14ac:dyDescent="0.2">
      <c r="A57" s="31" t="s">
        <v>57</v>
      </c>
      <c r="B57" s="21"/>
      <c r="P57" t="s">
        <v>48</v>
      </c>
      <c r="Q57">
        <f>AVERAGE(Q2:Q54)</f>
        <v>1.8867924528301886E-2</v>
      </c>
      <c r="R57" s="5">
        <v>2</v>
      </c>
      <c r="Z57" s="16" t="s">
        <v>26</v>
      </c>
      <c r="AA57" s="13">
        <v>1.9</v>
      </c>
      <c r="AB57" s="13">
        <f t="shared" si="63"/>
        <v>1.9E-2</v>
      </c>
      <c r="AC57" s="57">
        <f t="shared" si="64"/>
        <v>1.2666666666666664</v>
      </c>
      <c r="AD57" s="51">
        <v>1.2666666666666664</v>
      </c>
      <c r="AE57" t="s">
        <v>72</v>
      </c>
      <c r="AF57" t="s">
        <v>70</v>
      </c>
      <c r="AG57" t="s">
        <v>74</v>
      </c>
      <c r="AV57" s="82"/>
      <c r="AW57" s="82"/>
      <c r="AX57" s="1">
        <f>SUM(AX2:AX54)</f>
        <v>92919.939999999988</v>
      </c>
      <c r="AY57" s="82"/>
      <c r="AZ57" s="82"/>
    </row>
    <row r="58" spans="1:52" x14ac:dyDescent="0.2">
      <c r="A58" t="s">
        <v>99</v>
      </c>
      <c r="B58" s="2" t="s">
        <v>131</v>
      </c>
      <c r="R58" s="27"/>
      <c r="Z58" s="16" t="s">
        <v>68</v>
      </c>
      <c r="AA58" s="13">
        <v>2.2000000000000002</v>
      </c>
      <c r="AB58" s="13">
        <f t="shared" si="63"/>
        <v>2.2000000000000002E-2</v>
      </c>
      <c r="AC58" s="57">
        <f t="shared" si="64"/>
        <v>1.4666666666666666</v>
      </c>
      <c r="AD58" s="51">
        <v>1.4666666666666666</v>
      </c>
      <c r="AE58">
        <v>10180</v>
      </c>
      <c r="AV58" s="82"/>
      <c r="AW58" s="82"/>
      <c r="AX58" s="82"/>
      <c r="AY58" s="82"/>
      <c r="AZ58" s="82"/>
    </row>
    <row r="59" spans="1:52" x14ac:dyDescent="0.2">
      <c r="A59" s="10" t="s">
        <v>28</v>
      </c>
      <c r="B59" t="s">
        <v>30</v>
      </c>
      <c r="C59" t="s">
        <v>136</v>
      </c>
      <c r="D59" t="s">
        <v>13</v>
      </c>
      <c r="E59" t="s">
        <v>135</v>
      </c>
      <c r="F59" t="s">
        <v>44</v>
      </c>
      <c r="G59" t="s">
        <v>71</v>
      </c>
      <c r="H59" t="s">
        <v>42</v>
      </c>
      <c r="Z59" s="16" t="s">
        <v>19</v>
      </c>
      <c r="AA59" s="13">
        <v>9.1999999999999993</v>
      </c>
      <c r="AB59" s="13">
        <f t="shared" si="63"/>
        <v>9.1999999999999998E-2</v>
      </c>
      <c r="AC59" s="57">
        <f t="shared" si="64"/>
        <v>6.133333333333332</v>
      </c>
      <c r="AD59" s="51">
        <v>6.133333333333332</v>
      </c>
      <c r="AV59" s="82"/>
      <c r="AW59" s="82"/>
      <c r="AX59" s="82"/>
      <c r="AY59" s="82"/>
      <c r="AZ59" s="82"/>
    </row>
    <row r="60" spans="1:52" x14ac:dyDescent="0.2">
      <c r="A60" s="10" t="s">
        <v>2</v>
      </c>
      <c r="B60" s="3">
        <v>107464</v>
      </c>
      <c r="C60" s="70">
        <v>27842</v>
      </c>
      <c r="D60">
        <v>12919</v>
      </c>
      <c r="E60">
        <v>375</v>
      </c>
      <c r="F60" s="1">
        <f>B60-C60-E60</f>
        <v>79247</v>
      </c>
      <c r="G60">
        <f>F60/B60</f>
        <v>0.73742834809796765</v>
      </c>
      <c r="H60" s="1">
        <f>$B62*0.0025</f>
        <v>502.08500000000004</v>
      </c>
      <c r="Z60" s="16" t="s">
        <v>40</v>
      </c>
      <c r="AA60" s="13">
        <v>5.4</v>
      </c>
      <c r="AB60" s="13">
        <f t="shared" si="63"/>
        <v>5.4000000000000006E-2</v>
      </c>
      <c r="AC60" s="57">
        <f t="shared" si="64"/>
        <v>3.6</v>
      </c>
      <c r="AD60" s="51">
        <v>3.6</v>
      </c>
      <c r="AV60" s="82"/>
      <c r="AW60" s="82"/>
      <c r="AX60" s="82"/>
      <c r="AY60" s="82"/>
      <c r="AZ60" s="82"/>
    </row>
    <row r="61" spans="1:52" x14ac:dyDescent="0.2">
      <c r="A61" s="10" t="s">
        <v>29</v>
      </c>
      <c r="B61" s="3">
        <v>93370</v>
      </c>
      <c r="C61" s="70">
        <v>23193</v>
      </c>
      <c r="D61">
        <v>27518</v>
      </c>
      <c r="E61">
        <v>20941</v>
      </c>
      <c r="F61" s="1">
        <f>B61-C61-E61</f>
        <v>49236</v>
      </c>
      <c r="G61">
        <f>F61/B61</f>
        <v>0.52732140944628891</v>
      </c>
      <c r="H61" s="1">
        <f>B62*0.005</f>
        <v>1004.1700000000001</v>
      </c>
      <c r="I61" t="s">
        <v>119</v>
      </c>
      <c r="Z61" s="16" t="s">
        <v>20</v>
      </c>
      <c r="AA61" s="13">
        <v>11.8</v>
      </c>
      <c r="AB61" s="13">
        <f t="shared" si="63"/>
        <v>0.11800000000000001</v>
      </c>
      <c r="AC61" s="57">
        <f t="shared" si="64"/>
        <v>7.8666666666666663</v>
      </c>
      <c r="AD61" s="51">
        <v>7.8666666666666663</v>
      </c>
      <c r="AV61" s="82"/>
      <c r="AW61" s="82"/>
      <c r="AX61" s="82"/>
      <c r="AY61" s="82"/>
      <c r="AZ61" s="82"/>
    </row>
    <row r="62" spans="1:52" x14ac:dyDescent="0.2">
      <c r="A62" s="10" t="s">
        <v>30</v>
      </c>
      <c r="B62">
        <f>B60+B61</f>
        <v>200834</v>
      </c>
      <c r="C62" s="71">
        <f>C60+C61</f>
        <v>51035</v>
      </c>
      <c r="D62">
        <f>D60+D61</f>
        <v>40437</v>
      </c>
      <c r="F62">
        <f>F60+F61</f>
        <v>128483</v>
      </c>
      <c r="G62">
        <f>F62/B62</f>
        <v>0.63974725395102428</v>
      </c>
      <c r="H62" s="53">
        <f>H61*2</f>
        <v>2008.3400000000001</v>
      </c>
      <c r="I62" t="s">
        <v>150</v>
      </c>
      <c r="Z62" s="16" t="s">
        <v>66</v>
      </c>
      <c r="AA62" s="21">
        <v>2.5</v>
      </c>
      <c r="AB62" s="13">
        <f t="shared" si="63"/>
        <v>2.5000000000000001E-2</v>
      </c>
      <c r="AC62" s="57">
        <f t="shared" si="64"/>
        <v>1.6666666666666665</v>
      </c>
      <c r="AD62" s="51">
        <v>1.6666666666666665</v>
      </c>
      <c r="AV62" s="82"/>
      <c r="AW62" s="82"/>
      <c r="AX62" s="82"/>
      <c r="AY62" s="82"/>
      <c r="AZ62" s="82"/>
    </row>
    <row r="63" spans="1:52" x14ac:dyDescent="0.2">
      <c r="A63" s="10" t="s">
        <v>73</v>
      </c>
      <c r="F63">
        <f>0.025 * F62</f>
        <v>3212.0750000000003</v>
      </c>
      <c r="Z63" s="16" t="s">
        <v>27</v>
      </c>
      <c r="AA63" s="13">
        <v>9.5</v>
      </c>
      <c r="AB63" s="13">
        <f t="shared" si="63"/>
        <v>9.5000000000000001E-2</v>
      </c>
      <c r="AC63" s="57">
        <f t="shared" si="64"/>
        <v>6.3333333333333321</v>
      </c>
      <c r="AD63" s="51">
        <v>6.3333333333333321</v>
      </c>
      <c r="AV63" s="82"/>
      <c r="AW63" s="82"/>
      <c r="AX63" s="82"/>
      <c r="AY63" s="82"/>
      <c r="AZ63" s="82"/>
    </row>
    <row r="64" spans="1:52" x14ac:dyDescent="0.2">
      <c r="Z64" s="16" t="s">
        <v>4</v>
      </c>
      <c r="AA64" s="13">
        <v>6.1</v>
      </c>
      <c r="AB64" s="13">
        <f t="shared" si="63"/>
        <v>6.0999999999999999E-2</v>
      </c>
      <c r="AC64" s="57">
        <f t="shared" si="64"/>
        <v>4.0666666666666664</v>
      </c>
      <c r="AD64" s="51">
        <v>4.0666666666666664</v>
      </c>
      <c r="AV64" s="82"/>
      <c r="AW64" s="82"/>
      <c r="AX64" s="82"/>
      <c r="AY64" s="82"/>
      <c r="AZ64" s="82"/>
    </row>
    <row r="65" spans="1:52" x14ac:dyDescent="0.2">
      <c r="A65" s="2" t="s">
        <v>143</v>
      </c>
      <c r="B65" t="s">
        <v>70</v>
      </c>
      <c r="Z65" s="16" t="s">
        <v>41</v>
      </c>
      <c r="AA65" s="13">
        <v>6.5</v>
      </c>
      <c r="AB65" s="13">
        <f t="shared" si="63"/>
        <v>6.5000000000000002E-2</v>
      </c>
      <c r="AC65" s="57">
        <f t="shared" si="64"/>
        <v>4.333333333333333</v>
      </c>
      <c r="AD65" s="51">
        <v>4.333333333333333</v>
      </c>
      <c r="AV65" s="82"/>
      <c r="AW65" s="82"/>
      <c r="AX65" s="82"/>
      <c r="AY65" s="82"/>
      <c r="AZ65" s="82"/>
    </row>
    <row r="66" spans="1:52" x14ac:dyDescent="0.2">
      <c r="A66" s="2" t="s">
        <v>144</v>
      </c>
      <c r="B66">
        <v>12021</v>
      </c>
      <c r="Z66" s="16" t="s">
        <v>21</v>
      </c>
      <c r="AA66" s="13">
        <v>10.9</v>
      </c>
      <c r="AB66" s="13">
        <f t="shared" si="63"/>
        <v>0.109</v>
      </c>
      <c r="AC66" s="57">
        <f t="shared" si="64"/>
        <v>7.2666666666666657</v>
      </c>
      <c r="AD66" s="51">
        <v>7.2666666666666657</v>
      </c>
      <c r="AV66" s="82"/>
      <c r="AW66" s="82"/>
      <c r="AX66" s="82"/>
      <c r="AY66" s="82"/>
      <c r="AZ66" s="82"/>
    </row>
    <row r="67" spans="1:52" x14ac:dyDescent="0.2">
      <c r="Z67" s="16" t="s">
        <v>76</v>
      </c>
      <c r="AA67" s="21">
        <v>1.7</v>
      </c>
      <c r="AB67" s="21">
        <f t="shared" si="63"/>
        <v>1.7000000000000001E-2</v>
      </c>
      <c r="AC67" s="57">
        <f t="shared" si="64"/>
        <v>1.1333333333333333</v>
      </c>
      <c r="AD67" s="51">
        <v>1.1333333333333333</v>
      </c>
      <c r="AV67" s="82"/>
      <c r="AW67" s="82"/>
      <c r="AX67" s="82"/>
      <c r="AY67" s="82"/>
      <c r="AZ67" s="82"/>
    </row>
    <row r="68" spans="1:52" x14ac:dyDescent="0.2">
      <c r="Z68" s="16" t="s">
        <v>16</v>
      </c>
      <c r="AA68" s="13">
        <v>12.7</v>
      </c>
      <c r="AB68" s="13">
        <f t="shared" si="63"/>
        <v>0.127</v>
      </c>
      <c r="AC68" s="57">
        <f t="shared" si="64"/>
        <v>8.466666666666665</v>
      </c>
      <c r="AD68" s="51">
        <v>8.466666666666665</v>
      </c>
      <c r="AV68" s="82"/>
      <c r="AW68" s="82"/>
      <c r="AX68" s="82"/>
      <c r="AY68" s="82"/>
      <c r="AZ68" s="82"/>
    </row>
    <row r="69" spans="1:52" x14ac:dyDescent="0.2">
      <c r="Z69" s="16" t="s">
        <v>67</v>
      </c>
      <c r="AA69" s="21">
        <v>5.5</v>
      </c>
      <c r="AB69" s="13">
        <f t="shared" si="63"/>
        <v>5.5E-2</v>
      </c>
      <c r="AC69" s="57">
        <f t="shared" si="64"/>
        <v>3.6666666666666661</v>
      </c>
      <c r="AD69" s="51">
        <v>3.6666666666666661</v>
      </c>
      <c r="AV69" s="82"/>
      <c r="AW69" s="82"/>
      <c r="AX69" s="82"/>
      <c r="AY69" s="82"/>
      <c r="AZ69" s="82"/>
    </row>
    <row r="70" spans="1:52" x14ac:dyDescent="0.2">
      <c r="Z70" s="16" t="s">
        <v>77</v>
      </c>
      <c r="AA70" s="21">
        <v>2.1</v>
      </c>
      <c r="AB70" s="21">
        <f t="shared" si="63"/>
        <v>2.1000000000000001E-2</v>
      </c>
      <c r="AC70" s="57">
        <f t="shared" si="64"/>
        <v>1.4</v>
      </c>
      <c r="AD70" s="51">
        <v>1.4</v>
      </c>
      <c r="AV70" s="82"/>
      <c r="AW70" s="82"/>
      <c r="AX70" s="82"/>
      <c r="AY70" s="82"/>
      <c r="AZ70" s="82"/>
    </row>
    <row r="71" spans="1:52" x14ac:dyDescent="0.2">
      <c r="Z71" s="16" t="s">
        <v>22</v>
      </c>
      <c r="AA71" s="13">
        <v>7.9</v>
      </c>
      <c r="AB71" s="13">
        <f t="shared" si="63"/>
        <v>7.9000000000000001E-2</v>
      </c>
      <c r="AC71" s="57">
        <f t="shared" si="64"/>
        <v>5.2666666666666657</v>
      </c>
      <c r="AD71" s="52">
        <v>5.2666666666666657</v>
      </c>
      <c r="AV71" s="82"/>
      <c r="AW71" s="82"/>
      <c r="AX71" s="82"/>
      <c r="AY71" s="82"/>
      <c r="AZ71" s="82"/>
    </row>
    <row r="72" spans="1:52" x14ac:dyDescent="0.2">
      <c r="Z72" s="16" t="s">
        <v>5</v>
      </c>
      <c r="AA72" s="13">
        <f>SUM(AA56:AA71)</f>
        <v>100</v>
      </c>
      <c r="AB72" s="13">
        <f>AA72/99.9</f>
        <v>1.0010010010010009</v>
      </c>
      <c r="AC72" s="17"/>
      <c r="AV72" s="82"/>
      <c r="AW72" s="82"/>
      <c r="AX72" s="82"/>
      <c r="AY72" s="82"/>
      <c r="AZ72" s="82"/>
    </row>
    <row r="73" spans="1:52" x14ac:dyDescent="0.2">
      <c r="Z73" s="16" t="s">
        <v>33</v>
      </c>
      <c r="AA73" s="61">
        <f>SUM(I2:I54) / 24</f>
        <v>4.1666666666666661</v>
      </c>
      <c r="AB73" s="13"/>
      <c r="AC73" s="17"/>
      <c r="AV73" s="82"/>
      <c r="AW73" s="82"/>
      <c r="AX73" s="82"/>
      <c r="AY73" s="82"/>
      <c r="AZ73" s="82"/>
    </row>
    <row r="74" spans="1:52" ht="17" thickBot="1" x14ac:dyDescent="0.25">
      <c r="Z74" s="18" t="s">
        <v>78</v>
      </c>
      <c r="AA74" s="62">
        <f>AA73*16</f>
        <v>66.666666666666657</v>
      </c>
      <c r="AB74" s="19"/>
      <c r="AC74" s="20"/>
      <c r="AV74" s="82"/>
      <c r="AW74" s="82"/>
      <c r="AX74" s="82"/>
      <c r="AY74" s="82"/>
      <c r="AZ74" s="82"/>
    </row>
    <row r="75" spans="1:52" x14ac:dyDescent="0.2">
      <c r="Z75" s="47" t="s">
        <v>69</v>
      </c>
      <c r="AA75">
        <f>MEDIAN(AA56:AA71)</f>
        <v>5.8</v>
      </c>
      <c r="AV75" s="82"/>
      <c r="AW75" s="82"/>
      <c r="AX75" s="82"/>
      <c r="AY75" s="82"/>
      <c r="AZ75" s="82"/>
    </row>
  </sheetData>
  <sortState xmlns:xlrd2="http://schemas.microsoft.com/office/spreadsheetml/2017/richdata2" ref="A2:AZ54">
    <sortCondition ref="A2:A54"/>
  </sortState>
  <conditionalFormatting sqref="B60:C61 I20:M22 I24:M26 I28:M54 C3:F3 C2:N2 C5:F5 I3:M5 N2:N5 C4:E4 H7:H54 N7:N54 I7:M18 C7:F54 H2:H5 F2:F54">
    <cfRule type="cellIs" dxfId="16" priority="45" operator="between">
      <formula>3000</formula>
      <formula>7000</formula>
    </cfRule>
  </conditionalFormatting>
  <conditionalFormatting sqref="AF2:AF54">
    <cfRule type="colorScale" priority="4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E2:AE54">
    <cfRule type="colorScale" priority="43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conditionalFormatting sqref="I19:M19">
    <cfRule type="cellIs" dxfId="15" priority="42" operator="between">
      <formula>3000</formula>
      <formula>7000</formula>
    </cfRule>
  </conditionalFormatting>
  <conditionalFormatting sqref="H24:H49 H51:H54 H17:H22">
    <cfRule type="cellIs" dxfId="14" priority="32" operator="between">
      <formula>3000</formula>
      <formula>7000</formula>
    </cfRule>
  </conditionalFormatting>
  <conditionalFormatting sqref="I27:M27">
    <cfRule type="cellIs" dxfId="13" priority="31" operator="between">
      <formula>3000</formula>
      <formula>7000</formula>
    </cfRule>
  </conditionalFormatting>
  <conditionalFormatting sqref="H23">
    <cfRule type="cellIs" dxfId="12" priority="30" operator="between">
      <formula>3000</formula>
      <formula>7000</formula>
    </cfRule>
  </conditionalFormatting>
  <conditionalFormatting sqref="H23">
    <cfRule type="cellIs" dxfId="11" priority="28" operator="between">
      <formula>3000</formula>
      <formula>7000</formula>
    </cfRule>
  </conditionalFormatting>
  <conditionalFormatting sqref="I23:M23">
    <cfRule type="cellIs" dxfId="10" priority="27" operator="between">
      <formula>3000</formula>
      <formula>7000</formula>
    </cfRule>
  </conditionalFormatting>
  <conditionalFormatting sqref="H50">
    <cfRule type="cellIs" dxfId="9" priority="20" operator="between">
      <formula>3000</formula>
      <formula>7000</formula>
    </cfRule>
  </conditionalFormatting>
  <conditionalFormatting sqref="H50">
    <cfRule type="cellIs" dxfId="8" priority="18" operator="between">
      <formula>3000</formula>
      <formula>7000</formula>
    </cfRule>
  </conditionalFormatting>
  <conditionalFormatting sqref="H16">
    <cfRule type="cellIs" dxfId="7" priority="16" operator="between">
      <formula>3000</formula>
      <formula>7000</formula>
    </cfRule>
  </conditionalFormatting>
  <conditionalFormatting sqref="H16">
    <cfRule type="cellIs" dxfId="6" priority="14" operator="between">
      <formula>3000</formula>
      <formula>7000</formula>
    </cfRule>
  </conditionalFormatting>
  <conditionalFormatting sqref="Y2:Y5 Y7:Y54">
    <cfRule type="colorScale" priority="5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F4 H4">
    <cfRule type="cellIs" dxfId="5" priority="11" operator="between">
      <formula>3000</formula>
      <formula>7000</formula>
    </cfRule>
  </conditionalFormatting>
  <conditionalFormatting sqref="C6:E6 H6:N6">
    <cfRule type="cellIs" dxfId="4" priority="7" operator="between">
      <formula>3000</formula>
      <formula>7000</formula>
    </cfRule>
  </conditionalFormatting>
  <conditionalFormatting sqref="Y6">
    <cfRule type="colorScale" priority="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F6 H6">
    <cfRule type="cellIs" dxfId="3" priority="6" operator="between">
      <formula>3000</formula>
      <formula>7000</formula>
    </cfRule>
  </conditionalFormatting>
  <conditionalFormatting sqref="G3:G54">
    <cfRule type="cellIs" dxfId="2" priority="2" operator="between">
      <formula>3000</formula>
      <formula>7000</formula>
    </cfRule>
  </conditionalFormatting>
  <conditionalFormatting sqref="B1">
    <cfRule type="cellIs" dxfId="0" priority="1" operator="between">
      <formula>3000</formula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A1" t="s">
        <v>0</v>
      </c>
      <c r="B1" s="3" t="s">
        <v>6</v>
      </c>
      <c r="C1" t="s">
        <v>1</v>
      </c>
      <c r="D1" t="s">
        <v>36</v>
      </c>
      <c r="E1" t="s">
        <v>37</v>
      </c>
      <c r="F1" t="s">
        <v>38</v>
      </c>
      <c r="G1" t="s">
        <v>39</v>
      </c>
      <c r="H1" t="s">
        <v>124</v>
      </c>
      <c r="M1" s="58"/>
    </row>
    <row r="2" spans="1:14" x14ac:dyDescent="0.2">
      <c r="A2" s="3" t="str">
        <f>bak!A38</f>
        <v>okta</v>
      </c>
      <c r="B2" s="3">
        <f>bak!C38</f>
        <v>4791</v>
      </c>
      <c r="C2" s="65">
        <f>bak!K38</f>
        <v>2.3563452341230118</v>
      </c>
      <c r="D2">
        <f t="shared" ref="D2:D40" si="0">C2/$C$41</f>
        <v>4.2905038888698059E-2</v>
      </c>
      <c r="E2" s="1">
        <f t="shared" ref="E2:E40" si="1">D2*$C$45</f>
        <v>495.96479285058655</v>
      </c>
      <c r="F2" s="2">
        <v>724</v>
      </c>
      <c r="G2" s="1">
        <f t="shared" ref="G2:G40" si="2">E2-F2</f>
        <v>-228.03520714941345</v>
      </c>
      <c r="H2" t="s">
        <v>122</v>
      </c>
      <c r="J2" s="3"/>
      <c r="L2" s="1"/>
      <c r="M2" s="58"/>
      <c r="N2" s="49"/>
    </row>
    <row r="3" spans="1:14" x14ac:dyDescent="0.2">
      <c r="A3" s="3" t="str">
        <f>bak!A13</f>
        <v>isrg</v>
      </c>
      <c r="B3" s="3">
        <f>bak!C13</f>
        <v>6696</v>
      </c>
      <c r="C3" s="65">
        <f>bak!K13</f>
        <v>0.55889999999999995</v>
      </c>
      <c r="D3">
        <f t="shared" si="0"/>
        <v>1.0176618386659337E-2</v>
      </c>
      <c r="E3" s="1">
        <f t="shared" si="1"/>
        <v>117.63756800575936</v>
      </c>
      <c r="F3" s="2">
        <f>879-220</f>
        <v>659</v>
      </c>
      <c r="G3" s="1">
        <f t="shared" si="2"/>
        <v>-541.36243199424064</v>
      </c>
      <c r="H3" t="s">
        <v>123</v>
      </c>
      <c r="J3" s="3"/>
      <c r="L3" s="1"/>
      <c r="M3" s="58"/>
      <c r="N3" s="49"/>
    </row>
    <row r="4" spans="1:14" x14ac:dyDescent="0.2">
      <c r="A4" s="3" t="str">
        <f>bak!A32</f>
        <v>znga</v>
      </c>
      <c r="B4" s="3">
        <f>bak!C32</f>
        <v>4915</v>
      </c>
      <c r="C4" s="65">
        <f>bak!K32</f>
        <v>0.94500000000000006</v>
      </c>
      <c r="D4">
        <f t="shared" si="0"/>
        <v>1.7206842682757337E-2</v>
      </c>
      <c r="E4" s="1">
        <f t="shared" si="1"/>
        <v>198.90410049282988</v>
      </c>
      <c r="F4" s="2">
        <v>684</v>
      </c>
      <c r="G4" s="1">
        <f t="shared" si="2"/>
        <v>-485.09589950717009</v>
      </c>
      <c r="H4" t="s">
        <v>123</v>
      </c>
      <c r="J4" s="3"/>
      <c r="L4" s="1"/>
      <c r="M4" s="58"/>
      <c r="N4" s="49"/>
    </row>
    <row r="5" spans="1:14" x14ac:dyDescent="0.2">
      <c r="A5" s="3" t="str">
        <f>bak!A31</f>
        <v>ddog</v>
      </c>
      <c r="B5" s="3">
        <f>bak!C31</f>
        <v>3929</v>
      </c>
      <c r="C5" s="65">
        <f>bak!K31</f>
        <v>1.478244911578245</v>
      </c>
      <c r="D5">
        <f t="shared" si="0"/>
        <v>2.6916325545093531E-2</v>
      </c>
      <c r="E5" s="1">
        <f t="shared" si="1"/>
        <v>311.14177190007791</v>
      </c>
      <c r="F5" s="2">
        <f>620-207</f>
        <v>413</v>
      </c>
      <c r="G5" s="1">
        <f t="shared" si="2"/>
        <v>-101.85822809992209</v>
      </c>
      <c r="H5" t="s">
        <v>123</v>
      </c>
      <c r="J5" s="3"/>
      <c r="L5" s="1"/>
      <c r="M5" s="58"/>
      <c r="N5" s="49"/>
    </row>
    <row r="6" spans="1:14" x14ac:dyDescent="0.2">
      <c r="A6" s="3" t="str">
        <f>bak!A33</f>
        <v>panw</v>
      </c>
      <c r="B6" s="3">
        <f>bak!C33</f>
        <v>4753</v>
      </c>
      <c r="C6" s="65">
        <f>bak!K33</f>
        <v>0.69666666666666666</v>
      </c>
      <c r="D6">
        <f t="shared" si="0"/>
        <v>1.2685115064184418E-2</v>
      </c>
      <c r="E6" s="1">
        <f t="shared" si="1"/>
        <v>146.63476897002272</v>
      </c>
      <c r="F6" s="2">
        <v>217</v>
      </c>
      <c r="G6" s="1">
        <f t="shared" si="2"/>
        <v>-70.365231029977281</v>
      </c>
      <c r="H6" t="s">
        <v>123</v>
      </c>
      <c r="J6" s="3"/>
      <c r="L6" s="1"/>
      <c r="M6" s="58"/>
      <c r="N6" s="49"/>
    </row>
    <row r="7" spans="1:14" x14ac:dyDescent="0.2">
      <c r="A7" s="3" t="str">
        <f>bak!A30</f>
        <v>gh</v>
      </c>
      <c r="B7" s="3">
        <f>bak!C30</f>
        <v>4677</v>
      </c>
      <c r="C7" s="65">
        <f>bak!K30</f>
        <v>0.53460000000000008</v>
      </c>
      <c r="D7">
        <f t="shared" si="0"/>
        <v>9.73415671767415E-3</v>
      </c>
      <c r="E7" s="1">
        <f t="shared" si="1"/>
        <v>112.52289113594377</v>
      </c>
      <c r="F7" s="2">
        <v>464</v>
      </c>
      <c r="G7" s="1">
        <f t="shared" si="2"/>
        <v>-351.47710886405622</v>
      </c>
      <c r="H7" t="s">
        <v>123</v>
      </c>
      <c r="J7" s="3"/>
      <c r="L7" s="1"/>
      <c r="M7" s="58"/>
      <c r="N7" s="49"/>
    </row>
    <row r="8" spans="1:14" x14ac:dyDescent="0.2">
      <c r="A8" s="3" t="str">
        <f>bak!A5</f>
        <v>qdel</v>
      </c>
      <c r="B8" s="3">
        <f>bak!C5</f>
        <v>3377</v>
      </c>
      <c r="C8" s="65">
        <f>bak!K5</f>
        <v>0.53753753753753752</v>
      </c>
      <c r="D8">
        <f t="shared" si="0"/>
        <v>9.78764427987849E-3</v>
      </c>
      <c r="E8" s="1">
        <f t="shared" si="1"/>
        <v>113.14118559262927</v>
      </c>
      <c r="F8" s="2">
        <v>279</v>
      </c>
      <c r="G8" s="1">
        <f t="shared" si="2"/>
        <v>-165.85881440737074</v>
      </c>
      <c r="H8" t="s">
        <v>123</v>
      </c>
      <c r="J8" s="3"/>
      <c r="L8" s="1"/>
      <c r="M8" s="58"/>
      <c r="N8" s="49"/>
    </row>
    <row r="9" spans="1:14" x14ac:dyDescent="0.2">
      <c r="A9" s="3" t="str">
        <f>bak!A35</f>
        <v>team</v>
      </c>
      <c r="B9" s="3">
        <f>bak!C35</f>
        <v>5020</v>
      </c>
      <c r="C9" s="65">
        <f>bak!K35</f>
        <v>1.4116666666666666</v>
      </c>
      <c r="D9">
        <f t="shared" si="0"/>
        <v>2.5704048945847376E-2</v>
      </c>
      <c r="E9" s="1">
        <f t="shared" si="1"/>
        <v>297.12834764978288</v>
      </c>
      <c r="F9" s="2">
        <v>387</v>
      </c>
      <c r="G9" s="1">
        <f t="shared" si="2"/>
        <v>-89.871652350217119</v>
      </c>
      <c r="H9" t="s">
        <v>123</v>
      </c>
      <c r="J9" s="3"/>
      <c r="L9" s="1"/>
      <c r="M9" s="58"/>
      <c r="N9" s="49"/>
    </row>
    <row r="10" spans="1:14" x14ac:dyDescent="0.2">
      <c r="A10" s="3" t="str">
        <f>bak!A43</f>
        <v>bili</v>
      </c>
      <c r="B10" s="3">
        <f>bak!C43</f>
        <v>4523</v>
      </c>
      <c r="C10" s="65">
        <f>bak!K43</f>
        <v>2.0900000000000003</v>
      </c>
      <c r="D10">
        <f t="shared" si="0"/>
        <v>3.8055345192553262E-2</v>
      </c>
      <c r="E10" s="1">
        <f t="shared" si="1"/>
        <v>439.90430691006821</v>
      </c>
      <c r="F10" s="2">
        <v>268</v>
      </c>
      <c r="G10" s="1">
        <f t="shared" si="2"/>
        <v>171.90430691006821</v>
      </c>
      <c r="H10" t="s">
        <v>123</v>
      </c>
      <c r="J10" s="3"/>
      <c r="L10" s="1"/>
      <c r="M10" s="58"/>
      <c r="N10" s="49"/>
    </row>
    <row r="11" spans="1:14" x14ac:dyDescent="0.2">
      <c r="A11" s="3" t="str">
        <f>bak!A28</f>
        <v>rdfn</v>
      </c>
      <c r="B11" s="3">
        <f>bak!C28</f>
        <v>5177</v>
      </c>
      <c r="C11" s="65">
        <f>bak!K28</f>
        <v>1.4166666666666665</v>
      </c>
      <c r="D11">
        <f t="shared" si="0"/>
        <v>2.5795090441523338E-2</v>
      </c>
      <c r="E11" s="1">
        <f t="shared" si="1"/>
        <v>298.18075029789304</v>
      </c>
      <c r="F11" s="2">
        <v>340</v>
      </c>
      <c r="G11" s="1">
        <f t="shared" si="2"/>
        <v>-41.819249702106958</v>
      </c>
      <c r="H11" t="s">
        <v>123</v>
      </c>
      <c r="J11" s="3"/>
      <c r="L11" s="1"/>
      <c r="M11" s="58"/>
      <c r="N11" s="49"/>
    </row>
    <row r="12" spans="1:14" x14ac:dyDescent="0.2">
      <c r="A12" s="3" t="str">
        <f>bak!A22</f>
        <v>bynd</v>
      </c>
      <c r="B12" s="3">
        <f>bak!C22</f>
        <v>3727</v>
      </c>
      <c r="C12" s="65">
        <f>bak!K22</f>
        <v>0.68096985874763638</v>
      </c>
      <c r="D12">
        <f t="shared" si="0"/>
        <v>1.2399302890127051E-2</v>
      </c>
      <c r="E12" s="1">
        <f t="shared" si="1"/>
        <v>143.33089652584977</v>
      </c>
      <c r="F12" s="2">
        <v>179</v>
      </c>
      <c r="G12" s="1">
        <f t="shared" si="2"/>
        <v>-35.669103474150234</v>
      </c>
      <c r="H12" t="s">
        <v>123</v>
      </c>
      <c r="J12" s="3"/>
      <c r="L12" s="1"/>
      <c r="M12" s="58"/>
      <c r="N12" s="49"/>
    </row>
    <row r="13" spans="1:14" x14ac:dyDescent="0.2">
      <c r="A13" s="3" t="str">
        <f>bak!A39</f>
        <v>rgen</v>
      </c>
      <c r="B13" s="3">
        <f>bak!C39</f>
        <v>4831</v>
      </c>
      <c r="C13" s="65">
        <f>bak!K39</f>
        <v>1.47</v>
      </c>
      <c r="D13">
        <f t="shared" si="0"/>
        <v>2.676619972873363E-2</v>
      </c>
      <c r="E13" s="1">
        <f t="shared" si="1"/>
        <v>309.406378544402</v>
      </c>
      <c r="F13" s="2">
        <v>174</v>
      </c>
      <c r="G13" s="1">
        <f t="shared" si="2"/>
        <v>135.406378544402</v>
      </c>
      <c r="H13" t="s">
        <v>123</v>
      </c>
      <c r="J13" s="3"/>
      <c r="L13" s="1"/>
      <c r="M13" s="58"/>
      <c r="N13" s="49"/>
    </row>
    <row r="14" spans="1:14" x14ac:dyDescent="0.2">
      <c r="A14" s="3" t="str">
        <f>bak!A14</f>
        <v>nvcr</v>
      </c>
      <c r="B14" s="3">
        <f>bak!C14</f>
        <v>6419</v>
      </c>
      <c r="C14" s="65">
        <f>bak!K14</f>
        <v>0.73499999999999999</v>
      </c>
      <c r="D14">
        <f t="shared" si="0"/>
        <v>1.3383099864366815E-2</v>
      </c>
      <c r="E14" s="1">
        <f t="shared" si="1"/>
        <v>154.703189272201</v>
      </c>
      <c r="F14" s="2">
        <v>212</v>
      </c>
      <c r="G14" s="1">
        <f t="shared" si="2"/>
        <v>-57.296810727798999</v>
      </c>
      <c r="H14" t="s">
        <v>123</v>
      </c>
      <c r="J14" s="3"/>
      <c r="L14" s="1"/>
      <c r="M14" s="58"/>
      <c r="N14" s="49"/>
    </row>
    <row r="15" spans="1:14" x14ac:dyDescent="0.2">
      <c r="A15" s="3" t="str">
        <f>bak!A18</f>
        <v>anet</v>
      </c>
      <c r="B15" s="3">
        <f>bak!C18</f>
        <v>5377</v>
      </c>
      <c r="C15" s="65">
        <f>bak!K18</f>
        <v>0.36449999999999999</v>
      </c>
      <c r="D15">
        <f t="shared" si="0"/>
        <v>6.6369250347778292E-3</v>
      </c>
      <c r="E15" s="1">
        <f t="shared" si="1"/>
        <v>76.720153047234376</v>
      </c>
      <c r="F15" s="2">
        <v>167</v>
      </c>
      <c r="G15" s="1">
        <f t="shared" si="2"/>
        <v>-90.279846952765624</v>
      </c>
      <c r="H15" t="s">
        <v>123</v>
      </c>
      <c r="J15" s="3"/>
      <c r="L15" s="1"/>
      <c r="M15" s="58"/>
      <c r="N15" s="49"/>
    </row>
    <row r="16" spans="1:14" x14ac:dyDescent="0.2">
      <c r="A16" s="3" t="str">
        <f>bak!A23</f>
        <v>abmd</v>
      </c>
      <c r="B16" s="3">
        <f>bak!C23</f>
        <v>3953</v>
      </c>
      <c r="C16" s="65">
        <f>bak!K23</f>
        <v>0.33333333333333331</v>
      </c>
      <c r="D16">
        <f t="shared" si="0"/>
        <v>6.0694330450643151E-3</v>
      </c>
      <c r="E16" s="1">
        <f t="shared" si="1"/>
        <v>70.160176540680723</v>
      </c>
      <c r="F16" s="2">
        <v>292</v>
      </c>
      <c r="G16" s="1">
        <f t="shared" si="2"/>
        <v>-221.83982345931929</v>
      </c>
      <c r="H16" t="s">
        <v>123</v>
      </c>
      <c r="J16" s="3"/>
      <c r="L16" s="1"/>
      <c r="M16" s="58"/>
      <c r="N16" s="49"/>
    </row>
    <row r="17" spans="1:14" x14ac:dyDescent="0.2">
      <c r="A17" s="3" t="str">
        <f>bak!A15</f>
        <v>fsly</v>
      </c>
      <c r="B17" s="3">
        <f>bak!C15</f>
        <v>3489</v>
      </c>
      <c r="C17" s="65">
        <f>bak!K15</f>
        <v>0.80666666666666664</v>
      </c>
      <c r="D17">
        <f t="shared" si="0"/>
        <v>1.4688027969055642E-2</v>
      </c>
      <c r="E17" s="1">
        <f t="shared" si="1"/>
        <v>169.78762722844735</v>
      </c>
      <c r="F17" s="2">
        <v>143</v>
      </c>
      <c r="G17" s="1">
        <f t="shared" si="2"/>
        <v>26.787627228447349</v>
      </c>
      <c r="H17" t="s">
        <v>123</v>
      </c>
      <c r="J17" s="3"/>
      <c r="L17" s="1"/>
      <c r="M17" s="58"/>
      <c r="N17" s="49"/>
    </row>
    <row r="18" spans="1:14" x14ac:dyDescent="0.2">
      <c r="A18" s="3" t="str">
        <f>bak!A12</f>
        <v>roku</v>
      </c>
      <c r="B18" s="3">
        <f>bak!C12</f>
        <v>4069</v>
      </c>
      <c r="C18" s="65">
        <f>bak!K12</f>
        <v>3.1108208208208206</v>
      </c>
      <c r="D18">
        <f t="shared" si="0"/>
        <v>5.664275606149196E-2</v>
      </c>
      <c r="E18" s="1">
        <f t="shared" si="1"/>
        <v>654.7672139256423</v>
      </c>
      <c r="F18" s="2">
        <v>184</v>
      </c>
      <c r="G18" s="1">
        <f t="shared" si="2"/>
        <v>470.7672139256423</v>
      </c>
      <c r="H18" t="s">
        <v>123</v>
      </c>
      <c r="J18" s="3"/>
      <c r="L18" s="1"/>
      <c r="M18" s="58"/>
      <c r="N18" s="49"/>
    </row>
    <row r="19" spans="1:14" x14ac:dyDescent="0.2">
      <c r="A19" s="3" t="str">
        <f>bak!A27</f>
        <v>lulu</v>
      </c>
      <c r="B19" s="3">
        <f>bak!C27</f>
        <v>5785</v>
      </c>
      <c r="C19" s="65">
        <f>bak!K27</f>
        <v>1.9666666666666668</v>
      </c>
      <c r="D19">
        <f t="shared" si="0"/>
        <v>3.5809654965879463E-2</v>
      </c>
      <c r="E19" s="1">
        <f t="shared" si="1"/>
        <v>413.94504159001633</v>
      </c>
      <c r="F19" s="2">
        <v>570</v>
      </c>
      <c r="G19" s="1">
        <f t="shared" si="2"/>
        <v>-156.05495840998367</v>
      </c>
      <c r="H19" t="s">
        <v>123</v>
      </c>
      <c r="J19" s="3"/>
      <c r="L19" s="1"/>
      <c r="M19" s="58"/>
      <c r="N19" s="49"/>
    </row>
    <row r="20" spans="1:14" x14ac:dyDescent="0.2">
      <c r="A20" s="3" t="str">
        <f>bak!A6</f>
        <v>pton</v>
      </c>
      <c r="B20" s="3">
        <f>bak!C6</f>
        <v>3508</v>
      </c>
      <c r="C20" s="65">
        <f>bak!K6</f>
        <v>1.286705557409261</v>
      </c>
      <c r="D20">
        <f t="shared" si="0"/>
        <v>2.3428719688223004E-2</v>
      </c>
      <c r="E20" s="1">
        <f t="shared" si="1"/>
        <v>270.82646719112626</v>
      </c>
      <c r="F20" s="2">
        <v>345</v>
      </c>
      <c r="G20" s="1">
        <f t="shared" si="2"/>
        <v>-74.173532808873745</v>
      </c>
      <c r="H20" t="s">
        <v>123</v>
      </c>
      <c r="J20" s="3"/>
      <c r="L20" s="1"/>
      <c r="M20" s="58"/>
      <c r="N20" s="49"/>
    </row>
    <row r="21" spans="1:14" x14ac:dyDescent="0.2">
      <c r="A21" s="3" t="str">
        <f>bak!A24</f>
        <v>zg</v>
      </c>
      <c r="B21" s="3">
        <f>bak!C24</f>
        <v>4033</v>
      </c>
      <c r="C21" s="65">
        <f>bak!K24</f>
        <v>2.5260710710710708</v>
      </c>
      <c r="D21">
        <f t="shared" si="0"/>
        <v>4.5995457698819298E-2</v>
      </c>
      <c r="E21" s="1">
        <f t="shared" si="1"/>
        <v>531.68877690195836</v>
      </c>
      <c r="F21" s="2">
        <v>139</v>
      </c>
      <c r="G21" s="1">
        <f t="shared" si="2"/>
        <v>392.68877690195836</v>
      </c>
      <c r="H21" t="s">
        <v>123</v>
      </c>
      <c r="J21" s="3"/>
      <c r="L21" s="1"/>
      <c r="M21" s="58"/>
      <c r="N21" s="49"/>
    </row>
    <row r="22" spans="1:14" x14ac:dyDescent="0.2">
      <c r="A22" s="3" t="str">
        <f>bak!A29</f>
        <v>se</v>
      </c>
      <c r="B22" s="3">
        <f>bak!C29</f>
        <v>5459</v>
      </c>
      <c r="C22" s="65">
        <f>bak!K29</f>
        <v>0.94094094094094072</v>
      </c>
      <c r="D22">
        <f t="shared" si="0"/>
        <v>1.7132934121202568E-2</v>
      </c>
      <c r="E22" s="1">
        <f t="shared" si="1"/>
        <v>198.04974759231192</v>
      </c>
      <c r="F22" s="2">
        <v>137</v>
      </c>
      <c r="G22" s="1">
        <f t="shared" si="2"/>
        <v>61.049747592311917</v>
      </c>
      <c r="H22" t="s">
        <v>123</v>
      </c>
      <c r="J22" s="3"/>
      <c r="L22" s="1"/>
      <c r="M22" s="58"/>
      <c r="N22" s="49"/>
    </row>
    <row r="23" spans="1:14" x14ac:dyDescent="0.2">
      <c r="A23" s="3" t="str">
        <f>bak!A4</f>
        <v>tdoc</v>
      </c>
      <c r="B23" s="3">
        <f>bak!C4</f>
        <v>3253</v>
      </c>
      <c r="C23" s="65">
        <f>bak!K4</f>
        <v>1.8409261112964819</v>
      </c>
      <c r="D23">
        <f t="shared" si="0"/>
        <v>3.3520133320273843E-2</v>
      </c>
      <c r="E23" s="1">
        <f t="shared" si="1"/>
        <v>387.47910290073003</v>
      </c>
      <c r="F23" s="2">
        <v>183</v>
      </c>
      <c r="G23" s="1">
        <f t="shared" si="2"/>
        <v>204.47910290073003</v>
      </c>
      <c r="H23" t="s">
        <v>123</v>
      </c>
      <c r="J23" s="3"/>
      <c r="L23" s="1"/>
      <c r="M23" s="58"/>
      <c r="N23" s="49"/>
    </row>
    <row r="24" spans="1:14" x14ac:dyDescent="0.2">
      <c r="A24" s="3" t="str">
        <f>bak!A8</f>
        <v>ayx</v>
      </c>
      <c r="B24" s="3">
        <f>bak!C8</f>
        <v>3643</v>
      </c>
      <c r="C24" s="65">
        <f>bak!K8</f>
        <v>1.7277621121121121</v>
      </c>
      <c r="D24">
        <f t="shared" si="0"/>
        <v>3.1459609371790105E-2</v>
      </c>
      <c r="E24" s="1">
        <f t="shared" si="1"/>
        <v>363.66028441825551</v>
      </c>
      <c r="F24" s="2">
        <v>137</v>
      </c>
      <c r="G24" s="1">
        <f t="shared" si="2"/>
        <v>226.66028441825551</v>
      </c>
      <c r="H24" t="s">
        <v>123</v>
      </c>
      <c r="J24" s="3"/>
      <c r="L24" s="1"/>
      <c r="M24" s="58"/>
      <c r="N24" s="49"/>
    </row>
    <row r="25" spans="1:14" x14ac:dyDescent="0.2">
      <c r="A25" s="3" t="str">
        <f>bak!A45</f>
        <v>ttd</v>
      </c>
      <c r="B25" s="3">
        <f>bak!C45</f>
        <v>4633</v>
      </c>
      <c r="C25" s="65">
        <f>bak!K45</f>
        <v>2.3736166666666665</v>
      </c>
      <c r="D25">
        <f t="shared" si="0"/>
        <v>4.3219522298946225E-2</v>
      </c>
      <c r="E25" s="1">
        <f t="shared" si="1"/>
        <v>499.60009311970629</v>
      </c>
      <c r="F25" s="2">
        <v>182</v>
      </c>
      <c r="G25" s="1">
        <f t="shared" si="2"/>
        <v>317.60009311970629</v>
      </c>
      <c r="H25" t="s">
        <v>123</v>
      </c>
      <c r="J25" s="3"/>
      <c r="L25" s="1"/>
      <c r="M25" s="58"/>
      <c r="N25" s="49"/>
    </row>
    <row r="26" spans="1:14" x14ac:dyDescent="0.2">
      <c r="A26" s="3" t="str">
        <f>bak!A42</f>
        <v>shop</v>
      </c>
      <c r="B26" s="3">
        <f>bak!C42</f>
        <v>4556</v>
      </c>
      <c r="C26" s="65">
        <f>bak!K42</f>
        <v>2.2333333333333329</v>
      </c>
      <c r="D26">
        <f t="shared" si="0"/>
        <v>4.0665201401930903E-2</v>
      </c>
      <c r="E26" s="1">
        <f t="shared" si="1"/>
        <v>470.07318282256074</v>
      </c>
      <c r="F26" s="2">
        <v>265</v>
      </c>
      <c r="G26" s="1">
        <f t="shared" si="2"/>
        <v>205.07318282256074</v>
      </c>
      <c r="H26" t="s">
        <v>122</v>
      </c>
      <c r="J26" s="3"/>
      <c r="L26" s="1"/>
      <c r="M26" s="58"/>
      <c r="N26" s="49"/>
    </row>
    <row r="27" spans="1:14" x14ac:dyDescent="0.2">
      <c r="A27" s="3" t="str">
        <f>bak!A44</f>
        <v>meli</v>
      </c>
      <c r="B27" s="3">
        <f>bak!C44</f>
        <v>5012</v>
      </c>
      <c r="C27" s="65">
        <f>bak!K44</f>
        <v>3.3302376450524598</v>
      </c>
      <c r="D27">
        <f t="shared" si="0"/>
        <v>6.0637963232395696E-2</v>
      </c>
      <c r="E27" s="1">
        <f t="shared" si="1"/>
        <v>700.95018329790423</v>
      </c>
      <c r="F27" s="2">
        <v>282</v>
      </c>
      <c r="G27" s="1">
        <f t="shared" si="2"/>
        <v>418.95018329790423</v>
      </c>
      <c r="H27" t="s">
        <v>122</v>
      </c>
      <c r="J27" s="3"/>
      <c r="L27" s="1"/>
      <c r="M27" s="58"/>
      <c r="N27" s="49"/>
    </row>
    <row r="28" spans="1:14" x14ac:dyDescent="0.2">
      <c r="A28" s="3" t="str">
        <f>bak!A37</f>
        <v>docu</v>
      </c>
      <c r="B28" s="3">
        <f>bak!C37</f>
        <v>4526</v>
      </c>
      <c r="C28" s="65">
        <f>bak!K37</f>
        <v>0.94845215585956311</v>
      </c>
      <c r="D28">
        <f t="shared" si="0"/>
        <v>1.7269700569309567E-2</v>
      </c>
      <c r="E28" s="1">
        <f t="shared" si="1"/>
        <v>199.63071208648853</v>
      </c>
      <c r="F28" s="2">
        <v>262</v>
      </c>
      <c r="G28" s="1">
        <f t="shared" si="2"/>
        <v>-62.369287913511471</v>
      </c>
      <c r="H28" t="s">
        <v>122</v>
      </c>
      <c r="J28" s="3"/>
      <c r="L28" s="1"/>
      <c r="M28" s="58"/>
      <c r="N28" s="49"/>
    </row>
    <row r="29" spans="1:14" x14ac:dyDescent="0.2">
      <c r="A29" s="3" t="str">
        <f>bak!A10</f>
        <v>trex</v>
      </c>
      <c r="B29" s="3">
        <f>bak!C10</f>
        <v>6453</v>
      </c>
      <c r="C29" s="65">
        <f>bak!K10</f>
        <v>1.8360000000000001</v>
      </c>
      <c r="D29">
        <f t="shared" si="0"/>
        <v>3.3430437212214253E-2</v>
      </c>
      <c r="E29" s="1">
        <f t="shared" si="1"/>
        <v>386.44225238606947</v>
      </c>
      <c r="F29" s="2">
        <v>341</v>
      </c>
      <c r="G29" s="1">
        <f t="shared" si="2"/>
        <v>45.44225238606947</v>
      </c>
      <c r="H29" t="s">
        <v>123</v>
      </c>
      <c r="J29" s="3"/>
      <c r="L29" s="1"/>
      <c r="M29" s="58"/>
      <c r="N29" s="49"/>
    </row>
    <row r="30" spans="1:14" x14ac:dyDescent="0.2">
      <c r="A30" s="3" t="str">
        <f>bak!A16</f>
        <v>jd</v>
      </c>
      <c r="B30" s="3">
        <f>bak!C16</f>
        <v>4081</v>
      </c>
      <c r="C30" s="65">
        <f>bak!K16</f>
        <v>0.82900678456233978</v>
      </c>
      <c r="D30">
        <f t="shared" si="0"/>
        <v>1.5094803518415537E-2</v>
      </c>
      <c r="E30" s="1">
        <f t="shared" si="1"/>
        <v>174.48978707494749</v>
      </c>
      <c r="F30" s="2">
        <v>60</v>
      </c>
      <c r="G30" s="1">
        <f t="shared" si="2"/>
        <v>114.48978707494749</v>
      </c>
      <c r="H30" t="s">
        <v>123</v>
      </c>
      <c r="J30" s="3"/>
      <c r="L30" s="1"/>
      <c r="M30" s="58"/>
      <c r="N30" s="49"/>
    </row>
    <row r="31" spans="1:14" x14ac:dyDescent="0.2">
      <c r="A31" s="3" t="str">
        <f>bak!A36</f>
        <v>cour</v>
      </c>
      <c r="B31" s="3">
        <f>bak!C36</f>
        <v>6228</v>
      </c>
      <c r="C31" s="65">
        <f>bak!K36</f>
        <v>1</v>
      </c>
      <c r="D31">
        <f t="shared" si="0"/>
        <v>1.8208299135192948E-2</v>
      </c>
      <c r="E31" s="1">
        <f t="shared" si="1"/>
        <v>210.48052962204218</v>
      </c>
      <c r="F31" s="2">
        <v>223</v>
      </c>
      <c r="G31" s="1">
        <f t="shared" si="2"/>
        <v>-12.519470377957816</v>
      </c>
      <c r="H31" t="s">
        <v>123</v>
      </c>
      <c r="J31" s="3"/>
      <c r="L31" s="1"/>
      <c r="M31" s="58"/>
      <c r="N31" s="49"/>
    </row>
    <row r="32" spans="1:14" x14ac:dyDescent="0.2">
      <c r="A32" s="3" t="str">
        <f>bak!A11</f>
        <v>edit</v>
      </c>
      <c r="B32" s="3">
        <f>bak!C11</f>
        <v>3767</v>
      </c>
      <c r="C32" s="65">
        <f>bak!K11</f>
        <v>0.8055000000000001</v>
      </c>
      <c r="D32">
        <f t="shared" si="0"/>
        <v>1.466678495339792E-2</v>
      </c>
      <c r="E32" s="1">
        <f t="shared" si="1"/>
        <v>169.542066610555</v>
      </c>
      <c r="F32" s="2">
        <v>208</v>
      </c>
      <c r="G32" s="1">
        <f t="shared" si="2"/>
        <v>-38.457933389445003</v>
      </c>
      <c r="H32" t="s">
        <v>123</v>
      </c>
      <c r="J32" s="3"/>
      <c r="L32" s="1"/>
      <c r="M32" s="58"/>
      <c r="N32" s="49"/>
    </row>
    <row r="33" spans="1:14" x14ac:dyDescent="0.2">
      <c r="A33" s="3" t="str">
        <f>bak!A20</f>
        <v>mnst</v>
      </c>
      <c r="B33" s="3">
        <f>bak!C20</f>
        <v>6068</v>
      </c>
      <c r="C33" s="65">
        <f>bak!K20</f>
        <v>0.47199999999999998</v>
      </c>
      <c r="D33">
        <f t="shared" si="0"/>
        <v>8.5943171918110694E-3</v>
      </c>
      <c r="E33" s="1">
        <f t="shared" si="1"/>
        <v>99.346809981603897</v>
      </c>
      <c r="F33" s="2">
        <v>305</v>
      </c>
      <c r="G33" s="1">
        <f t="shared" si="2"/>
        <v>-205.65319001839612</v>
      </c>
      <c r="H33" t="s">
        <v>123</v>
      </c>
      <c r="J33" s="3"/>
      <c r="L33" s="1"/>
      <c r="M33" s="58"/>
      <c r="N33" s="49"/>
    </row>
    <row r="34" spans="1:14" x14ac:dyDescent="0.2">
      <c r="A34" s="3" t="str">
        <f>bak!A2</f>
        <v>twtr</v>
      </c>
      <c r="B34" s="3">
        <f>bak!C2</f>
        <v>2891</v>
      </c>
      <c r="C34" s="65">
        <f>bak!K2</f>
        <v>1.6133333333333335</v>
      </c>
      <c r="D34">
        <f t="shared" si="0"/>
        <v>2.9376055938111292E-2</v>
      </c>
      <c r="E34" s="1">
        <f t="shared" si="1"/>
        <v>339.57525445689475</v>
      </c>
      <c r="F34" s="2">
        <v>0</v>
      </c>
      <c r="G34" s="1">
        <f t="shared" si="2"/>
        <v>339.57525445689475</v>
      </c>
      <c r="H34" t="s">
        <v>123</v>
      </c>
      <c r="J34" s="21"/>
      <c r="K34" s="13"/>
      <c r="L34" s="22"/>
      <c r="M34" s="59"/>
      <c r="N34" s="60"/>
    </row>
    <row r="35" spans="1:14" x14ac:dyDescent="0.2">
      <c r="A35" s="3" t="str">
        <f>bak!A3</f>
        <v>pins</v>
      </c>
      <c r="B35" s="3">
        <f>bak!C3</f>
        <v>3464</v>
      </c>
      <c r="C35" s="65">
        <f>bak!K3</f>
        <v>2.7442075408742075</v>
      </c>
      <c r="D35">
        <f t="shared" si="0"/>
        <v>4.9967351793289795E-2</v>
      </c>
      <c r="E35" s="1">
        <f t="shared" si="1"/>
        <v>577.60225659600519</v>
      </c>
      <c r="F35" s="2">
        <v>0</v>
      </c>
      <c r="G35" s="1">
        <f t="shared" si="2"/>
        <v>577.60225659600519</v>
      </c>
      <c r="H35" t="s">
        <v>123</v>
      </c>
      <c r="J35" s="13"/>
      <c r="K35" s="13"/>
      <c r="L35" s="13"/>
      <c r="M35" s="13"/>
      <c r="N35" s="22"/>
    </row>
    <row r="36" spans="1:14" x14ac:dyDescent="0.2">
      <c r="A36" s="3" t="str">
        <f>bak!A25</f>
        <v>mtch</v>
      </c>
      <c r="B36" s="3">
        <f>bak!C25</f>
        <v>4997</v>
      </c>
      <c r="C36" s="65">
        <f>bak!K25</f>
        <v>1.3933333333333333</v>
      </c>
      <c r="D36">
        <f t="shared" si="0"/>
        <v>2.5370230128368837E-2</v>
      </c>
      <c r="E36" s="1">
        <f t="shared" si="1"/>
        <v>293.26953794004544</v>
      </c>
      <c r="F36" s="2">
        <v>226</v>
      </c>
      <c r="G36" s="1">
        <f t="shared" si="2"/>
        <v>67.269537940045439</v>
      </c>
      <c r="H36" t="s">
        <v>123</v>
      </c>
    </row>
    <row r="37" spans="1:14" x14ac:dyDescent="0.2">
      <c r="A37" s="3" t="str">
        <f>bak!A26</f>
        <v>mdb</v>
      </c>
      <c r="B37" s="3">
        <f>bak!C26</f>
        <v>4119</v>
      </c>
      <c r="C37" s="65">
        <f>bak!K26</f>
        <v>2.1266666666666669</v>
      </c>
      <c r="D37">
        <f t="shared" si="0"/>
        <v>3.8722982827510334E-2</v>
      </c>
      <c r="E37" s="1">
        <f t="shared" si="1"/>
        <v>447.62192632954304</v>
      </c>
      <c r="F37" s="2">
        <v>0</v>
      </c>
      <c r="G37" s="1">
        <f t="shared" si="2"/>
        <v>447.62192632954304</v>
      </c>
      <c r="H37" t="s">
        <v>123</v>
      </c>
    </row>
    <row r="38" spans="1:14" x14ac:dyDescent="0.2">
      <c r="A38" s="3" t="str">
        <f>bak!A17</f>
        <v>ttwo</v>
      </c>
      <c r="B38" s="3">
        <f>bak!C17</f>
        <v>3524</v>
      </c>
      <c r="C38" s="65">
        <f>bak!K17</f>
        <v>0.69666666666666666</v>
      </c>
      <c r="D38">
        <f t="shared" si="0"/>
        <v>1.2685115064184418E-2</v>
      </c>
      <c r="E38" s="1">
        <f t="shared" si="1"/>
        <v>146.63476897002272</v>
      </c>
      <c r="F38" s="2">
        <v>0</v>
      </c>
      <c r="G38" s="1">
        <f t="shared" si="2"/>
        <v>146.63476897002272</v>
      </c>
      <c r="H38" t="s">
        <v>123</v>
      </c>
    </row>
    <row r="39" spans="1:14" x14ac:dyDescent="0.2">
      <c r="A39" s="3" t="str">
        <f>bak!A34</f>
        <v>zen</v>
      </c>
      <c r="B39" s="3">
        <f>bak!C34</f>
        <v>4830</v>
      </c>
      <c r="C39" s="65">
        <f>bak!K34</f>
        <v>1.2166666666666666</v>
      </c>
      <c r="D39">
        <f t="shared" si="0"/>
        <v>2.215343061448475E-2</v>
      </c>
      <c r="E39" s="1">
        <f t="shared" si="1"/>
        <v>256.08464437348465</v>
      </c>
      <c r="F39" s="2">
        <v>0</v>
      </c>
      <c r="G39" s="1">
        <f t="shared" si="2"/>
        <v>256.08464437348465</v>
      </c>
      <c r="H39" t="s">
        <v>123</v>
      </c>
    </row>
    <row r="40" spans="1:14" x14ac:dyDescent="0.2">
      <c r="A40" s="3" t="str">
        <f>bak!A21</f>
        <v>veev</v>
      </c>
      <c r="B40" s="3">
        <f>bak!C21</f>
        <v>5414</v>
      </c>
      <c r="C40" s="65">
        <f>bak!K21</f>
        <v>1.4850000000000001</v>
      </c>
      <c r="D40">
        <f t="shared" si="0"/>
        <v>2.7039324215761527E-2</v>
      </c>
      <c r="E40" s="1">
        <f t="shared" si="1"/>
        <v>312.56358648873265</v>
      </c>
      <c r="F40" s="2">
        <v>0</v>
      </c>
      <c r="G40" s="1">
        <f t="shared" si="2"/>
        <v>312.56358648873265</v>
      </c>
      <c r="H40" t="s">
        <v>123</v>
      </c>
    </row>
    <row r="41" spans="1:14" x14ac:dyDescent="0.2">
      <c r="A41" s="11" t="s">
        <v>35</v>
      </c>
      <c r="B41" s="4"/>
      <c r="C41" s="64">
        <f>SUM(C2:C40)</f>
        <v>54.920011615319027</v>
      </c>
      <c r="D41" s="4">
        <f>SUM(D2:D40)</f>
        <v>0.99999999999999978</v>
      </c>
      <c r="E41" s="12">
        <f>SUM(E2:E40)</f>
        <v>11559.593131641057</v>
      </c>
      <c r="F41" s="12">
        <f>SUM(F2:F40)</f>
        <v>9651</v>
      </c>
      <c r="G41" s="12">
        <f>SUM(G2:G40)</f>
        <v>1908.5931316410563</v>
      </c>
    </row>
    <row r="44" spans="1:14" x14ac:dyDescent="0.2">
      <c r="A44" s="10" t="s">
        <v>30</v>
      </c>
      <c r="B44" t="s">
        <v>34</v>
      </c>
      <c r="C44" t="s">
        <v>31</v>
      </c>
      <c r="D44" t="s">
        <v>42</v>
      </c>
    </row>
    <row r="45" spans="1:14" x14ac:dyDescent="0.2">
      <c r="A45">
        <v>18069</v>
      </c>
      <c r="B45">
        <f>Damian!G62</f>
        <v>0.63974725395102428</v>
      </c>
      <c r="C45" s="1">
        <f>A45*B45</f>
        <v>11559.593131641057</v>
      </c>
      <c r="D45" s="54">
        <f>A45*0.005</f>
        <v>90.344999999999999</v>
      </c>
    </row>
  </sheetData>
  <sortState xmlns:xlrd2="http://schemas.microsoft.com/office/spreadsheetml/2017/richdata2" ref="A2:H40">
    <sortCondition ref="G2:G40"/>
  </sortState>
  <conditionalFormatting sqref="N2:N34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0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360E-91A8-F24A-99F9-6DA3D7D014B9}">
  <dimension ref="A1:AW6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51" sqref="C51"/>
    </sheetView>
  </sheetViews>
  <sheetFormatPr baseColWidth="10" defaultRowHeight="16" x14ac:dyDescent="0.2"/>
  <cols>
    <col min="2" max="2" width="10.1640625" customWidth="1"/>
    <col min="3" max="3" width="7.5" customWidth="1"/>
    <col min="4" max="4" width="8.5" hidden="1" customWidth="1"/>
    <col min="5" max="5" width="8.5" customWidth="1"/>
    <col min="6" max="6" width="8.33203125" customWidth="1"/>
    <col min="7" max="7" width="10.83203125" customWidth="1"/>
    <col min="8" max="8" width="8.1640625" customWidth="1"/>
    <col min="9" max="9" width="9.33203125" hidden="1" customWidth="1"/>
    <col min="10" max="10" width="9.33203125" customWidth="1"/>
    <col min="11" max="11" width="10.33203125" customWidth="1"/>
    <col min="12" max="13" width="10.6640625" customWidth="1"/>
    <col min="14" max="14" width="8.1640625" customWidth="1"/>
    <col min="15" max="15" width="9.5" hidden="1" customWidth="1"/>
    <col min="16" max="18" width="0.1640625" hidden="1" customWidth="1"/>
    <col min="19" max="19" width="9.5" customWidth="1"/>
    <col min="20" max="20" width="10.6640625" customWidth="1"/>
    <col min="22" max="27" width="10.5" customWidth="1"/>
    <col min="36" max="36" width="12.1640625" bestFit="1" customWidth="1"/>
    <col min="41" max="44" width="10.1640625" customWidth="1"/>
  </cols>
  <sheetData>
    <row r="1" spans="1:49" x14ac:dyDescent="0.2">
      <c r="A1" t="s">
        <v>0</v>
      </c>
      <c r="B1" t="s">
        <v>100</v>
      </c>
      <c r="C1" s="3" t="s">
        <v>6</v>
      </c>
      <c r="D1" s="40" t="s">
        <v>59</v>
      </c>
      <c r="E1" s="40" t="s">
        <v>84</v>
      </c>
      <c r="F1" s="40" t="s">
        <v>85</v>
      </c>
      <c r="G1" s="40" t="s">
        <v>86</v>
      </c>
      <c r="H1" s="40" t="s">
        <v>97</v>
      </c>
      <c r="I1" s="40" t="s">
        <v>87</v>
      </c>
      <c r="J1" s="21" t="s">
        <v>88</v>
      </c>
      <c r="K1" t="s">
        <v>1</v>
      </c>
      <c r="L1" t="s">
        <v>45</v>
      </c>
      <c r="M1" t="s">
        <v>60</v>
      </c>
      <c r="N1" s="43" t="s">
        <v>61</v>
      </c>
      <c r="O1" t="s">
        <v>62</v>
      </c>
      <c r="P1" t="s">
        <v>63</v>
      </c>
      <c r="Q1" t="s">
        <v>64</v>
      </c>
      <c r="R1" s="5" t="s">
        <v>65</v>
      </c>
      <c r="S1" s="2" t="s">
        <v>53</v>
      </c>
      <c r="T1" s="43" t="s">
        <v>54</v>
      </c>
      <c r="U1" t="s">
        <v>55</v>
      </c>
      <c r="V1" t="s">
        <v>49</v>
      </c>
      <c r="W1" t="s">
        <v>46</v>
      </c>
      <c r="X1" t="s">
        <v>50</v>
      </c>
      <c r="Y1" t="s">
        <v>51</v>
      </c>
      <c r="Z1" s="5" t="s">
        <v>52</v>
      </c>
      <c r="AA1" s="35" t="s">
        <v>23</v>
      </c>
      <c r="AB1" s="2" t="s">
        <v>24</v>
      </c>
      <c r="AC1" s="2" t="s">
        <v>25</v>
      </c>
      <c r="AD1" s="6" t="s">
        <v>12</v>
      </c>
      <c r="AE1" s="40" t="s">
        <v>56</v>
      </c>
      <c r="AF1" s="3" t="s">
        <v>32</v>
      </c>
      <c r="AG1" s="3" t="s">
        <v>43</v>
      </c>
      <c r="AH1" s="3" t="s">
        <v>75</v>
      </c>
      <c r="AI1" t="s">
        <v>89</v>
      </c>
      <c r="AJ1" t="s">
        <v>93</v>
      </c>
      <c r="AK1" t="s">
        <v>92</v>
      </c>
      <c r="AL1" t="s">
        <v>94</v>
      </c>
      <c r="AM1" t="s">
        <v>107</v>
      </c>
      <c r="AN1" t="s">
        <v>108</v>
      </c>
      <c r="AO1" t="s">
        <v>109</v>
      </c>
      <c r="AP1" t="s">
        <v>116</v>
      </c>
      <c r="AQ1" t="s">
        <v>115</v>
      </c>
      <c r="AR1" t="s">
        <v>110</v>
      </c>
      <c r="AS1" t="s">
        <v>111</v>
      </c>
      <c r="AT1" t="s">
        <v>112</v>
      </c>
      <c r="AU1" t="s">
        <v>117</v>
      </c>
      <c r="AV1" t="s">
        <v>118</v>
      </c>
      <c r="AW1" s="67" t="s">
        <v>91</v>
      </c>
    </row>
    <row r="2" spans="1:49" x14ac:dyDescent="0.2">
      <c r="A2" s="11" t="s">
        <v>128</v>
      </c>
      <c r="B2" s="21">
        <v>0</v>
      </c>
      <c r="C2" s="32">
        <v>2891</v>
      </c>
      <c r="D2" s="21">
        <f t="shared" ref="D2:D45" si="0">10000-C2</f>
        <v>7109</v>
      </c>
      <c r="E2" s="21">
        <v>0</v>
      </c>
      <c r="F2" s="21">
        <v>0</v>
      </c>
      <c r="G2" s="21">
        <v>0</v>
      </c>
      <c r="H2" s="24">
        <v>4.4000000000000004</v>
      </c>
      <c r="I2" s="21">
        <v>1</v>
      </c>
      <c r="J2" s="24">
        <v>1.1000000000000001</v>
      </c>
      <c r="K2" s="63">
        <f t="shared" ref="K2:K35" si="1">(SUM(E2:H2) / I2) *((N2 + 1) * J2 / 3)</f>
        <v>1.6133333333333335</v>
      </c>
      <c r="L2" s="75">
        <f t="shared" ref="L2:L45" si="2">K2/$K$46</f>
        <v>2.6042225036735481E-2</v>
      </c>
      <c r="M2" s="75">
        <f t="shared" ref="M2:M45" si="3">D2/$D$46</f>
        <v>3.0095081661854726E-2</v>
      </c>
      <c r="N2" s="41">
        <f t="shared" ref="N2:N45" si="4">IF($B$49="up",$N$48,$N$47)</f>
        <v>0</v>
      </c>
      <c r="O2" s="4">
        <f t="shared" ref="O2:O45" si="5">M2^N2</f>
        <v>1</v>
      </c>
      <c r="P2" s="4">
        <f t="shared" ref="P2:P45" si="6">O2/$O$46</f>
        <v>2.2727272727272728E-2</v>
      </c>
      <c r="Q2" s="4">
        <f t="shared" ref="Q2:Q45" si="7">P2*L2</f>
        <v>5.9186875083489735E-4</v>
      </c>
      <c r="R2" s="28">
        <f t="shared" ref="R2:R45" si="8">Q2/$Q$46</f>
        <v>2.6042225036735474E-2</v>
      </c>
      <c r="S2" s="33">
        <v>1637</v>
      </c>
      <c r="T2" s="46">
        <f t="shared" ref="T2:T45" si="9">$F$52*R2</f>
        <v>1416.9314220237404</v>
      </c>
      <c r="U2" s="12">
        <f t="shared" ref="U2:U35" si="10">T2-S2</f>
        <v>-220.06857797625958</v>
      </c>
      <c r="V2" s="41">
        <f t="shared" ref="V2:V45" si="11">IF($B$49="up",$V$48,$V$47)</f>
        <v>-0.1</v>
      </c>
      <c r="W2">
        <f t="shared" ref="W2:W45" si="12">ABS(M2-$M$47+0.0001)^V2</f>
        <v>1.6354479883618622</v>
      </c>
      <c r="X2" s="4">
        <f t="shared" ref="X2:X45" si="13">W2/$W$46</f>
        <v>1.9846443975335793E-2</v>
      </c>
      <c r="Y2" s="4">
        <f t="shared" ref="Y2:Y45" si="14">X2*L2</f>
        <v>5.1684556018465782E-4</v>
      </c>
      <c r="Z2" s="28">
        <f t="shared" ref="Z2:Z45" si="15">Y2/$Y$46</f>
        <v>2.2451400433094904E-2</v>
      </c>
      <c r="AA2" s="36">
        <v>764</v>
      </c>
      <c r="AB2" s="33">
        <v>6550</v>
      </c>
      <c r="AC2" s="33">
        <v>0</v>
      </c>
      <c r="AD2" s="34">
        <f t="shared" ref="AD2:AD45" si="16">SUM(AA2:AC2)</f>
        <v>7314</v>
      </c>
      <c r="AE2" s="46">
        <f t="shared" ref="AE2:AE45" si="17">Z2*$F$51</f>
        <v>1481.6352687812321</v>
      </c>
      <c r="AF2" s="12">
        <f t="shared" ref="AF2:AF45" si="18">AE2-AD2</f>
        <v>-5832.3647312187677</v>
      </c>
      <c r="AG2" s="12">
        <f t="shared" ref="AG2:AG45" si="19">AF2+U2</f>
        <v>-6052.4333091950275</v>
      </c>
      <c r="AH2" s="55">
        <f t="shared" ref="AH2:AH45" si="20">S2+AD2</f>
        <v>8951</v>
      </c>
      <c r="AI2">
        <f t="shared" ref="AI2:AI45" si="21">T2/$T$46</f>
        <v>2.6042225036735474E-2</v>
      </c>
      <c r="AJ2" s="1">
        <f t="shared" ref="AJ2:AJ45" si="22">AI2*$AJ$46</f>
        <v>2587.0346351493022</v>
      </c>
      <c r="AK2" s="2">
        <v>2099</v>
      </c>
      <c r="AL2" s="74">
        <f t="shared" ref="AL2:AL45" si="23">AJ2-AK2</f>
        <v>488.03463514930218</v>
      </c>
      <c r="AM2">
        <f t="shared" ref="AM2:AM45" si="24">B2*K2</f>
        <v>0</v>
      </c>
      <c r="AN2">
        <f t="shared" ref="AN2:AN45" si="25">AM2/$AM$46</f>
        <v>0</v>
      </c>
      <c r="AO2" s="1">
        <f t="shared" ref="AO2:AO45" si="26">AN2*$AO$46</f>
        <v>0</v>
      </c>
      <c r="AP2" s="8">
        <v>0</v>
      </c>
      <c r="AQ2" s="1">
        <f t="shared" ref="AQ2:AQ45" si="27">AO2-AP2</f>
        <v>0</v>
      </c>
      <c r="AR2" s="69">
        <f t="shared" ref="AR2:AR45" si="28">K2</f>
        <v>1.6133333333333335</v>
      </c>
      <c r="AS2">
        <f t="shared" ref="AS2:AS45" si="29">AR2/$AR$46</f>
        <v>2.6042225036735481E-2</v>
      </c>
      <c r="AT2" s="1">
        <f t="shared" ref="AT2:AT45" si="30">AS2*$AT$46*$B$46</f>
        <v>1860.5512556245164</v>
      </c>
      <c r="AU2" s="8">
        <v>1547</v>
      </c>
      <c r="AV2" s="1">
        <f t="shared" ref="AV2:AV45" si="31">AT2-AU2</f>
        <v>313.55125562451644</v>
      </c>
      <c r="AW2" s="68">
        <v>0.59</v>
      </c>
    </row>
    <row r="3" spans="1:49" x14ac:dyDescent="0.2">
      <c r="A3" s="31" t="s">
        <v>21</v>
      </c>
      <c r="B3" s="21">
        <v>0</v>
      </c>
      <c r="C3" s="21">
        <v>3464</v>
      </c>
      <c r="D3" s="21">
        <f t="shared" si="0"/>
        <v>6536</v>
      </c>
      <c r="E3" s="24">
        <v>3</v>
      </c>
      <c r="F3" s="66">
        <f>$AE$57</f>
        <v>8.7420754087420729</v>
      </c>
      <c r="G3" s="24">
        <v>6.2</v>
      </c>
      <c r="H3" s="24">
        <v>9.5</v>
      </c>
      <c r="I3" s="21">
        <v>3</v>
      </c>
      <c r="J3" s="24">
        <v>0.9</v>
      </c>
      <c r="K3" s="76">
        <f t="shared" si="1"/>
        <v>2.7442075408742075</v>
      </c>
      <c r="L3" s="44">
        <f t="shared" si="2"/>
        <v>4.4296655161334242E-2</v>
      </c>
      <c r="M3" s="44">
        <f t="shared" si="3"/>
        <v>2.7669356272595654E-2</v>
      </c>
      <c r="N3" s="41">
        <f t="shared" si="4"/>
        <v>0</v>
      </c>
      <c r="O3" s="13">
        <f t="shared" si="5"/>
        <v>1</v>
      </c>
      <c r="P3" s="13">
        <f t="shared" si="6"/>
        <v>2.2727272727272728E-2</v>
      </c>
      <c r="Q3" s="13">
        <f t="shared" si="7"/>
        <v>1.0067421627575964E-3</v>
      </c>
      <c r="R3" s="31">
        <f t="shared" si="8"/>
        <v>4.4296655161334228E-2</v>
      </c>
      <c r="S3" s="25">
        <v>1338</v>
      </c>
      <c r="T3" s="46">
        <f t="shared" si="9"/>
        <v>2410.136710673034</v>
      </c>
      <c r="U3" s="22">
        <f t="shared" si="10"/>
        <v>1072.136710673034</v>
      </c>
      <c r="V3" s="41">
        <f t="shared" si="11"/>
        <v>-0.1</v>
      </c>
      <c r="W3">
        <f t="shared" si="12"/>
        <v>1.702795978696771</v>
      </c>
      <c r="X3" s="13">
        <f t="shared" si="13"/>
        <v>2.0663723477065493E-2</v>
      </c>
      <c r="Y3" s="13">
        <f t="shared" si="14"/>
        <v>9.1533383321273671E-4</v>
      </c>
      <c r="Z3" s="31">
        <f t="shared" si="15"/>
        <v>3.9761445202463559E-2</v>
      </c>
      <c r="AA3" s="37">
        <v>3186</v>
      </c>
      <c r="AB3" s="25">
        <v>4269</v>
      </c>
      <c r="AC3" s="25">
        <v>0</v>
      </c>
      <c r="AD3" s="26">
        <f t="shared" si="16"/>
        <v>7455</v>
      </c>
      <c r="AE3" s="46">
        <f t="shared" si="17"/>
        <v>2623.9770532461775</v>
      </c>
      <c r="AF3" s="22">
        <f t="shared" si="18"/>
        <v>-4831.0229467538229</v>
      </c>
      <c r="AG3" s="22">
        <f t="shared" si="19"/>
        <v>-3758.8862360807889</v>
      </c>
      <c r="AH3" s="55">
        <f t="shared" si="20"/>
        <v>8793</v>
      </c>
      <c r="AI3">
        <f t="shared" si="21"/>
        <v>4.4296655161334228E-2</v>
      </c>
      <c r="AJ3" s="1">
        <f t="shared" si="22"/>
        <v>4400.429723726942</v>
      </c>
      <c r="AK3" s="2">
        <v>3918</v>
      </c>
      <c r="AL3" s="49">
        <f t="shared" si="23"/>
        <v>482.42972372694203</v>
      </c>
      <c r="AM3">
        <f t="shared" si="24"/>
        <v>0</v>
      </c>
      <c r="AN3">
        <f t="shared" si="25"/>
        <v>0</v>
      </c>
      <c r="AO3" s="1">
        <f t="shared" si="26"/>
        <v>0</v>
      </c>
      <c r="AP3" s="8">
        <v>0</v>
      </c>
      <c r="AQ3" s="49">
        <f t="shared" si="27"/>
        <v>0</v>
      </c>
      <c r="AR3" s="69">
        <f t="shared" si="28"/>
        <v>2.7442075408742075</v>
      </c>
      <c r="AS3">
        <f t="shared" si="29"/>
        <v>4.4296655161334242E-2</v>
      </c>
      <c r="AT3" s="1">
        <f t="shared" si="30"/>
        <v>3164.7141234717596</v>
      </c>
      <c r="AU3" s="8">
        <v>2855</v>
      </c>
      <c r="AV3" s="1">
        <f t="shared" si="31"/>
        <v>309.71412347175965</v>
      </c>
      <c r="AW3" s="68">
        <v>0.59</v>
      </c>
    </row>
    <row r="4" spans="1:49" x14ac:dyDescent="0.2">
      <c r="A4" s="41" t="s">
        <v>77</v>
      </c>
      <c r="B4" s="21">
        <v>0</v>
      </c>
      <c r="C4" s="21">
        <v>3253</v>
      </c>
      <c r="D4" s="21">
        <f t="shared" si="0"/>
        <v>6747</v>
      </c>
      <c r="E4" s="24">
        <v>6.5</v>
      </c>
      <c r="F4" s="66">
        <f>$AE$61</f>
        <v>1.6683350016683347</v>
      </c>
      <c r="G4" s="24">
        <v>4.3</v>
      </c>
      <c r="H4" s="24">
        <v>4.0999999999999996</v>
      </c>
      <c r="I4" s="21">
        <v>3</v>
      </c>
      <c r="J4" s="24">
        <v>1</v>
      </c>
      <c r="K4" s="63">
        <f t="shared" si="1"/>
        <v>1.8409261112964819</v>
      </c>
      <c r="L4" s="13">
        <f t="shared" si="2"/>
        <v>2.9715999214701645E-2</v>
      </c>
      <c r="M4" s="13">
        <f t="shared" si="3"/>
        <v>2.8562598955202398E-2</v>
      </c>
      <c r="N4" s="41">
        <f t="shared" si="4"/>
        <v>0</v>
      </c>
      <c r="O4" s="13">
        <f t="shared" si="5"/>
        <v>1</v>
      </c>
      <c r="P4" s="13">
        <f t="shared" si="6"/>
        <v>2.2727272727272728E-2</v>
      </c>
      <c r="Q4" s="13">
        <f t="shared" si="7"/>
        <v>6.7536361851594647E-4</v>
      </c>
      <c r="R4" s="31">
        <f t="shared" si="8"/>
        <v>2.9715999214701635E-2</v>
      </c>
      <c r="S4" s="25">
        <v>2775</v>
      </c>
      <c r="T4" s="46">
        <f t="shared" si="9"/>
        <v>1616.8178012727012</v>
      </c>
      <c r="U4" s="22">
        <f t="shared" si="10"/>
        <v>-1158.1821987272988</v>
      </c>
      <c r="V4" s="41">
        <f t="shared" si="11"/>
        <v>-0.1</v>
      </c>
      <c r="W4">
        <f t="shared" si="12"/>
        <v>1.6744103708841085</v>
      </c>
      <c r="X4" s="13">
        <f t="shared" si="13"/>
        <v>2.0319259220685112E-2</v>
      </c>
      <c r="Y4" s="13">
        <f t="shared" si="14"/>
        <v>6.038070910451979E-4</v>
      </c>
      <c r="Z4" s="31">
        <f t="shared" si="15"/>
        <v>2.6228946961553756E-2</v>
      </c>
      <c r="AA4" s="37">
        <v>2285</v>
      </c>
      <c r="AB4" s="25">
        <v>653</v>
      </c>
      <c r="AC4" s="25">
        <v>0</v>
      </c>
      <c r="AD4" s="26">
        <f t="shared" si="16"/>
        <v>2938</v>
      </c>
      <c r="AE4" s="46">
        <f t="shared" si="17"/>
        <v>1730.926896833817</v>
      </c>
      <c r="AF4" s="22">
        <f t="shared" si="18"/>
        <v>-1207.073103166183</v>
      </c>
      <c r="AG4" s="22">
        <f t="shared" si="19"/>
        <v>-2365.2553018934818</v>
      </c>
      <c r="AH4" s="55">
        <f t="shared" si="20"/>
        <v>5713</v>
      </c>
      <c r="AI4">
        <f t="shared" si="21"/>
        <v>2.9715999214701635E-2</v>
      </c>
      <c r="AJ4" s="1">
        <f t="shared" si="22"/>
        <v>2951.9873619884602</v>
      </c>
      <c r="AK4" s="2">
        <v>3104</v>
      </c>
      <c r="AL4" s="1">
        <f t="shared" si="23"/>
        <v>-152.01263801153982</v>
      </c>
      <c r="AM4">
        <f t="shared" si="24"/>
        <v>0</v>
      </c>
      <c r="AN4">
        <f t="shared" si="25"/>
        <v>0</v>
      </c>
      <c r="AO4" s="1">
        <f t="shared" si="26"/>
        <v>0</v>
      </c>
      <c r="AP4" s="8">
        <v>3794</v>
      </c>
      <c r="AQ4" s="1">
        <f t="shared" si="27"/>
        <v>-3794</v>
      </c>
      <c r="AR4" s="69">
        <f t="shared" si="28"/>
        <v>1.8409261112964819</v>
      </c>
      <c r="AS4">
        <f t="shared" si="29"/>
        <v>2.9715999214701645E-2</v>
      </c>
      <c r="AT4" s="1">
        <f t="shared" si="30"/>
        <v>2123.0190420772483</v>
      </c>
      <c r="AU4" s="8">
        <v>2069</v>
      </c>
      <c r="AV4" s="1">
        <f t="shared" si="31"/>
        <v>54.019042077248287</v>
      </c>
      <c r="AW4" s="68">
        <v>0.59</v>
      </c>
    </row>
    <row r="5" spans="1:49" x14ac:dyDescent="0.2">
      <c r="A5" s="31" t="s">
        <v>76</v>
      </c>
      <c r="B5" s="21">
        <v>1</v>
      </c>
      <c r="C5" s="21">
        <v>3377</v>
      </c>
      <c r="D5" s="21">
        <f t="shared" si="0"/>
        <v>6623</v>
      </c>
      <c r="E5" s="21">
        <v>0</v>
      </c>
      <c r="F5" s="66">
        <f>$AE$58</f>
        <v>1.0010010010010009</v>
      </c>
      <c r="G5" s="21">
        <v>0</v>
      </c>
      <c r="H5" s="21">
        <v>0</v>
      </c>
      <c r="I5" s="21">
        <v>1</v>
      </c>
      <c r="J5" s="24">
        <v>1.611</v>
      </c>
      <c r="K5" s="63">
        <f t="shared" si="1"/>
        <v>0.53753753753753752</v>
      </c>
      <c r="L5" s="44">
        <f t="shared" si="2"/>
        <v>8.676863750978427E-3</v>
      </c>
      <c r="M5" s="44">
        <f t="shared" si="3"/>
        <v>2.8037660127509335E-2</v>
      </c>
      <c r="N5" s="41">
        <f t="shared" si="4"/>
        <v>0</v>
      </c>
      <c r="O5" s="13">
        <f t="shared" si="5"/>
        <v>1</v>
      </c>
      <c r="P5" s="13">
        <f t="shared" si="6"/>
        <v>2.2727272727272728E-2</v>
      </c>
      <c r="Q5" s="13">
        <f t="shared" si="7"/>
        <v>1.9720144888587333E-4</v>
      </c>
      <c r="R5" s="31">
        <f t="shared" si="8"/>
        <v>8.6768637509784235E-3</v>
      </c>
      <c r="S5" s="25">
        <v>217</v>
      </c>
      <c r="T5" s="46">
        <f t="shared" si="9"/>
        <v>472.09947982698503</v>
      </c>
      <c r="U5" s="22">
        <f t="shared" si="10"/>
        <v>255.09947982698503</v>
      </c>
      <c r="V5" s="41">
        <f t="shared" si="11"/>
        <v>-0.1</v>
      </c>
      <c r="W5">
        <f t="shared" si="12"/>
        <v>1.6904501889191981</v>
      </c>
      <c r="X5" s="13">
        <f t="shared" si="13"/>
        <v>2.0513905184527007E-2</v>
      </c>
      <c r="Y5" s="13">
        <f t="shared" si="14"/>
        <v>1.7799636028663081E-4</v>
      </c>
      <c r="Z5" s="31">
        <f t="shared" si="15"/>
        <v>7.7320342250803099E-3</v>
      </c>
      <c r="AA5" s="37">
        <v>2171</v>
      </c>
      <c r="AB5" s="25">
        <v>760</v>
      </c>
      <c r="AC5" s="25">
        <v>0</v>
      </c>
      <c r="AD5" s="26">
        <f t="shared" si="16"/>
        <v>2931</v>
      </c>
      <c r="AE5" s="46">
        <f t="shared" si="17"/>
        <v>510.26013461572489</v>
      </c>
      <c r="AF5" s="22">
        <f t="shared" si="18"/>
        <v>-2420.7398653842752</v>
      </c>
      <c r="AG5" s="22">
        <f t="shared" si="19"/>
        <v>-2165.6403855572903</v>
      </c>
      <c r="AH5" s="55">
        <f t="shared" si="20"/>
        <v>3148</v>
      </c>
      <c r="AI5">
        <f t="shared" si="21"/>
        <v>8.6768637509784235E-3</v>
      </c>
      <c r="AJ5" s="1">
        <f t="shared" si="22"/>
        <v>861.95964502219658</v>
      </c>
      <c r="AK5" s="2">
        <v>1153</v>
      </c>
      <c r="AL5" s="1">
        <f t="shared" si="23"/>
        <v>-291.04035497780342</v>
      </c>
      <c r="AM5">
        <f t="shared" si="24"/>
        <v>0.53753753753753752</v>
      </c>
      <c r="AN5">
        <f t="shared" si="25"/>
        <v>1.3535383881693234E-2</v>
      </c>
      <c r="AO5" s="1">
        <f t="shared" si="26"/>
        <v>1310.7259689515276</v>
      </c>
      <c r="AP5" s="8">
        <v>1257</v>
      </c>
      <c r="AQ5" s="1">
        <f t="shared" si="27"/>
        <v>53.725968951527648</v>
      </c>
      <c r="AR5" s="69">
        <f t="shared" si="28"/>
        <v>0.53753753753753752</v>
      </c>
      <c r="AS5">
        <f t="shared" si="29"/>
        <v>8.676863750978427E-3</v>
      </c>
      <c r="AT5" s="1">
        <f t="shared" si="30"/>
        <v>619.90669860172056</v>
      </c>
      <c r="AU5" s="8">
        <v>524</v>
      </c>
      <c r="AV5" s="1">
        <f t="shared" si="31"/>
        <v>95.906698601720564</v>
      </c>
      <c r="AW5" s="68">
        <v>0.59</v>
      </c>
    </row>
    <row r="6" spans="1:49" x14ac:dyDescent="0.2">
      <c r="A6" s="31" t="s">
        <v>41</v>
      </c>
      <c r="B6" s="21">
        <v>0</v>
      </c>
      <c r="C6" s="21">
        <v>3508</v>
      </c>
      <c r="D6" s="21">
        <f t="shared" si="0"/>
        <v>6492</v>
      </c>
      <c r="E6" s="21">
        <v>0</v>
      </c>
      <c r="F6" s="66">
        <f>$AE$56</f>
        <v>3.8705372038705366</v>
      </c>
      <c r="G6" s="24">
        <v>2.4</v>
      </c>
      <c r="H6" s="24">
        <v>3.3</v>
      </c>
      <c r="I6" s="21">
        <v>3</v>
      </c>
      <c r="J6" s="24">
        <v>1.21</v>
      </c>
      <c r="K6" s="63">
        <f t="shared" si="1"/>
        <v>1.286705557409261</v>
      </c>
      <c r="L6" s="44">
        <f t="shared" si="2"/>
        <v>2.0769840298803802E-2</v>
      </c>
      <c r="M6" s="44">
        <f t="shared" si="3"/>
        <v>2.7483087656317469E-2</v>
      </c>
      <c r="N6" s="41">
        <f t="shared" si="4"/>
        <v>0</v>
      </c>
      <c r="O6" s="13">
        <f t="shared" si="5"/>
        <v>1</v>
      </c>
      <c r="P6" s="13">
        <f t="shared" si="6"/>
        <v>2.2727272727272728E-2</v>
      </c>
      <c r="Q6" s="13">
        <f t="shared" si="7"/>
        <v>4.7204182497281372E-4</v>
      </c>
      <c r="R6" s="31">
        <f t="shared" si="8"/>
        <v>2.0769840298803795E-2</v>
      </c>
      <c r="S6" s="25">
        <v>1054</v>
      </c>
      <c r="T6" s="46">
        <f t="shared" si="9"/>
        <v>1130.0662408176156</v>
      </c>
      <c r="U6" s="22">
        <f t="shared" si="10"/>
        <v>76.066240817615608</v>
      </c>
      <c r="V6" s="41">
        <f t="shared" si="11"/>
        <v>-0.1</v>
      </c>
      <c r="W6">
        <f t="shared" si="12"/>
        <v>1.7094364392775148</v>
      </c>
      <c r="X6" s="13">
        <f t="shared" si="13"/>
        <v>2.0744306613810895E-2</v>
      </c>
      <c r="Y6" s="13">
        <f t="shared" si="14"/>
        <v>4.3085593547827179E-4</v>
      </c>
      <c r="Z6" s="31">
        <f t="shared" si="15"/>
        <v>1.8716072810884381E-2</v>
      </c>
      <c r="AA6" s="37">
        <v>2300</v>
      </c>
      <c r="AB6" s="25">
        <v>863</v>
      </c>
      <c r="AC6" s="25">
        <v>0</v>
      </c>
      <c r="AD6" s="26">
        <f t="shared" si="16"/>
        <v>3163</v>
      </c>
      <c r="AE6" s="46">
        <f t="shared" si="17"/>
        <v>1235.129793008693</v>
      </c>
      <c r="AF6" s="22">
        <f t="shared" si="18"/>
        <v>-1927.870206991307</v>
      </c>
      <c r="AG6" s="22">
        <f t="shared" si="19"/>
        <v>-1851.8039661736914</v>
      </c>
      <c r="AH6" s="55">
        <f t="shared" si="20"/>
        <v>4217</v>
      </c>
      <c r="AI6">
        <f t="shared" si="21"/>
        <v>2.0769840298803792E-2</v>
      </c>
      <c r="AJ6" s="1">
        <f t="shared" si="22"/>
        <v>2063.2759352831686</v>
      </c>
      <c r="AK6" s="2">
        <v>1672</v>
      </c>
      <c r="AL6" s="1">
        <f t="shared" si="23"/>
        <v>391.27593528316856</v>
      </c>
      <c r="AM6">
        <f t="shared" si="24"/>
        <v>0</v>
      </c>
      <c r="AN6">
        <f t="shared" si="25"/>
        <v>0</v>
      </c>
      <c r="AO6" s="1">
        <f t="shared" si="26"/>
        <v>0</v>
      </c>
      <c r="AP6" s="8">
        <v>0</v>
      </c>
      <c r="AQ6" s="1">
        <f t="shared" si="27"/>
        <v>0</v>
      </c>
      <c r="AR6" s="69">
        <f t="shared" si="28"/>
        <v>1.286705557409261</v>
      </c>
      <c r="AS6">
        <f t="shared" si="29"/>
        <v>2.0769840298803802E-2</v>
      </c>
      <c r="AT6" s="1">
        <f t="shared" si="30"/>
        <v>1483.8729176385393</v>
      </c>
      <c r="AU6" s="8">
        <v>1377</v>
      </c>
      <c r="AV6" s="1">
        <f t="shared" si="31"/>
        <v>106.87291763853932</v>
      </c>
      <c r="AW6" s="68">
        <v>0.59</v>
      </c>
    </row>
    <row r="7" spans="1:49" x14ac:dyDescent="0.2">
      <c r="A7" s="48" t="s">
        <v>20</v>
      </c>
      <c r="B7" s="21">
        <v>0</v>
      </c>
      <c r="C7" s="21">
        <v>3733</v>
      </c>
      <c r="D7" s="21">
        <f t="shared" si="0"/>
        <v>6267</v>
      </c>
      <c r="E7" s="24">
        <v>3.5</v>
      </c>
      <c r="F7" s="66">
        <f>$AE$52</f>
        <v>8.5418752085418745</v>
      </c>
      <c r="G7" s="24">
        <v>15.8</v>
      </c>
      <c r="H7" s="24">
        <v>5.4</v>
      </c>
      <c r="I7" s="21">
        <v>3</v>
      </c>
      <c r="J7" s="24">
        <v>0.81</v>
      </c>
      <c r="K7" s="76">
        <f t="shared" si="1"/>
        <v>2.9917687687687691</v>
      </c>
      <c r="L7" s="13">
        <f t="shared" si="2"/>
        <v>4.8292757562491719E-2</v>
      </c>
      <c r="M7" s="13">
        <f t="shared" si="3"/>
        <v>2.653057768671312E-2</v>
      </c>
      <c r="N7" s="41">
        <f t="shared" si="4"/>
        <v>0</v>
      </c>
      <c r="O7" s="13">
        <f t="shared" si="5"/>
        <v>1</v>
      </c>
      <c r="P7" s="13">
        <f t="shared" si="6"/>
        <v>2.2727272727272728E-2</v>
      </c>
      <c r="Q7" s="13">
        <f t="shared" si="7"/>
        <v>1.0975626718748119E-3</v>
      </c>
      <c r="R7" s="31">
        <f t="shared" si="8"/>
        <v>4.8292757562491712E-2</v>
      </c>
      <c r="S7" s="25">
        <v>2861</v>
      </c>
      <c r="T7" s="46">
        <f t="shared" si="9"/>
        <v>2627.5606462176115</v>
      </c>
      <c r="U7" s="22">
        <f t="shared" si="10"/>
        <v>-233.43935378238848</v>
      </c>
      <c r="V7" s="41">
        <f t="shared" si="11"/>
        <v>-0.1</v>
      </c>
      <c r="W7">
        <f t="shared" si="12"/>
        <v>1.7486571042213861</v>
      </c>
      <c r="X7" s="13">
        <f t="shared" si="13"/>
        <v>2.1220256160982755E-2</v>
      </c>
      <c r="Y7" s="13">
        <f t="shared" si="14"/>
        <v>1.0247846861963115E-3</v>
      </c>
      <c r="Z7" s="31">
        <f t="shared" si="15"/>
        <v>4.4515911753748416E-2</v>
      </c>
      <c r="AA7" s="37">
        <v>3051</v>
      </c>
      <c r="AB7" s="25">
        <v>1335</v>
      </c>
      <c r="AC7" s="25">
        <v>0</v>
      </c>
      <c r="AD7" s="26">
        <f t="shared" si="16"/>
        <v>4386</v>
      </c>
      <c r="AE7" s="46">
        <f t="shared" si="17"/>
        <v>2937.7385643651191</v>
      </c>
      <c r="AF7" s="22">
        <f t="shared" si="18"/>
        <v>-1448.2614356348809</v>
      </c>
      <c r="AG7" s="22">
        <f t="shared" si="19"/>
        <v>-1681.7007894172693</v>
      </c>
      <c r="AH7" s="55">
        <f t="shared" si="20"/>
        <v>7247</v>
      </c>
      <c r="AI7">
        <f t="shared" si="21"/>
        <v>4.8292757562491712E-2</v>
      </c>
      <c r="AJ7" s="1">
        <f t="shared" si="22"/>
        <v>4797.4025362579268</v>
      </c>
      <c r="AK7" s="2">
        <v>4373</v>
      </c>
      <c r="AL7" s="1">
        <f t="shared" si="23"/>
        <v>424.40253625792684</v>
      </c>
      <c r="AM7">
        <f t="shared" si="24"/>
        <v>0</v>
      </c>
      <c r="AN7">
        <f t="shared" si="25"/>
        <v>0</v>
      </c>
      <c r="AO7" s="1">
        <f t="shared" si="26"/>
        <v>0</v>
      </c>
      <c r="AP7" s="8">
        <v>6759</v>
      </c>
      <c r="AQ7" s="74">
        <f t="shared" si="27"/>
        <v>-6759</v>
      </c>
      <c r="AR7" s="69">
        <f t="shared" si="28"/>
        <v>2.9917687687687691</v>
      </c>
      <c r="AS7">
        <f t="shared" si="29"/>
        <v>4.8292757562491719E-2</v>
      </c>
      <c r="AT7" s="1">
        <f t="shared" si="30"/>
        <v>3450.2102102919084</v>
      </c>
      <c r="AU7" s="8">
        <v>3578</v>
      </c>
      <c r="AV7" s="49">
        <f t="shared" si="31"/>
        <v>-127.78978970809158</v>
      </c>
      <c r="AW7" s="68">
        <v>0.59</v>
      </c>
    </row>
    <row r="8" spans="1:49" x14ac:dyDescent="0.2">
      <c r="A8" s="42" t="s">
        <v>26</v>
      </c>
      <c r="B8" s="21">
        <v>1</v>
      </c>
      <c r="C8" s="21">
        <v>3643</v>
      </c>
      <c r="D8" s="21">
        <f t="shared" si="0"/>
        <v>6357</v>
      </c>
      <c r="E8" s="24">
        <v>2.4</v>
      </c>
      <c r="F8" s="66">
        <f>$AE$48</f>
        <v>1.5348682015348678</v>
      </c>
      <c r="G8" s="24">
        <v>2.5</v>
      </c>
      <c r="H8" s="21">
        <v>0</v>
      </c>
      <c r="I8" s="21">
        <v>2</v>
      </c>
      <c r="J8" s="24">
        <v>1.611</v>
      </c>
      <c r="K8" s="63">
        <f t="shared" si="1"/>
        <v>1.7277621121121121</v>
      </c>
      <c r="L8" s="44">
        <f t="shared" si="2"/>
        <v>2.788932008279071E-2</v>
      </c>
      <c r="M8" s="44">
        <f t="shared" si="3"/>
        <v>2.691158167455486E-2</v>
      </c>
      <c r="N8" s="41">
        <f t="shared" si="4"/>
        <v>0</v>
      </c>
      <c r="O8" s="13">
        <f t="shared" si="5"/>
        <v>1</v>
      </c>
      <c r="P8" s="13">
        <f t="shared" si="6"/>
        <v>2.2727272727272728E-2</v>
      </c>
      <c r="Q8" s="13">
        <f t="shared" si="7"/>
        <v>6.3384818369978889E-4</v>
      </c>
      <c r="R8" s="31">
        <f t="shared" si="8"/>
        <v>2.7889320082790704E-2</v>
      </c>
      <c r="S8" s="25">
        <v>1344</v>
      </c>
      <c r="T8" s="46">
        <f t="shared" si="9"/>
        <v>1517.4300163845594</v>
      </c>
      <c r="U8" s="22">
        <f t="shared" si="10"/>
        <v>173.43001638455939</v>
      </c>
      <c r="V8" s="41">
        <f t="shared" si="11"/>
        <v>-0.1</v>
      </c>
      <c r="W8">
        <f t="shared" si="12"/>
        <v>1.7317782060545348</v>
      </c>
      <c r="X8" s="13">
        <f t="shared" si="13"/>
        <v>2.1015427814732899E-2</v>
      </c>
      <c r="Y8" s="13">
        <f t="shared" si="14"/>
        <v>5.8610599300186873E-4</v>
      </c>
      <c r="Z8" s="31">
        <f t="shared" si="15"/>
        <v>2.5460023958453433E-2</v>
      </c>
      <c r="AA8" s="37">
        <v>633</v>
      </c>
      <c r="AB8" s="25">
        <v>2452</v>
      </c>
      <c r="AC8" s="25">
        <v>0</v>
      </c>
      <c r="AD8" s="26">
        <f t="shared" si="16"/>
        <v>3085</v>
      </c>
      <c r="AE8" s="46">
        <f t="shared" si="17"/>
        <v>1680.1833610902174</v>
      </c>
      <c r="AF8" s="22">
        <f t="shared" si="18"/>
        <v>-1404.8166389097826</v>
      </c>
      <c r="AG8" s="22">
        <f t="shared" si="19"/>
        <v>-1231.3866225252232</v>
      </c>
      <c r="AH8" s="55">
        <f t="shared" si="20"/>
        <v>4429</v>
      </c>
      <c r="AI8">
        <f t="shared" si="21"/>
        <v>2.7889320082790704E-2</v>
      </c>
      <c r="AJ8" s="1">
        <f t="shared" si="22"/>
        <v>2770.5250570244284</v>
      </c>
      <c r="AK8" s="2">
        <v>2782</v>
      </c>
      <c r="AL8" s="49">
        <f t="shared" si="23"/>
        <v>-11.474942975571594</v>
      </c>
      <c r="AM8">
        <f t="shared" si="24"/>
        <v>1.7277621121121121</v>
      </c>
      <c r="AN8">
        <f t="shared" si="25"/>
        <v>4.3505656462269754E-2</v>
      </c>
      <c r="AO8" s="1">
        <f t="shared" si="26"/>
        <v>4212.957254836816</v>
      </c>
      <c r="AP8" s="8">
        <v>3600</v>
      </c>
      <c r="AQ8" s="1">
        <f t="shared" si="27"/>
        <v>612.95725483681599</v>
      </c>
      <c r="AR8" s="69">
        <f t="shared" si="28"/>
        <v>1.7277621121121121</v>
      </c>
      <c r="AS8">
        <f t="shared" si="29"/>
        <v>2.788932008279071E-2</v>
      </c>
      <c r="AT8" s="1">
        <f t="shared" si="30"/>
        <v>1992.5144424239606</v>
      </c>
      <c r="AU8" s="8">
        <v>1882</v>
      </c>
      <c r="AV8" s="1">
        <f t="shared" si="31"/>
        <v>110.51444242396065</v>
      </c>
      <c r="AW8" s="68">
        <v>0.59</v>
      </c>
    </row>
    <row r="9" spans="1:49" x14ac:dyDescent="0.2">
      <c r="A9" s="42" t="s">
        <v>79</v>
      </c>
      <c r="B9" s="21">
        <v>0</v>
      </c>
      <c r="C9" s="21">
        <v>4077</v>
      </c>
      <c r="D9" s="21">
        <f t="shared" si="0"/>
        <v>5923</v>
      </c>
      <c r="E9" s="21">
        <v>0</v>
      </c>
      <c r="F9" s="21">
        <v>0</v>
      </c>
      <c r="G9" s="24">
        <v>2.5</v>
      </c>
      <c r="H9" s="21">
        <v>0</v>
      </c>
      <c r="I9" s="21">
        <v>1</v>
      </c>
      <c r="J9" s="24">
        <v>1</v>
      </c>
      <c r="K9" s="63">
        <f t="shared" si="1"/>
        <v>0.83333333333333326</v>
      </c>
      <c r="L9" s="44">
        <f t="shared" si="2"/>
        <v>1.3451562518974936E-2</v>
      </c>
      <c r="M9" s="44">
        <f t="shared" si="3"/>
        <v>2.5074295777629138E-2</v>
      </c>
      <c r="N9" s="41">
        <f t="shared" si="4"/>
        <v>0</v>
      </c>
      <c r="O9" s="13">
        <f t="shared" si="5"/>
        <v>1</v>
      </c>
      <c r="P9" s="13">
        <f t="shared" si="6"/>
        <v>2.2727272727272728E-2</v>
      </c>
      <c r="Q9" s="13">
        <f t="shared" si="7"/>
        <v>3.0571732997670308E-4</v>
      </c>
      <c r="R9" s="31">
        <f t="shared" si="8"/>
        <v>1.3451562518974931E-2</v>
      </c>
      <c r="S9" s="25">
        <v>1458</v>
      </c>
      <c r="T9" s="46">
        <f t="shared" si="9"/>
        <v>731.88606509490705</v>
      </c>
      <c r="U9" s="22">
        <f t="shared" si="10"/>
        <v>-726.11393490509295</v>
      </c>
      <c r="V9" s="41">
        <f t="shared" si="11"/>
        <v>-0.1</v>
      </c>
      <c r="W9">
        <f t="shared" si="12"/>
        <v>1.8370558089632973</v>
      </c>
      <c r="X9" s="13">
        <f t="shared" si="13"/>
        <v>2.2292989720005856E-2</v>
      </c>
      <c r="Y9" s="13">
        <f t="shared" si="14"/>
        <v>2.9987554495352432E-4</v>
      </c>
      <c r="Z9" s="31">
        <f t="shared" si="15"/>
        <v>1.3026378590615548E-2</v>
      </c>
      <c r="AA9" s="37">
        <v>273</v>
      </c>
      <c r="AB9" s="25">
        <v>820</v>
      </c>
      <c r="AC9" s="25">
        <v>0</v>
      </c>
      <c r="AD9" s="26">
        <f t="shared" si="16"/>
        <v>1093</v>
      </c>
      <c r="AE9" s="46">
        <f t="shared" si="17"/>
        <v>859.64980233049187</v>
      </c>
      <c r="AF9" s="22">
        <f t="shared" si="18"/>
        <v>-233.35019766950813</v>
      </c>
      <c r="AG9" s="22">
        <f t="shared" si="19"/>
        <v>-959.46413257460108</v>
      </c>
      <c r="AH9" s="55">
        <f t="shared" si="20"/>
        <v>2551</v>
      </c>
      <c r="AI9">
        <f t="shared" si="21"/>
        <v>1.3451562518974931E-2</v>
      </c>
      <c r="AJ9" s="1">
        <f t="shared" si="22"/>
        <v>1336.2782206349696</v>
      </c>
      <c r="AK9" s="2">
        <v>1459</v>
      </c>
      <c r="AL9" s="1">
        <f t="shared" si="23"/>
        <v>-122.72177936503044</v>
      </c>
      <c r="AM9">
        <f t="shared" si="24"/>
        <v>0</v>
      </c>
      <c r="AN9">
        <f t="shared" si="25"/>
        <v>0</v>
      </c>
      <c r="AO9" s="1">
        <f t="shared" si="26"/>
        <v>0</v>
      </c>
      <c r="AP9" s="8">
        <v>0</v>
      </c>
      <c r="AQ9" s="1">
        <f t="shared" si="27"/>
        <v>0</v>
      </c>
      <c r="AR9" s="69">
        <f t="shared" si="28"/>
        <v>0.83333333333333326</v>
      </c>
      <c r="AS9">
        <f t="shared" si="29"/>
        <v>1.3451562518974936E-2</v>
      </c>
      <c r="AT9" s="1">
        <f t="shared" si="30"/>
        <v>961.02854112836576</v>
      </c>
      <c r="AU9" s="8">
        <v>1003</v>
      </c>
      <c r="AV9" s="1">
        <f t="shared" si="31"/>
        <v>-41.97145887163424</v>
      </c>
      <c r="AW9" s="68">
        <v>0.59</v>
      </c>
    </row>
    <row r="10" spans="1:49" x14ac:dyDescent="0.2">
      <c r="A10" s="41" t="s">
        <v>10</v>
      </c>
      <c r="B10" s="21">
        <v>1</v>
      </c>
      <c r="C10" s="21">
        <v>6453</v>
      </c>
      <c r="D10" s="21">
        <f t="shared" si="0"/>
        <v>3547</v>
      </c>
      <c r="E10" s="24">
        <v>6.8</v>
      </c>
      <c r="F10" s="21">
        <v>0</v>
      </c>
      <c r="G10" s="21">
        <v>0</v>
      </c>
      <c r="H10" s="21">
        <v>0</v>
      </c>
      <c r="I10" s="21">
        <v>1</v>
      </c>
      <c r="J10" s="24">
        <v>0.81</v>
      </c>
      <c r="K10" s="63">
        <f t="shared" si="1"/>
        <v>1.8360000000000001</v>
      </c>
      <c r="L10" s="13">
        <f t="shared" si="2"/>
        <v>2.9636482541805582E-2</v>
      </c>
      <c r="M10" s="13">
        <f t="shared" si="3"/>
        <v>1.5015790498607219E-2</v>
      </c>
      <c r="N10" s="41">
        <f t="shared" si="4"/>
        <v>0</v>
      </c>
      <c r="O10" s="13">
        <f t="shared" si="5"/>
        <v>1</v>
      </c>
      <c r="P10" s="13">
        <f t="shared" si="6"/>
        <v>2.2727272727272728E-2</v>
      </c>
      <c r="Q10" s="13">
        <f t="shared" si="7"/>
        <v>6.7355642140467229E-4</v>
      </c>
      <c r="R10" s="31">
        <f t="shared" si="8"/>
        <v>2.9636482541805571E-2</v>
      </c>
      <c r="S10" s="25">
        <v>2061</v>
      </c>
      <c r="T10" s="46">
        <f t="shared" si="9"/>
        <v>1612.4913786170994</v>
      </c>
      <c r="U10" s="22">
        <f t="shared" si="10"/>
        <v>-448.50862138290063</v>
      </c>
      <c r="V10" s="41">
        <f t="shared" si="11"/>
        <v>-0.1</v>
      </c>
      <c r="W10">
        <f t="shared" si="12"/>
        <v>1.6253058029691136</v>
      </c>
      <c r="X10" s="13">
        <f t="shared" si="13"/>
        <v>1.9723366802831963E-2</v>
      </c>
      <c r="Y10" s="13">
        <f t="shared" si="14"/>
        <v>5.845312159177572E-4</v>
      </c>
      <c r="Z10" s="31">
        <f t="shared" si="15"/>
        <v>2.5391616771409751E-2</v>
      </c>
      <c r="AA10" s="37">
        <v>1410</v>
      </c>
      <c r="AB10" s="25">
        <v>759</v>
      </c>
      <c r="AC10" s="25">
        <v>0</v>
      </c>
      <c r="AD10" s="26">
        <f t="shared" si="16"/>
        <v>2169</v>
      </c>
      <c r="AE10" s="46">
        <f t="shared" si="17"/>
        <v>1675.6689655956436</v>
      </c>
      <c r="AF10" s="22">
        <f t="shared" si="18"/>
        <v>-493.33103440435639</v>
      </c>
      <c r="AG10" s="22">
        <f t="shared" si="19"/>
        <v>-941.83965578725702</v>
      </c>
      <c r="AH10" s="55">
        <f t="shared" si="20"/>
        <v>4230</v>
      </c>
      <c r="AI10">
        <f t="shared" si="21"/>
        <v>2.9636482541805571E-2</v>
      </c>
      <c r="AJ10" s="1">
        <f t="shared" si="22"/>
        <v>2944.0881757029656</v>
      </c>
      <c r="AK10" s="2">
        <v>1294</v>
      </c>
      <c r="AL10" s="49">
        <f t="shared" si="23"/>
        <v>1650.0881757029656</v>
      </c>
      <c r="AM10">
        <f t="shared" si="24"/>
        <v>1.8360000000000001</v>
      </c>
      <c r="AN10">
        <f t="shared" si="25"/>
        <v>4.6231124472964603E-2</v>
      </c>
      <c r="AO10" s="1">
        <f t="shared" si="26"/>
        <v>4476.8834005884737</v>
      </c>
      <c r="AP10" s="8">
        <v>3775</v>
      </c>
      <c r="AQ10" s="1">
        <f t="shared" si="27"/>
        <v>701.88340058847371</v>
      </c>
      <c r="AR10" s="69">
        <f t="shared" si="28"/>
        <v>1.8360000000000001</v>
      </c>
      <c r="AS10">
        <f t="shared" si="29"/>
        <v>2.9636482541805582E-2</v>
      </c>
      <c r="AT10" s="1">
        <f t="shared" si="30"/>
        <v>2117.3380818140158</v>
      </c>
      <c r="AU10" s="8">
        <v>2050</v>
      </c>
      <c r="AV10" s="1">
        <f t="shared" si="31"/>
        <v>67.338081814015823</v>
      </c>
      <c r="AW10" s="68">
        <v>0.59</v>
      </c>
    </row>
    <row r="11" spans="1:49" x14ac:dyDescent="0.2">
      <c r="A11" s="48" t="s">
        <v>104</v>
      </c>
      <c r="B11" s="3">
        <v>1</v>
      </c>
      <c r="C11" s="21">
        <v>3767</v>
      </c>
      <c r="D11" s="21">
        <f t="shared" si="0"/>
        <v>6233</v>
      </c>
      <c r="E11" s="24">
        <v>1.5</v>
      </c>
      <c r="F11" s="21">
        <v>0</v>
      </c>
      <c r="G11" s="21">
        <v>0</v>
      </c>
      <c r="H11" s="21">
        <v>0</v>
      </c>
      <c r="I11" s="21">
        <v>1</v>
      </c>
      <c r="J11" s="24">
        <v>1.611</v>
      </c>
      <c r="K11" s="63">
        <f t="shared" si="1"/>
        <v>0.8055000000000001</v>
      </c>
      <c r="L11" s="13">
        <f t="shared" si="2"/>
        <v>1.3002280330841175E-2</v>
      </c>
      <c r="M11" s="13">
        <f t="shared" si="3"/>
        <v>2.6386642846861798E-2</v>
      </c>
      <c r="N11" s="41">
        <f t="shared" si="4"/>
        <v>0</v>
      </c>
      <c r="O11" s="13">
        <f t="shared" si="5"/>
        <v>1</v>
      </c>
      <c r="P11" s="13">
        <f t="shared" si="6"/>
        <v>2.2727272727272728E-2</v>
      </c>
      <c r="Q11" s="13">
        <f t="shared" si="7"/>
        <v>2.9550637115548125E-4</v>
      </c>
      <c r="R11" s="31">
        <f t="shared" si="8"/>
        <v>1.300228033084117E-2</v>
      </c>
      <c r="S11" s="25">
        <v>427</v>
      </c>
      <c r="T11" s="46">
        <f t="shared" si="9"/>
        <v>707.44107052073718</v>
      </c>
      <c r="U11" s="22">
        <f t="shared" si="10"/>
        <v>280.44107052073718</v>
      </c>
      <c r="V11" s="41">
        <f t="shared" si="11"/>
        <v>-0.1</v>
      </c>
      <c r="W11">
        <f t="shared" si="12"/>
        <v>1.7555319347473257</v>
      </c>
      <c r="X11" s="13">
        <f t="shared" si="13"/>
        <v>2.1303683417516699E-2</v>
      </c>
      <c r="Y11" s="13">
        <f t="shared" si="14"/>
        <v>2.769964638740447E-4</v>
      </c>
      <c r="Z11" s="31">
        <f t="shared" si="15"/>
        <v>1.2032527718271555E-2</v>
      </c>
      <c r="AA11" s="37">
        <v>0</v>
      </c>
      <c r="AB11" s="25">
        <v>0</v>
      </c>
      <c r="AC11" s="25">
        <v>1851</v>
      </c>
      <c r="AD11" s="26">
        <f t="shared" si="16"/>
        <v>1851</v>
      </c>
      <c r="AE11" s="46">
        <f t="shared" si="17"/>
        <v>794.06260171189467</v>
      </c>
      <c r="AF11" s="22">
        <f t="shared" si="18"/>
        <v>-1056.9373982881052</v>
      </c>
      <c r="AG11" s="22">
        <f t="shared" si="19"/>
        <v>-776.49632776736803</v>
      </c>
      <c r="AH11" s="55">
        <f t="shared" si="20"/>
        <v>2278</v>
      </c>
      <c r="AI11">
        <f t="shared" si="21"/>
        <v>1.300228033084117E-2</v>
      </c>
      <c r="AJ11" s="1">
        <f t="shared" si="22"/>
        <v>1291.6465280657619</v>
      </c>
      <c r="AK11" s="2">
        <v>1739</v>
      </c>
      <c r="AL11" s="49">
        <f t="shared" si="23"/>
        <v>-447.35347193423809</v>
      </c>
      <c r="AM11">
        <f t="shared" si="24"/>
        <v>0.8055000000000001</v>
      </c>
      <c r="AN11">
        <f t="shared" si="25"/>
        <v>2.0282772746717314E-2</v>
      </c>
      <c r="AO11" s="1">
        <f t="shared" si="26"/>
        <v>1964.1228644738646</v>
      </c>
      <c r="AP11" s="8">
        <v>0</v>
      </c>
      <c r="AQ11" s="1">
        <f t="shared" si="27"/>
        <v>1964.1228644738646</v>
      </c>
      <c r="AR11" s="69">
        <f t="shared" si="28"/>
        <v>0.8055000000000001</v>
      </c>
      <c r="AS11">
        <f t="shared" si="29"/>
        <v>1.3002280330841175E-2</v>
      </c>
      <c r="AT11" s="1">
        <f t="shared" si="30"/>
        <v>928.93018785467837</v>
      </c>
      <c r="AU11" s="8">
        <v>814</v>
      </c>
      <c r="AV11" s="1">
        <f t="shared" si="31"/>
        <v>114.93018785467837</v>
      </c>
      <c r="AW11" s="68">
        <v>0.59</v>
      </c>
    </row>
    <row r="12" spans="1:49" x14ac:dyDescent="0.2">
      <c r="A12" s="31" t="s">
        <v>16</v>
      </c>
      <c r="B12" s="21">
        <v>0</v>
      </c>
      <c r="C12" s="21">
        <v>4069</v>
      </c>
      <c r="D12" s="21">
        <f t="shared" si="0"/>
        <v>5931</v>
      </c>
      <c r="E12" s="24">
        <v>5.7</v>
      </c>
      <c r="F12" s="66">
        <f>$AE$59</f>
        <v>8.2082082082082071</v>
      </c>
      <c r="G12" s="24">
        <v>7.5</v>
      </c>
      <c r="H12" s="24">
        <v>9.6999999999999993</v>
      </c>
      <c r="I12" s="21">
        <v>3</v>
      </c>
      <c r="J12" s="24">
        <v>0.9</v>
      </c>
      <c r="K12" s="76">
        <f t="shared" si="1"/>
        <v>3.1108208208208206</v>
      </c>
      <c r="L12" s="44">
        <f t="shared" si="2"/>
        <v>5.0214480907920238E-2</v>
      </c>
      <c r="M12" s="44">
        <f t="shared" si="3"/>
        <v>2.5108162798770626E-2</v>
      </c>
      <c r="N12" s="41">
        <f t="shared" si="4"/>
        <v>0</v>
      </c>
      <c r="O12" s="13">
        <f t="shared" si="5"/>
        <v>1</v>
      </c>
      <c r="P12" s="13">
        <f t="shared" si="6"/>
        <v>2.2727272727272728E-2</v>
      </c>
      <c r="Q12" s="13">
        <f t="shared" si="7"/>
        <v>1.1412382024527327E-3</v>
      </c>
      <c r="R12" s="31">
        <f t="shared" si="8"/>
        <v>5.0214480907920224E-2</v>
      </c>
      <c r="S12" s="25">
        <v>4359</v>
      </c>
      <c r="T12" s="46">
        <f t="shared" si="9"/>
        <v>2732.1196917190314</v>
      </c>
      <c r="U12" s="22">
        <f t="shared" si="10"/>
        <v>-1626.8803082809686</v>
      </c>
      <c r="V12" s="41">
        <f t="shared" si="11"/>
        <v>-0.1</v>
      </c>
      <c r="W12">
        <f t="shared" si="12"/>
        <v>1.8343543163279656</v>
      </c>
      <c r="X12" s="13">
        <f t="shared" si="13"/>
        <v>2.2260206640006719E-2</v>
      </c>
      <c r="Y12" s="13">
        <f t="shared" si="14"/>
        <v>1.1177847213309766E-3</v>
      </c>
      <c r="Z12" s="31">
        <f t="shared" si="15"/>
        <v>4.8555766576829938E-2</v>
      </c>
      <c r="AA12" s="37">
        <v>0</v>
      </c>
      <c r="AB12" s="25">
        <v>2347</v>
      </c>
      <c r="AC12" s="25">
        <v>0</v>
      </c>
      <c r="AD12" s="26">
        <f t="shared" si="16"/>
        <v>2347</v>
      </c>
      <c r="AE12" s="46">
        <f t="shared" si="17"/>
        <v>3204.3407037047382</v>
      </c>
      <c r="AF12" s="22">
        <f t="shared" si="18"/>
        <v>857.34070370473819</v>
      </c>
      <c r="AG12" s="22">
        <f t="shared" si="19"/>
        <v>-769.53960457623043</v>
      </c>
      <c r="AH12" s="55">
        <f t="shared" si="20"/>
        <v>6706</v>
      </c>
      <c r="AI12">
        <f t="shared" si="21"/>
        <v>5.0214480907920224E-2</v>
      </c>
      <c r="AJ12" s="1">
        <f t="shared" si="22"/>
        <v>4988.3065333927952</v>
      </c>
      <c r="AK12" s="2">
        <v>4459</v>
      </c>
      <c r="AL12" s="1">
        <f t="shared" si="23"/>
        <v>529.30653339279525</v>
      </c>
      <c r="AM12">
        <f t="shared" si="24"/>
        <v>0</v>
      </c>
      <c r="AN12">
        <f t="shared" si="25"/>
        <v>0</v>
      </c>
      <c r="AO12" s="1">
        <f t="shared" si="26"/>
        <v>0</v>
      </c>
      <c r="AP12" s="8">
        <v>0</v>
      </c>
      <c r="AQ12" s="1">
        <f t="shared" si="27"/>
        <v>0</v>
      </c>
      <c r="AR12" s="69">
        <f t="shared" si="28"/>
        <v>3.1108208208208206</v>
      </c>
      <c r="AS12">
        <f t="shared" si="29"/>
        <v>5.0214480907920238E-2</v>
      </c>
      <c r="AT12" s="1">
        <f t="shared" si="30"/>
        <v>3587.5051141742147</v>
      </c>
      <c r="AU12" s="8">
        <v>3773</v>
      </c>
      <c r="AV12" s="1">
        <f t="shared" si="31"/>
        <v>-185.49488582578533</v>
      </c>
      <c r="AW12" s="68">
        <v>0.59</v>
      </c>
    </row>
    <row r="13" spans="1:49" x14ac:dyDescent="0.2">
      <c r="A13" s="24" t="s">
        <v>105</v>
      </c>
      <c r="B13" s="21">
        <v>1</v>
      </c>
      <c r="C13" s="21">
        <v>6696</v>
      </c>
      <c r="D13" s="21">
        <f t="shared" si="0"/>
        <v>3304</v>
      </c>
      <c r="E13" s="24">
        <v>1.8</v>
      </c>
      <c r="F13" s="21">
        <v>0</v>
      </c>
      <c r="G13" s="24">
        <v>2.8</v>
      </c>
      <c r="H13" s="21">
        <v>0</v>
      </c>
      <c r="I13" s="21">
        <v>2</v>
      </c>
      <c r="J13" s="24">
        <v>0.72899999999999998</v>
      </c>
      <c r="K13" s="63">
        <f t="shared" si="1"/>
        <v>0.55889999999999995</v>
      </c>
      <c r="L13" s="44">
        <f t="shared" si="2"/>
        <v>9.0216939502261104E-3</v>
      </c>
      <c r="M13" s="44">
        <f t="shared" si="3"/>
        <v>1.3987079731434522E-2</v>
      </c>
      <c r="N13" s="41">
        <f t="shared" si="4"/>
        <v>0</v>
      </c>
      <c r="O13" s="13">
        <f t="shared" si="5"/>
        <v>1</v>
      </c>
      <c r="P13" s="13">
        <f t="shared" si="6"/>
        <v>2.2727272727272728E-2</v>
      </c>
      <c r="Q13" s="13">
        <f t="shared" si="7"/>
        <v>2.0503849886877525E-4</v>
      </c>
      <c r="R13" s="31">
        <f t="shared" si="8"/>
        <v>9.0216939502261086E-3</v>
      </c>
      <c r="S13" s="25">
        <v>1735</v>
      </c>
      <c r="T13" s="46">
        <f t="shared" si="9"/>
        <v>490.86134613785237</v>
      </c>
      <c r="U13" s="22">
        <f t="shared" si="10"/>
        <v>-1244.1386538621477</v>
      </c>
      <c r="V13" s="41">
        <f t="shared" si="11"/>
        <v>-0.1</v>
      </c>
      <c r="W13">
        <f t="shared" si="12"/>
        <v>1.6052325227480622</v>
      </c>
      <c r="X13" s="13">
        <f t="shared" si="13"/>
        <v>1.9479774078304323E-2</v>
      </c>
      <c r="Y13" s="13">
        <f t="shared" si="14"/>
        <v>1.7574055995400951E-4</v>
      </c>
      <c r="Z13" s="31">
        <f t="shared" si="15"/>
        <v>7.6340438765771807E-3</v>
      </c>
      <c r="AA13" s="37">
        <v>0</v>
      </c>
      <c r="AB13" s="25">
        <v>0</v>
      </c>
      <c r="AC13" s="25">
        <v>0</v>
      </c>
      <c r="AD13" s="26">
        <f t="shared" si="16"/>
        <v>0</v>
      </c>
      <c r="AE13" s="46">
        <f t="shared" si="17"/>
        <v>503.79345754695788</v>
      </c>
      <c r="AF13" s="22">
        <f t="shared" si="18"/>
        <v>503.79345754695788</v>
      </c>
      <c r="AG13" s="22">
        <f t="shared" si="19"/>
        <v>-740.34519631518992</v>
      </c>
      <c r="AH13" s="55">
        <f t="shared" si="20"/>
        <v>1735</v>
      </c>
      <c r="AI13">
        <f t="shared" si="21"/>
        <v>9.0216939502261086E-3</v>
      </c>
      <c r="AJ13" s="1">
        <f t="shared" si="22"/>
        <v>896.21507701546159</v>
      </c>
      <c r="AK13" s="2">
        <v>865</v>
      </c>
      <c r="AL13" s="1">
        <f t="shared" si="23"/>
        <v>31.215077015461588</v>
      </c>
      <c r="AM13">
        <f t="shared" si="24"/>
        <v>0.55889999999999995</v>
      </c>
      <c r="AN13">
        <f t="shared" si="25"/>
        <v>1.4073298185152457E-2</v>
      </c>
      <c r="AO13" s="1">
        <f t="shared" si="26"/>
        <v>1362.8159763556084</v>
      </c>
      <c r="AP13" s="8">
        <v>1730</v>
      </c>
      <c r="AQ13" s="49">
        <f t="shared" si="27"/>
        <v>-367.18402364439157</v>
      </c>
      <c r="AR13" s="69">
        <f t="shared" si="28"/>
        <v>0.55889999999999995</v>
      </c>
      <c r="AS13">
        <f t="shared" si="29"/>
        <v>9.0216939502261104E-3</v>
      </c>
      <c r="AT13" s="1">
        <f t="shared" si="30"/>
        <v>644.54262196397235</v>
      </c>
      <c r="AU13" s="8">
        <v>865</v>
      </c>
      <c r="AV13" s="1">
        <f t="shared" si="31"/>
        <v>-220.45737803602765</v>
      </c>
      <c r="AW13" s="68">
        <v>0.59</v>
      </c>
    </row>
    <row r="14" spans="1:49" x14ac:dyDescent="0.2">
      <c r="A14" s="9" t="s">
        <v>18</v>
      </c>
      <c r="B14" s="21">
        <v>1</v>
      </c>
      <c r="C14" s="3">
        <v>6419</v>
      </c>
      <c r="D14" s="21">
        <f t="shared" si="0"/>
        <v>3581</v>
      </c>
      <c r="E14" s="24">
        <v>2.4</v>
      </c>
      <c r="F14" s="21">
        <v>0</v>
      </c>
      <c r="G14" s="24">
        <v>2.5</v>
      </c>
      <c r="H14" s="21">
        <v>0</v>
      </c>
      <c r="I14" s="21">
        <v>2</v>
      </c>
      <c r="J14" s="24">
        <v>0.9</v>
      </c>
      <c r="K14" s="63">
        <f t="shared" si="1"/>
        <v>0.73499999999999999</v>
      </c>
      <c r="L14">
        <f t="shared" si="2"/>
        <v>1.1864278141735895E-2</v>
      </c>
      <c r="M14" s="13">
        <f t="shared" si="3"/>
        <v>1.5159725338458543E-2</v>
      </c>
      <c r="N14" s="41">
        <f t="shared" si="4"/>
        <v>0</v>
      </c>
      <c r="O14">
        <f t="shared" si="5"/>
        <v>1</v>
      </c>
      <c r="P14">
        <f t="shared" si="6"/>
        <v>2.2727272727272728E-2</v>
      </c>
      <c r="Q14">
        <f t="shared" si="7"/>
        <v>2.6964268503945214E-4</v>
      </c>
      <c r="R14" s="5">
        <f t="shared" si="8"/>
        <v>1.1864278141735891E-2</v>
      </c>
      <c r="S14" s="8">
        <v>810</v>
      </c>
      <c r="T14" s="46">
        <f t="shared" si="9"/>
        <v>645.5235094137081</v>
      </c>
      <c r="U14" s="1">
        <f t="shared" si="10"/>
        <v>-164.4764905862919</v>
      </c>
      <c r="V14" s="41">
        <f t="shared" si="11"/>
        <v>-0.1</v>
      </c>
      <c r="W14">
        <f t="shared" si="12"/>
        <v>1.6283460545938346</v>
      </c>
      <c r="X14">
        <f t="shared" si="13"/>
        <v>1.9760260781711343E-2</v>
      </c>
      <c r="Y14">
        <f t="shared" si="14"/>
        <v>2.3444123006745893E-4</v>
      </c>
      <c r="Z14" s="5">
        <f t="shared" si="15"/>
        <v>1.018395888394843E-2</v>
      </c>
      <c r="AA14" s="37">
        <v>405</v>
      </c>
      <c r="AB14" s="8">
        <v>810</v>
      </c>
      <c r="AC14" s="8">
        <v>0</v>
      </c>
      <c r="AD14" s="7">
        <f t="shared" si="16"/>
        <v>1215</v>
      </c>
      <c r="AE14" s="46">
        <f t="shared" si="17"/>
        <v>672.06999862840871</v>
      </c>
      <c r="AF14" s="1">
        <f t="shared" si="18"/>
        <v>-542.93000137159129</v>
      </c>
      <c r="AG14" s="1">
        <f t="shared" si="19"/>
        <v>-707.40649195788319</v>
      </c>
      <c r="AH14" s="55">
        <f t="shared" si="20"/>
        <v>2025</v>
      </c>
      <c r="AI14">
        <f t="shared" si="21"/>
        <v>1.1864278141735891E-2</v>
      </c>
      <c r="AJ14" s="1">
        <f t="shared" si="22"/>
        <v>1178.5973906000434</v>
      </c>
      <c r="AK14" s="2">
        <v>612</v>
      </c>
      <c r="AL14" s="1">
        <f t="shared" si="23"/>
        <v>566.59739060004335</v>
      </c>
      <c r="AM14">
        <f t="shared" si="24"/>
        <v>0.73499999999999999</v>
      </c>
      <c r="AN14">
        <f t="shared" si="25"/>
        <v>1.8507557999797919E-2</v>
      </c>
      <c r="AO14" s="1">
        <f t="shared" si="26"/>
        <v>1792.2163940264311</v>
      </c>
      <c r="AP14" s="8">
        <v>0</v>
      </c>
      <c r="AQ14" s="1">
        <f t="shared" si="27"/>
        <v>1792.2163940264311</v>
      </c>
      <c r="AR14" s="69">
        <f t="shared" si="28"/>
        <v>0.73499999999999999</v>
      </c>
      <c r="AS14">
        <f t="shared" si="29"/>
        <v>1.1864278141735895E-2</v>
      </c>
      <c r="AT14" s="1">
        <f t="shared" si="30"/>
        <v>847.62717327521864</v>
      </c>
      <c r="AU14" s="8">
        <v>1021</v>
      </c>
      <c r="AV14" s="1">
        <f t="shared" si="31"/>
        <v>-173.37282672478136</v>
      </c>
      <c r="AW14" s="68">
        <v>0.59</v>
      </c>
    </row>
    <row r="15" spans="1:49" x14ac:dyDescent="0.2">
      <c r="A15" s="24" t="s">
        <v>17</v>
      </c>
      <c r="B15" s="21">
        <v>1</v>
      </c>
      <c r="C15" s="21">
        <v>3489</v>
      </c>
      <c r="D15" s="21">
        <f t="shared" si="0"/>
        <v>6511</v>
      </c>
      <c r="E15" s="24">
        <v>2</v>
      </c>
      <c r="F15" s="21">
        <v>0</v>
      </c>
      <c r="G15" s="21">
        <v>0</v>
      </c>
      <c r="H15" s="21">
        <v>0</v>
      </c>
      <c r="I15" s="21">
        <v>1</v>
      </c>
      <c r="J15" s="24">
        <v>1.21</v>
      </c>
      <c r="K15" s="63">
        <f t="shared" si="1"/>
        <v>0.80666666666666664</v>
      </c>
      <c r="L15" s="44">
        <f t="shared" si="2"/>
        <v>1.3021112518367739E-2</v>
      </c>
      <c r="M15" s="44">
        <f t="shared" si="3"/>
        <v>2.7563521831528503E-2</v>
      </c>
      <c r="N15" s="41">
        <f t="shared" si="4"/>
        <v>0</v>
      </c>
      <c r="O15" s="13">
        <f t="shared" si="5"/>
        <v>1</v>
      </c>
      <c r="P15" s="13">
        <f t="shared" si="6"/>
        <v>2.2727272727272728E-2</v>
      </c>
      <c r="Q15" s="13">
        <f t="shared" si="7"/>
        <v>2.9593437541744862E-4</v>
      </c>
      <c r="R15" s="31">
        <f t="shared" si="8"/>
        <v>1.3021112518367736E-2</v>
      </c>
      <c r="S15" s="25">
        <v>1234</v>
      </c>
      <c r="T15" s="46">
        <f t="shared" si="9"/>
        <v>708.4657110118701</v>
      </c>
      <c r="U15" s="22">
        <f t="shared" si="10"/>
        <v>-525.5342889881299</v>
      </c>
      <c r="V15" s="41">
        <f t="shared" si="11"/>
        <v>-0.1</v>
      </c>
      <c r="W15">
        <f t="shared" si="12"/>
        <v>1.7065340280602217</v>
      </c>
      <c r="X15" s="13">
        <f t="shared" si="13"/>
        <v>2.07090853520971E-2</v>
      </c>
      <c r="Y15" s="13">
        <f t="shared" si="14"/>
        <v>2.6965533052213754E-4</v>
      </c>
      <c r="Z15" s="31">
        <f t="shared" si="15"/>
        <v>1.171363415080523E-2</v>
      </c>
      <c r="AA15" s="37">
        <v>0</v>
      </c>
      <c r="AB15" s="25">
        <v>0</v>
      </c>
      <c r="AC15" s="25">
        <v>864</v>
      </c>
      <c r="AD15" s="26">
        <f t="shared" si="16"/>
        <v>864</v>
      </c>
      <c r="AE15" s="46">
        <f t="shared" si="17"/>
        <v>773.01785851408954</v>
      </c>
      <c r="AF15" s="22">
        <f t="shared" si="18"/>
        <v>-90.982141485910461</v>
      </c>
      <c r="AG15" s="22">
        <f t="shared" si="19"/>
        <v>-616.51643047404036</v>
      </c>
      <c r="AH15" s="55">
        <f t="shared" si="20"/>
        <v>2098</v>
      </c>
      <c r="AI15">
        <f t="shared" si="21"/>
        <v>1.3021112518367736E-2</v>
      </c>
      <c r="AJ15" s="1">
        <f t="shared" si="22"/>
        <v>1293.5173175746509</v>
      </c>
      <c r="AK15" s="2">
        <v>1340</v>
      </c>
      <c r="AL15" s="1">
        <f t="shared" si="23"/>
        <v>-46.48268242534914</v>
      </c>
      <c r="AM15">
        <f t="shared" si="24"/>
        <v>0.80666666666666664</v>
      </c>
      <c r="AN15">
        <f t="shared" si="25"/>
        <v>2.0312149822907466E-2</v>
      </c>
      <c r="AO15" s="1">
        <f t="shared" si="26"/>
        <v>1966.9676524008903</v>
      </c>
      <c r="AP15" s="8">
        <v>1851</v>
      </c>
      <c r="AQ15" s="1">
        <f t="shared" si="27"/>
        <v>115.9676524008903</v>
      </c>
      <c r="AR15" s="69">
        <f t="shared" si="28"/>
        <v>0.80666666666666664</v>
      </c>
      <c r="AS15">
        <f t="shared" si="29"/>
        <v>1.3021112518367739E-2</v>
      </c>
      <c r="AT15" s="1">
        <f t="shared" si="30"/>
        <v>930.27562781225811</v>
      </c>
      <c r="AU15" s="8">
        <v>574</v>
      </c>
      <c r="AV15" s="1">
        <f t="shared" si="31"/>
        <v>356.27562781225811</v>
      </c>
      <c r="AW15" s="68">
        <f t="shared" ref="AW15:AW20" si="32">AW16*0.9</f>
        <v>0.59049000000000018</v>
      </c>
    </row>
    <row r="16" spans="1:49" x14ac:dyDescent="0.2">
      <c r="A16" s="24" t="s">
        <v>66</v>
      </c>
      <c r="B16" s="21">
        <v>1</v>
      </c>
      <c r="C16" s="21">
        <v>4081</v>
      </c>
      <c r="D16" s="21">
        <f t="shared" si="0"/>
        <v>5919</v>
      </c>
      <c r="E16" s="21">
        <v>0</v>
      </c>
      <c r="F16" s="66">
        <f>$AE$53</f>
        <v>1.8685352018685346</v>
      </c>
      <c r="G16" s="21">
        <v>0</v>
      </c>
      <c r="H16" s="21">
        <v>0</v>
      </c>
      <c r="I16" s="21">
        <v>1</v>
      </c>
      <c r="J16" s="24">
        <v>1.331</v>
      </c>
      <c r="K16" s="63">
        <f t="shared" si="1"/>
        <v>0.82900678456233978</v>
      </c>
      <c r="L16" s="44">
        <f t="shared" si="2"/>
        <v>1.3381723909433639E-2</v>
      </c>
      <c r="M16" s="44">
        <f t="shared" si="3"/>
        <v>2.5057362267058396E-2</v>
      </c>
      <c r="N16" s="41">
        <f t="shared" si="4"/>
        <v>0</v>
      </c>
      <c r="O16" s="13">
        <f t="shared" si="5"/>
        <v>1</v>
      </c>
      <c r="P16" s="13">
        <f t="shared" si="6"/>
        <v>2.2727272727272728E-2</v>
      </c>
      <c r="Q16" s="13">
        <f t="shared" si="7"/>
        <v>3.0413008885076453E-4</v>
      </c>
      <c r="R16" s="31">
        <f t="shared" si="8"/>
        <v>1.3381723909433634E-2</v>
      </c>
      <c r="S16" s="25">
        <v>385</v>
      </c>
      <c r="T16" s="46">
        <f t="shared" si="9"/>
        <v>728.08621618837458</v>
      </c>
      <c r="U16" s="22">
        <f t="shared" si="10"/>
        <v>343.08621618837458</v>
      </c>
      <c r="V16" s="41">
        <f t="shared" si="11"/>
        <v>-0.1</v>
      </c>
      <c r="W16">
        <f t="shared" si="12"/>
        <v>1.8384231254374557</v>
      </c>
      <c r="X16" s="13">
        <f t="shared" si="13"/>
        <v>2.23095823417181E-2</v>
      </c>
      <c r="Y16" s="13">
        <f t="shared" si="14"/>
        <v>2.9854067143164761E-4</v>
      </c>
      <c r="Z16" s="31">
        <f t="shared" si="15"/>
        <v>1.2968392642247369E-2</v>
      </c>
      <c r="AA16" s="37">
        <v>693</v>
      </c>
      <c r="AB16" s="25">
        <v>1001</v>
      </c>
      <c r="AC16" s="25">
        <v>0</v>
      </c>
      <c r="AD16" s="26">
        <f t="shared" si="16"/>
        <v>1694</v>
      </c>
      <c r="AE16" s="46">
        <f t="shared" si="17"/>
        <v>855.82313563983064</v>
      </c>
      <c r="AF16" s="22">
        <f t="shared" si="18"/>
        <v>-838.17686436016936</v>
      </c>
      <c r="AG16" s="22">
        <f t="shared" si="19"/>
        <v>-495.09064817179478</v>
      </c>
      <c r="AH16" s="55">
        <f t="shared" si="20"/>
        <v>2079</v>
      </c>
      <c r="AI16">
        <f t="shared" si="21"/>
        <v>1.3381723909433634E-2</v>
      </c>
      <c r="AJ16" s="1">
        <f t="shared" si="22"/>
        <v>1329.3404531631372</v>
      </c>
      <c r="AK16" s="2">
        <v>4177</v>
      </c>
      <c r="AL16" s="1">
        <f t="shared" si="23"/>
        <v>-2847.6595468368628</v>
      </c>
      <c r="AM16">
        <f t="shared" si="24"/>
        <v>0.82900678456233978</v>
      </c>
      <c r="AN16">
        <f t="shared" si="25"/>
        <v>2.0874681833351678E-2</v>
      </c>
      <c r="AO16" s="1">
        <f t="shared" si="26"/>
        <v>2021.4415646962764</v>
      </c>
      <c r="AP16" s="8">
        <v>0</v>
      </c>
      <c r="AQ16" s="1">
        <f t="shared" si="27"/>
        <v>2021.4415646962764</v>
      </c>
      <c r="AR16" s="69">
        <f t="shared" si="28"/>
        <v>0.82900678456233978</v>
      </c>
      <c r="AS16">
        <f t="shared" si="29"/>
        <v>1.3381723909433639E-2</v>
      </c>
      <c r="AT16" s="1">
        <f t="shared" si="30"/>
        <v>956.03901690415535</v>
      </c>
      <c r="AU16" s="8">
        <v>696</v>
      </c>
      <c r="AV16" s="1">
        <f t="shared" si="31"/>
        <v>260.03901690415535</v>
      </c>
      <c r="AW16" s="68">
        <f t="shared" si="32"/>
        <v>0.65610000000000013</v>
      </c>
    </row>
    <row r="17" spans="1:49" x14ac:dyDescent="0.2">
      <c r="A17" s="23" t="s">
        <v>9</v>
      </c>
      <c r="B17" s="21">
        <v>1</v>
      </c>
      <c r="C17" s="21">
        <v>3524</v>
      </c>
      <c r="D17" s="21">
        <f t="shared" si="0"/>
        <v>6476</v>
      </c>
      <c r="E17" s="24">
        <v>1.9</v>
      </c>
      <c r="F17" s="21">
        <v>0</v>
      </c>
      <c r="G17" s="21">
        <v>0</v>
      </c>
      <c r="H17" s="21">
        <v>0</v>
      </c>
      <c r="I17" s="21">
        <v>1</v>
      </c>
      <c r="J17" s="24">
        <v>1.1000000000000001</v>
      </c>
      <c r="K17" s="63">
        <f t="shared" si="1"/>
        <v>0.69666666666666666</v>
      </c>
      <c r="L17" s="44">
        <f t="shared" si="2"/>
        <v>1.1245506265863047E-2</v>
      </c>
      <c r="M17" s="44">
        <f t="shared" si="3"/>
        <v>2.7415353614034493E-2</v>
      </c>
      <c r="N17" s="41">
        <f t="shared" si="4"/>
        <v>0</v>
      </c>
      <c r="O17" s="13">
        <f t="shared" si="5"/>
        <v>1</v>
      </c>
      <c r="P17" s="13">
        <f t="shared" si="6"/>
        <v>2.2727272727272728E-2</v>
      </c>
      <c r="Q17" s="13">
        <f t="shared" si="7"/>
        <v>2.5557968786052383E-4</v>
      </c>
      <c r="R17" s="31">
        <f t="shared" si="8"/>
        <v>1.1245506265863044E-2</v>
      </c>
      <c r="S17" s="25">
        <v>341</v>
      </c>
      <c r="T17" s="46">
        <f t="shared" si="9"/>
        <v>611.85675041934235</v>
      </c>
      <c r="U17" s="22">
        <f t="shared" si="10"/>
        <v>270.85675041934235</v>
      </c>
      <c r="V17" s="41">
        <f t="shared" si="11"/>
        <v>-0.1</v>
      </c>
      <c r="W17">
        <f t="shared" si="12"/>
        <v>1.7119233385415638</v>
      </c>
      <c r="X17" s="13">
        <f t="shared" si="13"/>
        <v>2.0774485566163691E-2</v>
      </c>
      <c r="Y17" s="13">
        <f t="shared" si="14"/>
        <v>2.3361960760437522E-4</v>
      </c>
      <c r="Z17" s="31">
        <f t="shared" si="15"/>
        <v>1.0148268193451007E-2</v>
      </c>
      <c r="AA17" s="37">
        <v>1362</v>
      </c>
      <c r="AB17" s="25">
        <v>0</v>
      </c>
      <c r="AC17" s="25">
        <v>0</v>
      </c>
      <c r="AD17" s="26">
        <f t="shared" si="16"/>
        <v>1362</v>
      </c>
      <c r="AE17" s="46">
        <f t="shared" si="17"/>
        <v>669.71466289041234</v>
      </c>
      <c r="AF17" s="22">
        <f t="shared" si="18"/>
        <v>-692.28533710958766</v>
      </c>
      <c r="AG17" s="22">
        <f t="shared" si="19"/>
        <v>-421.42858669024531</v>
      </c>
      <c r="AH17" s="55">
        <f t="shared" si="20"/>
        <v>1703</v>
      </c>
      <c r="AI17">
        <f t="shared" si="21"/>
        <v>1.1245506265863044E-2</v>
      </c>
      <c r="AJ17" s="1">
        <f t="shared" si="22"/>
        <v>1117.1285924508347</v>
      </c>
      <c r="AK17" s="2">
        <v>1052</v>
      </c>
      <c r="AL17" s="1">
        <f t="shared" si="23"/>
        <v>65.128592450834731</v>
      </c>
      <c r="AM17">
        <f t="shared" si="24"/>
        <v>0.69666666666666666</v>
      </c>
      <c r="AN17">
        <f t="shared" si="25"/>
        <v>1.7542311210692812E-2</v>
      </c>
      <c r="AO17" s="1">
        <f t="shared" si="26"/>
        <v>1698.7447907098599</v>
      </c>
      <c r="AP17" s="8">
        <v>1754</v>
      </c>
      <c r="AQ17" s="1">
        <f t="shared" si="27"/>
        <v>-55.255209290140101</v>
      </c>
      <c r="AR17" s="69">
        <f t="shared" si="28"/>
        <v>0.69666666666666666</v>
      </c>
      <c r="AS17">
        <f t="shared" si="29"/>
        <v>1.1245506265863047E-2</v>
      </c>
      <c r="AT17" s="1">
        <f t="shared" si="30"/>
        <v>803.41986038331379</v>
      </c>
      <c r="AU17" s="8">
        <v>702</v>
      </c>
      <c r="AV17" s="1">
        <f t="shared" si="31"/>
        <v>101.41986038331379</v>
      </c>
      <c r="AW17" s="68">
        <f t="shared" si="32"/>
        <v>0.72900000000000009</v>
      </c>
    </row>
    <row r="18" spans="1:49" x14ac:dyDescent="0.2">
      <c r="A18" s="42" t="s">
        <v>11</v>
      </c>
      <c r="B18" s="21">
        <v>1</v>
      </c>
      <c r="C18" s="21">
        <v>5377</v>
      </c>
      <c r="D18" s="21">
        <f t="shared" si="0"/>
        <v>4623</v>
      </c>
      <c r="E18" s="24">
        <v>1.5</v>
      </c>
      <c r="F18" s="21">
        <v>0</v>
      </c>
      <c r="G18" s="21">
        <v>0</v>
      </c>
      <c r="H18" s="21">
        <v>0</v>
      </c>
      <c r="I18" s="21">
        <v>1</v>
      </c>
      <c r="J18" s="24">
        <v>0.72899999999999998</v>
      </c>
      <c r="K18" s="63">
        <f t="shared" si="1"/>
        <v>0.36449999999999999</v>
      </c>
      <c r="L18" s="44">
        <f t="shared" si="2"/>
        <v>5.8837134457996373E-3</v>
      </c>
      <c r="M18" s="44">
        <f t="shared" si="3"/>
        <v>1.9570904842137346E-2</v>
      </c>
      <c r="N18" s="41">
        <f t="shared" si="4"/>
        <v>0</v>
      </c>
      <c r="O18" s="13">
        <f t="shared" si="5"/>
        <v>1</v>
      </c>
      <c r="P18" s="13">
        <f t="shared" si="6"/>
        <v>2.2727272727272728E-2</v>
      </c>
      <c r="Q18" s="13">
        <f t="shared" si="7"/>
        <v>1.3372076013180994E-4</v>
      </c>
      <c r="R18" s="31">
        <f t="shared" si="8"/>
        <v>5.8837134457996355E-3</v>
      </c>
      <c r="S18" s="25">
        <v>315</v>
      </c>
      <c r="T18" s="46">
        <f t="shared" si="9"/>
        <v>320.12696487251236</v>
      </c>
      <c r="U18" s="22">
        <f t="shared" si="10"/>
        <v>5.1269648725123602</v>
      </c>
      <c r="V18" s="41">
        <f t="shared" si="11"/>
        <v>-0.1</v>
      </c>
      <c r="W18">
        <f t="shared" si="12"/>
        <v>1.7751225175842509</v>
      </c>
      <c r="X18" s="13">
        <f t="shared" si="13"/>
        <v>2.1541418525868664E-2</v>
      </c>
      <c r="Y18" s="13">
        <f t="shared" si="14"/>
        <v>1.2674353382225085E-4</v>
      </c>
      <c r="Z18" s="31">
        <f t="shared" si="15"/>
        <v>5.5056482039474233E-3</v>
      </c>
      <c r="AA18" s="37">
        <v>315</v>
      </c>
      <c r="AB18" s="25">
        <v>315</v>
      </c>
      <c r="AC18" s="25">
        <v>0</v>
      </c>
      <c r="AD18" s="26">
        <f t="shared" si="16"/>
        <v>630</v>
      </c>
      <c r="AE18" s="46">
        <f t="shared" si="17"/>
        <v>363.3342419231023</v>
      </c>
      <c r="AF18" s="22">
        <f t="shared" si="18"/>
        <v>-266.6657580768977</v>
      </c>
      <c r="AG18" s="22">
        <f t="shared" si="19"/>
        <v>-261.53879320438534</v>
      </c>
      <c r="AH18" s="55">
        <f t="shared" si="20"/>
        <v>945</v>
      </c>
      <c r="AI18">
        <f t="shared" si="21"/>
        <v>5.8837134457996355E-3</v>
      </c>
      <c r="AJ18" s="1">
        <f t="shared" si="22"/>
        <v>584.48809370573576</v>
      </c>
      <c r="AK18" s="2">
        <v>316</v>
      </c>
      <c r="AL18" s="1">
        <f t="shared" si="23"/>
        <v>268.48809370573576</v>
      </c>
      <c r="AM18">
        <f t="shared" si="24"/>
        <v>0.36449999999999999</v>
      </c>
      <c r="AN18">
        <f t="shared" si="25"/>
        <v>9.1782379468385595E-3</v>
      </c>
      <c r="AO18" s="1">
        <f t="shared" si="26"/>
        <v>888.79302805800558</v>
      </c>
      <c r="AP18" s="8">
        <v>948</v>
      </c>
      <c r="AQ18" s="1">
        <f t="shared" si="27"/>
        <v>-59.206971941994425</v>
      </c>
      <c r="AR18" s="69">
        <f t="shared" si="28"/>
        <v>0.36449999999999999</v>
      </c>
      <c r="AS18">
        <f t="shared" si="29"/>
        <v>5.8837134457996373E-3</v>
      </c>
      <c r="AT18" s="1">
        <f t="shared" si="30"/>
        <v>420.35388388954721</v>
      </c>
      <c r="AU18" s="8">
        <v>0</v>
      </c>
      <c r="AV18" s="1">
        <f t="shared" si="31"/>
        <v>420.35388388954721</v>
      </c>
      <c r="AW18" s="68">
        <f>AW20*0.9</f>
        <v>0.81</v>
      </c>
    </row>
    <row r="19" spans="1:49" x14ac:dyDescent="0.2">
      <c r="A19" s="2" t="s">
        <v>80</v>
      </c>
      <c r="B19" s="3">
        <v>1</v>
      </c>
      <c r="C19" s="3">
        <v>6862</v>
      </c>
      <c r="D19" s="21">
        <f t="shared" si="0"/>
        <v>3138</v>
      </c>
      <c r="E19" s="21">
        <v>0</v>
      </c>
      <c r="F19" s="21">
        <v>0</v>
      </c>
      <c r="G19" s="24">
        <v>1.2</v>
      </c>
      <c r="H19" s="21">
        <v>0</v>
      </c>
      <c r="I19" s="21">
        <v>1</v>
      </c>
      <c r="J19" s="24">
        <v>0.65600000000000003</v>
      </c>
      <c r="K19" s="63">
        <f t="shared" si="1"/>
        <v>0.26240000000000002</v>
      </c>
      <c r="L19" s="45">
        <f t="shared" si="2"/>
        <v>4.2356280059748282E-3</v>
      </c>
      <c r="M19" s="44">
        <f t="shared" si="3"/>
        <v>1.3284339042748648E-2</v>
      </c>
      <c r="N19" s="41">
        <f t="shared" si="4"/>
        <v>0</v>
      </c>
      <c r="O19" s="13">
        <f t="shared" si="5"/>
        <v>1</v>
      </c>
      <c r="P19" s="13">
        <f t="shared" si="6"/>
        <v>2.2727272727272728E-2</v>
      </c>
      <c r="Q19" s="13">
        <f t="shared" si="7"/>
        <v>9.6264272863064282E-5</v>
      </c>
      <c r="R19" s="31">
        <f t="shared" si="8"/>
        <v>4.2356280059748274E-3</v>
      </c>
      <c r="S19" s="8">
        <v>0</v>
      </c>
      <c r="T19" s="46">
        <f t="shared" si="9"/>
        <v>230.45628417708437</v>
      </c>
      <c r="U19" s="22">
        <f t="shared" si="10"/>
        <v>230.45628417708437</v>
      </c>
      <c r="V19" s="41">
        <f t="shared" si="11"/>
        <v>-0.1</v>
      </c>
      <c r="W19">
        <f t="shared" si="12"/>
        <v>1.5929507496502118</v>
      </c>
      <c r="X19">
        <f t="shared" si="13"/>
        <v>1.9330732639237572E-2</v>
      </c>
      <c r="Y19">
        <f t="shared" si="14"/>
        <v>8.1877792542766362E-5</v>
      </c>
      <c r="Z19" s="5">
        <f t="shared" si="15"/>
        <v>3.5567125821855654E-3</v>
      </c>
      <c r="AA19" s="37">
        <v>569</v>
      </c>
      <c r="AB19" s="8">
        <v>0</v>
      </c>
      <c r="AC19" s="8">
        <v>0</v>
      </c>
      <c r="AD19" s="7">
        <f t="shared" si="16"/>
        <v>569</v>
      </c>
      <c r="AE19" s="46">
        <f t="shared" si="17"/>
        <v>234.71813343617202</v>
      </c>
      <c r="AF19" s="22">
        <f t="shared" si="18"/>
        <v>-334.28186656382798</v>
      </c>
      <c r="AG19" s="22">
        <f t="shared" si="19"/>
        <v>-103.8255823867436</v>
      </c>
      <c r="AH19" s="55">
        <f t="shared" si="20"/>
        <v>569</v>
      </c>
      <c r="AI19">
        <f t="shared" si="21"/>
        <v>4.2356280059748274E-3</v>
      </c>
      <c r="AJ19" s="1">
        <f t="shared" si="22"/>
        <v>420.76728611353934</v>
      </c>
      <c r="AK19" s="2">
        <v>502</v>
      </c>
      <c r="AL19" s="1">
        <f t="shared" si="23"/>
        <v>-81.232713886460658</v>
      </c>
      <c r="AM19">
        <f t="shared" si="24"/>
        <v>0.26240000000000002</v>
      </c>
      <c r="AN19">
        <f t="shared" si="25"/>
        <v>6.6073241076829584E-3</v>
      </c>
      <c r="AO19" s="1">
        <f t="shared" si="26"/>
        <v>639.83344461569459</v>
      </c>
      <c r="AP19" s="8">
        <v>645</v>
      </c>
      <c r="AQ19" s="1">
        <f t="shared" si="27"/>
        <v>-5.1665553843054113</v>
      </c>
      <c r="AR19" s="69">
        <f t="shared" si="28"/>
        <v>0.26240000000000002</v>
      </c>
      <c r="AS19">
        <f t="shared" si="29"/>
        <v>4.2356280059748282E-3</v>
      </c>
      <c r="AT19" s="1">
        <f t="shared" si="30"/>
        <v>302.60866703049982</v>
      </c>
      <c r="AU19" s="8">
        <v>0</v>
      </c>
      <c r="AV19" s="1">
        <f t="shared" si="31"/>
        <v>302.60866703049982</v>
      </c>
      <c r="AW19" s="68">
        <f>AW21*0.9</f>
        <v>0.9</v>
      </c>
    </row>
    <row r="20" spans="1:49" x14ac:dyDescent="0.2">
      <c r="A20" s="39" t="s">
        <v>81</v>
      </c>
      <c r="B20" s="21">
        <v>1</v>
      </c>
      <c r="C20" s="21">
        <v>6068</v>
      </c>
      <c r="D20" s="21">
        <f t="shared" si="0"/>
        <v>3932</v>
      </c>
      <c r="E20" s="21">
        <v>0</v>
      </c>
      <c r="F20" s="21">
        <v>0</v>
      </c>
      <c r="G20" s="24">
        <v>2.4</v>
      </c>
      <c r="H20" s="21">
        <v>0</v>
      </c>
      <c r="I20" s="21">
        <v>1</v>
      </c>
      <c r="J20" s="24">
        <v>0.59</v>
      </c>
      <c r="K20" s="63">
        <f t="shared" si="1"/>
        <v>0.47199999999999998</v>
      </c>
      <c r="L20" s="44">
        <f t="shared" si="2"/>
        <v>7.6189650107474039E-3</v>
      </c>
      <c r="M20" s="44">
        <f t="shared" si="3"/>
        <v>1.6645640891041327E-2</v>
      </c>
      <c r="N20" s="41">
        <f t="shared" si="4"/>
        <v>0</v>
      </c>
      <c r="O20" s="13">
        <f t="shared" si="5"/>
        <v>1</v>
      </c>
      <c r="P20" s="13">
        <f t="shared" si="6"/>
        <v>2.2727272727272728E-2</v>
      </c>
      <c r="Q20" s="13">
        <f t="shared" si="7"/>
        <v>1.7315829569880463E-4</v>
      </c>
      <c r="R20" s="31">
        <f t="shared" si="8"/>
        <v>7.6189650107474013E-3</v>
      </c>
      <c r="S20" s="25">
        <v>195</v>
      </c>
      <c r="T20" s="46">
        <f t="shared" si="9"/>
        <v>414.54026726975536</v>
      </c>
      <c r="U20" s="22">
        <f t="shared" si="10"/>
        <v>219.54026726975536</v>
      </c>
      <c r="V20" s="41">
        <f t="shared" si="11"/>
        <v>-0.1</v>
      </c>
      <c r="W20">
        <f t="shared" si="12"/>
        <v>1.6639996831254584</v>
      </c>
      <c r="X20">
        <f t="shared" si="13"/>
        <v>2.0192923725568742E-2</v>
      </c>
      <c r="Y20">
        <f t="shared" si="14"/>
        <v>1.5384917932979937E-4</v>
      </c>
      <c r="Z20" s="5">
        <f t="shared" si="15"/>
        <v>6.6830980035936976E-3</v>
      </c>
      <c r="AA20" s="37">
        <v>0</v>
      </c>
      <c r="AB20" s="25">
        <v>488</v>
      </c>
      <c r="AC20" s="25">
        <v>195</v>
      </c>
      <c r="AD20" s="26">
        <f t="shared" si="16"/>
        <v>683</v>
      </c>
      <c r="AE20" s="46">
        <f t="shared" si="17"/>
        <v>441.03768655115886</v>
      </c>
      <c r="AF20" s="22">
        <f t="shared" si="18"/>
        <v>-241.96231344884114</v>
      </c>
      <c r="AG20" s="22">
        <f t="shared" si="19"/>
        <v>-22.422046179085783</v>
      </c>
      <c r="AH20" s="55">
        <f t="shared" si="20"/>
        <v>878</v>
      </c>
      <c r="AI20">
        <f t="shared" si="21"/>
        <v>7.6189650107474013E-3</v>
      </c>
      <c r="AJ20" s="1">
        <f t="shared" si="22"/>
        <v>756.8679841676468</v>
      </c>
      <c r="AK20" s="2">
        <v>679</v>
      </c>
      <c r="AL20" s="1">
        <f t="shared" si="23"/>
        <v>77.867984167646796</v>
      </c>
      <c r="AM20">
        <f t="shared" si="24"/>
        <v>0.47199999999999998</v>
      </c>
      <c r="AN20">
        <f t="shared" si="25"/>
        <v>1.1885125681502882E-2</v>
      </c>
      <c r="AO20" s="1">
        <f t="shared" si="26"/>
        <v>1150.9199156196946</v>
      </c>
      <c r="AP20" s="8">
        <v>1262</v>
      </c>
      <c r="AQ20" s="1">
        <f t="shared" si="27"/>
        <v>-111.08008438030538</v>
      </c>
      <c r="AR20" s="69">
        <f t="shared" si="28"/>
        <v>0.47199999999999998</v>
      </c>
      <c r="AS20">
        <f t="shared" si="29"/>
        <v>7.6189650107474039E-3</v>
      </c>
      <c r="AT20" s="1">
        <f t="shared" si="30"/>
        <v>544.32656569510641</v>
      </c>
      <c r="AU20" s="8">
        <v>582</v>
      </c>
      <c r="AV20" s="1">
        <f t="shared" si="31"/>
        <v>-37.67343430489359</v>
      </c>
      <c r="AW20" s="68">
        <f t="shared" si="32"/>
        <v>0.9</v>
      </c>
    </row>
    <row r="21" spans="1:49" x14ac:dyDescent="0.2">
      <c r="A21" s="23" t="s">
        <v>102</v>
      </c>
      <c r="B21" s="21">
        <v>1</v>
      </c>
      <c r="C21" s="21">
        <v>5414</v>
      </c>
      <c r="D21" s="21">
        <f t="shared" si="0"/>
        <v>4586</v>
      </c>
      <c r="E21" s="24">
        <v>5.0999999999999996</v>
      </c>
      <c r="F21" s="21">
        <v>0</v>
      </c>
      <c r="G21" s="24">
        <v>3</v>
      </c>
      <c r="H21" s="21">
        <v>0</v>
      </c>
      <c r="I21" s="21">
        <v>2</v>
      </c>
      <c r="J21" s="24">
        <v>1.1000000000000001</v>
      </c>
      <c r="K21" s="63">
        <f t="shared" si="1"/>
        <v>1.4850000000000001</v>
      </c>
      <c r="L21" s="44">
        <f t="shared" si="2"/>
        <v>2.397068440881334E-2</v>
      </c>
      <c r="M21" s="44">
        <f t="shared" si="3"/>
        <v>1.9414269869357965E-2</v>
      </c>
      <c r="N21" s="41">
        <f t="shared" si="4"/>
        <v>0</v>
      </c>
      <c r="O21" s="13">
        <f t="shared" si="5"/>
        <v>1</v>
      </c>
      <c r="P21" s="13">
        <f t="shared" si="6"/>
        <v>2.2727272727272728E-2</v>
      </c>
      <c r="Q21" s="13">
        <f t="shared" si="7"/>
        <v>5.44788282018485E-4</v>
      </c>
      <c r="R21" s="31">
        <f t="shared" si="8"/>
        <v>2.3970684408813333E-2</v>
      </c>
      <c r="S21" s="25">
        <v>1111</v>
      </c>
      <c r="T21" s="46">
        <f t="shared" si="9"/>
        <v>1304.2209679991247</v>
      </c>
      <c r="U21" s="22">
        <f t="shared" si="10"/>
        <v>193.2209679991247</v>
      </c>
      <c r="V21" s="41">
        <f t="shared" si="11"/>
        <v>-0.1</v>
      </c>
      <c r="W21">
        <f t="shared" si="12"/>
        <v>1.7667083555141885</v>
      </c>
      <c r="X21" s="13">
        <f t="shared" si="13"/>
        <v>2.1439311215020979E-2</v>
      </c>
      <c r="Y21" s="13">
        <f t="shared" si="14"/>
        <v>5.1391496307760039E-4</v>
      </c>
      <c r="Z21" s="31">
        <f t="shared" si="15"/>
        <v>2.2324097396700226E-2</v>
      </c>
      <c r="AA21" s="37">
        <v>0</v>
      </c>
      <c r="AB21" s="25">
        <v>1667</v>
      </c>
      <c r="AC21" s="25">
        <v>0</v>
      </c>
      <c r="AD21" s="26">
        <f t="shared" si="16"/>
        <v>1667</v>
      </c>
      <c r="AE21" s="46">
        <f t="shared" si="17"/>
        <v>1473.234159500438</v>
      </c>
      <c r="AF21" s="22">
        <f t="shared" si="18"/>
        <v>-193.76584049956205</v>
      </c>
      <c r="AG21" s="22">
        <f t="shared" si="19"/>
        <v>-0.54487250043735003</v>
      </c>
      <c r="AH21" s="55">
        <f t="shared" si="20"/>
        <v>2778</v>
      </c>
      <c r="AI21">
        <f t="shared" si="21"/>
        <v>2.3970684408813333E-2</v>
      </c>
      <c r="AJ21" s="1">
        <f t="shared" si="22"/>
        <v>2381.2477891715166</v>
      </c>
      <c r="AK21" s="2">
        <v>2542</v>
      </c>
      <c r="AL21" s="1">
        <f t="shared" si="23"/>
        <v>-160.75221082848338</v>
      </c>
      <c r="AM21">
        <f t="shared" si="24"/>
        <v>1.4850000000000001</v>
      </c>
      <c r="AN21">
        <f t="shared" si="25"/>
        <v>3.7392821264897839E-2</v>
      </c>
      <c r="AO21" s="1">
        <f t="shared" si="26"/>
        <v>3621.0086328289121</v>
      </c>
      <c r="AP21" s="8">
        <v>3672</v>
      </c>
      <c r="AQ21" s="1">
        <f t="shared" si="27"/>
        <v>-50.991367171087859</v>
      </c>
      <c r="AR21" s="69">
        <f t="shared" si="28"/>
        <v>1.4850000000000001</v>
      </c>
      <c r="AS21">
        <f t="shared" si="29"/>
        <v>2.397068440881334E-2</v>
      </c>
      <c r="AT21" s="1">
        <f t="shared" si="30"/>
        <v>1712.5528602907482</v>
      </c>
      <c r="AU21" s="8">
        <v>1695</v>
      </c>
      <c r="AV21" s="1">
        <f t="shared" si="31"/>
        <v>17.552860290748185</v>
      </c>
      <c r="AW21" s="68">
        <v>1</v>
      </c>
    </row>
    <row r="22" spans="1:49" x14ac:dyDescent="0.2">
      <c r="A22" s="48" t="s">
        <v>68</v>
      </c>
      <c r="B22" s="21">
        <v>1</v>
      </c>
      <c r="C22" s="21">
        <v>3727</v>
      </c>
      <c r="D22" s="21">
        <f t="shared" si="0"/>
        <v>6273</v>
      </c>
      <c r="E22" s="21">
        <v>0</v>
      </c>
      <c r="F22" s="66">
        <f>$AE$49</f>
        <v>1.5348682015348678</v>
      </c>
      <c r="G22" s="21">
        <v>0</v>
      </c>
      <c r="H22" s="21">
        <v>0</v>
      </c>
      <c r="I22" s="21">
        <v>1</v>
      </c>
      <c r="J22" s="24">
        <v>1.331</v>
      </c>
      <c r="K22" s="63">
        <f t="shared" si="1"/>
        <v>0.68096985874763638</v>
      </c>
      <c r="L22" s="21">
        <f t="shared" si="2"/>
        <v>1.0992130354177634E-2</v>
      </c>
      <c r="M22" s="21">
        <f t="shared" si="3"/>
        <v>2.6555977952569237E-2</v>
      </c>
      <c r="N22" s="41">
        <f t="shared" si="4"/>
        <v>0</v>
      </c>
      <c r="O22" s="13">
        <f t="shared" si="5"/>
        <v>1</v>
      </c>
      <c r="P22" s="13">
        <f t="shared" si="6"/>
        <v>2.2727272727272728E-2</v>
      </c>
      <c r="Q22" s="13">
        <f t="shared" si="7"/>
        <v>2.4982114441312805E-4</v>
      </c>
      <c r="R22" s="31">
        <f t="shared" si="8"/>
        <v>1.0992130354177631E-2</v>
      </c>
      <c r="S22" s="25">
        <v>758</v>
      </c>
      <c r="T22" s="46">
        <f t="shared" si="9"/>
        <v>598.07082044045069</v>
      </c>
      <c r="U22" s="22">
        <f t="shared" si="10"/>
        <v>-159.92917955954931</v>
      </c>
      <c r="V22" s="41">
        <f t="shared" si="11"/>
        <v>-0.1</v>
      </c>
      <c r="W22">
        <f t="shared" si="12"/>
        <v>1.7474741383440828</v>
      </c>
      <c r="X22" s="13">
        <f t="shared" si="13"/>
        <v>2.1205900665622644E-2</v>
      </c>
      <c r="Y22" s="13">
        <f t="shared" si="14"/>
        <v>2.3309802439426636E-4</v>
      </c>
      <c r="Z22" s="31">
        <f t="shared" si="15"/>
        <v>1.0125610992903229E-2</v>
      </c>
      <c r="AA22" s="37">
        <v>0</v>
      </c>
      <c r="AB22" s="25">
        <v>506</v>
      </c>
      <c r="AC22" s="25">
        <v>0</v>
      </c>
      <c r="AD22" s="26">
        <f t="shared" si="16"/>
        <v>506</v>
      </c>
      <c r="AE22" s="46">
        <f t="shared" si="17"/>
        <v>668.21944625466278</v>
      </c>
      <c r="AF22" s="22">
        <f t="shared" si="18"/>
        <v>162.21944625466278</v>
      </c>
      <c r="AG22" s="22">
        <f t="shared" si="19"/>
        <v>2.2902666951134734</v>
      </c>
      <c r="AH22" s="55">
        <f t="shared" si="20"/>
        <v>1264</v>
      </c>
      <c r="AI22">
        <f t="shared" si="21"/>
        <v>1.0992130354177631E-2</v>
      </c>
      <c r="AJ22" s="1">
        <f t="shared" si="22"/>
        <v>1091.9582293840058</v>
      </c>
      <c r="AK22" s="2">
        <v>1185</v>
      </c>
      <c r="AL22" s="1">
        <f t="shared" si="23"/>
        <v>-93.04177061599421</v>
      </c>
      <c r="AM22">
        <f t="shared" si="24"/>
        <v>0.68096985874763638</v>
      </c>
      <c r="AN22">
        <f t="shared" si="25"/>
        <v>1.7147060077396022E-2</v>
      </c>
      <c r="AO22" s="1">
        <f t="shared" si="26"/>
        <v>1660.4698567147987</v>
      </c>
      <c r="AP22" s="8">
        <v>0</v>
      </c>
      <c r="AQ22" s="1">
        <f t="shared" si="27"/>
        <v>1660.4698567147987</v>
      </c>
      <c r="AR22" s="69">
        <f t="shared" si="28"/>
        <v>0.68096985874763638</v>
      </c>
      <c r="AS22">
        <f t="shared" si="29"/>
        <v>1.0992130354177634E-2</v>
      </c>
      <c r="AT22" s="1">
        <f t="shared" si="30"/>
        <v>785.31776388555625</v>
      </c>
      <c r="AU22" s="8">
        <v>790</v>
      </c>
      <c r="AV22" s="1">
        <f t="shared" si="31"/>
        <v>-4.6822361144437536</v>
      </c>
      <c r="AW22" s="68">
        <f>AW21*1.1</f>
        <v>1.1000000000000001</v>
      </c>
    </row>
    <row r="23" spans="1:49" x14ac:dyDescent="0.2">
      <c r="A23" s="42" t="s">
        <v>96</v>
      </c>
      <c r="B23" s="3">
        <v>0</v>
      </c>
      <c r="C23" s="21">
        <v>3953</v>
      </c>
      <c r="D23" s="21">
        <f t="shared" si="0"/>
        <v>6047</v>
      </c>
      <c r="E23" s="24">
        <v>1</v>
      </c>
      <c r="F23" s="21">
        <v>0</v>
      </c>
      <c r="G23" s="21">
        <v>0</v>
      </c>
      <c r="H23" s="21">
        <v>0</v>
      </c>
      <c r="I23" s="21">
        <v>1</v>
      </c>
      <c r="J23" s="24">
        <v>1</v>
      </c>
      <c r="K23" s="63">
        <f t="shared" si="1"/>
        <v>0.33333333333333331</v>
      </c>
      <c r="L23" s="44">
        <f t="shared" si="2"/>
        <v>5.3806250075899746E-3</v>
      </c>
      <c r="M23" s="44">
        <f t="shared" si="3"/>
        <v>2.5599234605322204E-2</v>
      </c>
      <c r="N23" s="41">
        <f t="shared" si="4"/>
        <v>0</v>
      </c>
      <c r="O23" s="13">
        <f t="shared" si="5"/>
        <v>1</v>
      </c>
      <c r="P23" s="13">
        <f t="shared" si="6"/>
        <v>2.2727272727272728E-2</v>
      </c>
      <c r="Q23" s="13">
        <f t="shared" si="7"/>
        <v>1.2228693199068123E-4</v>
      </c>
      <c r="R23" s="31">
        <f t="shared" si="8"/>
        <v>5.380625007589972E-3</v>
      </c>
      <c r="S23" s="25">
        <v>309</v>
      </c>
      <c r="T23" s="46">
        <f t="shared" si="9"/>
        <v>292.75442603796279</v>
      </c>
      <c r="U23" s="22">
        <f t="shared" si="10"/>
        <v>-16.245573962037213</v>
      </c>
      <c r="V23" s="41">
        <f t="shared" si="11"/>
        <v>-0.1</v>
      </c>
      <c r="W23">
        <f t="shared" si="12"/>
        <v>1.7994477238780398</v>
      </c>
      <c r="X23" s="13">
        <f t="shared" si="13"/>
        <v>2.183660910810279E-2</v>
      </c>
      <c r="Y23" s="13">
        <f t="shared" si="14"/>
        <v>1.1749460504802489E-4</v>
      </c>
      <c r="Z23" s="31">
        <f t="shared" si="15"/>
        <v>5.1038813716791321E-3</v>
      </c>
      <c r="AA23" s="37">
        <v>0</v>
      </c>
      <c r="AB23" s="25">
        <v>309</v>
      </c>
      <c r="AC23" s="25">
        <v>0</v>
      </c>
      <c r="AD23" s="26">
        <f t="shared" si="16"/>
        <v>309</v>
      </c>
      <c r="AE23" s="46">
        <f t="shared" si="17"/>
        <v>336.82044336122095</v>
      </c>
      <c r="AF23" s="22">
        <f t="shared" si="18"/>
        <v>27.820443361220953</v>
      </c>
      <c r="AG23" s="22">
        <f t="shared" si="19"/>
        <v>11.57486939918374</v>
      </c>
      <c r="AH23" s="55">
        <f t="shared" si="20"/>
        <v>618</v>
      </c>
      <c r="AI23">
        <f t="shared" si="21"/>
        <v>5.380625007589972E-3</v>
      </c>
      <c r="AJ23" s="1">
        <f t="shared" si="22"/>
        <v>534.5112882539878</v>
      </c>
      <c r="AK23" s="2">
        <v>321</v>
      </c>
      <c r="AL23" s="1">
        <f t="shared" si="23"/>
        <v>213.5112882539878</v>
      </c>
      <c r="AM23">
        <f t="shared" si="24"/>
        <v>0</v>
      </c>
      <c r="AN23">
        <f t="shared" si="25"/>
        <v>0</v>
      </c>
      <c r="AO23" s="1">
        <f t="shared" si="26"/>
        <v>0</v>
      </c>
      <c r="AP23" s="8">
        <v>962</v>
      </c>
      <c r="AQ23" s="1">
        <f t="shared" si="27"/>
        <v>-962</v>
      </c>
      <c r="AR23" s="69">
        <f t="shared" si="28"/>
        <v>0.33333333333333331</v>
      </c>
      <c r="AS23">
        <f t="shared" si="29"/>
        <v>5.3806250075899746E-3</v>
      </c>
      <c r="AT23" s="1">
        <f t="shared" si="30"/>
        <v>384.41141645134633</v>
      </c>
      <c r="AU23" s="8">
        <v>0</v>
      </c>
      <c r="AV23" s="1">
        <f t="shared" si="31"/>
        <v>384.41141645134633</v>
      </c>
      <c r="AW23" s="68">
        <f>AW22*1.1</f>
        <v>1.2100000000000002</v>
      </c>
    </row>
    <row r="24" spans="1:49" x14ac:dyDescent="0.2">
      <c r="A24" s="23" t="s">
        <v>22</v>
      </c>
      <c r="B24" s="21">
        <v>0</v>
      </c>
      <c r="C24" s="21">
        <v>4033</v>
      </c>
      <c r="D24" s="21">
        <f t="shared" si="0"/>
        <v>5967</v>
      </c>
      <c r="E24" s="21">
        <v>0</v>
      </c>
      <c r="F24" s="66">
        <f>$AE$62</f>
        <v>7.1404738071404719</v>
      </c>
      <c r="G24" s="24">
        <v>4.5</v>
      </c>
      <c r="H24" s="24">
        <v>5.2</v>
      </c>
      <c r="I24" s="21">
        <v>2</v>
      </c>
      <c r="J24" s="24">
        <v>0.9</v>
      </c>
      <c r="K24" s="76">
        <f t="shared" si="1"/>
        <v>2.5260710710710708</v>
      </c>
      <c r="L24" s="44">
        <f t="shared" si="2"/>
        <v>4.0775523527863788E-2</v>
      </c>
      <c r="M24" s="44">
        <f t="shared" si="3"/>
        <v>2.5260564393907323E-2</v>
      </c>
      <c r="N24" s="41">
        <f t="shared" si="4"/>
        <v>0</v>
      </c>
      <c r="O24" s="13">
        <f t="shared" si="5"/>
        <v>1</v>
      </c>
      <c r="P24" s="13">
        <f t="shared" si="6"/>
        <v>2.2727272727272728E-2</v>
      </c>
      <c r="Q24" s="13">
        <f t="shared" si="7"/>
        <v>9.2671644381508609E-4</v>
      </c>
      <c r="R24" s="31">
        <f t="shared" si="8"/>
        <v>4.0775523527863775E-2</v>
      </c>
      <c r="S24" s="25">
        <v>3227</v>
      </c>
      <c r="T24" s="46">
        <f t="shared" si="9"/>
        <v>2218.5554596275401</v>
      </c>
      <c r="U24" s="22">
        <f t="shared" si="10"/>
        <v>-1008.4445403724599</v>
      </c>
      <c r="V24" s="41">
        <f t="shared" si="11"/>
        <v>-0.1</v>
      </c>
      <c r="W24">
        <f t="shared" si="12"/>
        <v>1.8227124005365922</v>
      </c>
      <c r="X24" s="13">
        <f t="shared" si="13"/>
        <v>2.2118929979933599E-2</v>
      </c>
      <c r="Y24" s="13">
        <f t="shared" si="14"/>
        <v>9.019109498079542E-4</v>
      </c>
      <c r="Z24" s="31">
        <f t="shared" si="15"/>
        <v>3.9178364774763177E-2</v>
      </c>
      <c r="AA24" s="37">
        <v>129</v>
      </c>
      <c r="AB24" s="25">
        <v>1162</v>
      </c>
      <c r="AC24" s="25">
        <v>258</v>
      </c>
      <c r="AD24" s="26">
        <f t="shared" si="16"/>
        <v>1549</v>
      </c>
      <c r="AE24" s="46">
        <f t="shared" si="17"/>
        <v>2585.4978265809464</v>
      </c>
      <c r="AF24" s="22">
        <f t="shared" si="18"/>
        <v>1036.4978265809464</v>
      </c>
      <c r="AG24" s="22">
        <f t="shared" si="19"/>
        <v>28.053286208486497</v>
      </c>
      <c r="AH24" s="55">
        <f t="shared" si="20"/>
        <v>4776</v>
      </c>
      <c r="AI24">
        <f t="shared" si="21"/>
        <v>4.0775523527863775E-2</v>
      </c>
      <c r="AJ24" s="1">
        <f t="shared" si="22"/>
        <v>4050.6405072579873</v>
      </c>
      <c r="AK24" s="2">
        <v>4001</v>
      </c>
      <c r="AL24" s="49">
        <f t="shared" si="23"/>
        <v>49.640507257987338</v>
      </c>
      <c r="AM24">
        <f t="shared" si="24"/>
        <v>0</v>
      </c>
      <c r="AN24">
        <f t="shared" si="25"/>
        <v>0</v>
      </c>
      <c r="AO24" s="1">
        <f t="shared" si="26"/>
        <v>0</v>
      </c>
      <c r="AP24" s="8">
        <v>0</v>
      </c>
      <c r="AQ24" s="1">
        <f t="shared" si="27"/>
        <v>0</v>
      </c>
      <c r="AR24" s="69">
        <f t="shared" si="28"/>
        <v>2.5260710710710708</v>
      </c>
      <c r="AS24">
        <f t="shared" si="29"/>
        <v>4.0775523527863788E-2</v>
      </c>
      <c r="AT24" s="1">
        <f t="shared" si="30"/>
        <v>2913.1516754615996</v>
      </c>
      <c r="AU24" s="8">
        <v>3200</v>
      </c>
      <c r="AV24" s="49">
        <f t="shared" si="31"/>
        <v>-286.84832453840045</v>
      </c>
      <c r="AW24" s="68">
        <f>AW23*1.1</f>
        <v>1.3310000000000004</v>
      </c>
    </row>
    <row r="25" spans="1:49" x14ac:dyDescent="0.2">
      <c r="A25" s="39" t="s">
        <v>3</v>
      </c>
      <c r="B25" s="21">
        <v>1</v>
      </c>
      <c r="C25" s="21">
        <v>4997</v>
      </c>
      <c r="D25" s="21">
        <f t="shared" si="0"/>
        <v>5003</v>
      </c>
      <c r="E25" s="24">
        <v>3.8</v>
      </c>
      <c r="F25" s="21">
        <v>0</v>
      </c>
      <c r="G25" s="21">
        <v>0</v>
      </c>
      <c r="H25" s="21">
        <v>0</v>
      </c>
      <c r="I25" s="21">
        <v>1</v>
      </c>
      <c r="J25" s="24">
        <v>1.1000000000000001</v>
      </c>
      <c r="K25" s="63">
        <f t="shared" si="1"/>
        <v>1.3933333333333333</v>
      </c>
      <c r="L25" s="13">
        <f t="shared" si="2"/>
        <v>2.2491012531726095E-2</v>
      </c>
      <c r="M25" s="13">
        <f t="shared" si="3"/>
        <v>2.1179588346358025E-2</v>
      </c>
      <c r="N25" s="41">
        <f t="shared" si="4"/>
        <v>0</v>
      </c>
      <c r="O25" s="13">
        <f t="shared" si="5"/>
        <v>1</v>
      </c>
      <c r="P25" s="13">
        <f t="shared" si="6"/>
        <v>2.2727272727272728E-2</v>
      </c>
      <c r="Q25" s="13">
        <f t="shared" si="7"/>
        <v>5.1115937572104766E-4</v>
      </c>
      <c r="R25" s="31">
        <f t="shared" si="8"/>
        <v>2.2491012531726088E-2</v>
      </c>
      <c r="S25" s="25">
        <v>1039</v>
      </c>
      <c r="T25" s="46">
        <f t="shared" si="9"/>
        <v>1223.7135008386847</v>
      </c>
      <c r="U25" s="22">
        <f t="shared" si="10"/>
        <v>184.71350083868469</v>
      </c>
      <c r="V25" s="41">
        <f t="shared" si="11"/>
        <v>-0.1</v>
      </c>
      <c r="W25">
        <f t="shared" si="12"/>
        <v>1.9024346042041014</v>
      </c>
      <c r="X25" s="13">
        <f t="shared" si="13"/>
        <v>2.3086372698954173E-2</v>
      </c>
      <c r="Y25" s="13">
        <f t="shared" si="14"/>
        <v>5.1923589768427755E-4</v>
      </c>
      <c r="Z25" s="31">
        <f t="shared" si="15"/>
        <v>2.2555234979637264E-2</v>
      </c>
      <c r="AA25" s="37">
        <v>1484</v>
      </c>
      <c r="AB25" s="25">
        <v>148</v>
      </c>
      <c r="AC25" s="25">
        <v>0</v>
      </c>
      <c r="AD25" s="26">
        <f t="shared" si="16"/>
        <v>1632</v>
      </c>
      <c r="AE25" s="46">
        <f t="shared" si="17"/>
        <v>1488.4876220112019</v>
      </c>
      <c r="AF25" s="22">
        <f t="shared" si="18"/>
        <v>-143.51237798879811</v>
      </c>
      <c r="AG25" s="22">
        <f t="shared" si="19"/>
        <v>41.201122849886588</v>
      </c>
      <c r="AH25" s="55">
        <f t="shared" si="20"/>
        <v>2671</v>
      </c>
      <c r="AI25">
        <f t="shared" si="21"/>
        <v>2.2491012531726088E-2</v>
      </c>
      <c r="AJ25" s="1">
        <f t="shared" si="22"/>
        <v>2234.2571849016695</v>
      </c>
      <c r="AK25" s="2">
        <v>2179</v>
      </c>
      <c r="AL25" s="1">
        <f t="shared" si="23"/>
        <v>55.257184901669461</v>
      </c>
      <c r="AM25">
        <f t="shared" si="24"/>
        <v>1.3933333333333333</v>
      </c>
      <c r="AN25">
        <f t="shared" si="25"/>
        <v>3.5084622421385624E-2</v>
      </c>
      <c r="AO25" s="1">
        <f t="shared" si="26"/>
        <v>3397.4895814197198</v>
      </c>
      <c r="AP25" s="8">
        <v>0</v>
      </c>
      <c r="AQ25" s="1">
        <f t="shared" si="27"/>
        <v>3397.4895814197198</v>
      </c>
      <c r="AR25" s="69">
        <f t="shared" si="28"/>
        <v>1.3933333333333333</v>
      </c>
      <c r="AS25">
        <f t="shared" si="29"/>
        <v>2.2491012531726095E-2</v>
      </c>
      <c r="AT25" s="1">
        <f t="shared" si="30"/>
        <v>1606.8397207666276</v>
      </c>
      <c r="AU25" s="8">
        <v>1556</v>
      </c>
      <c r="AV25" s="1">
        <f t="shared" si="31"/>
        <v>50.839720766627579</v>
      </c>
      <c r="AW25" s="68">
        <f>AW24*1.1</f>
        <v>1.4641000000000006</v>
      </c>
    </row>
    <row r="26" spans="1:49" x14ac:dyDescent="0.2">
      <c r="A26" s="39" t="s">
        <v>15</v>
      </c>
      <c r="B26" s="21">
        <v>1</v>
      </c>
      <c r="C26" s="21">
        <v>4119</v>
      </c>
      <c r="D26" s="21">
        <f t="shared" si="0"/>
        <v>5881</v>
      </c>
      <c r="E26" s="24">
        <v>5.8</v>
      </c>
      <c r="F26" s="21">
        <v>0</v>
      </c>
      <c r="G26" s="21">
        <v>0</v>
      </c>
      <c r="H26" s="21">
        <v>0</v>
      </c>
      <c r="I26" s="21">
        <v>1</v>
      </c>
      <c r="J26" s="24">
        <v>1.1000000000000001</v>
      </c>
      <c r="K26" s="63">
        <f t="shared" si="1"/>
        <v>2.1266666666666669</v>
      </c>
      <c r="L26" s="13">
        <f t="shared" si="2"/>
        <v>3.4328387548424044E-2</v>
      </c>
      <c r="M26" s="13">
        <f t="shared" si="3"/>
        <v>2.4896493916636328E-2</v>
      </c>
      <c r="N26" s="41">
        <f t="shared" si="4"/>
        <v>0</v>
      </c>
      <c r="O26" s="13">
        <f t="shared" si="5"/>
        <v>1</v>
      </c>
      <c r="P26" s="13">
        <f t="shared" si="6"/>
        <v>2.2727272727272728E-2</v>
      </c>
      <c r="Q26" s="13">
        <f t="shared" si="7"/>
        <v>7.8019062610054646E-4</v>
      </c>
      <c r="R26" s="31">
        <f t="shared" si="8"/>
        <v>3.432838754842403E-2</v>
      </c>
      <c r="S26" s="25">
        <v>2588</v>
      </c>
      <c r="T26" s="46">
        <f t="shared" si="9"/>
        <v>1867.7732381222031</v>
      </c>
      <c r="U26" s="22">
        <f t="shared" si="10"/>
        <v>-720.22676187779689</v>
      </c>
      <c r="V26" s="41">
        <f t="shared" si="11"/>
        <v>-0.1</v>
      </c>
      <c r="W26">
        <f t="shared" si="12"/>
        <v>1.8520016063239706</v>
      </c>
      <c r="X26" s="13">
        <f t="shared" si="13"/>
        <v>2.2474359553896098E-2</v>
      </c>
      <c r="Y26" s="13">
        <f t="shared" si="14"/>
        <v>7.7150852466877182E-4</v>
      </c>
      <c r="Z26" s="31">
        <f t="shared" si="15"/>
        <v>3.3513776956304496E-2</v>
      </c>
      <c r="AA26" s="37">
        <v>1150</v>
      </c>
      <c r="AB26" s="25">
        <v>288</v>
      </c>
      <c r="AC26" s="25">
        <v>0</v>
      </c>
      <c r="AD26" s="26">
        <f t="shared" si="16"/>
        <v>1438</v>
      </c>
      <c r="AE26" s="46">
        <f t="shared" si="17"/>
        <v>2211.6746826774024</v>
      </c>
      <c r="AF26" s="22">
        <f t="shared" si="18"/>
        <v>773.67468267740242</v>
      </c>
      <c r="AG26" s="22">
        <f t="shared" si="19"/>
        <v>53.447920799605527</v>
      </c>
      <c r="AH26" s="55">
        <f t="shared" si="20"/>
        <v>4026</v>
      </c>
      <c r="AI26">
        <f t="shared" si="21"/>
        <v>3.432838754842403E-2</v>
      </c>
      <c r="AJ26" s="1">
        <f t="shared" si="22"/>
        <v>3410.1820190604431</v>
      </c>
      <c r="AK26" s="2">
        <v>3867</v>
      </c>
      <c r="AL26" s="49">
        <f t="shared" si="23"/>
        <v>-456.81798093955695</v>
      </c>
      <c r="AM26">
        <f t="shared" si="24"/>
        <v>2.1266666666666669</v>
      </c>
      <c r="AN26">
        <f t="shared" si="25"/>
        <v>5.3550213169483329E-2</v>
      </c>
      <c r="AO26" s="1">
        <f t="shared" si="26"/>
        <v>5185.6419926932567</v>
      </c>
      <c r="AP26" s="8">
        <v>5057</v>
      </c>
      <c r="AQ26" s="1">
        <f t="shared" si="27"/>
        <v>128.64199269325673</v>
      </c>
      <c r="AR26" s="69">
        <f t="shared" si="28"/>
        <v>2.1266666666666669</v>
      </c>
      <c r="AS26">
        <f t="shared" si="29"/>
        <v>3.4328387548424044E-2</v>
      </c>
      <c r="AT26" s="1">
        <f t="shared" si="30"/>
        <v>2452.5448369595902</v>
      </c>
      <c r="AU26" s="8">
        <v>2380</v>
      </c>
      <c r="AV26" s="1">
        <f t="shared" si="31"/>
        <v>72.544836959590157</v>
      </c>
      <c r="AW26" s="68">
        <f>AW25*1.1</f>
        <v>1.6105100000000008</v>
      </c>
    </row>
    <row r="27" spans="1:49" x14ac:dyDescent="0.2">
      <c r="A27" s="24" t="s">
        <v>126</v>
      </c>
      <c r="B27" s="21">
        <v>1</v>
      </c>
      <c r="C27" s="21">
        <v>5785</v>
      </c>
      <c r="D27" s="21">
        <f t="shared" si="0"/>
        <v>4215</v>
      </c>
      <c r="E27" s="21">
        <v>0</v>
      </c>
      <c r="F27" s="21">
        <v>0</v>
      </c>
      <c r="G27" s="21">
        <v>0</v>
      </c>
      <c r="H27" s="24">
        <v>5.9</v>
      </c>
      <c r="I27" s="21">
        <v>1</v>
      </c>
      <c r="J27" s="24">
        <v>1</v>
      </c>
      <c r="K27" s="63">
        <f t="shared" si="1"/>
        <v>1.9666666666666668</v>
      </c>
      <c r="L27" s="44">
        <f t="shared" si="2"/>
        <v>3.1745687544780854E-2</v>
      </c>
      <c r="M27" s="44">
        <f t="shared" si="3"/>
        <v>1.7843686763921462E-2</v>
      </c>
      <c r="N27" s="41">
        <f t="shared" si="4"/>
        <v>0</v>
      </c>
      <c r="O27" s="13">
        <f t="shared" si="5"/>
        <v>1</v>
      </c>
      <c r="P27" s="13">
        <f t="shared" si="6"/>
        <v>2.2727272727272728E-2</v>
      </c>
      <c r="Q27" s="13">
        <f t="shared" si="7"/>
        <v>7.2149289874501939E-4</v>
      </c>
      <c r="R27" s="31">
        <f t="shared" si="8"/>
        <v>3.174568754478084E-2</v>
      </c>
      <c r="S27" s="25">
        <v>2348</v>
      </c>
      <c r="T27" s="46">
        <f t="shared" si="9"/>
        <v>1727.2511136239807</v>
      </c>
      <c r="U27" s="22">
        <f t="shared" si="10"/>
        <v>-620.7488863760193</v>
      </c>
      <c r="V27" s="41">
        <f t="shared" si="11"/>
        <v>-0.1</v>
      </c>
      <c r="W27">
        <f t="shared" si="12"/>
        <v>1.7004855831285144</v>
      </c>
      <c r="X27" s="13">
        <f t="shared" si="13"/>
        <v>2.0635686427564335E-2</v>
      </c>
      <c r="Y27" s="13">
        <f t="shared" si="14"/>
        <v>6.5509405360153245E-4</v>
      </c>
      <c r="Z27" s="31">
        <f t="shared" si="15"/>
        <v>2.8456815830037445E-2</v>
      </c>
      <c r="AA27" s="37">
        <v>0</v>
      </c>
      <c r="AB27" s="25">
        <v>1006</v>
      </c>
      <c r="AC27" s="25">
        <v>0</v>
      </c>
      <c r="AD27" s="26">
        <f t="shared" si="16"/>
        <v>1006</v>
      </c>
      <c r="AE27" s="46">
        <f t="shared" si="17"/>
        <v>1877.950647071661</v>
      </c>
      <c r="AF27" s="22">
        <f t="shared" si="18"/>
        <v>871.95064707166102</v>
      </c>
      <c r="AG27" s="22">
        <f t="shared" si="19"/>
        <v>251.20176069564172</v>
      </c>
      <c r="AH27" s="55">
        <f t="shared" si="20"/>
        <v>3354</v>
      </c>
      <c r="AI27">
        <f t="shared" si="21"/>
        <v>3.174568754478084E-2</v>
      </c>
      <c r="AJ27" s="1">
        <f t="shared" si="22"/>
        <v>3153.6166006985286</v>
      </c>
      <c r="AK27" s="2">
        <v>0</v>
      </c>
      <c r="AL27" s="49">
        <f t="shared" si="23"/>
        <v>3153.6166006985286</v>
      </c>
      <c r="AM27">
        <f t="shared" si="24"/>
        <v>1.9666666666666668</v>
      </c>
      <c r="AN27">
        <f t="shared" si="25"/>
        <v>4.9521357006262014E-2</v>
      </c>
      <c r="AO27" s="1">
        <f t="shared" si="26"/>
        <v>4795.4996484153944</v>
      </c>
      <c r="AP27" s="8">
        <v>4359</v>
      </c>
      <c r="AQ27" s="1">
        <f t="shared" si="27"/>
        <v>436.4996484153944</v>
      </c>
      <c r="AR27" s="69">
        <f t="shared" si="28"/>
        <v>1.9666666666666668</v>
      </c>
      <c r="AS27">
        <f t="shared" si="29"/>
        <v>3.1745687544780854E-2</v>
      </c>
      <c r="AT27" s="1">
        <f t="shared" si="30"/>
        <v>2268.0273570629433</v>
      </c>
      <c r="AU27" s="8">
        <v>2012</v>
      </c>
      <c r="AV27" s="1">
        <f t="shared" si="31"/>
        <v>256.02735706294334</v>
      </c>
      <c r="AW27" s="68">
        <v>1.611</v>
      </c>
    </row>
    <row r="28" spans="1:49" x14ac:dyDescent="0.2">
      <c r="A28" s="31" t="s">
        <v>82</v>
      </c>
      <c r="B28" s="21">
        <v>1</v>
      </c>
      <c r="C28" s="21">
        <v>5177</v>
      </c>
      <c r="D28" s="21">
        <f t="shared" si="0"/>
        <v>4823</v>
      </c>
      <c r="E28" s="21">
        <v>0</v>
      </c>
      <c r="F28" s="21">
        <v>0</v>
      </c>
      <c r="G28" s="24">
        <v>3.5</v>
      </c>
      <c r="H28" s="24">
        <v>5</v>
      </c>
      <c r="I28" s="21">
        <v>2</v>
      </c>
      <c r="J28" s="24">
        <v>1</v>
      </c>
      <c r="K28" s="63">
        <f t="shared" si="1"/>
        <v>1.4166666666666665</v>
      </c>
      <c r="L28" s="44">
        <f t="shared" si="2"/>
        <v>2.2867656282257391E-2</v>
      </c>
      <c r="M28" s="44">
        <f t="shared" si="3"/>
        <v>2.0417580370674548E-2</v>
      </c>
      <c r="N28" s="41">
        <f t="shared" si="4"/>
        <v>0</v>
      </c>
      <c r="O28" s="13">
        <f t="shared" si="5"/>
        <v>1</v>
      </c>
      <c r="P28" s="13">
        <f t="shared" si="6"/>
        <v>2.2727272727272728E-2</v>
      </c>
      <c r="Q28" s="13">
        <f t="shared" si="7"/>
        <v>5.1971946096039526E-4</v>
      </c>
      <c r="R28" s="31">
        <f t="shared" si="8"/>
        <v>2.2867656282257384E-2</v>
      </c>
      <c r="S28" s="25">
        <v>1593</v>
      </c>
      <c r="T28" s="46">
        <f t="shared" si="9"/>
        <v>1244.2063106613421</v>
      </c>
      <c r="U28" s="22">
        <f t="shared" si="10"/>
        <v>-348.79368933865794</v>
      </c>
      <c r="V28" s="41">
        <f t="shared" si="11"/>
        <v>-0.1</v>
      </c>
      <c r="W28">
        <f t="shared" si="12"/>
        <v>1.8301352063080398</v>
      </c>
      <c r="X28" s="13">
        <f t="shared" si="13"/>
        <v>2.2209007010772344E-2</v>
      </c>
      <c r="Y28" s="13">
        <f t="shared" si="14"/>
        <v>5.0786793869258661E-4</v>
      </c>
      <c r="Z28" s="31">
        <f t="shared" si="15"/>
        <v>2.2061418994571494E-2</v>
      </c>
      <c r="AA28" s="37">
        <v>0</v>
      </c>
      <c r="AB28" s="25">
        <v>762</v>
      </c>
      <c r="AC28" s="25">
        <v>0</v>
      </c>
      <c r="AD28" s="26">
        <f t="shared" si="16"/>
        <v>762</v>
      </c>
      <c r="AE28" s="46">
        <f t="shared" si="17"/>
        <v>1455.8992237087566</v>
      </c>
      <c r="AF28" s="22">
        <f t="shared" si="18"/>
        <v>693.89922370875661</v>
      </c>
      <c r="AG28" s="22">
        <f t="shared" si="19"/>
        <v>345.10553437009867</v>
      </c>
      <c r="AH28" s="55">
        <f t="shared" si="20"/>
        <v>2355</v>
      </c>
      <c r="AI28">
        <f t="shared" si="21"/>
        <v>2.2867656282257384E-2</v>
      </c>
      <c r="AJ28" s="1">
        <f t="shared" si="22"/>
        <v>2271.6729750794484</v>
      </c>
      <c r="AK28" s="2">
        <v>2265</v>
      </c>
      <c r="AL28" s="1">
        <f t="shared" si="23"/>
        <v>6.6729750794484062</v>
      </c>
      <c r="AM28">
        <f t="shared" si="24"/>
        <v>1.4166666666666665</v>
      </c>
      <c r="AN28">
        <f t="shared" si="25"/>
        <v>3.5672163945188733E-2</v>
      </c>
      <c r="AO28" s="1">
        <f t="shared" si="26"/>
        <v>3454.3853399602413</v>
      </c>
      <c r="AP28" s="8">
        <v>0</v>
      </c>
      <c r="AQ28" s="1">
        <f t="shared" si="27"/>
        <v>3454.3853399602413</v>
      </c>
      <c r="AR28" s="69">
        <f t="shared" si="28"/>
        <v>1.4166666666666665</v>
      </c>
      <c r="AS28">
        <f t="shared" si="29"/>
        <v>2.2867656282257391E-2</v>
      </c>
      <c r="AT28" s="1">
        <f t="shared" si="30"/>
        <v>1633.7485199182215</v>
      </c>
      <c r="AU28" s="8">
        <v>1345</v>
      </c>
      <c r="AV28" s="1">
        <f t="shared" si="31"/>
        <v>288.74851991822152</v>
      </c>
      <c r="AW28" s="68">
        <v>1.611</v>
      </c>
    </row>
    <row r="29" spans="1:49" x14ac:dyDescent="0.2">
      <c r="A29" s="31" t="s">
        <v>67</v>
      </c>
      <c r="B29" s="21">
        <v>1</v>
      </c>
      <c r="C29" s="21">
        <v>5459</v>
      </c>
      <c r="D29" s="21">
        <f t="shared" si="0"/>
        <v>4541</v>
      </c>
      <c r="E29" s="21">
        <v>0</v>
      </c>
      <c r="F29" s="66">
        <f>$AE$60</f>
        <v>3.1364698031364693</v>
      </c>
      <c r="G29" s="21">
        <v>0</v>
      </c>
      <c r="H29" s="21">
        <v>0</v>
      </c>
      <c r="I29" s="21">
        <v>1</v>
      </c>
      <c r="J29" s="24">
        <v>0.9</v>
      </c>
      <c r="K29" s="63">
        <f t="shared" si="1"/>
        <v>0.94094094094094072</v>
      </c>
      <c r="L29" s="44">
        <f t="shared" si="2"/>
        <v>1.5188551072476202E-2</v>
      </c>
      <c r="M29" s="44">
        <f t="shared" si="3"/>
        <v>1.9223767875437097E-2</v>
      </c>
      <c r="N29" s="41">
        <f t="shared" si="4"/>
        <v>0</v>
      </c>
      <c r="O29" s="13">
        <f t="shared" si="5"/>
        <v>1</v>
      </c>
      <c r="P29" s="13">
        <f t="shared" si="6"/>
        <v>2.2727272727272728E-2</v>
      </c>
      <c r="Q29" s="13">
        <f t="shared" si="7"/>
        <v>3.4519434255627735E-4</v>
      </c>
      <c r="R29" s="31">
        <f t="shared" si="8"/>
        <v>1.5188551072476198E-2</v>
      </c>
      <c r="S29" s="25">
        <v>509</v>
      </c>
      <c r="T29" s="46">
        <f t="shared" si="9"/>
        <v>826.39387530235751</v>
      </c>
      <c r="U29" s="22">
        <f t="shared" si="10"/>
        <v>317.39387530235751</v>
      </c>
      <c r="V29" s="41">
        <f t="shared" si="11"/>
        <v>-0.1</v>
      </c>
      <c r="W29">
        <f t="shared" si="12"/>
        <v>1.7570357047734542</v>
      </c>
      <c r="X29" s="13">
        <f t="shared" si="13"/>
        <v>2.1321931926663873E-2</v>
      </c>
      <c r="Y29" s="13">
        <f t="shared" si="14"/>
        <v>3.2384925203199512E-4</v>
      </c>
      <c r="Z29" s="31">
        <f t="shared" si="15"/>
        <v>1.4067779231248249E-2</v>
      </c>
      <c r="AA29" s="37">
        <v>255</v>
      </c>
      <c r="AB29" s="25">
        <v>509</v>
      </c>
      <c r="AC29" s="25">
        <v>0</v>
      </c>
      <c r="AD29" s="26">
        <f t="shared" si="16"/>
        <v>764</v>
      </c>
      <c r="AE29" s="46">
        <f t="shared" si="17"/>
        <v>928.37495480776568</v>
      </c>
      <c r="AF29" s="22">
        <f t="shared" si="18"/>
        <v>164.37495480776568</v>
      </c>
      <c r="AG29" s="22">
        <f t="shared" si="19"/>
        <v>481.76883011012319</v>
      </c>
      <c r="AH29" s="55">
        <f t="shared" si="20"/>
        <v>1273</v>
      </c>
      <c r="AI29">
        <f t="shared" si="21"/>
        <v>1.5188551072476198E-2</v>
      </c>
      <c r="AJ29" s="1">
        <f t="shared" si="22"/>
        <v>1508.8306635397855</v>
      </c>
      <c r="AK29" s="2">
        <v>1263</v>
      </c>
      <c r="AL29" s="1">
        <f t="shared" si="23"/>
        <v>245.83066353978552</v>
      </c>
      <c r="AM29">
        <f t="shared" si="24"/>
        <v>0.94094094094094072</v>
      </c>
      <c r="AN29">
        <f t="shared" si="25"/>
        <v>2.3693223182107332E-2</v>
      </c>
      <c r="AO29" s="1">
        <f t="shared" si="26"/>
        <v>2294.3806532857279</v>
      </c>
      <c r="AP29" s="8">
        <v>2021</v>
      </c>
      <c r="AQ29" s="1">
        <f t="shared" si="27"/>
        <v>273.38065328572793</v>
      </c>
      <c r="AR29" s="69">
        <f t="shared" si="28"/>
        <v>0.94094094094094072</v>
      </c>
      <c r="AS29">
        <f t="shared" si="29"/>
        <v>1.5188551072476202E-2</v>
      </c>
      <c r="AT29" s="1">
        <f t="shared" si="30"/>
        <v>1085.1253197125088</v>
      </c>
      <c r="AU29" s="8">
        <v>1263</v>
      </c>
      <c r="AV29" s="1">
        <f t="shared" si="31"/>
        <v>-177.87468028749117</v>
      </c>
      <c r="AW29" s="68">
        <v>1.611</v>
      </c>
    </row>
    <row r="30" spans="1:49" x14ac:dyDescent="0.2">
      <c r="A30" s="24" t="s">
        <v>8</v>
      </c>
      <c r="B30" s="3">
        <v>1</v>
      </c>
      <c r="C30" s="21">
        <v>4677</v>
      </c>
      <c r="D30" s="21">
        <f t="shared" si="0"/>
        <v>5323</v>
      </c>
      <c r="E30" s="24">
        <v>2.2000000000000002</v>
      </c>
      <c r="F30" s="21">
        <v>0</v>
      </c>
      <c r="G30" s="21">
        <v>0</v>
      </c>
      <c r="H30" s="21">
        <v>0</v>
      </c>
      <c r="I30" s="21">
        <v>1</v>
      </c>
      <c r="J30" s="24">
        <v>0.72899999999999998</v>
      </c>
      <c r="K30" s="63">
        <f t="shared" si="1"/>
        <v>0.53460000000000008</v>
      </c>
      <c r="L30" s="44">
        <f t="shared" si="2"/>
        <v>8.6294463871728032E-3</v>
      </c>
      <c r="M30" s="44">
        <f t="shared" si="3"/>
        <v>2.2534269192017543E-2</v>
      </c>
      <c r="N30" s="41">
        <f t="shared" si="4"/>
        <v>0</v>
      </c>
      <c r="O30" s="13">
        <f t="shared" si="5"/>
        <v>1</v>
      </c>
      <c r="P30" s="13">
        <f t="shared" si="6"/>
        <v>2.2727272727272728E-2</v>
      </c>
      <c r="Q30" s="13">
        <f t="shared" si="7"/>
        <v>1.9612378152665462E-4</v>
      </c>
      <c r="R30" s="31">
        <f t="shared" si="8"/>
        <v>8.6294463871727997E-3</v>
      </c>
      <c r="S30" s="25">
        <v>611</v>
      </c>
      <c r="T30" s="46">
        <f t="shared" si="9"/>
        <v>469.51954847968489</v>
      </c>
      <c r="U30" s="22">
        <f t="shared" si="10"/>
        <v>-141.48045152031511</v>
      </c>
      <c r="V30" s="41">
        <f t="shared" si="11"/>
        <v>-0.1</v>
      </c>
      <c r="W30">
        <f t="shared" si="12"/>
        <v>2.2868795064961853</v>
      </c>
      <c r="X30" s="13">
        <f t="shared" si="13"/>
        <v>2.775167802767068E-2</v>
      </c>
      <c r="Y30" s="13">
        <f t="shared" si="14"/>
        <v>2.3948161769386561E-4</v>
      </c>
      <c r="Z30" s="31">
        <f t="shared" si="15"/>
        <v>1.0402909707281503E-2</v>
      </c>
      <c r="AA30" s="37">
        <v>0</v>
      </c>
      <c r="AB30" s="25">
        <v>0</v>
      </c>
      <c r="AC30" s="25">
        <v>0</v>
      </c>
      <c r="AD30" s="26">
        <f t="shared" si="16"/>
        <v>0</v>
      </c>
      <c r="AE30" s="46">
        <f t="shared" si="17"/>
        <v>686.51922031262825</v>
      </c>
      <c r="AF30" s="22">
        <f t="shared" si="18"/>
        <v>686.51922031262825</v>
      </c>
      <c r="AG30" s="22">
        <f t="shared" si="19"/>
        <v>545.03876879231314</v>
      </c>
      <c r="AH30" s="55">
        <f t="shared" si="20"/>
        <v>611</v>
      </c>
      <c r="AI30">
        <f t="shared" si="21"/>
        <v>8.6294463871727997E-3</v>
      </c>
      <c r="AJ30" s="1">
        <f t="shared" si="22"/>
        <v>857.24920410174593</v>
      </c>
      <c r="AK30" s="2">
        <v>636</v>
      </c>
      <c r="AL30" s="1">
        <f t="shared" si="23"/>
        <v>221.24920410174593</v>
      </c>
      <c r="AM30">
        <f t="shared" si="24"/>
        <v>0.53460000000000008</v>
      </c>
      <c r="AN30">
        <f t="shared" si="25"/>
        <v>1.3461415655363225E-2</v>
      </c>
      <c r="AO30" s="1">
        <f t="shared" si="26"/>
        <v>1303.5631078184085</v>
      </c>
      <c r="AP30" s="8">
        <v>1113</v>
      </c>
      <c r="AQ30" s="1">
        <f t="shared" si="27"/>
        <v>190.56310781840853</v>
      </c>
      <c r="AR30" s="69">
        <f t="shared" si="28"/>
        <v>0.53460000000000008</v>
      </c>
      <c r="AS30">
        <f t="shared" si="29"/>
        <v>8.6294463871728032E-3</v>
      </c>
      <c r="AT30" s="1">
        <f t="shared" si="30"/>
        <v>616.51902970466938</v>
      </c>
      <c r="AU30" s="8">
        <v>636</v>
      </c>
      <c r="AV30" s="1">
        <f t="shared" si="31"/>
        <v>-19.480970295330621</v>
      </c>
      <c r="AW30" s="68">
        <v>1.611</v>
      </c>
    </row>
    <row r="31" spans="1:49" x14ac:dyDescent="0.2">
      <c r="A31" s="48" t="s">
        <v>19</v>
      </c>
      <c r="B31" s="21">
        <v>1</v>
      </c>
      <c r="C31" s="21">
        <v>3929</v>
      </c>
      <c r="D31" s="21">
        <f t="shared" si="0"/>
        <v>6071</v>
      </c>
      <c r="E31" s="21">
        <v>0</v>
      </c>
      <c r="F31" s="66">
        <f>$AE$50</f>
        <v>4.2042042042042036</v>
      </c>
      <c r="G31" s="24">
        <v>4.4000000000000004</v>
      </c>
      <c r="H31" s="24">
        <v>4.7</v>
      </c>
      <c r="I31" s="21">
        <v>3</v>
      </c>
      <c r="J31" s="24">
        <v>1</v>
      </c>
      <c r="K31" s="63">
        <f t="shared" si="1"/>
        <v>1.478244911578245</v>
      </c>
      <c r="L31" s="13">
        <f t="shared" si="2"/>
        <v>2.3861644615741608E-2</v>
      </c>
      <c r="M31" s="13">
        <f t="shared" si="3"/>
        <v>2.5700835668746667E-2</v>
      </c>
      <c r="N31" s="41">
        <f t="shared" si="4"/>
        <v>0</v>
      </c>
      <c r="O31" s="13">
        <f t="shared" si="5"/>
        <v>1</v>
      </c>
      <c r="P31" s="13">
        <f t="shared" si="6"/>
        <v>2.2727272727272728E-2</v>
      </c>
      <c r="Q31" s="13">
        <f t="shared" si="7"/>
        <v>5.4231010490321844E-4</v>
      </c>
      <c r="R31" s="31">
        <f t="shared" si="8"/>
        <v>2.3861644615741605E-2</v>
      </c>
      <c r="S31" s="25">
        <v>1443</v>
      </c>
      <c r="T31" s="46">
        <f t="shared" si="9"/>
        <v>1298.288221897885</v>
      </c>
      <c r="U31" s="22">
        <f t="shared" si="10"/>
        <v>-144.71177810211498</v>
      </c>
      <c r="V31" s="41">
        <f t="shared" si="11"/>
        <v>-0.1</v>
      </c>
      <c r="W31">
        <f t="shared" si="12"/>
        <v>1.793066245891425</v>
      </c>
      <c r="X31" s="13">
        <f t="shared" si="13"/>
        <v>2.1759168769894269E-2</v>
      </c>
      <c r="Y31" s="13">
        <f t="shared" si="14"/>
        <v>5.1920955232116056E-4</v>
      </c>
      <c r="Z31" s="31">
        <f t="shared" si="15"/>
        <v>2.2554090555959357E-2</v>
      </c>
      <c r="AA31" s="37">
        <v>0</v>
      </c>
      <c r="AB31" s="25">
        <v>641</v>
      </c>
      <c r="AC31" s="25">
        <v>0</v>
      </c>
      <c r="AD31" s="26">
        <f t="shared" si="16"/>
        <v>641</v>
      </c>
      <c r="AE31" s="46">
        <f t="shared" si="17"/>
        <v>1488.4120980594259</v>
      </c>
      <c r="AF31" s="22">
        <f t="shared" si="18"/>
        <v>847.41209805942594</v>
      </c>
      <c r="AG31" s="22">
        <f t="shared" si="19"/>
        <v>702.70031995731097</v>
      </c>
      <c r="AH31" s="55">
        <f t="shared" si="20"/>
        <v>2084</v>
      </c>
      <c r="AI31">
        <f t="shared" si="21"/>
        <v>2.3861644615741605E-2</v>
      </c>
      <c r="AJ31" s="1">
        <f t="shared" si="22"/>
        <v>2370.4157761277711</v>
      </c>
      <c r="AK31" s="2">
        <v>2402</v>
      </c>
      <c r="AL31" s="1">
        <f t="shared" si="23"/>
        <v>-31.584223872228904</v>
      </c>
      <c r="AM31">
        <f t="shared" si="24"/>
        <v>1.478244911578245</v>
      </c>
      <c r="AN31">
        <f t="shared" si="25"/>
        <v>3.7222725767266013E-2</v>
      </c>
      <c r="AO31" s="1">
        <f t="shared" si="26"/>
        <v>3604.5370951247387</v>
      </c>
      <c r="AP31" s="8">
        <v>3431</v>
      </c>
      <c r="AQ31" s="1">
        <f t="shared" si="27"/>
        <v>173.5370951247387</v>
      </c>
      <c r="AR31" s="69">
        <f t="shared" si="28"/>
        <v>1.478244911578245</v>
      </c>
      <c r="AS31">
        <f t="shared" si="29"/>
        <v>2.3861644615741608E-2</v>
      </c>
      <c r="AT31" s="1">
        <f t="shared" si="30"/>
        <v>1704.7626609653651</v>
      </c>
      <c r="AU31" s="8">
        <v>1887</v>
      </c>
      <c r="AV31" s="1">
        <f t="shared" si="31"/>
        <v>-182.23733903463494</v>
      </c>
      <c r="AW31" s="68">
        <v>1.611</v>
      </c>
    </row>
    <row r="32" spans="1:49" x14ac:dyDescent="0.2">
      <c r="A32" s="23" t="s">
        <v>83</v>
      </c>
      <c r="B32" s="21">
        <v>1</v>
      </c>
      <c r="C32" s="21">
        <v>4915</v>
      </c>
      <c r="D32" s="21">
        <f t="shared" si="0"/>
        <v>5085</v>
      </c>
      <c r="E32" s="21">
        <v>0</v>
      </c>
      <c r="F32" s="21">
        <v>0</v>
      </c>
      <c r="G32" s="24">
        <v>3.5</v>
      </c>
      <c r="H32" s="21">
        <v>0</v>
      </c>
      <c r="I32" s="21">
        <v>1</v>
      </c>
      <c r="J32" s="24">
        <v>0.81</v>
      </c>
      <c r="K32" s="63">
        <f t="shared" si="1"/>
        <v>0.94500000000000006</v>
      </c>
      <c r="L32" s="44">
        <f t="shared" si="2"/>
        <v>1.525407189651758E-2</v>
      </c>
      <c r="M32" s="44">
        <f t="shared" si="3"/>
        <v>2.1526725313058277E-2</v>
      </c>
      <c r="N32" s="41">
        <f t="shared" si="4"/>
        <v>0</v>
      </c>
      <c r="O32" s="13">
        <f t="shared" si="5"/>
        <v>1</v>
      </c>
      <c r="P32" s="13">
        <f t="shared" si="6"/>
        <v>2.2727272727272728E-2</v>
      </c>
      <c r="Q32" s="13">
        <f t="shared" si="7"/>
        <v>3.4668345219358138E-4</v>
      </c>
      <c r="R32" s="31">
        <f t="shared" si="8"/>
        <v>1.5254071896517576E-2</v>
      </c>
      <c r="S32" s="25">
        <v>1137</v>
      </c>
      <c r="T32" s="46">
        <f t="shared" si="9"/>
        <v>829.95879781762483</v>
      </c>
      <c r="U32" s="22">
        <f t="shared" si="10"/>
        <v>-307.04120218237517</v>
      </c>
      <c r="V32" s="41">
        <f t="shared" si="11"/>
        <v>-0.1</v>
      </c>
      <c r="W32">
        <f t="shared" si="12"/>
        <v>1.9491918635130685</v>
      </c>
      <c r="X32">
        <f t="shared" si="13"/>
        <v>2.3653780121213535E-2</v>
      </c>
      <c r="Y32">
        <f t="shared" si="14"/>
        <v>3.6081646259340956E-4</v>
      </c>
      <c r="Z32" s="5">
        <f t="shared" si="15"/>
        <v>1.5673608343744296E-2</v>
      </c>
      <c r="AA32" s="37">
        <v>0</v>
      </c>
      <c r="AB32" s="25">
        <v>0</v>
      </c>
      <c r="AC32" s="25">
        <v>0</v>
      </c>
      <c r="AD32" s="26">
        <f t="shared" si="16"/>
        <v>0</v>
      </c>
      <c r="AE32" s="46">
        <f t="shared" si="17"/>
        <v>1034.3484354287173</v>
      </c>
      <c r="AF32" s="22">
        <f t="shared" si="18"/>
        <v>1034.3484354287173</v>
      </c>
      <c r="AG32" s="22">
        <f t="shared" si="19"/>
        <v>727.30723324634209</v>
      </c>
      <c r="AH32" s="55">
        <f t="shared" si="20"/>
        <v>1137</v>
      </c>
      <c r="AI32">
        <f t="shared" si="21"/>
        <v>1.5254071896517576E-2</v>
      </c>
      <c r="AJ32" s="1">
        <f t="shared" si="22"/>
        <v>1515.3395022000561</v>
      </c>
      <c r="AK32" s="2">
        <v>1710</v>
      </c>
      <c r="AL32" s="1">
        <f t="shared" si="23"/>
        <v>-194.66049779994387</v>
      </c>
      <c r="AM32">
        <f t="shared" si="24"/>
        <v>0.94500000000000006</v>
      </c>
      <c r="AN32">
        <f t="shared" si="25"/>
        <v>2.37954317140259E-2</v>
      </c>
      <c r="AO32" s="1">
        <f t="shared" si="26"/>
        <v>2304.2782208911262</v>
      </c>
      <c r="AP32" s="8">
        <v>0</v>
      </c>
      <c r="AQ32" s="1">
        <f t="shared" si="27"/>
        <v>2304.2782208911262</v>
      </c>
      <c r="AR32" s="69">
        <f t="shared" si="28"/>
        <v>0.94500000000000006</v>
      </c>
      <c r="AS32">
        <f t="shared" si="29"/>
        <v>1.525407189651758E-2</v>
      </c>
      <c r="AT32" s="1">
        <f t="shared" si="30"/>
        <v>1089.8063656395668</v>
      </c>
      <c r="AU32" s="8">
        <v>1169</v>
      </c>
      <c r="AV32" s="1">
        <f t="shared" si="31"/>
        <v>-79.19363436043318</v>
      </c>
      <c r="AW32" s="68">
        <v>1.611</v>
      </c>
    </row>
    <row r="33" spans="1:49" x14ac:dyDescent="0.2">
      <c r="A33" s="31" t="s">
        <v>106</v>
      </c>
      <c r="B33" s="21">
        <v>1</v>
      </c>
      <c r="C33" s="21">
        <v>4753</v>
      </c>
      <c r="D33" s="21">
        <f t="shared" si="0"/>
        <v>5247</v>
      </c>
      <c r="E33" s="24">
        <v>1.9</v>
      </c>
      <c r="F33" s="21">
        <v>0</v>
      </c>
      <c r="G33" s="21">
        <v>0</v>
      </c>
      <c r="H33" s="21">
        <v>0</v>
      </c>
      <c r="I33" s="21">
        <v>1</v>
      </c>
      <c r="J33" s="24">
        <v>1.1000000000000001</v>
      </c>
      <c r="K33" s="63">
        <f t="shared" si="1"/>
        <v>0.69666666666666666</v>
      </c>
      <c r="L33" s="44">
        <f t="shared" si="2"/>
        <v>1.1245506265863047E-2</v>
      </c>
      <c r="M33" s="44">
        <f t="shared" si="3"/>
        <v>2.2212532491173408E-2</v>
      </c>
      <c r="N33" s="41">
        <f t="shared" si="4"/>
        <v>0</v>
      </c>
      <c r="O33" s="13">
        <f t="shared" si="5"/>
        <v>1</v>
      </c>
      <c r="P33" s="13">
        <f t="shared" si="6"/>
        <v>2.2727272727272728E-2</v>
      </c>
      <c r="Q33" s="13">
        <f t="shared" si="7"/>
        <v>2.5557968786052383E-4</v>
      </c>
      <c r="R33" s="31">
        <f t="shared" si="8"/>
        <v>1.1245506265863044E-2</v>
      </c>
      <c r="S33" s="25">
        <v>349</v>
      </c>
      <c r="T33" s="46">
        <f t="shared" si="9"/>
        <v>611.85675041934235</v>
      </c>
      <c r="U33" s="22">
        <f t="shared" si="10"/>
        <v>262.85675041934235</v>
      </c>
      <c r="V33" s="41">
        <f t="shared" si="11"/>
        <v>-0.1</v>
      </c>
      <c r="W33">
        <f t="shared" si="12"/>
        <v>2.1079330027254062</v>
      </c>
      <c r="X33" s="13">
        <f t="shared" si="13"/>
        <v>2.5580131279047829E-2</v>
      </c>
      <c r="Y33" s="13">
        <f t="shared" si="14"/>
        <v>2.8766152658013169E-4</v>
      </c>
      <c r="Z33" s="31">
        <f t="shared" si="15"/>
        <v>1.2495810392834681E-2</v>
      </c>
      <c r="AA33" s="37">
        <v>349</v>
      </c>
      <c r="AB33" s="25">
        <v>0</v>
      </c>
      <c r="AC33" s="25">
        <v>0</v>
      </c>
      <c r="AD33" s="26">
        <f t="shared" si="16"/>
        <v>349</v>
      </c>
      <c r="AE33" s="46">
        <f t="shared" si="17"/>
        <v>824.6360152543391</v>
      </c>
      <c r="AF33" s="22">
        <f t="shared" si="18"/>
        <v>475.6360152543391</v>
      </c>
      <c r="AG33" s="22">
        <f t="shared" si="19"/>
        <v>738.49276567368145</v>
      </c>
      <c r="AH33" s="55">
        <f t="shared" si="20"/>
        <v>698</v>
      </c>
      <c r="AI33">
        <f t="shared" si="21"/>
        <v>1.1245506265863044E-2</v>
      </c>
      <c r="AJ33" s="1">
        <f t="shared" si="22"/>
        <v>1117.1285924508347</v>
      </c>
      <c r="AK33" s="2">
        <v>1060</v>
      </c>
      <c r="AL33" s="1">
        <f t="shared" si="23"/>
        <v>57.128592450834731</v>
      </c>
      <c r="AM33">
        <f t="shared" si="24"/>
        <v>0.69666666666666666</v>
      </c>
      <c r="AN33">
        <f t="shared" si="25"/>
        <v>1.7542311210692812E-2</v>
      </c>
      <c r="AO33" s="1">
        <f t="shared" si="26"/>
        <v>1698.7447907098599</v>
      </c>
      <c r="AP33" s="8">
        <v>1767</v>
      </c>
      <c r="AQ33" s="1">
        <f t="shared" si="27"/>
        <v>-68.255209290140101</v>
      </c>
      <c r="AR33" s="69">
        <f t="shared" si="28"/>
        <v>0.69666666666666666</v>
      </c>
      <c r="AS33">
        <f t="shared" si="29"/>
        <v>1.1245506265863047E-2</v>
      </c>
      <c r="AT33" s="1">
        <f t="shared" si="30"/>
        <v>803.41986038331379</v>
      </c>
      <c r="AU33" s="8">
        <v>707</v>
      </c>
      <c r="AV33" s="1">
        <f t="shared" si="31"/>
        <v>96.419860383313789</v>
      </c>
      <c r="AW33" s="68">
        <v>1.611</v>
      </c>
    </row>
    <row r="34" spans="1:49" x14ac:dyDescent="0.2">
      <c r="A34" s="10" t="s">
        <v>101</v>
      </c>
      <c r="B34" s="21">
        <v>1</v>
      </c>
      <c r="C34" s="3">
        <v>4830</v>
      </c>
      <c r="D34" s="21">
        <f t="shared" si="0"/>
        <v>5170</v>
      </c>
      <c r="E34" s="24">
        <v>4.5</v>
      </c>
      <c r="F34" s="21">
        <v>0</v>
      </c>
      <c r="G34" s="24">
        <v>2.8</v>
      </c>
      <c r="H34" s="21">
        <v>0</v>
      </c>
      <c r="I34" s="21">
        <v>2</v>
      </c>
      <c r="J34" s="24">
        <v>1</v>
      </c>
      <c r="K34" s="63">
        <f t="shared" si="1"/>
        <v>1.2166666666666666</v>
      </c>
      <c r="L34" s="45">
        <f t="shared" si="2"/>
        <v>1.9639281277703407E-2</v>
      </c>
      <c r="M34" s="44">
        <f t="shared" si="3"/>
        <v>2.1886562412686585E-2</v>
      </c>
      <c r="N34" s="41">
        <f t="shared" si="4"/>
        <v>0</v>
      </c>
      <c r="O34">
        <f t="shared" si="5"/>
        <v>1</v>
      </c>
      <c r="P34">
        <f t="shared" si="6"/>
        <v>2.2727272727272728E-2</v>
      </c>
      <c r="Q34">
        <f t="shared" si="7"/>
        <v>4.4634730176598654E-4</v>
      </c>
      <c r="R34" s="5">
        <f t="shared" si="8"/>
        <v>1.96392812777034E-2</v>
      </c>
      <c r="S34" s="8">
        <v>720</v>
      </c>
      <c r="T34" s="46">
        <f t="shared" si="9"/>
        <v>1068.5536550385643</v>
      </c>
      <c r="U34" s="1">
        <f t="shared" si="10"/>
        <v>348.55365503856433</v>
      </c>
      <c r="V34" s="41">
        <f t="shared" si="11"/>
        <v>-0.1</v>
      </c>
      <c r="W34">
        <f t="shared" si="12"/>
        <v>2.0156554358353862</v>
      </c>
      <c r="X34">
        <f t="shared" si="13"/>
        <v>2.4460327057516166E-2</v>
      </c>
      <c r="Y34">
        <f t="shared" si="14"/>
        <v>4.8038324322717931E-4</v>
      </c>
      <c r="Z34" s="5">
        <f t="shared" si="15"/>
        <v>2.0867503536624907E-2</v>
      </c>
      <c r="AA34" s="37">
        <v>865</v>
      </c>
      <c r="AB34" s="8">
        <v>0</v>
      </c>
      <c r="AC34" s="8">
        <v>0</v>
      </c>
      <c r="AD34" s="7">
        <f t="shared" si="16"/>
        <v>865</v>
      </c>
      <c r="AE34" s="46">
        <f t="shared" si="17"/>
        <v>1377.1091608924876</v>
      </c>
      <c r="AF34" s="1">
        <f t="shared" si="18"/>
        <v>512.10916089248758</v>
      </c>
      <c r="AG34" s="1">
        <f t="shared" si="19"/>
        <v>860.66281593105191</v>
      </c>
      <c r="AH34" s="55">
        <f t="shared" si="20"/>
        <v>1585</v>
      </c>
      <c r="AI34">
        <f t="shared" si="21"/>
        <v>1.96392812777034E-2</v>
      </c>
      <c r="AJ34" s="1">
        <f t="shared" si="22"/>
        <v>1950.9662021270558</v>
      </c>
      <c r="AK34" s="2">
        <v>1609</v>
      </c>
      <c r="AL34" s="1">
        <f t="shared" si="23"/>
        <v>341.96620212705579</v>
      </c>
      <c r="AM34">
        <f t="shared" si="24"/>
        <v>1.2166666666666666</v>
      </c>
      <c r="AN34">
        <f t="shared" si="25"/>
        <v>3.0636093741162086E-2</v>
      </c>
      <c r="AO34" s="1">
        <f t="shared" si="26"/>
        <v>2966.7074096129131</v>
      </c>
      <c r="AP34" s="8">
        <v>2926</v>
      </c>
      <c r="AQ34" s="1">
        <f t="shared" si="27"/>
        <v>40.707409612913125</v>
      </c>
      <c r="AR34" s="69">
        <f t="shared" si="28"/>
        <v>1.2166666666666666</v>
      </c>
      <c r="AS34">
        <f t="shared" si="29"/>
        <v>1.9639281277703407E-2</v>
      </c>
      <c r="AT34" s="1">
        <f t="shared" si="30"/>
        <v>1403.101670047414</v>
      </c>
      <c r="AU34" s="8">
        <v>1317</v>
      </c>
      <c r="AV34" s="1">
        <f t="shared" si="31"/>
        <v>86.101670047414018</v>
      </c>
      <c r="AW34" s="68">
        <v>1.611</v>
      </c>
    </row>
    <row r="35" spans="1:49" x14ac:dyDescent="0.2">
      <c r="A35" s="41" t="s">
        <v>14</v>
      </c>
      <c r="B35" s="21">
        <v>1</v>
      </c>
      <c r="C35" s="21">
        <v>5020</v>
      </c>
      <c r="D35" s="21">
        <f t="shared" si="0"/>
        <v>4980</v>
      </c>
      <c r="E35" s="24">
        <v>4.8</v>
      </c>
      <c r="F35" s="21">
        <v>0</v>
      </c>
      <c r="G35" s="24">
        <v>2.9</v>
      </c>
      <c r="H35" s="21">
        <v>0</v>
      </c>
      <c r="I35" s="21">
        <v>2</v>
      </c>
      <c r="J35" s="24">
        <v>1.1000000000000001</v>
      </c>
      <c r="K35" s="63">
        <f t="shared" si="1"/>
        <v>1.4116666666666666</v>
      </c>
      <c r="L35" s="13">
        <f t="shared" si="2"/>
        <v>2.2786946907143543E-2</v>
      </c>
      <c r="M35" s="13">
        <f t="shared" si="3"/>
        <v>2.1082220660576249E-2</v>
      </c>
      <c r="N35" s="41">
        <f t="shared" si="4"/>
        <v>0</v>
      </c>
      <c r="O35" s="13">
        <f t="shared" si="5"/>
        <v>1</v>
      </c>
      <c r="P35" s="13">
        <f t="shared" si="6"/>
        <v>2.2727272727272728E-2</v>
      </c>
      <c r="Q35" s="13">
        <f t="shared" si="7"/>
        <v>5.1788515698053506E-4</v>
      </c>
      <c r="R35" s="31">
        <f t="shared" si="8"/>
        <v>2.2786946907143536E-2</v>
      </c>
      <c r="S35" s="25">
        <v>1840</v>
      </c>
      <c r="T35" s="46">
        <f t="shared" si="9"/>
        <v>1239.8149942707726</v>
      </c>
      <c r="U35" s="22">
        <f t="shared" si="10"/>
        <v>-600.18500572922744</v>
      </c>
      <c r="V35" s="41">
        <f t="shared" si="11"/>
        <v>-0.1</v>
      </c>
      <c r="W35">
        <f t="shared" si="12"/>
        <v>1.8912984056193114</v>
      </c>
      <c r="X35" s="13">
        <f t="shared" si="13"/>
        <v>2.2951233004580508E-2</v>
      </c>
      <c r="Y35" s="13">
        <f t="shared" si="14"/>
        <v>5.2298852792885661E-4</v>
      </c>
      <c r="Z35" s="31">
        <f t="shared" si="15"/>
        <v>2.2718246545932397E-2</v>
      </c>
      <c r="AA35" s="37">
        <v>0</v>
      </c>
      <c r="AB35" s="25">
        <v>0</v>
      </c>
      <c r="AC35" s="25">
        <v>0</v>
      </c>
      <c r="AD35" s="26">
        <f t="shared" si="16"/>
        <v>0</v>
      </c>
      <c r="AE35" s="46">
        <f t="shared" si="17"/>
        <v>1499.2452443057166</v>
      </c>
      <c r="AF35" s="22">
        <f t="shared" si="18"/>
        <v>1499.2452443057166</v>
      </c>
      <c r="AG35" s="22">
        <f t="shared" si="19"/>
        <v>899.06023857648916</v>
      </c>
      <c r="AH35" s="55">
        <f t="shared" si="20"/>
        <v>1840</v>
      </c>
      <c r="AI35">
        <f t="shared" si="21"/>
        <v>2.2786946907143533E-2</v>
      </c>
      <c r="AJ35" s="1">
        <f t="shared" si="22"/>
        <v>2263.6553057556384</v>
      </c>
      <c r="AK35" s="2">
        <v>2138</v>
      </c>
      <c r="AL35" s="1">
        <f t="shared" si="23"/>
        <v>125.65530575563844</v>
      </c>
      <c r="AM35">
        <f t="shared" si="24"/>
        <v>1.4116666666666666</v>
      </c>
      <c r="AN35">
        <f t="shared" si="25"/>
        <v>3.5546262190088065E-2</v>
      </c>
      <c r="AO35" s="1">
        <f t="shared" si="26"/>
        <v>3442.1933917015581</v>
      </c>
      <c r="AP35" s="8">
        <v>2851</v>
      </c>
      <c r="AQ35" s="1">
        <f t="shared" si="27"/>
        <v>591.19339170155808</v>
      </c>
      <c r="AR35" s="69">
        <f t="shared" si="28"/>
        <v>1.4116666666666666</v>
      </c>
      <c r="AS35">
        <f t="shared" si="29"/>
        <v>2.2786946907143543E-2</v>
      </c>
      <c r="AT35" s="1">
        <f t="shared" si="30"/>
        <v>1627.9823486714515</v>
      </c>
      <c r="AU35" s="8">
        <v>1663</v>
      </c>
      <c r="AV35" s="1">
        <f t="shared" si="31"/>
        <v>-35.017651328548482</v>
      </c>
      <c r="AW35" s="68">
        <v>1.611</v>
      </c>
    </row>
    <row r="36" spans="1:49" x14ac:dyDescent="0.2">
      <c r="A36" s="48" t="s">
        <v>130</v>
      </c>
      <c r="B36" s="21">
        <v>0</v>
      </c>
      <c r="C36" s="21">
        <v>6228</v>
      </c>
      <c r="D36" s="21">
        <f t="shared" si="0"/>
        <v>3772</v>
      </c>
      <c r="E36" s="21">
        <v>0</v>
      </c>
      <c r="F36" s="21">
        <v>0</v>
      </c>
      <c r="G36" s="21">
        <v>0</v>
      </c>
      <c r="H36" s="21">
        <v>0</v>
      </c>
      <c r="I36" s="21">
        <v>1</v>
      </c>
      <c r="J36" s="24">
        <v>1</v>
      </c>
      <c r="K36" s="63">
        <v>1</v>
      </c>
      <c r="L36" s="21">
        <f t="shared" si="2"/>
        <v>1.6141875022769925E-2</v>
      </c>
      <c r="M36" s="44">
        <f t="shared" si="3"/>
        <v>1.5968300468211568E-2</v>
      </c>
      <c r="N36" s="41">
        <f t="shared" si="4"/>
        <v>0</v>
      </c>
      <c r="O36" s="13">
        <f t="shared" si="5"/>
        <v>1</v>
      </c>
      <c r="P36" s="13">
        <f t="shared" si="6"/>
        <v>2.2727272727272728E-2</v>
      </c>
      <c r="Q36" s="13">
        <f t="shared" si="7"/>
        <v>3.6686079597204375E-4</v>
      </c>
      <c r="R36" s="31">
        <f t="shared" si="8"/>
        <v>1.6141875022769921E-2</v>
      </c>
      <c r="S36" s="25">
        <v>0</v>
      </c>
      <c r="T36" s="46">
        <f t="shared" si="9"/>
        <v>878.26327811388865</v>
      </c>
      <c r="U36" s="22"/>
      <c r="V36" s="41">
        <f t="shared" si="11"/>
        <v>-0.1</v>
      </c>
      <c r="W36">
        <f t="shared" si="12"/>
        <v>1.6466888712084455</v>
      </c>
      <c r="X36" s="13">
        <f t="shared" si="13"/>
        <v>1.9982854031317755E-2</v>
      </c>
      <c r="Y36" s="13">
        <f t="shared" si="14"/>
        <v>3.225607323717854E-4</v>
      </c>
      <c r="Z36" s="31">
        <f t="shared" si="15"/>
        <v>1.4011806861384129E-2</v>
      </c>
      <c r="AA36" s="37">
        <v>0</v>
      </c>
      <c r="AB36" s="25">
        <v>0</v>
      </c>
      <c r="AC36" s="25">
        <v>0</v>
      </c>
      <c r="AD36" s="26">
        <f t="shared" si="16"/>
        <v>0</v>
      </c>
      <c r="AE36" s="46">
        <f t="shared" si="17"/>
        <v>924.68117020332284</v>
      </c>
      <c r="AF36" s="22">
        <f t="shared" si="18"/>
        <v>924.68117020332284</v>
      </c>
      <c r="AG36" s="22">
        <f t="shared" si="19"/>
        <v>924.68117020332284</v>
      </c>
      <c r="AH36" s="55">
        <f t="shared" si="20"/>
        <v>0</v>
      </c>
      <c r="AI36">
        <f t="shared" si="21"/>
        <v>1.6141875022769921E-2</v>
      </c>
      <c r="AJ36" s="1">
        <f t="shared" si="22"/>
        <v>1603.533864761964</v>
      </c>
      <c r="AK36" s="2">
        <v>0</v>
      </c>
      <c r="AL36" s="1">
        <f t="shared" si="23"/>
        <v>1603.533864761964</v>
      </c>
      <c r="AM36">
        <f t="shared" si="24"/>
        <v>0</v>
      </c>
      <c r="AN36">
        <f t="shared" si="25"/>
        <v>0</v>
      </c>
      <c r="AO36" s="1">
        <f t="shared" si="26"/>
        <v>0</v>
      </c>
      <c r="AP36" s="8">
        <v>0</v>
      </c>
      <c r="AQ36" s="1">
        <f t="shared" si="27"/>
        <v>0</v>
      </c>
      <c r="AR36" s="69">
        <f t="shared" si="28"/>
        <v>1</v>
      </c>
      <c r="AS36">
        <f t="shared" si="29"/>
        <v>1.6141875022769925E-2</v>
      </c>
      <c r="AT36" s="1">
        <f t="shared" si="30"/>
        <v>1153.2342493540391</v>
      </c>
      <c r="AU36" s="8">
        <v>0</v>
      </c>
      <c r="AV36" s="1">
        <f t="shared" si="31"/>
        <v>1153.2342493540391</v>
      </c>
      <c r="AW36" s="68">
        <v>1.611</v>
      </c>
    </row>
    <row r="37" spans="1:49" x14ac:dyDescent="0.2">
      <c r="A37" s="48" t="s">
        <v>40</v>
      </c>
      <c r="B37" s="3">
        <v>1</v>
      </c>
      <c r="C37" s="21">
        <v>4526</v>
      </c>
      <c r="D37" s="21">
        <f t="shared" si="0"/>
        <v>5474</v>
      </c>
      <c r="E37" s="21">
        <v>0</v>
      </c>
      <c r="F37" s="66">
        <f>$AE$51</f>
        <v>2.7360694027360686</v>
      </c>
      <c r="G37" s="24">
        <v>0.9</v>
      </c>
      <c r="H37" s="24">
        <v>4.9000000000000004</v>
      </c>
      <c r="I37" s="21">
        <v>3</v>
      </c>
      <c r="J37" s="24">
        <v>1</v>
      </c>
      <c r="K37" s="63">
        <f t="shared" ref="K37:K45" si="33">(SUM(E37:H37) / I37) *((N37 + 1) * J37 / 3)</f>
        <v>0.94845215585956311</v>
      </c>
      <c r="L37" s="13">
        <f t="shared" si="2"/>
        <v>1.5309796164961769E-2</v>
      </c>
      <c r="M37" s="13">
        <f t="shared" si="3"/>
        <v>2.3173509216063128E-2</v>
      </c>
      <c r="N37" s="41">
        <f t="shared" si="4"/>
        <v>0</v>
      </c>
      <c r="O37" s="13">
        <f t="shared" si="5"/>
        <v>1</v>
      </c>
      <c r="P37" s="13">
        <f t="shared" si="6"/>
        <v>2.2727272727272728E-2</v>
      </c>
      <c r="Q37" s="13">
        <f t="shared" si="7"/>
        <v>3.4794991284004022E-4</v>
      </c>
      <c r="R37" s="31">
        <f t="shared" si="8"/>
        <v>1.5309796164961765E-2</v>
      </c>
      <c r="S37" s="25">
        <v>645</v>
      </c>
      <c r="T37" s="46">
        <f t="shared" si="9"/>
        <v>832.99069953940466</v>
      </c>
      <c r="U37" s="22">
        <f t="shared" ref="U37:U45" si="34">T37-S37</f>
        <v>187.99069953940466</v>
      </c>
      <c r="V37" s="41">
        <f t="shared" si="11"/>
        <v>-0.1</v>
      </c>
      <c r="W37">
        <f t="shared" si="12"/>
        <v>2.1958771038086149</v>
      </c>
      <c r="X37" s="13">
        <f t="shared" si="13"/>
        <v>2.6647348144108404E-2</v>
      </c>
      <c r="Y37" s="13">
        <f t="shared" si="14"/>
        <v>4.0796546842307197E-4</v>
      </c>
      <c r="Z37" s="31">
        <f t="shared" si="15"/>
        <v>1.7721727339921556E-2</v>
      </c>
      <c r="AA37" s="37">
        <v>0</v>
      </c>
      <c r="AB37" s="25">
        <v>215</v>
      </c>
      <c r="AC37" s="25">
        <v>0</v>
      </c>
      <c r="AD37" s="26">
        <f t="shared" si="16"/>
        <v>215</v>
      </c>
      <c r="AE37" s="46">
        <f t="shared" si="17"/>
        <v>1169.5099523434433</v>
      </c>
      <c r="AF37" s="22">
        <f t="shared" si="18"/>
        <v>954.50995234344327</v>
      </c>
      <c r="AG37" s="22">
        <f t="shared" si="19"/>
        <v>1142.5006518828479</v>
      </c>
      <c r="AH37" s="55">
        <f t="shared" si="20"/>
        <v>860</v>
      </c>
      <c r="AI37">
        <f t="shared" si="21"/>
        <v>1.5309796164961765E-2</v>
      </c>
      <c r="AJ37" s="1">
        <f t="shared" si="22"/>
        <v>1520.8751510273019</v>
      </c>
      <c r="AK37" s="2">
        <v>892</v>
      </c>
      <c r="AL37" s="1">
        <f t="shared" si="23"/>
        <v>628.87515102730185</v>
      </c>
      <c r="AM37">
        <f t="shared" si="24"/>
        <v>0.94845215585956311</v>
      </c>
      <c r="AN37">
        <f t="shared" si="25"/>
        <v>2.3882358210345907E-2</v>
      </c>
      <c r="AO37" s="1">
        <f t="shared" si="26"/>
        <v>2312.6959220152667</v>
      </c>
      <c r="AP37" s="8">
        <v>2229</v>
      </c>
      <c r="AQ37" s="1">
        <f t="shared" si="27"/>
        <v>83.69592201526666</v>
      </c>
      <c r="AR37" s="69">
        <f t="shared" si="28"/>
        <v>0.94845215585956311</v>
      </c>
      <c r="AS37">
        <f t="shared" si="29"/>
        <v>1.5309796164961769E-2</v>
      </c>
      <c r="AT37" s="1">
        <f t="shared" si="30"/>
        <v>1093.7875100109231</v>
      </c>
      <c r="AU37" s="8">
        <v>892</v>
      </c>
      <c r="AV37" s="1">
        <f t="shared" si="31"/>
        <v>201.78751001092314</v>
      </c>
      <c r="AW37" s="68">
        <v>1.611</v>
      </c>
    </row>
    <row r="38" spans="1:49" x14ac:dyDescent="0.2">
      <c r="A38" s="31" t="s">
        <v>4</v>
      </c>
      <c r="B38" s="21">
        <v>1</v>
      </c>
      <c r="C38" s="21">
        <v>4791</v>
      </c>
      <c r="D38" s="21">
        <f t="shared" si="0"/>
        <v>5209</v>
      </c>
      <c r="E38" s="24">
        <v>4.5</v>
      </c>
      <c r="F38" s="66">
        <f>$AE$55</f>
        <v>4.7380714047380703</v>
      </c>
      <c r="G38" s="24">
        <v>4.9000000000000004</v>
      </c>
      <c r="H38" s="21">
        <v>0</v>
      </c>
      <c r="I38" s="21">
        <v>2</v>
      </c>
      <c r="J38" s="24">
        <v>1</v>
      </c>
      <c r="K38" s="76">
        <f t="shared" si="33"/>
        <v>2.3563452341230118</v>
      </c>
      <c r="L38" s="44">
        <f t="shared" si="2"/>
        <v>3.803583027971319E-2</v>
      </c>
      <c r="M38" s="44">
        <f t="shared" si="3"/>
        <v>2.205166414075134E-2</v>
      </c>
      <c r="N38" s="41">
        <f t="shared" si="4"/>
        <v>0</v>
      </c>
      <c r="O38" s="13">
        <f t="shared" si="5"/>
        <v>1</v>
      </c>
      <c r="P38" s="13">
        <f t="shared" si="6"/>
        <v>2.2727272727272728E-2</v>
      </c>
      <c r="Q38" s="13">
        <f t="shared" si="7"/>
        <v>8.6445068817529974E-4</v>
      </c>
      <c r="R38" s="31">
        <f t="shared" si="8"/>
        <v>3.8035830279713176E-2</v>
      </c>
      <c r="S38" s="25">
        <v>1791</v>
      </c>
      <c r="T38" s="46">
        <f t="shared" si="9"/>
        <v>2069.491489688914</v>
      </c>
      <c r="U38" s="22">
        <f t="shared" si="34"/>
        <v>278.49148968891404</v>
      </c>
      <c r="V38" s="41">
        <f t="shared" si="11"/>
        <v>-0.1</v>
      </c>
      <c r="W38">
        <f t="shared" si="12"/>
        <v>2.0567527174036795</v>
      </c>
      <c r="X38" s="13">
        <f t="shared" si="13"/>
        <v>2.4959049671740483E-2</v>
      </c>
      <c r="Y38" s="13">
        <f t="shared" si="14"/>
        <v>9.4933817725725226E-4</v>
      </c>
      <c r="Z38" s="31">
        <f t="shared" si="15"/>
        <v>4.1238569518546264E-2</v>
      </c>
      <c r="AA38" s="37">
        <v>1280</v>
      </c>
      <c r="AB38" s="25">
        <v>512</v>
      </c>
      <c r="AC38" s="25">
        <v>0</v>
      </c>
      <c r="AD38" s="26">
        <f t="shared" si="16"/>
        <v>1792</v>
      </c>
      <c r="AE38" s="46">
        <f t="shared" si="17"/>
        <v>2721.4569182374235</v>
      </c>
      <c r="AF38" s="22">
        <f t="shared" si="18"/>
        <v>929.45691823742345</v>
      </c>
      <c r="AG38" s="22">
        <f t="shared" si="19"/>
        <v>1207.9484079263375</v>
      </c>
      <c r="AH38" s="55">
        <f t="shared" si="20"/>
        <v>3583</v>
      </c>
      <c r="AI38">
        <f t="shared" si="21"/>
        <v>3.8035830279713176E-2</v>
      </c>
      <c r="AJ38" s="1">
        <f t="shared" si="22"/>
        <v>3778.479379986707</v>
      </c>
      <c r="AK38" s="2">
        <v>2158</v>
      </c>
      <c r="AL38" s="1">
        <f t="shared" si="23"/>
        <v>1620.479379986707</v>
      </c>
      <c r="AM38">
        <f t="shared" si="24"/>
        <v>2.3563452341230118</v>
      </c>
      <c r="AN38">
        <f t="shared" si="25"/>
        <v>5.933360011983544E-2</v>
      </c>
      <c r="AO38" s="1">
        <f t="shared" si="26"/>
        <v>5745.6878348045047</v>
      </c>
      <c r="AP38" s="8">
        <v>4855</v>
      </c>
      <c r="AQ38" s="1">
        <f t="shared" si="27"/>
        <v>890.68783480450475</v>
      </c>
      <c r="AR38" s="69">
        <f t="shared" si="28"/>
        <v>2.3563452341230118</v>
      </c>
      <c r="AS38">
        <f t="shared" si="29"/>
        <v>3.803583027971319E-2</v>
      </c>
      <c r="AT38" s="1">
        <f t="shared" si="30"/>
        <v>2717.4180272928184</v>
      </c>
      <c r="AU38" s="8">
        <v>2697</v>
      </c>
      <c r="AV38" s="1">
        <f t="shared" si="31"/>
        <v>20.418027292818351</v>
      </c>
      <c r="AW38" s="68">
        <v>1.611</v>
      </c>
    </row>
    <row r="39" spans="1:49" x14ac:dyDescent="0.2">
      <c r="A39" s="31" t="s">
        <v>98</v>
      </c>
      <c r="B39" s="21">
        <v>1</v>
      </c>
      <c r="C39" s="21">
        <v>4831</v>
      </c>
      <c r="D39" s="21">
        <f t="shared" si="0"/>
        <v>5169</v>
      </c>
      <c r="E39" s="21">
        <v>0</v>
      </c>
      <c r="F39" s="21">
        <v>0</v>
      </c>
      <c r="G39" s="21">
        <v>0</v>
      </c>
      <c r="H39" s="24">
        <v>4.9000000000000004</v>
      </c>
      <c r="I39" s="21">
        <v>1</v>
      </c>
      <c r="J39" s="24">
        <v>0.9</v>
      </c>
      <c r="K39" s="63">
        <f t="shared" si="33"/>
        <v>1.47</v>
      </c>
      <c r="L39" s="44">
        <f t="shared" si="2"/>
        <v>2.3728556283471789E-2</v>
      </c>
      <c r="M39" s="44">
        <f t="shared" si="3"/>
        <v>2.1882329035043901E-2</v>
      </c>
      <c r="N39" s="41">
        <f t="shared" si="4"/>
        <v>0</v>
      </c>
      <c r="O39" s="21">
        <f t="shared" si="5"/>
        <v>1</v>
      </c>
      <c r="P39" s="21">
        <f t="shared" si="6"/>
        <v>2.2727272727272728E-2</v>
      </c>
      <c r="Q39" s="21">
        <f t="shared" si="7"/>
        <v>5.3928537007890429E-4</v>
      </c>
      <c r="R39" s="31">
        <f t="shared" si="8"/>
        <v>2.3728556283471782E-2</v>
      </c>
      <c r="S39" s="25">
        <v>1457</v>
      </c>
      <c r="T39" s="46">
        <f t="shared" si="9"/>
        <v>1291.0470188274162</v>
      </c>
      <c r="U39" s="22">
        <f t="shared" si="34"/>
        <v>-165.9529811725838</v>
      </c>
      <c r="V39" s="41">
        <f t="shared" si="11"/>
        <v>-0.1</v>
      </c>
      <c r="W39">
        <f t="shared" si="12"/>
        <v>2.0147132229479445</v>
      </c>
      <c r="X39" s="13">
        <f t="shared" si="13"/>
        <v>2.4448893141294725E-2</v>
      </c>
      <c r="Y39" s="13">
        <f t="shared" si="14"/>
        <v>5.8013693697179928E-4</v>
      </c>
      <c r="Z39" s="31">
        <f t="shared" si="15"/>
        <v>2.520073244574161E-2</v>
      </c>
      <c r="AA39" s="37">
        <v>0</v>
      </c>
      <c r="AB39" s="25">
        <v>0</v>
      </c>
      <c r="AC39" s="25">
        <v>0</v>
      </c>
      <c r="AD39" s="26">
        <f t="shared" si="16"/>
        <v>0</v>
      </c>
      <c r="AE39" s="46">
        <f t="shared" si="17"/>
        <v>1663.071936291826</v>
      </c>
      <c r="AF39" s="22">
        <f t="shared" si="18"/>
        <v>1663.071936291826</v>
      </c>
      <c r="AG39" s="22">
        <f t="shared" si="19"/>
        <v>1497.1189551192422</v>
      </c>
      <c r="AH39" s="55">
        <f t="shared" si="20"/>
        <v>1457</v>
      </c>
      <c r="AI39">
        <f t="shared" si="21"/>
        <v>2.3728556283471782E-2</v>
      </c>
      <c r="AJ39" s="1">
        <f t="shared" si="22"/>
        <v>2357.1947812000867</v>
      </c>
      <c r="AK39" s="2">
        <v>2117</v>
      </c>
      <c r="AL39" s="1">
        <f t="shared" si="23"/>
        <v>240.19478120008671</v>
      </c>
      <c r="AM39">
        <f t="shared" si="24"/>
        <v>1.47</v>
      </c>
      <c r="AN39">
        <f t="shared" si="25"/>
        <v>3.7015115999595838E-2</v>
      </c>
      <c r="AO39" s="1">
        <f t="shared" si="26"/>
        <v>3584.4327880528622</v>
      </c>
      <c r="AP39" s="8">
        <v>2964</v>
      </c>
      <c r="AQ39" s="1">
        <f t="shared" si="27"/>
        <v>620.43278805286218</v>
      </c>
      <c r="AR39" s="69">
        <f t="shared" si="28"/>
        <v>1.47</v>
      </c>
      <c r="AS39">
        <f t="shared" si="29"/>
        <v>2.3728556283471789E-2</v>
      </c>
      <c r="AT39" s="1">
        <f t="shared" si="30"/>
        <v>1695.2543465504373</v>
      </c>
      <c r="AU39" s="8">
        <v>1694</v>
      </c>
      <c r="AV39" s="1">
        <f t="shared" si="31"/>
        <v>1.2543465504372762</v>
      </c>
      <c r="AW39" s="68">
        <v>1.611</v>
      </c>
    </row>
    <row r="40" spans="1:49" x14ac:dyDescent="0.2">
      <c r="A40" s="42" t="s">
        <v>95</v>
      </c>
      <c r="B40" s="21">
        <v>1</v>
      </c>
      <c r="C40" s="21">
        <v>4630</v>
      </c>
      <c r="D40" s="21">
        <f t="shared" si="0"/>
        <v>5370</v>
      </c>
      <c r="E40" s="24">
        <v>3.6</v>
      </c>
      <c r="F40" s="66">
        <f>$AE$47</f>
        <v>2.2689356022689351</v>
      </c>
      <c r="G40" s="24">
        <v>3.3</v>
      </c>
      <c r="H40" s="24">
        <v>5.6</v>
      </c>
      <c r="I40" s="21">
        <v>3</v>
      </c>
      <c r="J40" s="24">
        <v>0.65600000000000003</v>
      </c>
      <c r="K40" s="63">
        <f t="shared" si="33"/>
        <v>1.0764913061209358</v>
      </c>
      <c r="L40" s="44">
        <f t="shared" si="2"/>
        <v>1.7376588126502505E-2</v>
      </c>
      <c r="M40" s="44">
        <f t="shared" si="3"/>
        <v>2.2733237941223786E-2</v>
      </c>
      <c r="N40" s="41">
        <f t="shared" si="4"/>
        <v>0</v>
      </c>
      <c r="O40" s="13">
        <f t="shared" si="5"/>
        <v>1</v>
      </c>
      <c r="P40" s="13">
        <f t="shared" si="6"/>
        <v>2.2727272727272728E-2</v>
      </c>
      <c r="Q40" s="13">
        <f t="shared" si="7"/>
        <v>3.9492245742051149E-4</v>
      </c>
      <c r="R40" s="31">
        <f t="shared" si="8"/>
        <v>1.7376588126502501E-2</v>
      </c>
      <c r="S40" s="25">
        <v>894</v>
      </c>
      <c r="T40" s="46">
        <f t="shared" si="9"/>
        <v>945.44278337487458</v>
      </c>
      <c r="U40" s="22">
        <f t="shared" si="34"/>
        <v>51.44278337487458</v>
      </c>
      <c r="V40" s="41">
        <f t="shared" si="11"/>
        <v>-0.1</v>
      </c>
      <c r="W40">
        <f t="shared" si="12"/>
        <v>2.6588358775817711</v>
      </c>
      <c r="X40" s="13">
        <f t="shared" si="13"/>
        <v>3.2265432871940253E-2</v>
      </c>
      <c r="Y40" s="13">
        <f t="shared" si="14"/>
        <v>5.6066313773902058E-4</v>
      </c>
      <c r="Z40" s="31">
        <f t="shared" si="15"/>
        <v>2.4354804574420432E-2</v>
      </c>
      <c r="AA40" s="37">
        <v>0</v>
      </c>
      <c r="AB40" s="25">
        <v>149</v>
      </c>
      <c r="AC40" s="25">
        <v>0</v>
      </c>
      <c r="AD40" s="26">
        <f t="shared" si="16"/>
        <v>149</v>
      </c>
      <c r="AE40" s="46">
        <f t="shared" si="17"/>
        <v>1607.2466182797275</v>
      </c>
      <c r="AF40" s="22">
        <f t="shared" si="18"/>
        <v>1458.2466182797275</v>
      </c>
      <c r="AG40" s="22">
        <f t="shared" si="19"/>
        <v>1509.6894016546021</v>
      </c>
      <c r="AH40" s="55">
        <f t="shared" si="20"/>
        <v>1043</v>
      </c>
      <c r="AI40">
        <f t="shared" si="21"/>
        <v>1.7376588126502501E-2</v>
      </c>
      <c r="AJ40" s="1">
        <f t="shared" si="22"/>
        <v>1726.1902644867585</v>
      </c>
      <c r="AK40" s="2">
        <v>1516</v>
      </c>
      <c r="AL40" s="1">
        <f t="shared" si="23"/>
        <v>210.19026448675845</v>
      </c>
      <c r="AM40">
        <f t="shared" si="24"/>
        <v>1.0764913061209358</v>
      </c>
      <c r="AN40">
        <f t="shared" si="25"/>
        <v>2.7106428958246852E-2</v>
      </c>
      <c r="AO40" s="1">
        <f t="shared" si="26"/>
        <v>2624.9052610297504</v>
      </c>
      <c r="AP40" s="73">
        <v>0</v>
      </c>
      <c r="AQ40" s="1">
        <f t="shared" si="27"/>
        <v>2624.9052610297504</v>
      </c>
      <c r="AR40" s="69">
        <f t="shared" si="28"/>
        <v>1.0764913061209358</v>
      </c>
      <c r="AS40">
        <f t="shared" si="29"/>
        <v>1.7376588126502505E-2</v>
      </c>
      <c r="AT40" s="1">
        <f t="shared" si="30"/>
        <v>1241.4466433505263</v>
      </c>
      <c r="AU40" s="8">
        <v>1364</v>
      </c>
      <c r="AV40" s="1">
        <f t="shared" si="31"/>
        <v>-122.5533566494737</v>
      </c>
      <c r="AW40" s="68">
        <v>1.611</v>
      </c>
    </row>
    <row r="41" spans="1:49" x14ac:dyDescent="0.2">
      <c r="A41" s="23" t="s">
        <v>127</v>
      </c>
      <c r="B41" s="21">
        <v>0</v>
      </c>
      <c r="C41" s="21">
        <v>4513</v>
      </c>
      <c r="D41" s="21">
        <f t="shared" si="0"/>
        <v>5487</v>
      </c>
      <c r="E41" s="21">
        <v>0</v>
      </c>
      <c r="F41" s="21">
        <v>0</v>
      </c>
      <c r="G41" s="21">
        <v>0</v>
      </c>
      <c r="H41" s="24">
        <v>5.6</v>
      </c>
      <c r="I41" s="21">
        <v>1</v>
      </c>
      <c r="J41" s="24">
        <v>1</v>
      </c>
      <c r="K41" s="63">
        <f t="shared" si="33"/>
        <v>1.8666666666666665</v>
      </c>
      <c r="L41" s="44">
        <f t="shared" si="2"/>
        <v>3.0131500042503857E-2</v>
      </c>
      <c r="M41" s="44">
        <f t="shared" si="3"/>
        <v>2.3228543125418045E-2</v>
      </c>
      <c r="N41" s="41">
        <f t="shared" si="4"/>
        <v>0</v>
      </c>
      <c r="O41" s="13">
        <f t="shared" si="5"/>
        <v>1</v>
      </c>
      <c r="P41" s="13">
        <f t="shared" si="6"/>
        <v>2.2727272727272728E-2</v>
      </c>
      <c r="Q41" s="13">
        <f t="shared" si="7"/>
        <v>6.8480681914781494E-4</v>
      </c>
      <c r="R41" s="31">
        <f t="shared" si="8"/>
        <v>3.0131500042503846E-2</v>
      </c>
      <c r="S41" s="25">
        <v>1440</v>
      </c>
      <c r="T41" s="46">
        <f t="shared" si="9"/>
        <v>1639.4247858125918</v>
      </c>
      <c r="U41" s="22">
        <f t="shared" si="34"/>
        <v>199.42478581259184</v>
      </c>
      <c r="V41" s="41">
        <f t="shared" si="11"/>
        <v>-0.1</v>
      </c>
      <c r="W41">
        <f t="shared" si="12"/>
        <v>2.1666371507386346</v>
      </c>
      <c r="X41" s="13">
        <f t="shared" si="13"/>
        <v>2.6292516260383338E-2</v>
      </c>
      <c r="Y41" s="13">
        <f t="shared" si="14"/>
        <v>7.9223295481727388E-4</v>
      </c>
      <c r="Z41" s="31">
        <f t="shared" si="15"/>
        <v>3.441403133760456E-2</v>
      </c>
      <c r="AA41" s="37">
        <v>0</v>
      </c>
      <c r="AB41" s="25">
        <v>360</v>
      </c>
      <c r="AC41" s="25">
        <v>0</v>
      </c>
      <c r="AD41" s="26">
        <f t="shared" si="16"/>
        <v>360</v>
      </c>
      <c r="AE41" s="46">
        <f t="shared" si="17"/>
        <v>2271.0851700625376</v>
      </c>
      <c r="AF41" s="22">
        <f t="shared" si="18"/>
        <v>1911.0851700625376</v>
      </c>
      <c r="AG41" s="22">
        <f t="shared" si="19"/>
        <v>2110.5099558751294</v>
      </c>
      <c r="AH41" s="55">
        <f t="shared" si="20"/>
        <v>1800</v>
      </c>
      <c r="AI41">
        <f t="shared" si="21"/>
        <v>3.0131500042503846E-2</v>
      </c>
      <c r="AJ41" s="1">
        <f t="shared" si="22"/>
        <v>2993.263214222332</v>
      </c>
      <c r="AK41" s="2">
        <v>2577</v>
      </c>
      <c r="AL41" s="1">
        <f t="shared" si="23"/>
        <v>416.26321422233195</v>
      </c>
      <c r="AM41">
        <f t="shared" si="24"/>
        <v>0</v>
      </c>
      <c r="AN41">
        <f t="shared" si="25"/>
        <v>0</v>
      </c>
      <c r="AO41" s="1">
        <f t="shared" si="26"/>
        <v>0</v>
      </c>
      <c r="AP41" s="8">
        <v>3681</v>
      </c>
      <c r="AQ41" s="1">
        <f t="shared" si="27"/>
        <v>-3681</v>
      </c>
      <c r="AR41" s="69">
        <f t="shared" si="28"/>
        <v>1.8666666666666665</v>
      </c>
      <c r="AS41">
        <f t="shared" si="29"/>
        <v>3.0131500042503857E-2</v>
      </c>
      <c r="AT41" s="1">
        <f t="shared" si="30"/>
        <v>2152.7039321275392</v>
      </c>
      <c r="AU41" s="8">
        <v>2209</v>
      </c>
      <c r="AV41" s="1">
        <f t="shared" si="31"/>
        <v>-56.296067872460753</v>
      </c>
      <c r="AW41" s="68">
        <v>1.611</v>
      </c>
    </row>
    <row r="42" spans="1:49" x14ac:dyDescent="0.2">
      <c r="A42" s="41" t="s">
        <v>103</v>
      </c>
      <c r="B42" s="21">
        <v>1</v>
      </c>
      <c r="C42" s="21">
        <v>4556</v>
      </c>
      <c r="D42" s="21">
        <f t="shared" si="0"/>
        <v>5444</v>
      </c>
      <c r="E42" s="24">
        <v>9.1999999999999993</v>
      </c>
      <c r="F42" s="21">
        <v>0</v>
      </c>
      <c r="G42" s="24">
        <v>5.7</v>
      </c>
      <c r="H42" s="24">
        <v>5.2</v>
      </c>
      <c r="I42" s="21">
        <v>3</v>
      </c>
      <c r="J42" s="24">
        <v>1</v>
      </c>
      <c r="K42" s="63">
        <f t="shared" si="33"/>
        <v>2.2333333333333329</v>
      </c>
      <c r="L42" s="13">
        <f t="shared" si="2"/>
        <v>3.6050187550852826E-2</v>
      </c>
      <c r="M42" s="13">
        <f t="shared" si="3"/>
        <v>2.3046507886782547E-2</v>
      </c>
      <c r="N42" s="41">
        <f t="shared" si="4"/>
        <v>0</v>
      </c>
      <c r="O42" s="13">
        <f t="shared" si="5"/>
        <v>1</v>
      </c>
      <c r="P42" s="13">
        <f t="shared" si="6"/>
        <v>2.2727272727272728E-2</v>
      </c>
      <c r="Q42" s="13">
        <f t="shared" si="7"/>
        <v>8.1932244433756429E-4</v>
      </c>
      <c r="R42" s="31">
        <f t="shared" si="8"/>
        <v>3.6050187550852819E-2</v>
      </c>
      <c r="S42" s="25">
        <v>2244</v>
      </c>
      <c r="T42" s="46">
        <f t="shared" si="9"/>
        <v>1961.4546544543509</v>
      </c>
      <c r="U42" s="22">
        <f t="shared" si="34"/>
        <v>-282.54534554564907</v>
      </c>
      <c r="V42" s="41">
        <f t="shared" si="11"/>
        <v>-0.1</v>
      </c>
      <c r="W42">
        <f t="shared" si="12"/>
        <v>2.2859588908569202</v>
      </c>
      <c r="X42" s="13">
        <f t="shared" si="13"/>
        <v>2.774050619778828E-2</v>
      </c>
      <c r="Y42" s="13">
        <f t="shared" si="14"/>
        <v>1.0000504511858627E-3</v>
      </c>
      <c r="Z42" s="31">
        <f t="shared" si="15"/>
        <v>4.3441474325230198E-2</v>
      </c>
      <c r="AA42" s="37">
        <v>0</v>
      </c>
      <c r="AB42" s="25">
        <v>0</v>
      </c>
      <c r="AC42" s="25">
        <v>0</v>
      </c>
      <c r="AD42" s="26">
        <f t="shared" si="16"/>
        <v>0</v>
      </c>
      <c r="AE42" s="46">
        <f t="shared" si="17"/>
        <v>2866.8332151449163</v>
      </c>
      <c r="AF42" s="22">
        <f t="shared" si="18"/>
        <v>2866.8332151449163</v>
      </c>
      <c r="AG42" s="22">
        <f t="shared" si="19"/>
        <v>2584.2878695992672</v>
      </c>
      <c r="AH42" s="55">
        <f t="shared" si="20"/>
        <v>2244</v>
      </c>
      <c r="AI42">
        <f t="shared" si="21"/>
        <v>3.6050187550852819E-2</v>
      </c>
      <c r="AJ42" s="1">
        <f t="shared" si="22"/>
        <v>3581.2256313017192</v>
      </c>
      <c r="AK42" s="2">
        <v>3552</v>
      </c>
      <c r="AL42" s="1">
        <f t="shared" si="23"/>
        <v>29.225631301719204</v>
      </c>
      <c r="AM42">
        <f t="shared" si="24"/>
        <v>2.2333333333333329</v>
      </c>
      <c r="AN42">
        <f t="shared" si="25"/>
        <v>5.6236117278297526E-2</v>
      </c>
      <c r="AO42" s="1">
        <f t="shared" si="26"/>
        <v>5445.7368888784977</v>
      </c>
      <c r="AP42" s="8">
        <v>0</v>
      </c>
      <c r="AQ42" s="1">
        <f t="shared" si="27"/>
        <v>5445.7368888784977</v>
      </c>
      <c r="AR42" s="69">
        <f t="shared" si="28"/>
        <v>2.2333333333333329</v>
      </c>
      <c r="AS42">
        <f t="shared" si="29"/>
        <v>3.6050187550852826E-2</v>
      </c>
      <c r="AT42" s="1">
        <f t="shared" si="30"/>
        <v>2575.5564902240199</v>
      </c>
      <c r="AU42" s="8">
        <v>2368</v>
      </c>
      <c r="AV42" s="1">
        <f t="shared" si="31"/>
        <v>207.55649022401985</v>
      </c>
      <c r="AW42" s="68">
        <v>1.611</v>
      </c>
    </row>
    <row r="43" spans="1:49" x14ac:dyDescent="0.2">
      <c r="A43" s="42" t="s">
        <v>125</v>
      </c>
      <c r="B43" s="21">
        <v>0</v>
      </c>
      <c r="C43" s="21">
        <v>4523</v>
      </c>
      <c r="D43" s="21">
        <f t="shared" si="0"/>
        <v>5477</v>
      </c>
      <c r="E43" s="21">
        <v>0</v>
      </c>
      <c r="F43" s="21">
        <v>0</v>
      </c>
      <c r="G43" s="21">
        <v>0</v>
      </c>
      <c r="H43" s="24">
        <v>5.7</v>
      </c>
      <c r="I43" s="21">
        <v>1</v>
      </c>
      <c r="J43" s="24">
        <v>1.1000000000000001</v>
      </c>
      <c r="K43" s="63">
        <f t="shared" si="33"/>
        <v>2.0900000000000003</v>
      </c>
      <c r="L43" s="44">
        <f t="shared" si="2"/>
        <v>3.3736518797589148E-2</v>
      </c>
      <c r="M43" s="44">
        <f t="shared" si="3"/>
        <v>2.3186209348991186E-2</v>
      </c>
      <c r="N43" s="41">
        <f t="shared" si="4"/>
        <v>0</v>
      </c>
      <c r="O43" s="13">
        <f t="shared" si="5"/>
        <v>1</v>
      </c>
      <c r="P43" s="13">
        <f t="shared" si="6"/>
        <v>2.2727272727272728E-2</v>
      </c>
      <c r="Q43" s="13">
        <f t="shared" si="7"/>
        <v>7.6673906358157155E-4</v>
      </c>
      <c r="R43" s="31">
        <f t="shared" si="8"/>
        <v>3.3736518797589134E-2</v>
      </c>
      <c r="S43" s="25">
        <v>1274</v>
      </c>
      <c r="T43" s="46">
        <f t="shared" si="9"/>
        <v>1835.5702512580272</v>
      </c>
      <c r="U43" s="22">
        <f t="shared" si="34"/>
        <v>561.57025125802716</v>
      </c>
      <c r="V43" s="41">
        <f t="shared" si="11"/>
        <v>-0.1</v>
      </c>
      <c r="W43">
        <f t="shared" si="12"/>
        <v>2.1887371034675347</v>
      </c>
      <c r="X43" s="13">
        <f t="shared" si="13"/>
        <v>2.6560703006041332E-2</v>
      </c>
      <c r="Y43" s="13">
        <f t="shared" si="14"/>
        <v>8.9606565624049601E-4</v>
      </c>
      <c r="Z43" s="31">
        <f t="shared" si="15"/>
        <v>3.8924449414660035E-2</v>
      </c>
      <c r="AA43" s="37">
        <v>531</v>
      </c>
      <c r="AB43" s="25">
        <v>0</v>
      </c>
      <c r="AC43" s="25">
        <v>0</v>
      </c>
      <c r="AD43" s="26">
        <f t="shared" si="16"/>
        <v>531</v>
      </c>
      <c r="AE43" s="46">
        <f t="shared" si="17"/>
        <v>2568.7411902216595</v>
      </c>
      <c r="AF43" s="22">
        <f t="shared" si="18"/>
        <v>2037.7411902216595</v>
      </c>
      <c r="AG43" s="22">
        <f t="shared" si="19"/>
        <v>2599.3114414796864</v>
      </c>
      <c r="AH43" s="55">
        <f t="shared" si="20"/>
        <v>1805</v>
      </c>
      <c r="AI43">
        <f t="shared" si="21"/>
        <v>3.3736518797589134E-2</v>
      </c>
      <c r="AJ43" s="1">
        <f t="shared" si="22"/>
        <v>3351.3857773525046</v>
      </c>
      <c r="AK43" s="2">
        <v>3215</v>
      </c>
      <c r="AL43" s="49">
        <f t="shared" si="23"/>
        <v>136.38577735250465</v>
      </c>
      <c r="AM43">
        <f t="shared" si="24"/>
        <v>0</v>
      </c>
      <c r="AN43">
        <f t="shared" si="25"/>
        <v>0</v>
      </c>
      <c r="AO43" s="1">
        <f t="shared" si="26"/>
        <v>0</v>
      </c>
      <c r="AP43" s="8">
        <v>0</v>
      </c>
      <c r="AQ43" s="1">
        <f t="shared" si="27"/>
        <v>0</v>
      </c>
      <c r="AR43" s="69">
        <f t="shared" si="28"/>
        <v>2.0900000000000003</v>
      </c>
      <c r="AS43">
        <f t="shared" si="29"/>
        <v>3.3736518797589148E-2</v>
      </c>
      <c r="AT43" s="1">
        <f t="shared" si="30"/>
        <v>2410.2595811499418</v>
      </c>
      <c r="AU43" s="8">
        <v>2550</v>
      </c>
      <c r="AV43" s="1">
        <f t="shared" si="31"/>
        <v>-139.74041885005818</v>
      </c>
      <c r="AW43" s="68">
        <v>1.611</v>
      </c>
    </row>
    <row r="44" spans="1:49" x14ac:dyDescent="0.2">
      <c r="A44" s="39" t="s">
        <v>27</v>
      </c>
      <c r="B44" s="21">
        <v>1</v>
      </c>
      <c r="C44" s="21">
        <v>5012</v>
      </c>
      <c r="D44" s="21">
        <f t="shared" si="0"/>
        <v>4988</v>
      </c>
      <c r="E44" s="24">
        <v>7.9</v>
      </c>
      <c r="F44" s="66">
        <f>$AE$54</f>
        <v>5.4721388054721372</v>
      </c>
      <c r="G44" s="24">
        <v>6.3</v>
      </c>
      <c r="H44" s="24">
        <v>10.3</v>
      </c>
      <c r="I44" s="21">
        <v>3</v>
      </c>
      <c r="J44" s="24">
        <v>1</v>
      </c>
      <c r="K44" s="76">
        <f t="shared" si="33"/>
        <v>3.3302376450524598</v>
      </c>
      <c r="L44" s="13">
        <f t="shared" si="2"/>
        <v>5.375627986256043E-2</v>
      </c>
      <c r="M44" s="13">
        <f t="shared" si="3"/>
        <v>2.1116087681717736E-2</v>
      </c>
      <c r="N44" s="41">
        <f t="shared" si="4"/>
        <v>0</v>
      </c>
      <c r="O44" s="13">
        <f t="shared" si="5"/>
        <v>1</v>
      </c>
      <c r="P44" s="13">
        <f t="shared" si="6"/>
        <v>2.2727272727272728E-2</v>
      </c>
      <c r="Q44" s="13">
        <f t="shared" si="7"/>
        <v>1.2217336332400097E-3</v>
      </c>
      <c r="R44" s="31">
        <f t="shared" si="8"/>
        <v>5.3756279862560409E-2</v>
      </c>
      <c r="S44" s="25">
        <v>1572</v>
      </c>
      <c r="T44" s="46">
        <f t="shared" si="9"/>
        <v>2924.8254310420493</v>
      </c>
      <c r="U44" s="22">
        <f t="shared" si="34"/>
        <v>1352.8254310420493</v>
      </c>
      <c r="V44" s="41">
        <f t="shared" si="11"/>
        <v>-0.1</v>
      </c>
      <c r="W44">
        <f t="shared" si="12"/>
        <v>1.8950908154892812</v>
      </c>
      <c r="X44" s="13">
        <f t="shared" si="13"/>
        <v>2.2997254553753257E-2</v>
      </c>
      <c r="Y44" s="13">
        <f t="shared" si="14"/>
        <v>1.2362468518621024E-3</v>
      </c>
      <c r="Z44" s="31">
        <f t="shared" si="15"/>
        <v>5.3701676561548839E-2</v>
      </c>
      <c r="AA44" s="37">
        <v>0</v>
      </c>
      <c r="AB44" s="25">
        <v>1572</v>
      </c>
      <c r="AC44" s="25">
        <v>0</v>
      </c>
      <c r="AD44" s="26">
        <f t="shared" si="16"/>
        <v>1572</v>
      </c>
      <c r="AE44" s="46">
        <f t="shared" si="17"/>
        <v>3543.9347413262926</v>
      </c>
      <c r="AF44" s="22">
        <f t="shared" si="18"/>
        <v>1971.9347413262926</v>
      </c>
      <c r="AG44" s="22">
        <f t="shared" si="19"/>
        <v>3324.760172368342</v>
      </c>
      <c r="AH44" s="55">
        <f t="shared" si="20"/>
        <v>3144</v>
      </c>
      <c r="AI44">
        <f t="shared" si="21"/>
        <v>5.3756279862560409E-2</v>
      </c>
      <c r="AJ44" s="1">
        <f t="shared" si="22"/>
        <v>5340.1488415467511</v>
      </c>
      <c r="AK44" s="2">
        <v>4715</v>
      </c>
      <c r="AL44" s="49">
        <f t="shared" si="23"/>
        <v>625.1488415467511</v>
      </c>
      <c r="AM44">
        <f t="shared" si="24"/>
        <v>3.3302376450524598</v>
      </c>
      <c r="AN44">
        <f t="shared" si="25"/>
        <v>8.3856552882882768E-2</v>
      </c>
      <c r="AO44" s="1">
        <f t="shared" si="26"/>
        <v>8120.4170115197185</v>
      </c>
      <c r="AP44" s="8">
        <v>6284</v>
      </c>
      <c r="AQ44" s="49">
        <f t="shared" si="27"/>
        <v>1836.4170115197185</v>
      </c>
      <c r="AR44" s="69">
        <f t="shared" si="28"/>
        <v>3.3302376450524598</v>
      </c>
      <c r="AS44">
        <f t="shared" si="29"/>
        <v>5.375627986256043E-2</v>
      </c>
      <c r="AT44" s="1">
        <f t="shared" si="30"/>
        <v>3840.5441107626357</v>
      </c>
      <c r="AU44" s="8">
        <v>4713</v>
      </c>
      <c r="AV44" s="74">
        <f t="shared" si="31"/>
        <v>-872.45588923736432</v>
      </c>
      <c r="AW44" s="68">
        <v>1.611</v>
      </c>
    </row>
    <row r="45" spans="1:49" x14ac:dyDescent="0.2">
      <c r="A45" s="23" t="s">
        <v>7</v>
      </c>
      <c r="B45" s="21">
        <v>1</v>
      </c>
      <c r="C45" s="21">
        <v>4633</v>
      </c>
      <c r="D45" s="21">
        <f t="shared" si="0"/>
        <v>5367</v>
      </c>
      <c r="E45" s="24">
        <v>6.7</v>
      </c>
      <c r="F45" s="21">
        <v>0</v>
      </c>
      <c r="G45" s="24">
        <v>4</v>
      </c>
      <c r="H45" s="21">
        <v>0</v>
      </c>
      <c r="I45" s="21">
        <v>2</v>
      </c>
      <c r="J45" s="24">
        <v>1.331</v>
      </c>
      <c r="K45" s="76">
        <f t="shared" si="33"/>
        <v>2.3736166666666665</v>
      </c>
      <c r="L45" s="44">
        <f t="shared" si="2"/>
        <v>3.8314623585297067E-2</v>
      </c>
      <c r="M45" s="44">
        <f t="shared" si="3"/>
        <v>2.2720537808295728E-2</v>
      </c>
      <c r="N45" s="41">
        <f t="shared" si="4"/>
        <v>0</v>
      </c>
      <c r="O45" s="13">
        <f t="shared" si="5"/>
        <v>1</v>
      </c>
      <c r="P45" s="13">
        <f t="shared" si="6"/>
        <v>2.2727272727272728E-2</v>
      </c>
      <c r="Q45" s="13">
        <f t="shared" si="7"/>
        <v>8.707868996658425E-4</v>
      </c>
      <c r="R45" s="31">
        <f t="shared" si="8"/>
        <v>3.831462358529706E-2</v>
      </c>
      <c r="S45" s="25">
        <v>2105</v>
      </c>
      <c r="T45" s="46">
        <f t="shared" si="9"/>
        <v>2084.6603546524279</v>
      </c>
      <c r="U45" s="22">
        <f t="shared" si="34"/>
        <v>-20.339645347572059</v>
      </c>
      <c r="V45" s="41">
        <f t="shared" si="11"/>
        <v>-0.1</v>
      </c>
      <c r="W45">
        <f t="shared" si="12"/>
        <v>2.6055816186957097</v>
      </c>
      <c r="X45" s="13">
        <f t="shared" si="13"/>
        <v>3.1619183237007568E-2</v>
      </c>
      <c r="Y45" s="13">
        <f t="shared" si="14"/>
        <v>1.2114771038004798E-3</v>
      </c>
      <c r="Z45" s="31">
        <f t="shared" si="15"/>
        <v>5.2625696471558944E-2</v>
      </c>
      <c r="AA45" s="38">
        <v>0</v>
      </c>
      <c r="AB45" s="25">
        <v>0</v>
      </c>
      <c r="AC45" s="25">
        <v>0</v>
      </c>
      <c r="AD45" s="26">
        <f t="shared" si="16"/>
        <v>0</v>
      </c>
      <c r="AE45" s="46">
        <f t="shared" si="17"/>
        <v>3472.9275872475896</v>
      </c>
      <c r="AF45" s="22">
        <f t="shared" si="18"/>
        <v>3472.9275872475896</v>
      </c>
      <c r="AG45" s="22">
        <f t="shared" si="19"/>
        <v>3452.5879419000175</v>
      </c>
      <c r="AH45" s="55">
        <f t="shared" si="20"/>
        <v>2105</v>
      </c>
      <c r="AI45">
        <f t="shared" si="21"/>
        <v>3.8314623585297067E-2</v>
      </c>
      <c r="AJ45" s="1">
        <f t="shared" si="22"/>
        <v>3806.1747069634107</v>
      </c>
      <c r="AK45" s="2">
        <v>3647</v>
      </c>
      <c r="AL45" s="1">
        <f t="shared" si="23"/>
        <v>159.1747069634107</v>
      </c>
      <c r="AM45">
        <f t="shared" si="24"/>
        <v>2.3736166666666665</v>
      </c>
      <c r="AN45">
        <f t="shared" si="25"/>
        <v>5.976850085390522E-2</v>
      </c>
      <c r="AO45" s="1">
        <f t="shared" si="26"/>
        <v>5787.8023171896193</v>
      </c>
      <c r="AP45" s="8">
        <v>5105</v>
      </c>
      <c r="AQ45" s="1">
        <f t="shared" si="27"/>
        <v>682.80231718961932</v>
      </c>
      <c r="AR45" s="69">
        <f t="shared" si="28"/>
        <v>2.3736166666666665</v>
      </c>
      <c r="AS45">
        <f t="shared" si="29"/>
        <v>3.8314623585297067E-2</v>
      </c>
      <c r="AT45" s="1">
        <f t="shared" si="30"/>
        <v>2737.3360348375691</v>
      </c>
      <c r="AU45" s="8">
        <v>2917</v>
      </c>
      <c r="AV45" s="1">
        <f t="shared" si="31"/>
        <v>-179.66396516243094</v>
      </c>
      <c r="AW45" s="68">
        <v>1.611</v>
      </c>
    </row>
    <row r="46" spans="1:49" ht="17" thickBot="1" x14ac:dyDescent="0.25">
      <c r="A46" s="4" t="s">
        <v>35</v>
      </c>
      <c r="B46" s="32">
        <f>AVERAGE(B2:B45)</f>
        <v>0.72727272727272729</v>
      </c>
      <c r="C46" s="4">
        <f t="shared" ref="C46:Z46" si="35">SUM(C2:C45)</f>
        <v>203782</v>
      </c>
      <c r="D46" s="4">
        <f t="shared" si="35"/>
        <v>236218</v>
      </c>
      <c r="E46" s="4">
        <f>SUM(E2:E45)</f>
        <v>100</v>
      </c>
      <c r="F46" s="64"/>
      <c r="G46" s="4">
        <f>MEDIAN(G5:G45)</f>
        <v>1.2</v>
      </c>
      <c r="H46" s="4">
        <f>SUM(H2:H45)</f>
        <v>99.4</v>
      </c>
      <c r="I46" s="4"/>
      <c r="J46" s="4" t="s">
        <v>90</v>
      </c>
      <c r="K46" s="64">
        <f t="shared" si="35"/>
        <v>61.950671690208722</v>
      </c>
      <c r="L46" s="4">
        <f t="shared" si="35"/>
        <v>1.0000000000000002</v>
      </c>
      <c r="M46" s="4">
        <f t="shared" si="35"/>
        <v>1</v>
      </c>
      <c r="N46" s="4"/>
      <c r="O46" s="4">
        <f t="shared" si="35"/>
        <v>44</v>
      </c>
      <c r="P46" s="4">
        <f t="shared" si="35"/>
        <v>0.99999999999999944</v>
      </c>
      <c r="Q46" s="4">
        <f t="shared" si="35"/>
        <v>2.2727272727272735E-2</v>
      </c>
      <c r="R46" s="28">
        <f t="shared" si="35"/>
        <v>0.99999999999999967</v>
      </c>
      <c r="S46" s="12">
        <f t="shared" si="35"/>
        <v>57550</v>
      </c>
      <c r="T46" s="12">
        <f t="shared" si="35"/>
        <v>54409</v>
      </c>
      <c r="U46" s="12">
        <f t="shared" si="35"/>
        <v>-4019.2632781139</v>
      </c>
      <c r="V46" s="4"/>
      <c r="W46" s="4">
        <f t="shared" si="35"/>
        <v>82.405089314454443</v>
      </c>
      <c r="X46" s="4">
        <f t="shared" si="35"/>
        <v>0.99999999999999956</v>
      </c>
      <c r="Y46" s="4">
        <f t="shared" si="35"/>
        <v>2.3020637920777184E-2</v>
      </c>
      <c r="Z46" s="28">
        <f t="shared" si="35"/>
        <v>0.99999999999999944</v>
      </c>
      <c r="AA46" s="4"/>
      <c r="AB46" s="4"/>
      <c r="AC46" s="4"/>
      <c r="AD46" s="12">
        <f t="shared" ref="AD46:AI46" si="36">SUM(AD2:AD45)</f>
        <v>61856</v>
      </c>
      <c r="AE46" s="12">
        <f t="shared" si="36"/>
        <v>65993</v>
      </c>
      <c r="AF46" s="12">
        <f t="shared" si="36"/>
        <v>4136.9999999999891</v>
      </c>
      <c r="AG46" s="12">
        <f t="shared" si="36"/>
        <v>117.73672188608452</v>
      </c>
      <c r="AH46" s="12">
        <f t="shared" si="36"/>
        <v>119406</v>
      </c>
      <c r="AI46" s="60">
        <f t="shared" si="36"/>
        <v>0.99999999999999967</v>
      </c>
      <c r="AJ46" s="1">
        <v>99340</v>
      </c>
      <c r="AM46">
        <f>SUM(AM2:AM45)</f>
        <v>39.71350515330144</v>
      </c>
      <c r="AO46" s="1">
        <v>96837</v>
      </c>
      <c r="AP46" s="1"/>
      <c r="AQ46" s="1"/>
      <c r="AR46">
        <f>SUM(AR2:AR45)</f>
        <v>61.950671690208722</v>
      </c>
      <c r="AT46" s="1">
        <v>98235</v>
      </c>
      <c r="AU46" s="1" t="s">
        <v>129</v>
      </c>
      <c r="AV46" s="1"/>
    </row>
    <row r="47" spans="1:49" x14ac:dyDescent="0.2">
      <c r="A47" s="29" t="s">
        <v>58</v>
      </c>
      <c r="B47" s="21"/>
      <c r="G47">
        <f>SUM(G2:G45)</f>
        <v>99.800000000000011</v>
      </c>
      <c r="L47" t="s">
        <v>47</v>
      </c>
      <c r="M47" s="21">
        <f>MEDIAN(M2:M45)</f>
        <v>2.2889872914003167E-2</v>
      </c>
      <c r="N47" s="30">
        <v>0</v>
      </c>
      <c r="V47" s="29">
        <v>-0.1</v>
      </c>
      <c r="AA47" s="14" t="s">
        <v>95</v>
      </c>
      <c r="AB47" s="15">
        <v>3.5</v>
      </c>
      <c r="AC47" s="15">
        <f t="shared" ref="AC47:AC62" si="37">AB47/$AB$63</f>
        <v>3.5035035035035036E-2</v>
      </c>
      <c r="AD47" s="56">
        <f t="shared" ref="AD47:AD62" si="38">AC47*$AB$65</f>
        <v>2.3356690023356692</v>
      </c>
      <c r="AE47" s="50">
        <v>2.2689356022689351</v>
      </c>
      <c r="AJ47" s="72">
        <f>0.005*$AJ$46</f>
        <v>496.7</v>
      </c>
      <c r="AO47" s="72">
        <f>0.005*AO46</f>
        <v>484.185</v>
      </c>
      <c r="AP47" s="1"/>
      <c r="AQ47" s="1"/>
      <c r="AT47" s="72">
        <f>0.005*AT46</f>
        <v>491.17500000000001</v>
      </c>
      <c r="AU47" s="1"/>
      <c r="AV47" s="1"/>
    </row>
    <row r="48" spans="1:49" x14ac:dyDescent="0.2">
      <c r="A48" s="31" t="s">
        <v>57</v>
      </c>
      <c r="B48" s="21"/>
      <c r="L48" t="s">
        <v>48</v>
      </c>
      <c r="M48">
        <f>AVERAGE(M2:M45)</f>
        <v>2.2727272727272728E-2</v>
      </c>
      <c r="N48" s="5">
        <v>2</v>
      </c>
      <c r="V48" s="5">
        <v>1</v>
      </c>
      <c r="AA48" s="16" t="s">
        <v>26</v>
      </c>
      <c r="AB48" s="13">
        <v>2.2999999999999998</v>
      </c>
      <c r="AC48" s="13">
        <f t="shared" si="37"/>
        <v>2.3023023023023025E-2</v>
      </c>
      <c r="AD48" s="57">
        <f t="shared" si="38"/>
        <v>1.5348682015348685</v>
      </c>
      <c r="AE48" s="51">
        <v>1.5348682015348678</v>
      </c>
      <c r="AF48" t="s">
        <v>72</v>
      </c>
      <c r="AG48" t="s">
        <v>70</v>
      </c>
      <c r="AH48" t="s">
        <v>74</v>
      </c>
    </row>
    <row r="49" spans="1:34" x14ac:dyDescent="0.2">
      <c r="A49" t="s">
        <v>99</v>
      </c>
      <c r="B49" s="2" t="s">
        <v>131</v>
      </c>
      <c r="N49" s="27"/>
      <c r="AA49" s="16" t="s">
        <v>68</v>
      </c>
      <c r="AB49" s="13">
        <v>2.4</v>
      </c>
      <c r="AC49" s="13">
        <f t="shared" si="37"/>
        <v>2.4024024024024024E-2</v>
      </c>
      <c r="AD49" s="57">
        <f t="shared" si="38"/>
        <v>1.6016016016016017</v>
      </c>
      <c r="AE49" s="51">
        <v>1.5348682015348678</v>
      </c>
      <c r="AF49">
        <v>8279</v>
      </c>
      <c r="AG49">
        <v>34122</v>
      </c>
      <c r="AH49">
        <v>105</v>
      </c>
    </row>
    <row r="50" spans="1:34" x14ac:dyDescent="0.2">
      <c r="A50" s="10" t="s">
        <v>28</v>
      </c>
      <c r="B50" t="s">
        <v>30</v>
      </c>
      <c r="C50" t="s">
        <v>113</v>
      </c>
      <c r="D50" t="s">
        <v>13</v>
      </c>
      <c r="E50" t="s">
        <v>114</v>
      </c>
      <c r="F50" t="s">
        <v>44</v>
      </c>
      <c r="G50" t="s">
        <v>71</v>
      </c>
      <c r="H50" t="s">
        <v>42</v>
      </c>
      <c r="I50" t="s">
        <v>42</v>
      </c>
      <c r="AA50" s="16" t="s">
        <v>19</v>
      </c>
      <c r="AB50" s="13">
        <v>6.2</v>
      </c>
      <c r="AC50" s="13">
        <f t="shared" si="37"/>
        <v>6.2062062062062072E-2</v>
      </c>
      <c r="AD50" s="57">
        <f t="shared" si="38"/>
        <v>4.1374708041374717</v>
      </c>
      <c r="AE50" s="51">
        <v>4.2042042042042036</v>
      </c>
      <c r="AF50">
        <f>AF49-3319</f>
        <v>4960</v>
      </c>
      <c r="AG50">
        <f>AG49-6074</f>
        <v>28048</v>
      </c>
    </row>
    <row r="51" spans="1:34" x14ac:dyDescent="0.2">
      <c r="A51" s="10" t="s">
        <v>2</v>
      </c>
      <c r="B51" s="3">
        <v>104119</v>
      </c>
      <c r="C51" s="70">
        <v>29356</v>
      </c>
      <c r="D51">
        <v>12919</v>
      </c>
      <c r="E51">
        <v>8770</v>
      </c>
      <c r="F51" s="1">
        <f>B51-C51-E51</f>
        <v>65993</v>
      </c>
      <c r="G51">
        <f>F51/B51</f>
        <v>0.63382283733036238</v>
      </c>
      <c r="H51" s="72">
        <f>$F$53*0.005</f>
        <v>602.01</v>
      </c>
      <c r="I51" s="1">
        <f>B51*0.005</f>
        <v>520.59500000000003</v>
      </c>
      <c r="J51" t="s">
        <v>119</v>
      </c>
      <c r="AA51" s="16" t="s">
        <v>40</v>
      </c>
      <c r="AB51" s="13">
        <v>4.2</v>
      </c>
      <c r="AC51" s="13">
        <f t="shared" si="37"/>
        <v>4.2042042042042045E-2</v>
      </c>
      <c r="AD51" s="57">
        <f t="shared" si="38"/>
        <v>2.8028028028028031</v>
      </c>
      <c r="AE51" s="51">
        <v>2.7360694027360686</v>
      </c>
      <c r="AF51">
        <f>AF50-3181</f>
        <v>1779</v>
      </c>
    </row>
    <row r="52" spans="1:34" x14ac:dyDescent="0.2">
      <c r="A52" s="10" t="s">
        <v>29</v>
      </c>
      <c r="B52" s="3">
        <v>87832</v>
      </c>
      <c r="C52" s="70">
        <v>24643</v>
      </c>
      <c r="D52">
        <v>27518</v>
      </c>
      <c r="E52">
        <v>8780</v>
      </c>
      <c r="F52" s="1">
        <f>B52-C52-E52</f>
        <v>54409</v>
      </c>
      <c r="G52">
        <f>F52/B52</f>
        <v>0.61946670917205571</v>
      </c>
      <c r="H52" s="72">
        <f>$F$53*0.01</f>
        <v>1204.02</v>
      </c>
      <c r="I52" s="1">
        <f>B52*0.005</f>
        <v>439.16</v>
      </c>
      <c r="J52" t="s">
        <v>120</v>
      </c>
      <c r="AA52" s="16" t="s">
        <v>20</v>
      </c>
      <c r="AB52" s="13">
        <v>12.5</v>
      </c>
      <c r="AC52" s="13">
        <f t="shared" si="37"/>
        <v>0.12512512512512514</v>
      </c>
      <c r="AD52" s="57">
        <f t="shared" si="38"/>
        <v>8.3416750083416762</v>
      </c>
      <c r="AE52" s="51">
        <v>8.5418752085418745</v>
      </c>
      <c r="AF52">
        <f>AF51-1556</f>
        <v>223</v>
      </c>
    </row>
    <row r="53" spans="1:34" x14ac:dyDescent="0.2">
      <c r="A53" s="10" t="s">
        <v>30</v>
      </c>
      <c r="B53">
        <f>B51+B52</f>
        <v>191951</v>
      </c>
      <c r="C53" s="71">
        <f>C51+C52</f>
        <v>53999</v>
      </c>
      <c r="D53">
        <f>D51+D52</f>
        <v>40437</v>
      </c>
      <c r="F53">
        <f>F51+F52</f>
        <v>120402</v>
      </c>
      <c r="G53">
        <f>F53/B53</f>
        <v>0.62725383040463456</v>
      </c>
      <c r="H53" s="72">
        <f>$F$53*0.0025</f>
        <v>301.005</v>
      </c>
      <c r="I53" s="53">
        <f>B53*0.005</f>
        <v>959.755</v>
      </c>
      <c r="J53" t="s">
        <v>121</v>
      </c>
      <c r="AA53" s="16" t="s">
        <v>66</v>
      </c>
      <c r="AB53" s="21">
        <v>2.8</v>
      </c>
      <c r="AC53" s="13">
        <f t="shared" si="37"/>
        <v>2.8028028028028028E-2</v>
      </c>
      <c r="AD53" s="57">
        <f t="shared" si="38"/>
        <v>1.8685352018685353</v>
      </c>
      <c r="AE53" s="51">
        <v>1.8685352018685346</v>
      </c>
    </row>
    <row r="54" spans="1:34" x14ac:dyDescent="0.2">
      <c r="A54" s="10" t="s">
        <v>73</v>
      </c>
      <c r="F54">
        <f>0.025 * F53</f>
        <v>3010.05</v>
      </c>
      <c r="AA54" s="16" t="s">
        <v>27</v>
      </c>
      <c r="AB54" s="13">
        <v>8.3000000000000007</v>
      </c>
      <c r="AC54" s="13">
        <f t="shared" si="37"/>
        <v>8.3083083083083098E-2</v>
      </c>
      <c r="AD54" s="57">
        <f t="shared" si="38"/>
        <v>5.5388722055388735</v>
      </c>
      <c r="AE54" s="51">
        <v>5.4721388054721372</v>
      </c>
    </row>
    <row r="55" spans="1:34" x14ac:dyDescent="0.2">
      <c r="AA55" s="16" t="s">
        <v>4</v>
      </c>
      <c r="AB55" s="13">
        <v>7.1</v>
      </c>
      <c r="AC55" s="13">
        <f t="shared" si="37"/>
        <v>7.1071071071071079E-2</v>
      </c>
      <c r="AD55" s="57">
        <f t="shared" si="38"/>
        <v>4.7380714047380721</v>
      </c>
      <c r="AE55" s="51">
        <v>4.7380714047380703</v>
      </c>
    </row>
    <row r="56" spans="1:34" x14ac:dyDescent="0.2">
      <c r="B56" t="s">
        <v>70</v>
      </c>
      <c r="AA56" s="16" t="s">
        <v>41</v>
      </c>
      <c r="AB56" s="13">
        <v>5.9</v>
      </c>
      <c r="AC56" s="13">
        <f t="shared" si="37"/>
        <v>5.9059059059059067E-2</v>
      </c>
      <c r="AD56" s="57">
        <f t="shared" si="38"/>
        <v>3.9372706039372716</v>
      </c>
      <c r="AE56" s="51">
        <v>3.8705372038705366</v>
      </c>
    </row>
    <row r="57" spans="1:34" x14ac:dyDescent="0.2">
      <c r="B57">
        <v>12021</v>
      </c>
      <c r="AA57" s="16" t="s">
        <v>21</v>
      </c>
      <c r="AB57" s="13">
        <v>13.1</v>
      </c>
      <c r="AC57" s="13">
        <f t="shared" si="37"/>
        <v>0.13113113113113115</v>
      </c>
      <c r="AD57" s="57">
        <f t="shared" si="38"/>
        <v>8.7420754087420764</v>
      </c>
      <c r="AE57" s="51">
        <v>8.7420754087420729</v>
      </c>
    </row>
    <row r="58" spans="1:34" x14ac:dyDescent="0.2">
      <c r="AA58" s="16" t="s">
        <v>76</v>
      </c>
      <c r="AB58" s="21">
        <v>1.5</v>
      </c>
      <c r="AC58" s="21">
        <f t="shared" si="37"/>
        <v>1.5015015015015017E-2</v>
      </c>
      <c r="AD58" s="57">
        <f t="shared" si="38"/>
        <v>1.0010010010010011</v>
      </c>
      <c r="AE58" s="51">
        <v>1.0010010010010009</v>
      </c>
    </row>
    <row r="59" spans="1:34" x14ac:dyDescent="0.2">
      <c r="AA59" s="16" t="s">
        <v>16</v>
      </c>
      <c r="AB59" s="13">
        <v>12.1</v>
      </c>
      <c r="AC59" s="13">
        <f t="shared" si="37"/>
        <v>0.12112112112112113</v>
      </c>
      <c r="AD59" s="57">
        <f t="shared" si="38"/>
        <v>8.0747414080747415</v>
      </c>
      <c r="AE59" s="51">
        <v>8.2082082082082071</v>
      </c>
    </row>
    <row r="60" spans="1:34" x14ac:dyDescent="0.2">
      <c r="AA60" s="16" t="s">
        <v>67</v>
      </c>
      <c r="AB60" s="21">
        <v>4.7</v>
      </c>
      <c r="AC60" s="13">
        <f t="shared" si="37"/>
        <v>4.7047047047047055E-2</v>
      </c>
      <c r="AD60" s="57">
        <f t="shared" si="38"/>
        <v>3.1364698031364706</v>
      </c>
      <c r="AE60" s="51">
        <v>3.1364698031364693</v>
      </c>
    </row>
    <row r="61" spans="1:34" x14ac:dyDescent="0.2">
      <c r="AA61" s="16" t="s">
        <v>77</v>
      </c>
      <c r="AB61" s="21">
        <v>2.5</v>
      </c>
      <c r="AC61" s="21">
        <f t="shared" si="37"/>
        <v>2.5025025025025027E-2</v>
      </c>
      <c r="AD61" s="57">
        <f t="shared" si="38"/>
        <v>1.6683350016683351</v>
      </c>
      <c r="AE61" s="51">
        <v>1.6683350016683347</v>
      </c>
    </row>
    <row r="62" spans="1:34" x14ac:dyDescent="0.2">
      <c r="AA62" s="16" t="s">
        <v>22</v>
      </c>
      <c r="AB62" s="13">
        <v>10.8</v>
      </c>
      <c r="AC62" s="13">
        <f t="shared" si="37"/>
        <v>0.10810810810810813</v>
      </c>
      <c r="AD62" s="57">
        <f t="shared" si="38"/>
        <v>7.2072072072072091</v>
      </c>
      <c r="AE62" s="52">
        <v>7.1404738071404719</v>
      </c>
    </row>
    <row r="63" spans="1:34" x14ac:dyDescent="0.2">
      <c r="AA63" s="16" t="s">
        <v>5</v>
      </c>
      <c r="AB63" s="13">
        <f>SUM(AB47:AB62)</f>
        <v>99.899999999999991</v>
      </c>
      <c r="AC63" s="13">
        <f>AB63/99.9</f>
        <v>0.99999999999999989</v>
      </c>
      <c r="AD63" s="17"/>
    </row>
    <row r="64" spans="1:34" x14ac:dyDescent="0.2">
      <c r="AA64" s="16" t="s">
        <v>33</v>
      </c>
      <c r="AB64" s="61">
        <f>SUM(E2:E45) / 24</f>
        <v>4.166666666666667</v>
      </c>
      <c r="AC64" s="13"/>
      <c r="AD64" s="17"/>
    </row>
    <row r="65" spans="27:30" ht="17" thickBot="1" x14ac:dyDescent="0.25">
      <c r="AA65" s="18" t="s">
        <v>78</v>
      </c>
      <c r="AB65" s="62">
        <f>AB64*16</f>
        <v>66.666666666666671</v>
      </c>
      <c r="AC65" s="19"/>
      <c r="AD65" s="20"/>
    </row>
    <row r="66" spans="27:30" x14ac:dyDescent="0.2">
      <c r="AA66" s="47" t="s">
        <v>69</v>
      </c>
      <c r="AB66">
        <f>MEDIAN(AB47:AB62)</f>
        <v>5.3000000000000007</v>
      </c>
    </row>
  </sheetData>
  <sortState xmlns:xlrd2="http://schemas.microsoft.com/office/spreadsheetml/2017/richdata2" ref="A2:AV45">
    <sortCondition ref="AG2:AG45"/>
  </sortState>
  <conditionalFormatting sqref="B51:C52 C2:J45">
    <cfRule type="cellIs" dxfId="1" priority="17" operator="between">
      <formula>3000</formula>
      <formula>7000</formula>
    </cfRule>
  </conditionalFormatting>
  <conditionalFormatting sqref="U2:U45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AG2:AG45">
    <cfRule type="colorScale" priority="1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F2:AF45">
    <cfRule type="colorScale" priority="1">
      <colorScale>
        <cfvo type="min"/>
        <cfvo type="percentile" val="50"/>
        <cfvo type="max"/>
        <color rgb="FFFF0000"/>
        <color theme="0" tint="-4.9989318521683403E-2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Dongmei</vt:lpstr>
      <vt:lpstr>bak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2021-08-20T02:49:00Z</dcterms:modified>
</cp:coreProperties>
</file>