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atterthwaite/Learning/marketModeling/"/>
    </mc:Choice>
  </mc:AlternateContent>
  <xr:revisionPtr revIDLastSave="0" documentId="13_ncr:1_{D33712ED-9A00-F54A-A797-A812FE9D90A6}" xr6:coauthVersionLast="47" xr6:coauthVersionMax="47" xr10:uidLastSave="{00000000-0000-0000-0000-000000000000}"/>
  <bookViews>
    <workbookView xWindow="7940" yWindow="460" windowWidth="35840" windowHeight="2194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14" i="11" l="1"/>
  <c r="AU14" i="11"/>
  <c r="AQ14" i="11"/>
  <c r="AP14" i="11"/>
  <c r="AL14" i="11"/>
  <c r="AC14" i="11"/>
  <c r="AG14" i="11"/>
  <c r="S14" i="11"/>
  <c r="P14" i="11"/>
  <c r="D14" i="11"/>
  <c r="E54" i="11"/>
  <c r="AA15" i="11"/>
  <c r="W16" i="11"/>
  <c r="AA30" i="11"/>
  <c r="Z41" i="11"/>
  <c r="W44" i="11"/>
  <c r="W17" i="11"/>
  <c r="W38" i="11"/>
  <c r="Z34" i="11"/>
  <c r="AA27" i="11"/>
  <c r="AC27" i="11" s="1"/>
  <c r="AG27" i="11" s="1"/>
  <c r="W8" i="11"/>
  <c r="AA33" i="11"/>
  <c r="AV48" i="11"/>
  <c r="AC48" i="11"/>
  <c r="O48" i="11"/>
  <c r="AQ48" i="11" s="1"/>
  <c r="D48" i="11"/>
  <c r="F58" i="11"/>
  <c r="J27" i="11"/>
  <c r="O27" i="11" s="1"/>
  <c r="J31" i="11"/>
  <c r="O31" i="11" s="1"/>
  <c r="J33" i="11"/>
  <c r="O33" i="11" s="1"/>
  <c r="AQ33" i="11" s="1"/>
  <c r="J35" i="11"/>
  <c r="O35" i="11" s="1"/>
  <c r="J23" i="11"/>
  <c r="O23" i="11" s="1"/>
  <c r="AQ23" i="11" s="1"/>
  <c r="J16" i="11"/>
  <c r="O16" i="11" s="1"/>
  <c r="AQ16" i="11" s="1"/>
  <c r="J13" i="11"/>
  <c r="O13" i="11" s="1"/>
  <c r="AQ13" i="11" s="1"/>
  <c r="AC16" i="11"/>
  <c r="O52" i="11"/>
  <c r="AS54" i="11"/>
  <c r="AV21" i="11"/>
  <c r="AQ21" i="11"/>
  <c r="AL21" i="11"/>
  <c r="AC21" i="11"/>
  <c r="AG21" i="11" s="1"/>
  <c r="AV25" i="11"/>
  <c r="AQ25" i="11"/>
  <c r="AL25" i="11"/>
  <c r="AC25" i="11"/>
  <c r="AG25" i="11" s="1"/>
  <c r="BA24" i="11"/>
  <c r="BA26" i="11"/>
  <c r="BA23" i="11" s="1"/>
  <c r="BA22" i="11" s="1"/>
  <c r="D25" i="11"/>
  <c r="AX54" i="11"/>
  <c r="AN54" i="11"/>
  <c r="AI54" i="11"/>
  <c r="AC51" i="11"/>
  <c r="AG51" i="11" s="1"/>
  <c r="AV18" i="11"/>
  <c r="AV11" i="11"/>
  <c r="AV3" i="11"/>
  <c r="AQ18" i="11"/>
  <c r="AQ3" i="11"/>
  <c r="AL18" i="11"/>
  <c r="AL3" i="11"/>
  <c r="AC3" i="11"/>
  <c r="AG3" i="11" s="1"/>
  <c r="AC18" i="11"/>
  <c r="AG18" i="11" s="1"/>
  <c r="AC11" i="11"/>
  <c r="AG11" i="11" s="1"/>
  <c r="AL11" i="11"/>
  <c r="AQ11" i="11"/>
  <c r="J6" i="11"/>
  <c r="O6" i="11" s="1"/>
  <c r="AQ6" i="11" s="1"/>
  <c r="D3" i="11"/>
  <c r="D18" i="11"/>
  <c r="D11" i="11"/>
  <c r="AC24" i="11"/>
  <c r="AG24" i="11" s="1"/>
  <c r="AC40" i="11"/>
  <c r="AG40" i="11" s="1"/>
  <c r="E53" i="11"/>
  <c r="AW52" i="11" s="1"/>
  <c r="AV9" i="11"/>
  <c r="AV19" i="11"/>
  <c r="AV37" i="11"/>
  <c r="AV2" i="11"/>
  <c r="AC23" i="11"/>
  <c r="AC20" i="11"/>
  <c r="AG20" i="11" s="1"/>
  <c r="AC47" i="11"/>
  <c r="AG47" i="11" s="1"/>
  <c r="AC33" i="11"/>
  <c r="AG33" i="11" s="1"/>
  <c r="AC7" i="11"/>
  <c r="AG7" i="11" s="1"/>
  <c r="AC6" i="11"/>
  <c r="AA73" i="11"/>
  <c r="AA71" i="11"/>
  <c r="AA72" i="11" s="1"/>
  <c r="AA70" i="11"/>
  <c r="AB69" i="11" s="1"/>
  <c r="D60" i="11"/>
  <c r="C60" i="11"/>
  <c r="B60" i="11"/>
  <c r="H59" i="11" s="1"/>
  <c r="H60" i="11" s="1"/>
  <c r="F59" i="11"/>
  <c r="K54" i="11"/>
  <c r="L53" i="11"/>
  <c r="L54" i="11" s="1"/>
  <c r="K53" i="11"/>
  <c r="I53" i="11"/>
  <c r="B53" i="11"/>
  <c r="AC44" i="11"/>
  <c r="AG44" i="11" s="1"/>
  <c r="O44" i="11"/>
  <c r="D44" i="11"/>
  <c r="D27" i="11"/>
  <c r="AC8" i="11"/>
  <c r="O8" i="11"/>
  <c r="AQ8" i="11" s="1"/>
  <c r="D8" i="11"/>
  <c r="O40" i="11"/>
  <c r="AL40" i="11" s="1"/>
  <c r="D40" i="11"/>
  <c r="AC46" i="11"/>
  <c r="AG46" i="11" s="1"/>
  <c r="O46" i="11"/>
  <c r="D46" i="11"/>
  <c r="D6" i="11"/>
  <c r="AC37" i="11"/>
  <c r="O37" i="11"/>
  <c r="D37" i="11"/>
  <c r="AC31" i="11"/>
  <c r="D31" i="11"/>
  <c r="AC13" i="11"/>
  <c r="D13" i="11"/>
  <c r="AQ10" i="11"/>
  <c r="AL10" i="11"/>
  <c r="AC10" i="11"/>
  <c r="AG10" i="11" s="1"/>
  <c r="D10" i="11"/>
  <c r="AC42" i="11"/>
  <c r="O42" i="11"/>
  <c r="D42" i="11"/>
  <c r="AC50" i="11"/>
  <c r="AG50" i="11" s="1"/>
  <c r="O50" i="11"/>
  <c r="D50" i="11"/>
  <c r="AC32" i="11"/>
  <c r="AG32" i="11" s="1"/>
  <c r="O32" i="11"/>
  <c r="D32" i="11"/>
  <c r="AC52" i="11"/>
  <c r="AG52" i="11" s="1"/>
  <c r="D52" i="11"/>
  <c r="AC12" i="11"/>
  <c r="AG12" i="11" s="1"/>
  <c r="J12" i="11"/>
  <c r="O12" i="11" s="1"/>
  <c r="D12" i="11"/>
  <c r="AC19" i="11"/>
  <c r="AG19" i="11" s="1"/>
  <c r="O19" i="11"/>
  <c r="D19" i="11"/>
  <c r="AC39" i="11"/>
  <c r="AG39" i="11" s="1"/>
  <c r="J39" i="11"/>
  <c r="O39" i="11" s="1"/>
  <c r="D39" i="11"/>
  <c r="AC36" i="11"/>
  <c r="AG36" i="11" s="1"/>
  <c r="O36" i="11"/>
  <c r="D36" i="11"/>
  <c r="O24" i="11"/>
  <c r="D24" i="11"/>
  <c r="AC26" i="11"/>
  <c r="O26" i="11"/>
  <c r="AQ26" i="11" s="1"/>
  <c r="D26" i="11"/>
  <c r="AC29" i="11"/>
  <c r="AG29" i="11" s="1"/>
  <c r="O29" i="11"/>
  <c r="D29" i="11"/>
  <c r="J51" i="11"/>
  <c r="O51" i="11" s="1"/>
  <c r="D51" i="11"/>
  <c r="AC2" i="11"/>
  <c r="AG2" i="11" s="1"/>
  <c r="O2" i="11"/>
  <c r="D2" i="11"/>
  <c r="BA28" i="11"/>
  <c r="BA29" i="11" s="1"/>
  <c r="BA30" i="11" s="1"/>
  <c r="BA31" i="11" s="1"/>
  <c r="BA32" i="11" s="1"/>
  <c r="AC9" i="11"/>
  <c r="AG9" i="11" s="1"/>
  <c r="J9" i="11"/>
  <c r="O9" i="11" s="1"/>
  <c r="D9" i="11"/>
  <c r="AC49" i="11"/>
  <c r="O49" i="11"/>
  <c r="AL49" i="11" s="1"/>
  <c r="D49" i="11"/>
  <c r="AC28" i="11"/>
  <c r="AG28" i="11" s="1"/>
  <c r="O28" i="11"/>
  <c r="D28" i="11"/>
  <c r="O20" i="11"/>
  <c r="D20" i="11"/>
  <c r="AC4" i="11"/>
  <c r="AG4" i="11" s="1"/>
  <c r="O4" i="11"/>
  <c r="AQ4" i="11" s="1"/>
  <c r="D4" i="11"/>
  <c r="AC45" i="11"/>
  <c r="O45" i="11"/>
  <c r="AQ45" i="11" s="1"/>
  <c r="D45" i="11"/>
  <c r="D23" i="11"/>
  <c r="AC17" i="11"/>
  <c r="AG17" i="11" s="1"/>
  <c r="O17" i="11"/>
  <c r="D17" i="11"/>
  <c r="AC30" i="11"/>
  <c r="AG30" i="11" s="1"/>
  <c r="O30" i="11"/>
  <c r="D30" i="11"/>
  <c r="AC22" i="11"/>
  <c r="AG22" i="11" s="1"/>
  <c r="O22" i="11"/>
  <c r="D22" i="11"/>
  <c r="AC38" i="11"/>
  <c r="J38" i="11"/>
  <c r="O38" i="11" s="1"/>
  <c r="D38" i="11"/>
  <c r="AC15" i="11"/>
  <c r="AG15" i="11" s="1"/>
  <c r="O15" i="11"/>
  <c r="AQ15" i="11" s="1"/>
  <c r="D15" i="11"/>
  <c r="AC43" i="11"/>
  <c r="AG43" i="11" s="1"/>
  <c r="O43" i="11"/>
  <c r="AQ43" i="11" s="1"/>
  <c r="D43" i="11"/>
  <c r="AC5" i="11"/>
  <c r="O5" i="11"/>
  <c r="AQ5" i="11" s="1"/>
  <c r="D5" i="11"/>
  <c r="J7" i="11"/>
  <c r="O7" i="11" s="1"/>
  <c r="D7" i="11"/>
  <c r="D16" i="11"/>
  <c r="AC34" i="11"/>
  <c r="J34" i="11"/>
  <c r="D34" i="11"/>
  <c r="AC35" i="11"/>
  <c r="D35" i="11"/>
  <c r="AC41" i="11"/>
  <c r="J41" i="11"/>
  <c r="O41" i="11" s="1"/>
  <c r="D41" i="11"/>
  <c r="D33" i="11"/>
  <c r="O47" i="11"/>
  <c r="D47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W14" i="11" l="1"/>
  <c r="AX14" i="11"/>
  <c r="AZ14" i="11" s="1"/>
  <c r="AL48" i="11"/>
  <c r="AW48" i="11"/>
  <c r="AX48" i="11" s="1"/>
  <c r="AZ48" i="11" s="1"/>
  <c r="AG48" i="11"/>
  <c r="AG8" i="11"/>
  <c r="AG5" i="11"/>
  <c r="AG45" i="11"/>
  <c r="AW21" i="11"/>
  <c r="AX21" i="11" s="1"/>
  <c r="AZ21" i="11" s="1"/>
  <c r="AW25" i="11"/>
  <c r="AX25" i="11" s="1"/>
  <c r="AZ25" i="11" s="1"/>
  <c r="AG42" i="11"/>
  <c r="AG37" i="11"/>
  <c r="AW11" i="11"/>
  <c r="AX11" i="11" s="1"/>
  <c r="AZ11" i="11" s="1"/>
  <c r="AW3" i="11"/>
  <c r="AX3" i="11" s="1"/>
  <c r="AZ3" i="11" s="1"/>
  <c r="AW18" i="11"/>
  <c r="AX18" i="11" s="1"/>
  <c r="AZ18" i="11" s="1"/>
  <c r="AG13" i="11"/>
  <c r="AG35" i="11"/>
  <c r="AG23" i="11"/>
  <c r="AW9" i="11"/>
  <c r="AX9" i="11" s="1"/>
  <c r="AZ9" i="11" s="1"/>
  <c r="AW36" i="11"/>
  <c r="AW17" i="11"/>
  <c r="AW41" i="11"/>
  <c r="AW24" i="11"/>
  <c r="AW46" i="11"/>
  <c r="AW4" i="11"/>
  <c r="AW30" i="11"/>
  <c r="AW5" i="11"/>
  <c r="AW19" i="11"/>
  <c r="AX19" i="11" s="1"/>
  <c r="AZ19" i="11" s="1"/>
  <c r="AW32" i="11"/>
  <c r="AW42" i="11"/>
  <c r="AW12" i="11"/>
  <c r="AW26" i="11"/>
  <c r="AW37" i="11"/>
  <c r="AX37" i="11" s="1"/>
  <c r="AZ37" i="11" s="1"/>
  <c r="AW49" i="11"/>
  <c r="AW7" i="11"/>
  <c r="AW13" i="11"/>
  <c r="AW20" i="11"/>
  <c r="AW28" i="11"/>
  <c r="AW33" i="11"/>
  <c r="AW38" i="11"/>
  <c r="AW44" i="11"/>
  <c r="AW50" i="11"/>
  <c r="AG31" i="11"/>
  <c r="AW2" i="11"/>
  <c r="AX2" i="11" s="1"/>
  <c r="AZ2" i="11" s="1"/>
  <c r="AW8" i="11"/>
  <c r="AW15" i="11"/>
  <c r="AW23" i="11"/>
  <c r="AW29" i="11"/>
  <c r="AW34" i="11"/>
  <c r="AW40" i="11"/>
  <c r="AW45" i="11"/>
  <c r="AW51" i="11"/>
  <c r="AG34" i="11"/>
  <c r="AW6" i="11"/>
  <c r="AW10" i="11"/>
  <c r="AW16" i="11"/>
  <c r="AW22" i="11"/>
  <c r="AW27" i="11"/>
  <c r="AW31" i="11"/>
  <c r="AW35" i="11"/>
  <c r="AW39" i="11"/>
  <c r="AW43" i="11"/>
  <c r="AW47" i="11"/>
  <c r="AG49" i="11"/>
  <c r="AG26" i="11"/>
  <c r="H58" i="11"/>
  <c r="AG6" i="11"/>
  <c r="AG41" i="11"/>
  <c r="W53" i="11"/>
  <c r="AG16" i="11"/>
  <c r="AG38" i="11"/>
  <c r="AB70" i="11"/>
  <c r="AB58" i="11"/>
  <c r="AC58" i="11" s="1"/>
  <c r="AC69" i="11"/>
  <c r="AB62" i="11"/>
  <c r="AC62" i="11" s="1"/>
  <c r="AB54" i="11"/>
  <c r="AC54" i="11" s="1"/>
  <c r="AB56" i="11"/>
  <c r="AC56" i="11" s="1"/>
  <c r="F60" i="11"/>
  <c r="AB66" i="11"/>
  <c r="AC66" i="11" s="1"/>
  <c r="AB59" i="11"/>
  <c r="AC59" i="11" s="1"/>
  <c r="AB60" i="11"/>
  <c r="AC60" i="11" s="1"/>
  <c r="AB55" i="11"/>
  <c r="AC55" i="11" s="1"/>
  <c r="AB57" i="11"/>
  <c r="AC57" i="11" s="1"/>
  <c r="AB64" i="11"/>
  <c r="AC64" i="11" s="1"/>
  <c r="AB68" i="11"/>
  <c r="AC68" i="11" s="1"/>
  <c r="AQ40" i="11"/>
  <c r="G58" i="11"/>
  <c r="AL45" i="11"/>
  <c r="AL35" i="11"/>
  <c r="AQ35" i="11"/>
  <c r="AQ47" i="11"/>
  <c r="AQ41" i="11"/>
  <c r="AL41" i="11"/>
  <c r="O34" i="11"/>
  <c r="O53" i="11" s="1"/>
  <c r="P48" i="11" s="1"/>
  <c r="AQ7" i="11"/>
  <c r="AL7" i="11"/>
  <c r="AQ28" i="11"/>
  <c r="AL28" i="11"/>
  <c r="AC53" i="11"/>
  <c r="AL47" i="11"/>
  <c r="AL38" i="11"/>
  <c r="AQ38" i="11"/>
  <c r="AL22" i="11"/>
  <c r="AQ22" i="11"/>
  <c r="AL30" i="11"/>
  <c r="AQ30" i="11"/>
  <c r="AL17" i="11"/>
  <c r="AQ17" i="11"/>
  <c r="AQ24" i="11"/>
  <c r="AL24" i="11"/>
  <c r="AQ36" i="11"/>
  <c r="AL36" i="11"/>
  <c r="AQ9" i="11"/>
  <c r="AL9" i="11"/>
  <c r="AQ51" i="11"/>
  <c r="AL51" i="11"/>
  <c r="AL39" i="11"/>
  <c r="AQ39" i="11"/>
  <c r="AL33" i="11"/>
  <c r="AL16" i="11"/>
  <c r="AL23" i="11"/>
  <c r="AQ19" i="11"/>
  <c r="AL19" i="11"/>
  <c r="AL5" i="11"/>
  <c r="AL43" i="11"/>
  <c r="AL15" i="11"/>
  <c r="AQ20" i="11"/>
  <c r="AL20" i="11"/>
  <c r="AQ49" i="11"/>
  <c r="AQ2" i="11"/>
  <c r="AL2" i="11"/>
  <c r="AQ29" i="11"/>
  <c r="AL29" i="11"/>
  <c r="AQ12" i="11"/>
  <c r="AL12" i="11"/>
  <c r="AQ52" i="11"/>
  <c r="AL52" i="11"/>
  <c r="AQ32" i="11"/>
  <c r="AL32" i="11"/>
  <c r="AQ50" i="11"/>
  <c r="AL50" i="11"/>
  <c r="AQ42" i="11"/>
  <c r="AL42" i="11"/>
  <c r="AL4" i="11"/>
  <c r="AL26" i="11"/>
  <c r="AL8" i="11"/>
  <c r="AQ44" i="11"/>
  <c r="AL44" i="11"/>
  <c r="AL6" i="11"/>
  <c r="AQ27" i="11"/>
  <c r="AL27" i="11"/>
  <c r="G59" i="11"/>
  <c r="AQ31" i="11"/>
  <c r="AL31" i="11"/>
  <c r="AQ37" i="11"/>
  <c r="AL37" i="11"/>
  <c r="AL46" i="11"/>
  <c r="AQ46" i="11"/>
  <c r="AB61" i="11"/>
  <c r="AC61" i="11" s="1"/>
  <c r="AB63" i="11"/>
  <c r="AC63" i="11" s="1"/>
  <c r="AB65" i="11"/>
  <c r="AC65" i="11" s="1"/>
  <c r="AB67" i="11"/>
  <c r="AC67" i="11" s="1"/>
  <c r="AL13" i="1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P25" i="11" l="1"/>
  <c r="P21" i="11"/>
  <c r="P11" i="11"/>
  <c r="P18" i="11"/>
  <c r="P3" i="11"/>
  <c r="AW53" i="11"/>
  <c r="F61" i="11"/>
  <c r="AG53" i="11"/>
  <c r="G60" i="11"/>
  <c r="B45" i="8" s="1"/>
  <c r="P35" i="11"/>
  <c r="P39" i="11"/>
  <c r="P37" i="11"/>
  <c r="P46" i="11"/>
  <c r="P40" i="11"/>
  <c r="P32" i="11"/>
  <c r="P9" i="11"/>
  <c r="P31" i="11"/>
  <c r="P24" i="11"/>
  <c r="P2" i="11"/>
  <c r="P15" i="11"/>
  <c r="P6" i="11"/>
  <c r="P27" i="11"/>
  <c r="P26" i="11"/>
  <c r="P42" i="11"/>
  <c r="P12" i="11"/>
  <c r="P29" i="11"/>
  <c r="P49" i="11"/>
  <c r="P19" i="11"/>
  <c r="P43" i="11"/>
  <c r="P22" i="11"/>
  <c r="P47" i="11"/>
  <c r="P38" i="11"/>
  <c r="P17" i="11"/>
  <c r="P44" i="11"/>
  <c r="P50" i="11"/>
  <c r="P28" i="11"/>
  <c r="P8" i="11"/>
  <c r="P52" i="11"/>
  <c r="P5" i="11"/>
  <c r="P10" i="11"/>
  <c r="P13" i="11"/>
  <c r="P45" i="11"/>
  <c r="P20" i="11"/>
  <c r="P4" i="11"/>
  <c r="P23" i="11"/>
  <c r="P16" i="11"/>
  <c r="P33" i="11"/>
  <c r="P51" i="11"/>
  <c r="P36" i="11"/>
  <c r="P30" i="11"/>
  <c r="P41" i="11"/>
  <c r="P7" i="11"/>
  <c r="P34" i="11"/>
  <c r="AL34" i="11"/>
  <c r="AL53" i="11" s="1"/>
  <c r="AM14" i="11" s="1"/>
  <c r="AN14" i="11" s="1"/>
  <c r="AQ34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AM21" i="11" l="1"/>
  <c r="AN21" i="11" s="1"/>
  <c r="AP21" i="11" s="1"/>
  <c r="AM48" i="11"/>
  <c r="AN48" i="11" s="1"/>
  <c r="AP48" i="11" s="1"/>
  <c r="AM18" i="11"/>
  <c r="AN18" i="11" s="1"/>
  <c r="AP18" i="11" s="1"/>
  <c r="AM25" i="11"/>
  <c r="AN25" i="11" s="1"/>
  <c r="AP25" i="11" s="1"/>
  <c r="AM11" i="11"/>
  <c r="AN11" i="11" s="1"/>
  <c r="AP11" i="11" s="1"/>
  <c r="AM3" i="11"/>
  <c r="AN3" i="11" s="1"/>
  <c r="AP3" i="11" s="1"/>
  <c r="P53" i="11"/>
  <c r="AM45" i="11"/>
  <c r="AN45" i="11" s="1"/>
  <c r="AP45" i="11" s="1"/>
  <c r="AM49" i="11"/>
  <c r="AN49" i="11" s="1"/>
  <c r="AP49" i="11" s="1"/>
  <c r="AM10" i="11"/>
  <c r="AN10" i="11" s="1"/>
  <c r="AP10" i="11" s="1"/>
  <c r="AM40" i="11"/>
  <c r="AN40" i="11" s="1"/>
  <c r="AP40" i="11" s="1"/>
  <c r="AM6" i="11"/>
  <c r="AN6" i="11" s="1"/>
  <c r="AP6" i="11" s="1"/>
  <c r="AM36" i="11"/>
  <c r="AN36" i="11" s="1"/>
  <c r="AP36" i="11" s="1"/>
  <c r="AM47" i="11"/>
  <c r="AN47" i="11" s="1"/>
  <c r="AP47" i="11" s="1"/>
  <c r="AM37" i="11"/>
  <c r="AN37" i="11" s="1"/>
  <c r="AP37" i="11" s="1"/>
  <c r="AM8" i="11"/>
  <c r="AN8" i="11" s="1"/>
  <c r="AP8" i="11" s="1"/>
  <c r="AM4" i="11"/>
  <c r="AN4" i="11" s="1"/>
  <c r="AP4" i="11" s="1"/>
  <c r="AM13" i="11"/>
  <c r="AN13" i="11" s="1"/>
  <c r="AP13" i="11" s="1"/>
  <c r="AM44" i="11"/>
  <c r="AN44" i="11" s="1"/>
  <c r="AP44" i="11" s="1"/>
  <c r="AM17" i="11"/>
  <c r="AN17" i="11" s="1"/>
  <c r="AP17" i="11" s="1"/>
  <c r="AM20" i="11"/>
  <c r="AN20" i="11" s="1"/>
  <c r="AP20" i="11" s="1"/>
  <c r="AM39" i="11"/>
  <c r="AN39" i="11" s="1"/>
  <c r="AP39" i="11" s="1"/>
  <c r="AM30" i="11"/>
  <c r="AN30" i="11" s="1"/>
  <c r="AP30" i="11" s="1"/>
  <c r="AM28" i="11"/>
  <c r="AN28" i="11" s="1"/>
  <c r="AP28" i="11" s="1"/>
  <c r="AM50" i="11"/>
  <c r="AN50" i="11" s="1"/>
  <c r="AP50" i="11" s="1"/>
  <c r="AM2" i="11"/>
  <c r="AN2" i="11" s="1"/>
  <c r="AP2" i="11" s="1"/>
  <c r="AM33" i="11"/>
  <c r="AN33" i="11" s="1"/>
  <c r="AP33" i="11" s="1"/>
  <c r="AM42" i="11"/>
  <c r="AN42" i="11" s="1"/>
  <c r="AP42" i="11" s="1"/>
  <c r="AM22" i="11"/>
  <c r="AN22" i="11" s="1"/>
  <c r="AP22" i="11" s="1"/>
  <c r="AM46" i="11"/>
  <c r="AN46" i="11" s="1"/>
  <c r="AP46" i="11" s="1"/>
  <c r="AM43" i="11"/>
  <c r="AN43" i="11" s="1"/>
  <c r="AP43" i="11" s="1"/>
  <c r="AM31" i="11"/>
  <c r="AN31" i="11" s="1"/>
  <c r="AP31" i="11" s="1"/>
  <c r="AM16" i="11"/>
  <c r="AN16" i="11" s="1"/>
  <c r="AP16" i="11" s="1"/>
  <c r="AM38" i="11"/>
  <c r="AN38" i="11" s="1"/>
  <c r="AP38" i="11" s="1"/>
  <c r="AM7" i="11"/>
  <c r="AN7" i="11" s="1"/>
  <c r="AP7" i="11" s="1"/>
  <c r="AM35" i="11"/>
  <c r="AN35" i="11" s="1"/>
  <c r="AP35" i="11" s="1"/>
  <c r="AM19" i="11"/>
  <c r="AN19" i="11" s="1"/>
  <c r="AP19" i="11" s="1"/>
  <c r="AM51" i="11"/>
  <c r="AN51" i="11" s="1"/>
  <c r="AP51" i="11" s="1"/>
  <c r="AM29" i="11"/>
  <c r="AM15" i="11"/>
  <c r="AN15" i="11" s="1"/>
  <c r="AP15" i="11" s="1"/>
  <c r="AM27" i="11"/>
  <c r="AN27" i="11" s="1"/>
  <c r="AP27" i="11" s="1"/>
  <c r="AM32" i="11"/>
  <c r="AN32" i="11" s="1"/>
  <c r="AP32" i="11" s="1"/>
  <c r="AM5" i="11"/>
  <c r="AN5" i="11" s="1"/>
  <c r="AP5" i="11" s="1"/>
  <c r="AM9" i="11"/>
  <c r="AN9" i="11" s="1"/>
  <c r="AP9" i="11" s="1"/>
  <c r="AM41" i="11"/>
  <c r="AN41" i="11" s="1"/>
  <c r="AP41" i="11" s="1"/>
  <c r="AM26" i="11"/>
  <c r="AN26" i="11" s="1"/>
  <c r="AP26" i="11" s="1"/>
  <c r="AM12" i="11"/>
  <c r="AN12" i="11" s="1"/>
  <c r="AP12" i="11" s="1"/>
  <c r="AM24" i="11"/>
  <c r="AN24" i="11" s="1"/>
  <c r="AP24" i="11" s="1"/>
  <c r="AM52" i="11"/>
  <c r="AN52" i="11" s="1"/>
  <c r="AP52" i="11" s="1"/>
  <c r="AM23" i="11"/>
  <c r="AN23" i="11" s="1"/>
  <c r="AP23" i="11" s="1"/>
  <c r="AM34" i="11"/>
  <c r="AN34" i="11" s="1"/>
  <c r="AP34" i="11" s="1"/>
  <c r="AQ53" i="11"/>
  <c r="AR14" i="11" s="1"/>
  <c r="AS14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R21" i="11" l="1"/>
  <c r="AS21" i="11" s="1"/>
  <c r="AU21" i="11" s="1"/>
  <c r="AR48" i="11"/>
  <c r="AS48" i="11" s="1"/>
  <c r="AU48" i="11" s="1"/>
  <c r="AR18" i="11"/>
  <c r="AS18" i="11" s="1"/>
  <c r="AU18" i="11" s="1"/>
  <c r="AR25" i="11"/>
  <c r="AS25" i="11" s="1"/>
  <c r="AU25" i="11" s="1"/>
  <c r="AR11" i="11"/>
  <c r="AS11" i="11" s="1"/>
  <c r="AU11" i="11" s="1"/>
  <c r="AR3" i="11"/>
  <c r="AS3" i="11" s="1"/>
  <c r="AU3" i="11" s="1"/>
  <c r="AN29" i="11"/>
  <c r="AP29" i="11" s="1"/>
  <c r="AR33" i="11"/>
  <c r="AS33" i="11" s="1"/>
  <c r="AU33" i="11" s="1"/>
  <c r="AR16" i="11"/>
  <c r="AS16" i="11" s="1"/>
  <c r="AU16" i="11" s="1"/>
  <c r="AR5" i="11"/>
  <c r="AS5" i="11" s="1"/>
  <c r="AU5" i="11" s="1"/>
  <c r="AR43" i="11"/>
  <c r="AS43" i="11" s="1"/>
  <c r="AU43" i="11" s="1"/>
  <c r="AR23" i="11"/>
  <c r="AS23" i="11" s="1"/>
  <c r="AU23" i="11" s="1"/>
  <c r="AR6" i="11"/>
  <c r="AS6" i="11" s="1"/>
  <c r="AU6" i="11" s="1"/>
  <c r="AR40" i="11"/>
  <c r="AS40" i="11" s="1"/>
  <c r="AU40" i="11" s="1"/>
  <c r="AR10" i="11"/>
  <c r="AS10" i="11" s="1"/>
  <c r="AU10" i="11" s="1"/>
  <c r="AR15" i="11"/>
  <c r="AS15" i="11" s="1"/>
  <c r="AU15" i="11" s="1"/>
  <c r="AR45" i="11"/>
  <c r="AS45" i="11" s="1"/>
  <c r="AU45" i="11" s="1"/>
  <c r="AR4" i="11"/>
  <c r="AS4" i="11" s="1"/>
  <c r="AU4" i="11" s="1"/>
  <c r="AR8" i="11"/>
  <c r="AS8" i="11" s="1"/>
  <c r="AU8" i="11" s="1"/>
  <c r="AR26" i="11"/>
  <c r="AS26" i="11" s="1"/>
  <c r="AU26" i="11" s="1"/>
  <c r="AR13" i="11"/>
  <c r="AS13" i="11" s="1"/>
  <c r="AU13" i="11" s="1"/>
  <c r="AR52" i="11"/>
  <c r="AS52" i="11" s="1"/>
  <c r="AU52" i="11" s="1"/>
  <c r="AR36" i="11"/>
  <c r="AS36" i="11" s="1"/>
  <c r="AU36" i="11" s="1"/>
  <c r="AR12" i="11"/>
  <c r="AS12" i="11" s="1"/>
  <c r="AU12" i="11" s="1"/>
  <c r="AR30" i="11"/>
  <c r="AS30" i="11" s="1"/>
  <c r="AU30" i="11" s="1"/>
  <c r="AR35" i="11"/>
  <c r="AS35" i="11" s="1"/>
  <c r="AU35" i="11" s="1"/>
  <c r="AR49" i="11"/>
  <c r="AS49" i="11" s="1"/>
  <c r="AU49" i="11" s="1"/>
  <c r="AR47" i="11"/>
  <c r="AS47" i="11" s="1"/>
  <c r="AU47" i="11" s="1"/>
  <c r="AR31" i="11"/>
  <c r="AS31" i="11" s="1"/>
  <c r="AU31" i="11" s="1"/>
  <c r="AR17" i="11"/>
  <c r="AS17" i="11" s="1"/>
  <c r="AU17" i="11" s="1"/>
  <c r="AR39" i="11"/>
  <c r="AS39" i="11" s="1"/>
  <c r="AU39" i="11" s="1"/>
  <c r="AR38" i="11"/>
  <c r="AS38" i="11" s="1"/>
  <c r="AU38" i="11" s="1"/>
  <c r="AR20" i="11"/>
  <c r="AS20" i="11" s="1"/>
  <c r="AU20" i="11" s="1"/>
  <c r="AR32" i="11"/>
  <c r="AS32" i="11" s="1"/>
  <c r="AU32" i="11" s="1"/>
  <c r="AR22" i="11"/>
  <c r="AS22" i="11" s="1"/>
  <c r="AU22" i="11" s="1"/>
  <c r="AR7" i="11"/>
  <c r="AS7" i="11" s="1"/>
  <c r="AU7" i="11" s="1"/>
  <c r="AR50" i="11"/>
  <c r="AS50" i="11" s="1"/>
  <c r="AU50" i="11" s="1"/>
  <c r="AR51" i="11"/>
  <c r="AS51" i="11" s="1"/>
  <c r="AU51" i="11" s="1"/>
  <c r="AR42" i="11"/>
  <c r="AS42" i="11" s="1"/>
  <c r="AU42" i="11" s="1"/>
  <c r="AR19" i="11"/>
  <c r="AS19" i="11" s="1"/>
  <c r="AU19" i="11" s="1"/>
  <c r="AR27" i="11"/>
  <c r="AS27" i="11" s="1"/>
  <c r="AU27" i="11" s="1"/>
  <c r="AR46" i="11"/>
  <c r="AS46" i="11" s="1"/>
  <c r="AU46" i="11" s="1"/>
  <c r="AR9" i="11"/>
  <c r="AS9" i="11" s="1"/>
  <c r="AU9" i="11" s="1"/>
  <c r="AR28" i="11"/>
  <c r="AS28" i="11" s="1"/>
  <c r="AU28" i="11" s="1"/>
  <c r="AR41" i="11"/>
  <c r="AS41" i="11" s="1"/>
  <c r="AU41" i="11" s="1"/>
  <c r="AR37" i="11"/>
  <c r="AS37" i="11" s="1"/>
  <c r="AU37" i="11" s="1"/>
  <c r="AR2" i="11"/>
  <c r="AS2" i="11" s="1"/>
  <c r="AU2" i="11" s="1"/>
  <c r="AR44" i="11"/>
  <c r="AS44" i="11" s="1"/>
  <c r="AU44" i="11" s="1"/>
  <c r="AR29" i="11"/>
  <c r="AS29" i="11" s="1"/>
  <c r="AU29" i="11" s="1"/>
  <c r="AR24" i="11"/>
  <c r="AS24" i="11" s="1"/>
  <c r="AU24" i="11" s="1"/>
  <c r="AR34" i="11"/>
  <c r="AS34" i="11" s="1"/>
  <c r="AU34" i="11" s="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AT12" i="10" l="1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X41" i="10" l="1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X46" i="10" l="1"/>
  <c r="C45" i="8" l="1"/>
  <c r="C28" i="8" l="1"/>
  <c r="C9" i="8"/>
  <c r="C13" i="8"/>
  <c r="C29" i="8"/>
  <c r="C26" i="8" l="1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Q36" i="10" l="1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0" i="11" l="1"/>
  <c r="AX10" i="11" s="1"/>
  <c r="AZ10" i="11" s="1"/>
  <c r="AV40" i="11" l="1"/>
  <c r="AX40" i="11" s="1"/>
  <c r="AZ40" i="11" s="1"/>
  <c r="AV38" i="11"/>
  <c r="AX38" i="11" s="1"/>
  <c r="AZ38" i="11" s="1"/>
  <c r="AV39" i="11" l="1"/>
  <c r="AX39" i="11" s="1"/>
  <c r="AZ39" i="11" s="1"/>
  <c r="AV4" i="11" l="1"/>
  <c r="AX4" i="11" s="1"/>
  <c r="AZ4" i="11" s="1"/>
  <c r="AV20" i="11"/>
  <c r="AX20" i="11" s="1"/>
  <c r="AZ20" i="11" s="1"/>
  <c r="AV6" i="11" l="1"/>
  <c r="AX6" i="11" s="1"/>
  <c r="AZ6" i="11" s="1"/>
  <c r="AV5" i="11"/>
  <c r="AX5" i="11" s="1"/>
  <c r="AZ5" i="11" s="1"/>
  <c r="AV22" i="11" l="1"/>
  <c r="AX22" i="11" s="1"/>
  <c r="AZ22" i="11" s="1"/>
  <c r="AV8" i="11"/>
  <c r="AX8" i="11" s="1"/>
  <c r="AZ8" i="11" s="1"/>
  <c r="AV7" i="11"/>
  <c r="AX7" i="11" s="1"/>
  <c r="AZ7" i="11" s="1"/>
  <c r="AV23" i="11" l="1"/>
  <c r="AX23" i="11" s="1"/>
  <c r="AZ23" i="11" s="1"/>
  <c r="AV24" i="11" l="1"/>
  <c r="AX24" i="11" s="1"/>
  <c r="AZ24" i="11" s="1"/>
  <c r="AV26" i="11" l="1"/>
  <c r="AX26" i="11" s="1"/>
  <c r="AZ26" i="11" s="1"/>
  <c r="AV27" i="11" l="1"/>
  <c r="AX27" i="11" s="1"/>
  <c r="AZ27" i="11" s="1"/>
  <c r="AV28" i="11"/>
  <c r="AX28" i="11" s="1"/>
  <c r="AZ28" i="11" s="1"/>
  <c r="AV17" i="11"/>
  <c r="AX17" i="11" s="1"/>
  <c r="AZ17" i="11" s="1"/>
  <c r="AV46" i="11"/>
  <c r="AX46" i="11" s="1"/>
  <c r="AZ46" i="11" s="1"/>
  <c r="AV42" i="11"/>
  <c r="AX42" i="11" s="1"/>
  <c r="AZ42" i="11" s="1"/>
  <c r="AV16" i="11"/>
  <c r="AX16" i="11" s="1"/>
  <c r="AZ16" i="11" s="1"/>
  <c r="AV50" i="11"/>
  <c r="AX50" i="11" s="1"/>
  <c r="AZ50" i="11" s="1"/>
  <c r="AV36" i="11"/>
  <c r="AX36" i="11" s="1"/>
  <c r="AZ36" i="11" s="1"/>
  <c r="AV35" i="11"/>
  <c r="AX35" i="11" s="1"/>
  <c r="AZ35" i="11" s="1"/>
  <c r="AV43" i="11"/>
  <c r="AX43" i="11" s="1"/>
  <c r="AZ43" i="11" s="1"/>
  <c r="AV34" i="11"/>
  <c r="AX34" i="11" s="1"/>
  <c r="AZ34" i="11" s="1"/>
  <c r="AV32" i="11"/>
  <c r="AX32" i="11" s="1"/>
  <c r="AZ32" i="11" s="1"/>
  <c r="AV33" i="11"/>
  <c r="AX33" i="11" s="1"/>
  <c r="AZ33" i="11" s="1"/>
  <c r="AV15" i="11"/>
  <c r="AX15" i="11" s="1"/>
  <c r="AZ15" i="11" s="1"/>
  <c r="AV31" i="11"/>
  <c r="AX31" i="11" s="1"/>
  <c r="AV12" i="11"/>
  <c r="AX12" i="11" s="1"/>
  <c r="AZ12" i="11" s="1"/>
  <c r="AV41" i="11"/>
  <c r="AX41" i="11" s="1"/>
  <c r="AZ41" i="11" s="1"/>
  <c r="AV52" i="11"/>
  <c r="AX52" i="11" s="1"/>
  <c r="AZ52" i="11" s="1"/>
  <c r="AV13" i="11"/>
  <c r="AX13" i="11" s="1"/>
  <c r="AZ13" i="11" s="1"/>
  <c r="AV51" i="11"/>
  <c r="AX51" i="11" s="1"/>
  <c r="AZ51" i="11" s="1"/>
  <c r="AV49" i="11"/>
  <c r="AX49" i="11" s="1"/>
  <c r="AZ49" i="11" s="1"/>
  <c r="AV47" i="11"/>
  <c r="AX47" i="11" s="1"/>
  <c r="AZ47" i="11" s="1"/>
  <c r="AV45" i="11"/>
  <c r="AX45" i="11" s="1"/>
  <c r="AZ45" i="11" s="1"/>
  <c r="AV44" i="11"/>
  <c r="AX44" i="11" s="1"/>
  <c r="AZ44" i="11" s="1"/>
  <c r="AV30" i="11"/>
  <c r="AX30" i="11" s="1"/>
  <c r="AZ30" i="11" s="1"/>
  <c r="AV29" i="11"/>
  <c r="AX29" i="11" s="1"/>
  <c r="AZ29" i="11" s="1"/>
  <c r="AZ31" i="11" l="1"/>
  <c r="AX55" i="11"/>
  <c r="D21" i="11"/>
  <c r="D53" i="11" s="1"/>
  <c r="Q14" i="11" s="1"/>
  <c r="C54" i="11"/>
  <c r="C53" i="11"/>
  <c r="Q15" i="11" l="1"/>
  <c r="S15" i="11" s="1"/>
  <c r="Q48" i="11"/>
  <c r="S48" i="11" s="1"/>
  <c r="Q7" i="11"/>
  <c r="S7" i="11" s="1"/>
  <c r="Q21" i="11"/>
  <c r="S21" i="11" s="1"/>
  <c r="Q32" i="11"/>
  <c r="S32" i="11" s="1"/>
  <c r="Q17" i="11"/>
  <c r="S17" i="11" s="1"/>
  <c r="Q13" i="11"/>
  <c r="S13" i="11" s="1"/>
  <c r="Q51" i="11"/>
  <c r="S51" i="11" s="1"/>
  <c r="Q35" i="11"/>
  <c r="S35" i="11" s="1"/>
  <c r="Q30" i="11"/>
  <c r="S30" i="11" s="1"/>
  <c r="Q46" i="11"/>
  <c r="S46" i="11" s="1"/>
  <c r="Q22" i="11"/>
  <c r="S22" i="11" s="1"/>
  <c r="Q37" i="11"/>
  <c r="S37" i="11" s="1"/>
  <c r="Q20" i="11"/>
  <c r="S20" i="11" s="1"/>
  <c r="Q33" i="11"/>
  <c r="S33" i="11" s="1"/>
  <c r="Q50" i="11"/>
  <c r="S50" i="11" s="1"/>
  <c r="Q27" i="11"/>
  <c r="S27" i="11" s="1"/>
  <c r="Q19" i="11"/>
  <c r="S19" i="11" s="1"/>
  <c r="Q45" i="11"/>
  <c r="S45" i="11" s="1"/>
  <c r="Q26" i="11"/>
  <c r="S26" i="11" s="1"/>
  <c r="Q2" i="11"/>
  <c r="S2" i="11" s="1"/>
  <c r="Q3" i="11"/>
  <c r="S3" i="11" s="1"/>
  <c r="Q41" i="11"/>
  <c r="S41" i="11" s="1"/>
  <c r="Q49" i="11"/>
  <c r="S49" i="11" s="1"/>
  <c r="Q42" i="11"/>
  <c r="S42" i="11" s="1"/>
  <c r="Q9" i="11"/>
  <c r="S9" i="11" s="1"/>
  <c r="Q36" i="11"/>
  <c r="S36" i="11" s="1"/>
  <c r="Q24" i="11"/>
  <c r="S24" i="11" s="1"/>
  <c r="Q18" i="11"/>
  <c r="S18" i="11" s="1"/>
  <c r="Q16" i="11"/>
  <c r="S16" i="11" s="1"/>
  <c r="Q8" i="11"/>
  <c r="S8" i="11" s="1"/>
  <c r="Q47" i="11"/>
  <c r="S47" i="11" s="1"/>
  <c r="Q12" i="11"/>
  <c r="S12" i="11" s="1"/>
  <c r="Q39" i="11"/>
  <c r="S39" i="11" s="1"/>
  <c r="Q5" i="11"/>
  <c r="S5" i="11" s="1"/>
  <c r="Q25" i="11"/>
  <c r="Q31" i="11"/>
  <c r="S31" i="11" s="1"/>
  <c r="Q28" i="11"/>
  <c r="S28" i="11" s="1"/>
  <c r="Q34" i="11"/>
  <c r="S34" i="11" s="1"/>
  <c r="Q4" i="11"/>
  <c r="S4" i="11" s="1"/>
  <c r="Q44" i="11"/>
  <c r="S44" i="11" s="1"/>
  <c r="Q38" i="11"/>
  <c r="S38" i="11" s="1"/>
  <c r="Q23" i="11"/>
  <c r="S23" i="11" s="1"/>
  <c r="Q29" i="11"/>
  <c r="S29" i="11" s="1"/>
  <c r="Q10" i="11"/>
  <c r="S10" i="11" s="1"/>
  <c r="Q52" i="11"/>
  <c r="S52" i="11" s="1"/>
  <c r="Q6" i="11"/>
  <c r="S6" i="11" s="1"/>
  <c r="Q11" i="11"/>
  <c r="S11" i="11" s="1"/>
  <c r="Q43" i="11"/>
  <c r="S43" i="11" s="1"/>
  <c r="Q40" i="11"/>
  <c r="S40" i="11" s="1"/>
  <c r="Q53" i="11" l="1"/>
  <c r="Q54" i="11"/>
  <c r="Q55" i="11"/>
  <c r="S25" i="11"/>
  <c r="S53" i="11" l="1"/>
  <c r="T48" i="11" l="1"/>
  <c r="U48" i="11" s="1"/>
  <c r="T14" i="11"/>
  <c r="U14" i="11" s="1"/>
  <c r="T41" i="11"/>
  <c r="U41" i="11" s="1"/>
  <c r="T50" i="11"/>
  <c r="U50" i="11" s="1"/>
  <c r="T9" i="11"/>
  <c r="U9" i="11" s="1"/>
  <c r="T36" i="11"/>
  <c r="U36" i="11" s="1"/>
  <c r="T7" i="11"/>
  <c r="U7" i="11" s="1"/>
  <c r="T20" i="11"/>
  <c r="U20" i="11" s="1"/>
  <c r="T17" i="11"/>
  <c r="U17" i="11" s="1"/>
  <c r="T45" i="11"/>
  <c r="U45" i="11" s="1"/>
  <c r="T27" i="11"/>
  <c r="U27" i="11" s="1"/>
  <c r="T19" i="11"/>
  <c r="U19" i="11" s="1"/>
  <c r="T32" i="11"/>
  <c r="U32" i="11" s="1"/>
  <c r="T46" i="11"/>
  <c r="U46" i="11" s="1"/>
  <c r="T21" i="11"/>
  <c r="U21" i="11" s="1"/>
  <c r="T3" i="11"/>
  <c r="U3" i="11" s="1"/>
  <c r="T15" i="11"/>
  <c r="U15" i="11" s="1"/>
  <c r="T51" i="11"/>
  <c r="U51" i="11" s="1"/>
  <c r="T24" i="11"/>
  <c r="U24" i="11" s="1"/>
  <c r="T2" i="11"/>
  <c r="U2" i="11" s="1"/>
  <c r="T33" i="11"/>
  <c r="U33" i="11" s="1"/>
  <c r="T22" i="11"/>
  <c r="U22" i="11" s="1"/>
  <c r="T13" i="11"/>
  <c r="U13" i="11" s="1"/>
  <c r="T30" i="11"/>
  <c r="U30" i="11" s="1"/>
  <c r="T26" i="11"/>
  <c r="U26" i="11" s="1"/>
  <c r="T49" i="11"/>
  <c r="U49" i="11" s="1"/>
  <c r="T35" i="11"/>
  <c r="U35" i="11" s="1"/>
  <c r="T37" i="11"/>
  <c r="U37" i="11" s="1"/>
  <c r="T42" i="11"/>
  <c r="U42" i="11" s="1"/>
  <c r="T44" i="11"/>
  <c r="U44" i="11" s="1"/>
  <c r="T31" i="11"/>
  <c r="U31" i="11" s="1"/>
  <c r="T47" i="11"/>
  <c r="U47" i="11" s="1"/>
  <c r="T18" i="11"/>
  <c r="U18" i="11" s="1"/>
  <c r="T52" i="11"/>
  <c r="U52" i="11" s="1"/>
  <c r="T23" i="11"/>
  <c r="U23" i="11" s="1"/>
  <c r="T5" i="11"/>
  <c r="U5" i="11" s="1"/>
  <c r="T39" i="11"/>
  <c r="U39" i="11" s="1"/>
  <c r="T34" i="11"/>
  <c r="U34" i="11" s="1"/>
  <c r="T8" i="11"/>
  <c r="U8" i="11" s="1"/>
  <c r="T40" i="11"/>
  <c r="U40" i="11" s="1"/>
  <c r="T43" i="11"/>
  <c r="U43" i="11" s="1"/>
  <c r="T6" i="11"/>
  <c r="U6" i="11" s="1"/>
  <c r="T11" i="11"/>
  <c r="U11" i="11" s="1"/>
  <c r="T10" i="11"/>
  <c r="U10" i="11" s="1"/>
  <c r="T12" i="11"/>
  <c r="U12" i="11" s="1"/>
  <c r="T16" i="11"/>
  <c r="U16" i="11" s="1"/>
  <c r="T38" i="11"/>
  <c r="U38" i="11" s="1"/>
  <c r="T4" i="11"/>
  <c r="U4" i="11" s="1"/>
  <c r="T29" i="11"/>
  <c r="U29" i="11" s="1"/>
  <c r="T28" i="11"/>
  <c r="U28" i="11" s="1"/>
  <c r="T25" i="11"/>
  <c r="U25" i="11" l="1"/>
  <c r="T53" i="11"/>
  <c r="U53" i="11" l="1"/>
  <c r="V48" i="11" l="1"/>
  <c r="V14" i="11"/>
  <c r="X48" i="11"/>
  <c r="Y48" i="11" s="1"/>
  <c r="AD48" i="11"/>
  <c r="AE48" i="11" s="1"/>
  <c r="V34" i="11"/>
  <c r="V7" i="11"/>
  <c r="V19" i="11"/>
  <c r="V32" i="11"/>
  <c r="V21" i="11"/>
  <c r="V23" i="11"/>
  <c r="V46" i="11"/>
  <c r="V22" i="11"/>
  <c r="V4" i="11"/>
  <c r="V17" i="11"/>
  <c r="V38" i="11"/>
  <c r="V45" i="11"/>
  <c r="V33" i="11"/>
  <c r="V31" i="11"/>
  <c r="V30" i="11"/>
  <c r="V3" i="11"/>
  <c r="V9" i="11"/>
  <c r="V10" i="11"/>
  <c r="V35" i="11"/>
  <c r="V13" i="11"/>
  <c r="V20" i="11"/>
  <c r="V52" i="11"/>
  <c r="V41" i="11"/>
  <c r="V5" i="11"/>
  <c r="V47" i="11"/>
  <c r="V24" i="11"/>
  <c r="V11" i="11"/>
  <c r="V51" i="11"/>
  <c r="V28" i="11"/>
  <c r="V36" i="11"/>
  <c r="V40" i="11"/>
  <c r="V44" i="11"/>
  <c r="V42" i="11"/>
  <c r="V12" i="11"/>
  <c r="V8" i="11"/>
  <c r="V49" i="11"/>
  <c r="V29" i="11"/>
  <c r="V18" i="11"/>
  <c r="V27" i="11"/>
  <c r="V2" i="11"/>
  <c r="V6" i="11"/>
  <c r="V15" i="11"/>
  <c r="V26" i="11"/>
  <c r="V43" i="11"/>
  <c r="V37" i="11"/>
  <c r="V16" i="11"/>
  <c r="V39" i="11"/>
  <c r="V50" i="11"/>
  <c r="V25" i="11"/>
  <c r="X14" i="11" l="1"/>
  <c r="AD14" i="11"/>
  <c r="AE14" i="11" s="1"/>
  <c r="AF48" i="11"/>
  <c r="X45" i="11"/>
  <c r="AD45" i="11"/>
  <c r="AE45" i="11" s="1"/>
  <c r="AD38" i="11"/>
  <c r="AE38" i="11" s="1"/>
  <c r="X38" i="11"/>
  <c r="X52" i="11"/>
  <c r="AD52" i="11"/>
  <c r="AE52" i="11" s="1"/>
  <c r="X42" i="11"/>
  <c r="AD42" i="11"/>
  <c r="AE42" i="11" s="1"/>
  <c r="AD3" i="11"/>
  <c r="AE3" i="11" s="1"/>
  <c r="X3" i="11"/>
  <c r="X50" i="11"/>
  <c r="AD50" i="11"/>
  <c r="AE50" i="11" s="1"/>
  <c r="AD8" i="11"/>
  <c r="AE8" i="11" s="1"/>
  <c r="X8" i="11"/>
  <c r="AD17" i="11"/>
  <c r="AE17" i="11" s="1"/>
  <c r="X17" i="11"/>
  <c r="AD20" i="11"/>
  <c r="AE20" i="11" s="1"/>
  <c r="X20" i="11"/>
  <c r="AD43" i="11"/>
  <c r="AE43" i="11" s="1"/>
  <c r="X43" i="11"/>
  <c r="AD13" i="11"/>
  <c r="AE13" i="11" s="1"/>
  <c r="X13" i="11"/>
  <c r="X26" i="11"/>
  <c r="AD26" i="11"/>
  <c r="AE26" i="11" s="1"/>
  <c r="AD40" i="11"/>
  <c r="AE40" i="11" s="1"/>
  <c r="X40" i="11"/>
  <c r="X15" i="11"/>
  <c r="AD15" i="11"/>
  <c r="AE15" i="11" s="1"/>
  <c r="AD23" i="11"/>
  <c r="AE23" i="11" s="1"/>
  <c r="X23" i="11"/>
  <c r="X11" i="11"/>
  <c r="AD11" i="11"/>
  <c r="AE11" i="11" s="1"/>
  <c r="AD19" i="11"/>
  <c r="AE19" i="11" s="1"/>
  <c r="X19" i="11"/>
  <c r="X49" i="11"/>
  <c r="AD49" i="11"/>
  <c r="AE49" i="11" s="1"/>
  <c r="X39" i="11"/>
  <c r="AD39" i="11"/>
  <c r="AE39" i="11" s="1"/>
  <c r="AD16" i="11"/>
  <c r="AE16" i="11" s="1"/>
  <c r="X16" i="11"/>
  <c r="X4" i="11"/>
  <c r="AD4" i="11"/>
  <c r="AE4" i="11" s="1"/>
  <c r="X44" i="11"/>
  <c r="AD44" i="11"/>
  <c r="AE44" i="11" s="1"/>
  <c r="AD46" i="11"/>
  <c r="AE46" i="11" s="1"/>
  <c r="X46" i="11"/>
  <c r="AD10" i="11"/>
  <c r="AE10" i="11" s="1"/>
  <c r="X10" i="11"/>
  <c r="X6" i="11"/>
  <c r="AD6" i="11"/>
  <c r="AE6" i="11" s="1"/>
  <c r="X21" i="11"/>
  <c r="AD21" i="11"/>
  <c r="AE21" i="11" s="1"/>
  <c r="AD32" i="11"/>
  <c r="AE32" i="11" s="1"/>
  <c r="X32" i="11"/>
  <c r="X18" i="11"/>
  <c r="AD18" i="11"/>
  <c r="AE18" i="11" s="1"/>
  <c r="AD24" i="11"/>
  <c r="AE24" i="11" s="1"/>
  <c r="X24" i="11"/>
  <c r="X31" i="11"/>
  <c r="AD31" i="11"/>
  <c r="AE31" i="11" s="1"/>
  <c r="X7" i="11"/>
  <c r="AD7" i="11"/>
  <c r="AE7" i="11" s="1"/>
  <c r="X5" i="11"/>
  <c r="AD5" i="11"/>
  <c r="AE5" i="11" s="1"/>
  <c r="AD41" i="11"/>
  <c r="AE41" i="11" s="1"/>
  <c r="X41" i="11"/>
  <c r="X12" i="11"/>
  <c r="AD12" i="11"/>
  <c r="AE12" i="11" s="1"/>
  <c r="X37" i="11"/>
  <c r="AD37" i="11"/>
  <c r="AE37" i="11" s="1"/>
  <c r="AD22" i="11"/>
  <c r="AE22" i="11" s="1"/>
  <c r="X22" i="11"/>
  <c r="AD35" i="11"/>
  <c r="AE35" i="11" s="1"/>
  <c r="X35" i="11"/>
  <c r="AD36" i="11"/>
  <c r="AE36" i="11" s="1"/>
  <c r="X36" i="11"/>
  <c r="X28" i="11"/>
  <c r="AD28" i="11"/>
  <c r="AE28" i="11" s="1"/>
  <c r="AD9" i="11"/>
  <c r="AE9" i="11" s="1"/>
  <c r="X9" i="11"/>
  <c r="AD2" i="11"/>
  <c r="AE2" i="11" s="1"/>
  <c r="X2" i="11"/>
  <c r="AD51" i="11"/>
  <c r="AE51" i="11" s="1"/>
  <c r="X51" i="11"/>
  <c r="AD27" i="11"/>
  <c r="AE27" i="11" s="1"/>
  <c r="X27" i="11"/>
  <c r="X30" i="11"/>
  <c r="AD30" i="11"/>
  <c r="AE30" i="11" s="1"/>
  <c r="X25" i="11"/>
  <c r="AD25" i="11"/>
  <c r="V53" i="11"/>
  <c r="X29" i="11"/>
  <c r="AD29" i="11"/>
  <c r="AE29" i="11" s="1"/>
  <c r="X47" i="11"/>
  <c r="AD47" i="11"/>
  <c r="AE47" i="11" s="1"/>
  <c r="AD33" i="11"/>
  <c r="AE33" i="11" s="1"/>
  <c r="X33" i="11"/>
  <c r="X34" i="11"/>
  <c r="AD34" i="11"/>
  <c r="AE34" i="11" s="1"/>
  <c r="Y14" i="11" l="1"/>
  <c r="AF14" i="11" s="1"/>
  <c r="Y3" i="11"/>
  <c r="AF3" i="11" s="1"/>
  <c r="Y50" i="11"/>
  <c r="AF50" i="11" s="1"/>
  <c r="Y31" i="11"/>
  <c r="AF31" i="11" s="1"/>
  <c r="Y2" i="11"/>
  <c r="AF2" i="11" s="1"/>
  <c r="Y13" i="11"/>
  <c r="AF13" i="11" s="1"/>
  <c r="Y37" i="11"/>
  <c r="AF37" i="11" s="1"/>
  <c r="Y12" i="11"/>
  <c r="AF12" i="11" s="1"/>
  <c r="Y42" i="11"/>
  <c r="AF42" i="11" s="1"/>
  <c r="Y24" i="11"/>
  <c r="AF24" i="11" s="1"/>
  <c r="Y11" i="11"/>
  <c r="AF11" i="11" s="1"/>
  <c r="Y32" i="11"/>
  <c r="AF32" i="11" s="1"/>
  <c r="Y23" i="11"/>
  <c r="AF23" i="11" s="1"/>
  <c r="Y20" i="11"/>
  <c r="AF20" i="11" s="1"/>
  <c r="Y52" i="11"/>
  <c r="AF52" i="11" s="1"/>
  <c r="Y26" i="11"/>
  <c r="AF26" i="11" s="1"/>
  <c r="Y47" i="11"/>
  <c r="AF47" i="11" s="1"/>
  <c r="Y29" i="11"/>
  <c r="AF29" i="11" s="1"/>
  <c r="Y43" i="11"/>
  <c r="AF43" i="11" s="1"/>
  <c r="X53" i="11"/>
  <c r="AH14" i="11" s="1"/>
  <c r="AI14" i="11" s="1"/>
  <c r="AK14" i="11" s="1"/>
  <c r="Y25" i="11"/>
  <c r="Y16" i="11"/>
  <c r="AF16" i="11" s="1"/>
  <c r="Y17" i="11"/>
  <c r="AF17" i="11" s="1"/>
  <c r="Y38" i="11"/>
  <c r="AF38" i="11" s="1"/>
  <c r="Y18" i="11"/>
  <c r="AF18" i="11" s="1"/>
  <c r="Y36" i="11"/>
  <c r="AF36" i="11" s="1"/>
  <c r="Y30" i="11"/>
  <c r="AF30" i="11" s="1"/>
  <c r="Y5" i="11"/>
  <c r="AF5" i="11" s="1"/>
  <c r="Y21" i="11"/>
  <c r="AF21" i="11" s="1"/>
  <c r="Y15" i="11"/>
  <c r="AF15" i="11" s="1"/>
  <c r="Y51" i="11"/>
  <c r="AF51" i="11" s="1"/>
  <c r="Y10" i="11"/>
  <c r="AF10" i="11" s="1"/>
  <c r="Y19" i="11"/>
  <c r="AF19" i="11" s="1"/>
  <c r="Y9" i="11"/>
  <c r="AF9" i="11" s="1"/>
  <c r="Y4" i="11"/>
  <c r="AF4" i="11" s="1"/>
  <c r="Y34" i="11"/>
  <c r="AF34" i="11" s="1"/>
  <c r="Y27" i="11"/>
  <c r="AF27" i="11" s="1"/>
  <c r="Y35" i="11"/>
  <c r="AF35" i="11" s="1"/>
  <c r="Y40" i="11"/>
  <c r="AF40" i="11" s="1"/>
  <c r="Y8" i="11"/>
  <c r="AF8" i="11" s="1"/>
  <c r="Y22" i="11"/>
  <c r="AF22" i="11" s="1"/>
  <c r="Y49" i="11"/>
  <c r="AF49" i="11" s="1"/>
  <c r="Y46" i="11"/>
  <c r="AF46" i="11" s="1"/>
  <c r="Y44" i="11"/>
  <c r="AF44" i="11" s="1"/>
  <c r="AD53" i="11"/>
  <c r="AE25" i="11"/>
  <c r="Y41" i="11"/>
  <c r="AF41" i="11" s="1"/>
  <c r="Y28" i="11"/>
  <c r="AF28" i="11" s="1"/>
  <c r="Y33" i="11"/>
  <c r="AF33" i="11" s="1"/>
  <c r="Y7" i="11"/>
  <c r="AF7" i="11" s="1"/>
  <c r="Y6" i="11"/>
  <c r="AF6" i="11" s="1"/>
  <c r="Y39" i="11"/>
  <c r="AF39" i="11" s="1"/>
  <c r="Y45" i="11"/>
  <c r="AF45" i="11" s="1"/>
  <c r="AH3" i="11" l="1"/>
  <c r="AI3" i="11" s="1"/>
  <c r="AK3" i="11" s="1"/>
  <c r="AH48" i="11"/>
  <c r="AI48" i="11" s="1"/>
  <c r="AK48" i="11" s="1"/>
  <c r="AH7" i="11"/>
  <c r="AI7" i="11" s="1"/>
  <c r="AK7" i="11" s="1"/>
  <c r="AH27" i="11"/>
  <c r="AI27" i="11" s="1"/>
  <c r="AK27" i="11" s="1"/>
  <c r="AH47" i="11"/>
  <c r="AI47" i="11" s="1"/>
  <c r="AK47" i="11" s="1"/>
  <c r="AH18" i="11"/>
  <c r="AI18" i="11" s="1"/>
  <c r="AK18" i="11" s="1"/>
  <c r="AH15" i="11"/>
  <c r="AI15" i="11" s="1"/>
  <c r="AK15" i="11" s="1"/>
  <c r="AH50" i="11"/>
  <c r="AI50" i="11" s="1"/>
  <c r="AK50" i="11" s="1"/>
  <c r="AH11" i="11"/>
  <c r="AI11" i="11" s="1"/>
  <c r="AK11" i="11" s="1"/>
  <c r="AH9" i="11"/>
  <c r="AI9" i="11" s="1"/>
  <c r="AK9" i="11" s="1"/>
  <c r="AH41" i="11"/>
  <c r="AI41" i="11" s="1"/>
  <c r="AK41" i="11" s="1"/>
  <c r="AH5" i="11"/>
  <c r="AI5" i="11" s="1"/>
  <c r="AK5" i="11" s="1"/>
  <c r="AH16" i="11"/>
  <c r="AI16" i="11" s="1"/>
  <c r="AK16" i="11" s="1"/>
  <c r="AH26" i="11"/>
  <c r="AI26" i="11" s="1"/>
  <c r="AK26" i="11" s="1"/>
  <c r="AH21" i="11"/>
  <c r="AI21" i="11" s="1"/>
  <c r="AK21" i="11" s="1"/>
  <c r="AH32" i="11"/>
  <c r="AI32" i="11" s="1"/>
  <c r="AK32" i="11" s="1"/>
  <c r="AH22" i="11"/>
  <c r="AI22" i="11" s="1"/>
  <c r="AK22" i="11" s="1"/>
  <c r="AH39" i="11"/>
  <c r="AI39" i="11" s="1"/>
  <c r="AK39" i="11" s="1"/>
  <c r="AH12" i="11"/>
  <c r="AI12" i="11" s="1"/>
  <c r="AK12" i="11" s="1"/>
  <c r="AH23" i="11"/>
  <c r="AI23" i="11" s="1"/>
  <c r="AK23" i="11" s="1"/>
  <c r="AH34" i="11"/>
  <c r="AI34" i="11" s="1"/>
  <c r="AK34" i="11" s="1"/>
  <c r="AH8" i="11"/>
  <c r="AI8" i="11" s="1"/>
  <c r="AK8" i="11" s="1"/>
  <c r="AH19" i="11"/>
  <c r="AI19" i="11" s="1"/>
  <c r="AK19" i="11" s="1"/>
  <c r="AH6" i="11"/>
  <c r="AI6" i="11" s="1"/>
  <c r="AK6" i="11" s="1"/>
  <c r="AH35" i="11"/>
  <c r="AI35" i="11" s="1"/>
  <c r="AK35" i="11" s="1"/>
  <c r="AH25" i="11"/>
  <c r="AI25" i="11" s="1"/>
  <c r="AK25" i="11" s="1"/>
  <c r="AH37" i="11"/>
  <c r="AI37" i="11" s="1"/>
  <c r="AK37" i="11" s="1"/>
  <c r="AF25" i="11"/>
  <c r="AF53" i="11" s="1"/>
  <c r="AE53" i="11"/>
  <c r="AH40" i="11"/>
  <c r="AI40" i="11" s="1"/>
  <c r="AK40" i="11" s="1"/>
  <c r="AH2" i="11"/>
  <c r="AI2" i="11" s="1"/>
  <c r="AK2" i="11" s="1"/>
  <c r="Y53" i="11"/>
  <c r="AH10" i="11"/>
  <c r="AI10" i="11" s="1"/>
  <c r="AK10" i="11" s="1"/>
  <c r="AH45" i="11"/>
  <c r="AI45" i="11" s="1"/>
  <c r="AK45" i="11" s="1"/>
  <c r="AH51" i="11"/>
  <c r="AI51" i="11" s="1"/>
  <c r="AK51" i="11" s="1"/>
  <c r="AH38" i="11"/>
  <c r="AI38" i="11" s="1"/>
  <c r="AK38" i="11" s="1"/>
  <c r="AH24" i="11"/>
  <c r="AI24" i="11" s="1"/>
  <c r="AK24" i="11" s="1"/>
  <c r="AH52" i="11"/>
  <c r="AI52" i="11" s="1"/>
  <c r="AK52" i="11" s="1"/>
  <c r="AH46" i="11"/>
  <c r="AI46" i="11" s="1"/>
  <c r="AK46" i="11" s="1"/>
  <c r="AH43" i="11"/>
  <c r="AI43" i="11" s="1"/>
  <c r="AK43" i="11" s="1"/>
  <c r="AH42" i="11"/>
  <c r="AI42" i="11" s="1"/>
  <c r="AK42" i="11" s="1"/>
  <c r="AH44" i="11"/>
  <c r="AI44" i="11" s="1"/>
  <c r="AK44" i="11" s="1"/>
  <c r="AH13" i="11"/>
  <c r="AI13" i="11" s="1"/>
  <c r="AK13" i="11" s="1"/>
  <c r="AH4" i="11"/>
  <c r="AI4" i="11" s="1"/>
  <c r="AK4" i="11" s="1"/>
  <c r="AH30" i="11"/>
  <c r="AI30" i="11" s="1"/>
  <c r="AK30" i="11" s="1"/>
  <c r="AH49" i="11"/>
  <c r="AI49" i="11" s="1"/>
  <c r="AK49" i="11" s="1"/>
  <c r="AH36" i="11"/>
  <c r="AI36" i="11" s="1"/>
  <c r="AK36" i="11" s="1"/>
  <c r="AH17" i="11"/>
  <c r="AI17" i="11" s="1"/>
  <c r="AK17" i="11" s="1"/>
  <c r="AH29" i="11"/>
  <c r="AI29" i="11" s="1"/>
  <c r="AK29" i="11" s="1"/>
  <c r="AH20" i="11"/>
  <c r="AI20" i="11" s="1"/>
  <c r="AK20" i="11" s="1"/>
  <c r="AH31" i="11"/>
  <c r="AI31" i="11" s="1"/>
  <c r="AK31" i="11" s="1"/>
  <c r="AH33" i="11"/>
  <c r="AI33" i="11" s="1"/>
  <c r="AK33" i="11" s="1"/>
  <c r="AH28" i="11"/>
  <c r="AI28" i="11" s="1"/>
  <c r="AK28" i="11" s="1"/>
  <c r="AH53" i="11" l="1"/>
</calcChain>
</file>

<file path=xl/sharedStrings.xml><?xml version="1.0" encoding="utf-8"?>
<sst xmlns="http://schemas.openxmlformats.org/spreadsheetml/2006/main" count="347" uniqueCount="153">
  <si>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</si>
  <si>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</si>
  <si>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</si>
  <si>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</si>
  <si>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</si>
  <si>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</si>
  <si>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</si>
  <si>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</si>
  <si>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</si>
  <si>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</si>
  <si>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</si>
  <si>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</si>
  <si>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</si>
  <si>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</si>
  <si>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</si>
  <si>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</si>
  <si>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</si>
  <si>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</si>
  <si>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</si>
  <si>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</si>
  <si>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</si>
  <si>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</si>
  <si>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</si>
  <si>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</si>
  <si>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</si>
  <si>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</si>
  <si>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</si>
  <si>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</si>
  <si>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</si>
  <si>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</si>
  <si>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</si>
  <si>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</si>
  <si>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</si>
  <si>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</si>
  <si>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</si>
  <si>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</si>
  <si>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</si>
  <si>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</si>
  <si>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</si>
  <si>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</si>
  <si>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</si>
  <si>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</si>
  <si>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</si>
  <si>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</si>
  <si>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</si>
  <si>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</si>
  <si>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</si>
  <si>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</si>
  <si>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</si>
  <si>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</si>
  <si>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</si>
  <si>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</si>
  <si>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</si>
  <si>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</si>
  <si>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</si>
  <si>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</si>
  <si>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</si>
  <si>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</si>
  <si>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</si>
  <si>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</si>
  <si>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</si>
  <si>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</si>
  <si>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</si>
  <si>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</si>
  <si>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</si>
  <si>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</si>
  <si>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</si>
  <si>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</si>
  <si>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</si>
  <si>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</si>
  <si>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</si>
  <si>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</si>
  <si>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</si>
  <si>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</si>
  <si>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</si>
  <si>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</si>
  <si>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</si>
  <si>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</si>
  <si>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</si>
  <si>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</si>
  <si>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</si>
  <si>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</si>
  <si>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</si>
  <si>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</si>
  <si>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</si>
  <si>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</si>
  <si>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</si>
  <si>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</si>
  <si>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</si>
  <si>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</si>
  <si>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</si>
  <si>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</si>
  <si>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</si>
  <si>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</si>
  <si>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</si>
  <si>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</si>
  <si>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</si>
  <si>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</si>
  <si>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</si>
  <si>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</si>
  <si>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</si>
  <si>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</si>
  <si>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</si>
  <si>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</si>
  <si>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</si>
  <si>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</si>
  <si>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</si>
  <si>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</si>
  <si>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</si>
  <si>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</si>
  <si>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</si>
  <si>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</si>
  <si>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</si>
  <si>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</si>
  <si>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</si>
  <si>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</si>
  <si>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</si>
  <si>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</si>
  <si>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</si>
  <si>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</si>
  <si>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</si>
  <si>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</si>
  <si>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</si>
  <si>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</si>
  <si>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</si>
  <si>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</si>
  <si>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</si>
  <si>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</si>
  <si>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</si>
  <si>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</si>
  <si>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</si>
  <si>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</si>
  <si>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</si>
  <si>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</si>
  <si>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</si>
  <si>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</si>
  <si>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</si>
  <si>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</si>
  <si>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</si>
  <si>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</si>
  <si>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</si>
  <si>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</si>
  <si>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</si>
  <si>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</si>
  <si>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</si>
  <si>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</si>
  <si>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</si>
  <si>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</si>
  <si>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</si>
  <si>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</si>
  <si>
    <t>doub</t>
  </si>
  <si>
    <t>upst</t>
  </si>
  <si>
    <t>duol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</si>
</sst>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  <xf numFmtId="1" fontId="0" fillId="16" borderId="0" xfId="0" applyNumberFormat="1" applyFont="1" applyFill="1" applyBorder="1"/>
    <xf numFmtId="0" fontId="6" fillId="5" borderId="0" xfId="0" applyFon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BA73"/>
  <sheetViews>
    <sheetView tabSelected="1" zoomScale="93" zoomScaleNormal="93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30" sqref="I30"/>
    </sheetView>
  </sheetViews>
  <sheetFormatPr baseColWidth="10" defaultRowHeight="16" x14ac:dyDescent="0.2"/>
  <cols>
    <col min="2" max="2" width="11" customWidth="1"/>
    <col min="3" max="3" width="7.6640625" bestFit="1" customWidth="1"/>
    <col min="4" max="4" width="9.83203125" hidden="1" customWidth="1"/>
    <col min="5" max="5" width="9.83203125" customWidth="1"/>
    <col min="6" max="8" width="10.83203125" customWidth="1"/>
    <col min="14" max="15" width="10.5" customWidth="1"/>
    <col min="16" max="20" width="10.5" hidden="1" customWidth="1"/>
    <col min="21" max="21" width="7.1640625" hidden="1" customWidth="1"/>
    <col min="22" max="22" width="10.5" hidden="1" customWidth="1"/>
    <col min="23" max="23" width="10.5" customWidth="1"/>
    <col min="40" max="40" width="12" bestFit="1" customWidth="1"/>
    <col min="45" max="45" width="14.1640625" bestFit="1" customWidth="1"/>
    <col min="50" max="50" width="13" customWidth="1"/>
    <col min="51" max="51" width="12.5" customWidth="1"/>
  </cols>
  <sheetData>
    <row r="1" spans="1:53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s="67" t="s">
        <v>91</v>
      </c>
    </row>
    <row r="2" spans="1:53" x14ac:dyDescent="0.2">
      <c r="A2" s="77" t="s">
        <v>96</v>
      </c>
      <c r="B2" s="3">
        <v>1</v>
      </c>
      <c r="C2" s="32">
        <v>6132</v>
      </c>
      <c r="D2" s="21">
        <f t="shared" ref="D2:D34" si="0">10000-C2</f>
        <v>3868</v>
      </c>
      <c r="E2" s="21">
        <v>1</v>
      </c>
      <c r="F2" s="21">
        <v>0.97070000000000001</v>
      </c>
      <c r="G2" s="21">
        <v>0.99470000000000003</v>
      </c>
      <c r="H2" s="21">
        <v>1</v>
      </c>
      <c r="I2" s="24">
        <v>1</v>
      </c>
      <c r="J2" s="21">
        <v>0</v>
      </c>
      <c r="K2" s="21">
        <v>0</v>
      </c>
      <c r="L2" s="21">
        <v>0</v>
      </c>
      <c r="M2" s="21">
        <v>1</v>
      </c>
      <c r="N2" s="24">
        <v>1</v>
      </c>
      <c r="O2" s="63">
        <f>(SUM(I2:L2) / M2) *((R2 + 1) * N2 / 3)</f>
        <v>1</v>
      </c>
      <c r="P2" s="75">
        <f t="shared" ref="P2:P34" si="1">O2/$O$53</f>
        <v>5.523522509352204E-3</v>
      </c>
      <c r="Q2" s="75">
        <f t="shared" ref="Q2:Q34" si="2">D2/$D$53</f>
        <v>1.790516926124975E-2</v>
      </c>
      <c r="R2" s="41">
        <v>2</v>
      </c>
      <c r="S2" s="4">
        <f t="shared" ref="S2:S34" si="3">Q2^R2</f>
        <v>3.2059508627400288E-4</v>
      </c>
      <c r="T2" s="4">
        <f t="shared" ref="T2:T34" si="4">S2/$S$53</f>
        <v>1.5194464834758489E-2</v>
      </c>
      <c r="U2" s="4">
        <f t="shared" ref="U2:U34" si="5">T2*P2</f>
        <v>8.392696853234903E-5</v>
      </c>
      <c r="V2" s="28">
        <f t="shared" ref="V2:V34" si="6">U2/$U$53</f>
        <v>4.841663904276673E-3</v>
      </c>
      <c r="W2" s="79">
        <v>328</v>
      </c>
      <c r="X2" s="46">
        <f t="shared" ref="X2:X34" si="7">$F$59*V2</f>
        <v>350.0377752874906</v>
      </c>
      <c r="Y2" s="86">
        <f t="shared" ref="Y2:Y34" si="8">X2-W2</f>
        <v>22.037775287490604</v>
      </c>
      <c r="Z2" s="79">
        <v>0</v>
      </c>
      <c r="AA2" s="79">
        <v>329</v>
      </c>
      <c r="AB2" s="79">
        <v>0</v>
      </c>
      <c r="AC2" s="34">
        <f t="shared" ref="AC2:AC34" si="9">SUM(Z2:AB2)</f>
        <v>329</v>
      </c>
      <c r="AD2" s="46">
        <f t="shared" ref="AD2:AD34" si="10">V2*$F$58</f>
        <v>331.47483587849388</v>
      </c>
      <c r="AE2" s="12">
        <f t="shared" ref="AE2:AE34" si="11">AD2-AC2</f>
        <v>2.4748358784938773</v>
      </c>
      <c r="AF2" s="12">
        <f t="shared" ref="AF2:AF34" si="12">AE2+Y2</f>
        <v>24.512611165984481</v>
      </c>
      <c r="AG2" s="55">
        <f t="shared" ref="AG2:AG34" si="13">W2+AC2</f>
        <v>657</v>
      </c>
      <c r="AH2">
        <f t="shared" ref="AH2:AH34" si="14">X2/$X$53</f>
        <v>4.8416639042766739E-3</v>
      </c>
      <c r="AI2" s="1">
        <f t="shared" ref="AI2:AI34" si="15">AH2*$AI$53</f>
        <v>527.03932430003738</v>
      </c>
      <c r="AJ2" s="2">
        <v>0</v>
      </c>
      <c r="AK2" s="1">
        <f t="shared" ref="AK2:AK34" si="16">AI2-AJ2</f>
        <v>527.03932430003738</v>
      </c>
      <c r="AL2">
        <f t="shared" ref="AL2:AL34" si="17">B2*O2</f>
        <v>1</v>
      </c>
      <c r="AM2">
        <f t="shared" ref="AM2:AM34" si="18">AL2/$AL$53</f>
        <v>6.5500581425881662E-3</v>
      </c>
      <c r="AN2" s="1">
        <f t="shared" ref="AN2:AN34" si="19">AM2*$AN$53</f>
        <v>677.38736293204033</v>
      </c>
      <c r="AO2" s="8">
        <v>0</v>
      </c>
      <c r="AP2" s="1">
        <f t="shared" ref="AP2:AP34" si="20">AN2-AO2</f>
        <v>677.38736293204033</v>
      </c>
      <c r="AQ2" s="69">
        <f t="shared" ref="AQ2:AQ34" si="21">O2</f>
        <v>1</v>
      </c>
      <c r="AR2">
        <f t="shared" ref="AR2:AR34" si="22">AQ2/$AQ$53</f>
        <v>5.523522509352204E-3</v>
      </c>
      <c r="AS2" s="1">
        <f t="shared" ref="AS2:AS34" si="23">AR2*$AS$53*$B$53</f>
        <v>431.73021620216446</v>
      </c>
      <c r="AT2" s="8">
        <v>0</v>
      </c>
      <c r="AU2" s="1">
        <f t="shared" ref="AU2:AU34" si="24">AS2-AT2</f>
        <v>431.73021620216446</v>
      </c>
      <c r="AV2" s="82">
        <f t="shared" ref="AV2:AV34" si="25">AVERAGE(F2:H2)</f>
        <v>0.9884666666666666</v>
      </c>
      <c r="AW2" s="82">
        <f t="shared" ref="AW2:AW34" si="26">E2/$E$53</f>
        <v>2.9968203735836287E-2</v>
      </c>
      <c r="AX2" s="49">
        <f t="shared" ref="AX2:AX34" si="27">AV2*$AX$53*AW2</f>
        <v>2913.9130102960767</v>
      </c>
      <c r="AY2" s="8">
        <v>657</v>
      </c>
      <c r="AZ2" s="1">
        <f t="shared" ref="AZ2:AZ34" si="28">AX2-AY2</f>
        <v>2256.9130102960767</v>
      </c>
      <c r="BA2" s="68">
        <v>0.59</v>
      </c>
    </row>
    <row r="3" spans="1:53" x14ac:dyDescent="0.2">
      <c r="A3" s="42" t="s">
        <v>147</v>
      </c>
      <c r="B3" s="3">
        <v>0</v>
      </c>
      <c r="C3" s="21">
        <v>4334</v>
      </c>
      <c r="D3" s="21">
        <f t="shared" si="0"/>
        <v>5666</v>
      </c>
      <c r="E3" s="21">
        <v>0.47399999999999998</v>
      </c>
      <c r="F3" s="21">
        <v>0.97070000000000001</v>
      </c>
      <c r="G3" s="21">
        <v>0.99470000000000003</v>
      </c>
      <c r="H3" s="21">
        <v>1</v>
      </c>
      <c r="I3" s="21">
        <v>0</v>
      </c>
      <c r="J3" s="21">
        <v>0</v>
      </c>
      <c r="K3" s="21">
        <v>0</v>
      </c>
      <c r="L3" s="41">
        <v>3.5</v>
      </c>
      <c r="M3" s="21">
        <v>1</v>
      </c>
      <c r="N3" s="24">
        <v>1</v>
      </c>
      <c r="O3" s="63">
        <v>1</v>
      </c>
      <c r="P3" s="75">
        <f t="shared" si="1"/>
        <v>5.523522509352204E-3</v>
      </c>
      <c r="Q3" s="75">
        <f t="shared" si="2"/>
        <v>2.6228202956111966E-2</v>
      </c>
      <c r="R3" s="41">
        <v>2</v>
      </c>
      <c r="S3" s="4">
        <f t="shared" si="3"/>
        <v>6.8791863030700053E-4</v>
      </c>
      <c r="T3" s="4">
        <f t="shared" si="4"/>
        <v>3.2603604624312499E-2</v>
      </c>
      <c r="U3" s="4">
        <f t="shared" si="5"/>
        <v>1.8008674402840969E-4</v>
      </c>
      <c r="V3" s="28">
        <f t="shared" si="6"/>
        <v>1.0389026357659863E-2</v>
      </c>
      <c r="W3" s="80">
        <v>0</v>
      </c>
      <c r="X3" s="46">
        <f t="shared" si="7"/>
        <v>751.09543857973506</v>
      </c>
      <c r="Y3" s="86">
        <f t="shared" si="8"/>
        <v>751.09543857973506</v>
      </c>
      <c r="Z3" s="80">
        <v>0</v>
      </c>
      <c r="AA3" s="80">
        <v>555</v>
      </c>
      <c r="AB3" s="80">
        <v>0</v>
      </c>
      <c r="AC3" s="34">
        <f t="shared" si="9"/>
        <v>555</v>
      </c>
      <c r="AD3" s="46">
        <f t="shared" si="10"/>
        <v>711.26391152446718</v>
      </c>
      <c r="AE3" s="22">
        <f t="shared" si="11"/>
        <v>156.26391152446718</v>
      </c>
      <c r="AF3" s="22">
        <f t="shared" si="12"/>
        <v>907.35935010420224</v>
      </c>
      <c r="AG3" s="55">
        <f t="shared" si="13"/>
        <v>555</v>
      </c>
      <c r="AH3">
        <f t="shared" si="14"/>
        <v>1.0389026357659864E-2</v>
      </c>
      <c r="AI3" s="1">
        <f t="shared" si="15"/>
        <v>1130.8974641630646</v>
      </c>
      <c r="AJ3" s="2">
        <v>1109</v>
      </c>
      <c r="AK3" s="1">
        <f t="shared" si="16"/>
        <v>21.897464163064569</v>
      </c>
      <c r="AL3">
        <f t="shared" si="17"/>
        <v>0</v>
      </c>
      <c r="AM3">
        <f t="shared" si="18"/>
        <v>0</v>
      </c>
      <c r="AN3" s="1">
        <f t="shared" si="19"/>
        <v>0</v>
      </c>
      <c r="AO3" s="8">
        <v>0</v>
      </c>
      <c r="AP3" s="1">
        <f t="shared" si="20"/>
        <v>0</v>
      </c>
      <c r="AQ3" s="69">
        <f t="shared" si="21"/>
        <v>1</v>
      </c>
      <c r="AR3">
        <f t="shared" si="22"/>
        <v>5.523522509352204E-3</v>
      </c>
      <c r="AS3" s="1">
        <f t="shared" si="23"/>
        <v>431.73021620216446</v>
      </c>
      <c r="AT3" s="8">
        <v>0</v>
      </c>
      <c r="AU3" s="1">
        <f t="shared" si="24"/>
        <v>431.73021620216446</v>
      </c>
      <c r="AV3" s="82">
        <f t="shared" si="25"/>
        <v>0.9884666666666666</v>
      </c>
      <c r="AW3" s="82">
        <f t="shared" si="26"/>
        <v>1.4204928570786399E-2</v>
      </c>
      <c r="AX3" s="49">
        <f t="shared" si="27"/>
        <v>1381.1947668803402</v>
      </c>
      <c r="AY3" s="8">
        <v>971</v>
      </c>
      <c r="AZ3" s="1">
        <f t="shared" si="28"/>
        <v>410.19476688034024</v>
      </c>
      <c r="BA3" s="68">
        <v>0.59</v>
      </c>
    </row>
    <row r="4" spans="1:53" x14ac:dyDescent="0.2">
      <c r="A4" s="42" t="s">
        <v>11</v>
      </c>
      <c r="B4" s="21">
        <v>0</v>
      </c>
      <c r="C4" s="21">
        <v>6639</v>
      </c>
      <c r="D4" s="21">
        <f t="shared" si="0"/>
        <v>3361</v>
      </c>
      <c r="E4" s="21">
        <v>0.99380000000000002</v>
      </c>
      <c r="F4" s="21">
        <v>0.97070000000000001</v>
      </c>
      <c r="G4" s="21">
        <v>0.99470000000000003</v>
      </c>
      <c r="H4" s="21">
        <v>1</v>
      </c>
      <c r="I4" s="24">
        <v>1.7</v>
      </c>
      <c r="J4" s="21">
        <v>0</v>
      </c>
      <c r="K4" s="21">
        <v>0</v>
      </c>
      <c r="L4" s="21">
        <v>0</v>
      </c>
      <c r="M4" s="21">
        <v>1</v>
      </c>
      <c r="N4" s="24">
        <v>0.59</v>
      </c>
      <c r="O4" s="63">
        <f t="shared" ref="O4:O9" si="29">(SUM(I4:L4) / M4) *((R4 + 1) * N4 / 3)</f>
        <v>1.0029999999999999</v>
      </c>
      <c r="P4" s="44">
        <f t="shared" si="1"/>
        <v>5.5400930768802602E-3</v>
      </c>
      <c r="Q4" s="44">
        <f t="shared" si="2"/>
        <v>1.5558240405134543E-2</v>
      </c>
      <c r="R4" s="41">
        <v>2</v>
      </c>
      <c r="S4" s="13">
        <f t="shared" si="3"/>
        <v>2.4205884450396108E-4</v>
      </c>
      <c r="T4" s="13">
        <f t="shared" si="4"/>
        <v>1.1472273775320042E-2</v>
      </c>
      <c r="U4" s="13">
        <f t="shared" si="5"/>
        <v>6.3557464518725529E-5</v>
      </c>
      <c r="V4" s="31">
        <f t="shared" si="6"/>
        <v>3.6665673404973381E-3</v>
      </c>
      <c r="W4" s="80">
        <v>0</v>
      </c>
      <c r="X4" s="46">
        <f t="shared" si="7"/>
        <v>265.08181901593605</v>
      </c>
      <c r="Y4" s="86">
        <f t="shared" si="8"/>
        <v>265.08181901593605</v>
      </c>
      <c r="Z4" s="80">
        <v>0</v>
      </c>
      <c r="AA4" s="80">
        <v>381</v>
      </c>
      <c r="AB4" s="80">
        <v>0</v>
      </c>
      <c r="AC4" s="26">
        <f t="shared" si="9"/>
        <v>381</v>
      </c>
      <c r="AD4" s="46">
        <f t="shared" si="10"/>
        <v>251.02419983246926</v>
      </c>
      <c r="AE4" s="22">
        <f t="shared" si="11"/>
        <v>-129.97580016753074</v>
      </c>
      <c r="AF4" s="22">
        <f t="shared" si="12"/>
        <v>135.10601884840531</v>
      </c>
      <c r="AG4" s="55">
        <f t="shared" si="13"/>
        <v>381</v>
      </c>
      <c r="AH4">
        <f t="shared" si="14"/>
        <v>3.6665673404973386E-3</v>
      </c>
      <c r="AI4" s="1">
        <f t="shared" si="15"/>
        <v>399.12418784983777</v>
      </c>
      <c r="AJ4" s="2">
        <v>381</v>
      </c>
      <c r="AK4" s="1">
        <f t="shared" si="16"/>
        <v>18.124187849837767</v>
      </c>
      <c r="AL4">
        <f t="shared" si="17"/>
        <v>0</v>
      </c>
      <c r="AM4">
        <f t="shared" si="18"/>
        <v>0</v>
      </c>
      <c r="AN4" s="1">
        <f t="shared" si="19"/>
        <v>0</v>
      </c>
      <c r="AO4" s="8">
        <v>762</v>
      </c>
      <c r="AP4" s="1">
        <f t="shared" si="20"/>
        <v>-762</v>
      </c>
      <c r="AQ4" s="69">
        <f t="shared" si="21"/>
        <v>1.0029999999999999</v>
      </c>
      <c r="AR4">
        <f t="shared" si="22"/>
        <v>5.5400930768802602E-3</v>
      </c>
      <c r="AS4" s="1">
        <f t="shared" si="23"/>
        <v>433.02540685077093</v>
      </c>
      <c r="AT4" s="8">
        <v>0</v>
      </c>
      <c r="AU4" s="1">
        <f t="shared" si="24"/>
        <v>433.02540685077093</v>
      </c>
      <c r="AV4" s="82">
        <f t="shared" si="25"/>
        <v>0.9884666666666666</v>
      </c>
      <c r="AW4" s="82">
        <f t="shared" si="26"/>
        <v>2.9782400872674104E-2</v>
      </c>
      <c r="AX4" s="49">
        <f t="shared" si="27"/>
        <v>2895.846749632241</v>
      </c>
      <c r="AY4" s="8">
        <v>2667</v>
      </c>
      <c r="AZ4" s="1">
        <f t="shared" si="28"/>
        <v>228.84674963224097</v>
      </c>
      <c r="BA4" s="68">
        <v>0.59</v>
      </c>
    </row>
    <row r="5" spans="1:53" x14ac:dyDescent="0.2">
      <c r="A5" s="42" t="s">
        <v>79</v>
      </c>
      <c r="B5" s="21">
        <v>0</v>
      </c>
      <c r="C5" s="21">
        <v>4498</v>
      </c>
      <c r="D5" s="21">
        <f t="shared" si="0"/>
        <v>5502</v>
      </c>
      <c r="E5" s="21">
        <v>0.99939999999999996</v>
      </c>
      <c r="F5" s="21">
        <v>0.97070000000000001</v>
      </c>
      <c r="G5" s="21">
        <v>0.99470000000000003</v>
      </c>
      <c r="H5" s="21">
        <v>1</v>
      </c>
      <c r="I5" s="21">
        <v>0</v>
      </c>
      <c r="J5" s="21">
        <v>0</v>
      </c>
      <c r="K5" s="24">
        <v>2.1</v>
      </c>
      <c r="L5" s="21">
        <v>0</v>
      </c>
      <c r="M5" s="21">
        <v>1</v>
      </c>
      <c r="N5" s="24">
        <v>1.21</v>
      </c>
      <c r="O5" s="63">
        <f t="shared" si="29"/>
        <v>2.5409999999999999</v>
      </c>
      <c r="P5" s="44">
        <f t="shared" si="1"/>
        <v>1.403527069626395E-2</v>
      </c>
      <c r="Q5" s="44">
        <f t="shared" si="2"/>
        <v>2.5469038592398172E-2</v>
      </c>
      <c r="R5" s="41">
        <v>2</v>
      </c>
      <c r="S5" s="13">
        <f t="shared" si="3"/>
        <v>6.4867192682106745E-4</v>
      </c>
      <c r="T5" s="13">
        <f t="shared" si="4"/>
        <v>3.0743524162918479E-2</v>
      </c>
      <c r="U5" s="13">
        <f t="shared" si="5"/>
        <v>4.314936837836924E-4</v>
      </c>
      <c r="V5" s="31">
        <f t="shared" si="6"/>
        <v>2.4892444350514457E-2</v>
      </c>
      <c r="W5" s="80">
        <v>1281</v>
      </c>
      <c r="X5" s="46">
        <f t="shared" si="7"/>
        <v>1799.6490492091436</v>
      </c>
      <c r="Y5" s="86">
        <f t="shared" si="8"/>
        <v>518.64904920914364</v>
      </c>
      <c r="Z5" s="80">
        <v>275</v>
      </c>
      <c r="AA5" s="80">
        <v>2288</v>
      </c>
      <c r="AB5" s="80">
        <v>0</v>
      </c>
      <c r="AC5" s="26">
        <f t="shared" si="9"/>
        <v>2563</v>
      </c>
      <c r="AD5" s="46">
        <f t="shared" si="10"/>
        <v>1704.2114175692714</v>
      </c>
      <c r="AE5" s="22">
        <f t="shared" si="11"/>
        <v>-858.78858243072864</v>
      </c>
      <c r="AF5" s="22">
        <f t="shared" si="12"/>
        <v>-340.139533221585</v>
      </c>
      <c r="AG5" s="55">
        <f t="shared" si="13"/>
        <v>3844</v>
      </c>
      <c r="AH5">
        <f t="shared" si="14"/>
        <v>2.4892444350514461E-2</v>
      </c>
      <c r="AI5" s="1">
        <f t="shared" si="15"/>
        <v>2709.6670297752516</v>
      </c>
      <c r="AJ5" s="2">
        <v>2654</v>
      </c>
      <c r="AK5" s="1">
        <f t="shared" si="16"/>
        <v>55.667029775251649</v>
      </c>
      <c r="AL5">
        <f t="shared" si="17"/>
        <v>0</v>
      </c>
      <c r="AM5">
        <f t="shared" si="18"/>
        <v>0</v>
      </c>
      <c r="AN5" s="1">
        <f t="shared" si="19"/>
        <v>0</v>
      </c>
      <c r="AO5" s="8">
        <v>0</v>
      </c>
      <c r="AP5" s="1">
        <f t="shared" si="20"/>
        <v>0</v>
      </c>
      <c r="AQ5" s="69">
        <f t="shared" si="21"/>
        <v>2.5409999999999999</v>
      </c>
      <c r="AR5">
        <f t="shared" si="22"/>
        <v>1.403527069626395E-2</v>
      </c>
      <c r="AS5" s="1">
        <f t="shared" si="23"/>
        <v>1097.0264793696999</v>
      </c>
      <c r="AT5" s="8">
        <v>1007</v>
      </c>
      <c r="AU5" s="1">
        <f t="shared" si="24"/>
        <v>90.026479369699928</v>
      </c>
      <c r="AV5" s="82">
        <f t="shared" si="25"/>
        <v>0.9884666666666666</v>
      </c>
      <c r="AW5" s="82">
        <f t="shared" si="26"/>
        <v>2.9950222813594784E-2</v>
      </c>
      <c r="AX5" s="49">
        <f t="shared" si="27"/>
        <v>2912.164662489899</v>
      </c>
      <c r="AY5" s="8">
        <v>3111</v>
      </c>
      <c r="AZ5" s="1">
        <f t="shared" si="28"/>
        <v>-198.835337510101</v>
      </c>
      <c r="BA5" s="68">
        <v>0.59</v>
      </c>
    </row>
    <row r="6" spans="1:53" x14ac:dyDescent="0.2">
      <c r="A6" s="42" t="s">
        <v>95</v>
      </c>
      <c r="B6" s="21">
        <v>1</v>
      </c>
      <c r="C6" s="21">
        <v>6784</v>
      </c>
      <c r="D6" s="21">
        <f t="shared" si="0"/>
        <v>3216</v>
      </c>
      <c r="E6" s="21">
        <v>0.92090000000000005</v>
      </c>
      <c r="F6" s="21">
        <v>0.97070000000000001</v>
      </c>
      <c r="G6" s="21">
        <v>0.99470000000000003</v>
      </c>
      <c r="H6" s="21">
        <v>1</v>
      </c>
      <c r="I6" s="24">
        <v>4</v>
      </c>
      <c r="J6" s="66">
        <f>$AD$54</f>
        <v>2.5282666666666671</v>
      </c>
      <c r="K6" s="24">
        <v>3.5</v>
      </c>
      <c r="L6" s="24">
        <v>4.2</v>
      </c>
      <c r="M6" s="21">
        <v>3</v>
      </c>
      <c r="N6" s="24">
        <v>0.59</v>
      </c>
      <c r="O6" s="63">
        <f t="shared" si="29"/>
        <v>2.7982257777777773</v>
      </c>
      <c r="P6" s="44">
        <f t="shared" si="1"/>
        <v>1.5456063069805131E-2</v>
      </c>
      <c r="Q6" s="44">
        <f t="shared" si="2"/>
        <v>1.488702801038759E-2</v>
      </c>
      <c r="R6" s="41">
        <v>2</v>
      </c>
      <c r="S6" s="13">
        <f t="shared" si="3"/>
        <v>2.216236029820647E-4</v>
      </c>
      <c r="T6" s="13">
        <f t="shared" si="4"/>
        <v>1.0503754381267714E-2</v>
      </c>
      <c r="U6" s="13">
        <f t="shared" si="5"/>
        <v>1.6234669018661577E-4</v>
      </c>
      <c r="V6" s="31">
        <f t="shared" si="6"/>
        <v>9.3656201766939406E-3</v>
      </c>
      <c r="W6" s="80">
        <v>366</v>
      </c>
      <c r="X6" s="46">
        <f t="shared" si="7"/>
        <v>677.10624191444185</v>
      </c>
      <c r="Y6" s="86">
        <f t="shared" si="8"/>
        <v>311.10624191444185</v>
      </c>
      <c r="Z6" s="80">
        <v>0</v>
      </c>
      <c r="AA6" s="80">
        <v>1281</v>
      </c>
      <c r="AB6" s="80">
        <v>0</v>
      </c>
      <c r="AC6" s="26">
        <f t="shared" si="9"/>
        <v>1281</v>
      </c>
      <c r="AD6" s="46">
        <f t="shared" si="10"/>
        <v>641.19845415699729</v>
      </c>
      <c r="AE6" s="22">
        <f t="shared" si="11"/>
        <v>-639.80154584300271</v>
      </c>
      <c r="AF6" s="22">
        <f t="shared" si="12"/>
        <v>-328.69530392856086</v>
      </c>
      <c r="AG6" s="55">
        <f t="shared" si="13"/>
        <v>1647</v>
      </c>
      <c r="AH6">
        <f t="shared" si="14"/>
        <v>9.3656201766939423E-3</v>
      </c>
      <c r="AI6" s="1">
        <f t="shared" si="15"/>
        <v>1019.4945843340191</v>
      </c>
      <c r="AJ6" s="2">
        <v>1647</v>
      </c>
      <c r="AK6" s="1">
        <f t="shared" si="16"/>
        <v>-627.50541566598088</v>
      </c>
      <c r="AL6">
        <f t="shared" si="17"/>
        <v>2.7982257777777773</v>
      </c>
      <c r="AM6">
        <f t="shared" si="18"/>
        <v>1.8328541540533434E-2</v>
      </c>
      <c r="AN6" s="1">
        <f t="shared" si="19"/>
        <v>1895.4827804973461</v>
      </c>
      <c r="AO6" s="73">
        <v>0</v>
      </c>
      <c r="AP6" s="1">
        <f t="shared" si="20"/>
        <v>1895.4827804973461</v>
      </c>
      <c r="AQ6" s="69">
        <f t="shared" si="21"/>
        <v>2.7982257777777773</v>
      </c>
      <c r="AR6">
        <f t="shared" si="22"/>
        <v>1.5456063069805131E-2</v>
      </c>
      <c r="AS6" s="1">
        <f t="shared" si="23"/>
        <v>1208.0786200224697</v>
      </c>
      <c r="AT6" s="8">
        <v>1647</v>
      </c>
      <c r="AU6" s="49">
        <f t="shared" si="24"/>
        <v>-438.92137997753025</v>
      </c>
      <c r="AV6" s="82">
        <f t="shared" si="25"/>
        <v>0.9884666666666666</v>
      </c>
      <c r="AW6" s="82">
        <f t="shared" si="26"/>
        <v>2.759771882033164E-2</v>
      </c>
      <c r="AX6" s="49">
        <f t="shared" si="27"/>
        <v>2683.4224911816573</v>
      </c>
      <c r="AY6" s="8">
        <v>1830</v>
      </c>
      <c r="AZ6" s="1">
        <f t="shared" si="28"/>
        <v>853.42249118165728</v>
      </c>
      <c r="BA6" s="68">
        <v>0.59</v>
      </c>
    </row>
    <row r="7" spans="1:53" x14ac:dyDescent="0.2">
      <c r="A7" s="42" t="s">
        <v>26</v>
      </c>
      <c r="B7" s="21">
        <v>1</v>
      </c>
      <c r="C7" s="21">
        <v>5119</v>
      </c>
      <c r="D7" s="21">
        <f t="shared" si="0"/>
        <v>4881</v>
      </c>
      <c r="E7" s="21">
        <v>0.99970000000000003</v>
      </c>
      <c r="F7" s="21">
        <v>0.97070000000000001</v>
      </c>
      <c r="G7" s="21">
        <v>0.99470000000000003</v>
      </c>
      <c r="H7" s="21">
        <v>1</v>
      </c>
      <c r="I7" s="24">
        <v>2.2000000000000002</v>
      </c>
      <c r="J7" s="66">
        <f>$AD$55</f>
        <v>1.3972000000000002</v>
      </c>
      <c r="K7" s="24">
        <v>2.1</v>
      </c>
      <c r="L7" s="21">
        <v>0</v>
      </c>
      <c r="M7" s="21">
        <v>2</v>
      </c>
      <c r="N7" s="24">
        <v>1.611</v>
      </c>
      <c r="O7" s="63">
        <f t="shared" si="29"/>
        <v>4.5890946000000001</v>
      </c>
      <c r="P7" s="44">
        <f t="shared" si="1"/>
        <v>2.5347967320646651E-2</v>
      </c>
      <c r="Q7" s="44">
        <f t="shared" si="2"/>
        <v>2.2594397922481912E-2</v>
      </c>
      <c r="R7" s="41">
        <v>2</v>
      </c>
      <c r="S7" s="13">
        <f t="shared" si="3"/>
        <v>5.1050681747945499E-4</v>
      </c>
      <c r="T7" s="13">
        <f t="shared" si="4"/>
        <v>2.4195248830066227E-2</v>
      </c>
      <c r="U7" s="13">
        <f t="shared" si="5"/>
        <v>6.1330037665943281E-4</v>
      </c>
      <c r="V7" s="31">
        <f t="shared" si="6"/>
        <v>3.5380692858061856E-2</v>
      </c>
      <c r="W7" s="80">
        <v>1390</v>
      </c>
      <c r="X7" s="46">
        <f t="shared" si="7"/>
        <v>2557.9179515592982</v>
      </c>
      <c r="Y7" s="86">
        <f t="shared" si="8"/>
        <v>1167.9179515592982</v>
      </c>
      <c r="Z7" s="80">
        <v>3271</v>
      </c>
      <c r="AA7" s="80">
        <v>82</v>
      </c>
      <c r="AB7" s="80">
        <v>818</v>
      </c>
      <c r="AC7" s="26">
        <f t="shared" si="9"/>
        <v>4171</v>
      </c>
      <c r="AD7" s="46">
        <f t="shared" si="10"/>
        <v>2422.2683751414888</v>
      </c>
      <c r="AE7" s="22">
        <f t="shared" si="11"/>
        <v>-1748.7316248585112</v>
      </c>
      <c r="AF7" s="22">
        <f t="shared" si="12"/>
        <v>-580.81367329921295</v>
      </c>
      <c r="AG7" s="55">
        <f t="shared" si="13"/>
        <v>5561</v>
      </c>
      <c r="AH7">
        <f t="shared" si="14"/>
        <v>3.5380692858061863E-2</v>
      </c>
      <c r="AI7" s="1">
        <f t="shared" si="15"/>
        <v>3851.3653210643242</v>
      </c>
      <c r="AJ7" s="2">
        <v>4335</v>
      </c>
      <c r="AK7" s="49">
        <f t="shared" si="16"/>
        <v>-483.63467893567577</v>
      </c>
      <c r="AL7">
        <f t="shared" si="17"/>
        <v>4.5890946000000001</v>
      </c>
      <c r="AM7">
        <f t="shared" si="18"/>
        <v>3.0058836451837385E-2</v>
      </c>
      <c r="AN7" s="1">
        <f t="shared" si="19"/>
        <v>3108.5946893396667</v>
      </c>
      <c r="AO7" s="8">
        <v>0</v>
      </c>
      <c r="AP7" s="49">
        <f t="shared" si="20"/>
        <v>3108.5946893396667</v>
      </c>
      <c r="AQ7" s="69">
        <f t="shared" si="21"/>
        <v>4.5890946000000001</v>
      </c>
      <c r="AR7">
        <f t="shared" si="22"/>
        <v>2.5347967320646651E-2</v>
      </c>
      <c r="AS7" s="1">
        <f t="shared" si="23"/>
        <v>1981.2508038301858</v>
      </c>
      <c r="AT7" s="8">
        <v>2045</v>
      </c>
      <c r="AU7" s="1">
        <f t="shared" si="24"/>
        <v>-63.74919616981424</v>
      </c>
      <c r="AV7" s="82">
        <f t="shared" si="25"/>
        <v>0.9884666666666666</v>
      </c>
      <c r="AW7" s="82">
        <f t="shared" si="26"/>
        <v>2.9959213274715537E-2</v>
      </c>
      <c r="AX7" s="49">
        <f t="shared" si="27"/>
        <v>2913.0388363929878</v>
      </c>
      <c r="AY7" s="8">
        <v>2045</v>
      </c>
      <c r="AZ7" s="1">
        <f t="shared" si="28"/>
        <v>868.03883639298783</v>
      </c>
      <c r="BA7" s="68">
        <v>0.59</v>
      </c>
    </row>
    <row r="8" spans="1:53" x14ac:dyDescent="0.2">
      <c r="A8" s="42" t="s">
        <v>125</v>
      </c>
      <c r="B8" s="21">
        <v>0</v>
      </c>
      <c r="C8" s="21">
        <v>3583</v>
      </c>
      <c r="D8" s="21">
        <f t="shared" si="0"/>
        <v>6417</v>
      </c>
      <c r="E8" s="21">
        <v>0.99819999999999998</v>
      </c>
      <c r="F8" s="21">
        <v>0.97070000000000001</v>
      </c>
      <c r="G8" s="21">
        <v>0.99470000000000003</v>
      </c>
      <c r="H8" s="21">
        <v>1</v>
      </c>
      <c r="I8" s="21">
        <v>0</v>
      </c>
      <c r="J8" s="21">
        <v>0</v>
      </c>
      <c r="K8" s="21">
        <v>0</v>
      </c>
      <c r="L8" s="24">
        <v>3.5</v>
      </c>
      <c r="M8" s="21">
        <v>1</v>
      </c>
      <c r="N8" s="24">
        <v>1.21</v>
      </c>
      <c r="O8" s="63">
        <f t="shared" si="29"/>
        <v>4.2349999999999994</v>
      </c>
      <c r="P8" s="44">
        <f t="shared" si="1"/>
        <v>2.3392117827106582E-2</v>
      </c>
      <c r="Q8" s="44">
        <f t="shared" si="2"/>
        <v>2.9704620255801357E-2</v>
      </c>
      <c r="R8" s="41">
        <v>2</v>
      </c>
      <c r="S8" s="13">
        <f t="shared" si="3"/>
        <v>8.8236446454136432E-4</v>
      </c>
      <c r="T8" s="13">
        <f t="shared" si="4"/>
        <v>4.1819280462881643E-2</v>
      </c>
      <c r="U8" s="13">
        <f t="shared" si="5"/>
        <v>9.7824153603254358E-4</v>
      </c>
      <c r="V8" s="31">
        <f t="shared" si="6"/>
        <v>5.6433787821698299E-2</v>
      </c>
      <c r="W8" s="80">
        <f>1428+4856</f>
        <v>6284</v>
      </c>
      <c r="X8" s="46">
        <f t="shared" si="7"/>
        <v>4079.9935581453219</v>
      </c>
      <c r="Y8" s="86">
        <f t="shared" si="8"/>
        <v>-2204.0064418546781</v>
      </c>
      <c r="Z8" s="80">
        <v>1143</v>
      </c>
      <c r="AA8" s="80">
        <v>1047</v>
      </c>
      <c r="AB8" s="80">
        <v>0</v>
      </c>
      <c r="AC8" s="26">
        <f t="shared" si="9"/>
        <v>2190</v>
      </c>
      <c r="AD8" s="46">
        <f t="shared" si="10"/>
        <v>3863.6264156369307</v>
      </c>
      <c r="AE8" s="22">
        <f t="shared" si="11"/>
        <v>1673.6264156369307</v>
      </c>
      <c r="AF8" s="22">
        <f t="shared" si="12"/>
        <v>-530.3800262177474</v>
      </c>
      <c r="AG8" s="55">
        <f t="shared" si="13"/>
        <v>8474</v>
      </c>
      <c r="AH8">
        <f t="shared" si="14"/>
        <v>5.6433787821698313E-2</v>
      </c>
      <c r="AI8" s="1">
        <f t="shared" si="15"/>
        <v>6143.09997333097</v>
      </c>
      <c r="AJ8" s="2">
        <v>2761</v>
      </c>
      <c r="AK8" s="49">
        <f t="shared" si="16"/>
        <v>3382.09997333097</v>
      </c>
      <c r="AL8">
        <f t="shared" si="17"/>
        <v>0</v>
      </c>
      <c r="AM8">
        <f t="shared" si="18"/>
        <v>0</v>
      </c>
      <c r="AN8" s="1">
        <f t="shared" si="19"/>
        <v>0</v>
      </c>
      <c r="AO8" s="8">
        <v>0</v>
      </c>
      <c r="AP8" s="49">
        <f t="shared" si="20"/>
        <v>0</v>
      </c>
      <c r="AQ8" s="69">
        <f t="shared" si="21"/>
        <v>4.2349999999999994</v>
      </c>
      <c r="AR8">
        <f t="shared" si="22"/>
        <v>2.3392117827106582E-2</v>
      </c>
      <c r="AS8" s="1">
        <f t="shared" si="23"/>
        <v>1828.3774656161665</v>
      </c>
      <c r="AT8" s="8">
        <v>2095</v>
      </c>
      <c r="AU8" s="49">
        <f t="shared" si="24"/>
        <v>-266.62253438383345</v>
      </c>
      <c r="AV8" s="82">
        <f t="shared" si="25"/>
        <v>0.9884666666666666</v>
      </c>
      <c r="AW8" s="82">
        <f t="shared" si="26"/>
        <v>2.9914260969111782E-2</v>
      </c>
      <c r="AX8" s="49">
        <f t="shared" si="27"/>
        <v>2908.6679668775437</v>
      </c>
      <c r="AY8" s="8">
        <v>0</v>
      </c>
      <c r="AZ8" s="49">
        <f t="shared" si="28"/>
        <v>2908.6679668775437</v>
      </c>
      <c r="BA8" s="68">
        <v>0.59</v>
      </c>
    </row>
    <row r="9" spans="1:53" x14ac:dyDescent="0.2">
      <c r="A9" s="48" t="s">
        <v>68</v>
      </c>
      <c r="B9" s="21">
        <v>0</v>
      </c>
      <c r="C9" s="21">
        <v>3730</v>
      </c>
      <c r="D9" s="21">
        <f t="shared" si="0"/>
        <v>6270</v>
      </c>
      <c r="E9" s="21">
        <v>1.4E-3</v>
      </c>
      <c r="F9" s="21">
        <v>0.97070000000000001</v>
      </c>
      <c r="G9" s="21">
        <v>0.99470000000000003</v>
      </c>
      <c r="H9" s="21">
        <v>1</v>
      </c>
      <c r="I9" s="21">
        <v>0</v>
      </c>
      <c r="J9" s="66">
        <f>$AD$56</f>
        <v>1.3972000000000002</v>
      </c>
      <c r="K9" s="21">
        <v>0</v>
      </c>
      <c r="L9" s="21">
        <v>0</v>
      </c>
      <c r="M9" s="21">
        <v>1</v>
      </c>
      <c r="N9" s="24">
        <v>1.611</v>
      </c>
      <c r="O9" s="63">
        <f t="shared" si="29"/>
        <v>2.2508892000000005</v>
      </c>
      <c r="P9" s="21">
        <f t="shared" si="1"/>
        <v>1.2432837162257777E-2</v>
      </c>
      <c r="Q9" s="21">
        <f t="shared" si="2"/>
        <v>2.9024149759057895E-2</v>
      </c>
      <c r="R9" s="41">
        <v>2</v>
      </c>
      <c r="S9" s="13">
        <f t="shared" si="3"/>
        <v>8.4240126923622045E-4</v>
      </c>
      <c r="T9" s="13">
        <f t="shared" si="4"/>
        <v>3.9925242182988541E-2</v>
      </c>
      <c r="U9" s="13">
        <f t="shared" si="5"/>
        <v>4.963840347248017E-4</v>
      </c>
      <c r="V9" s="31">
        <f t="shared" si="6"/>
        <v>2.8635904591978054E-2</v>
      </c>
      <c r="W9" s="80">
        <v>2531</v>
      </c>
      <c r="X9" s="46">
        <f t="shared" si="7"/>
        <v>2070.2899942862373</v>
      </c>
      <c r="Y9" s="86">
        <f t="shared" si="8"/>
        <v>-460.71000571376271</v>
      </c>
      <c r="Z9" s="80">
        <v>506</v>
      </c>
      <c r="AA9" s="80">
        <v>1265</v>
      </c>
      <c r="AB9" s="80">
        <v>0</v>
      </c>
      <c r="AC9" s="26">
        <f t="shared" si="9"/>
        <v>1771</v>
      </c>
      <c r="AD9" s="46">
        <f t="shared" si="10"/>
        <v>1960.4999360805934</v>
      </c>
      <c r="AE9" s="22">
        <f t="shared" si="11"/>
        <v>189.49993608059344</v>
      </c>
      <c r="AF9" s="22">
        <f t="shared" si="12"/>
        <v>-271.21006963316927</v>
      </c>
      <c r="AG9" s="55">
        <f t="shared" si="13"/>
        <v>4302</v>
      </c>
      <c r="AH9">
        <f t="shared" si="14"/>
        <v>2.8635904591978057E-2</v>
      </c>
      <c r="AI9" s="1">
        <f t="shared" si="15"/>
        <v>3117.1613943597713</v>
      </c>
      <c r="AJ9" s="2">
        <v>1518</v>
      </c>
      <c r="AK9" s="1">
        <f t="shared" si="16"/>
        <v>1599.1613943597713</v>
      </c>
      <c r="AL9">
        <f t="shared" si="17"/>
        <v>0</v>
      </c>
      <c r="AM9">
        <f t="shared" si="18"/>
        <v>0</v>
      </c>
      <c r="AN9" s="1">
        <f t="shared" si="19"/>
        <v>0</v>
      </c>
      <c r="AO9" s="8">
        <v>0</v>
      </c>
      <c r="AP9" s="1">
        <f t="shared" si="20"/>
        <v>0</v>
      </c>
      <c r="AQ9" s="69">
        <f t="shared" si="21"/>
        <v>2.2508892000000005</v>
      </c>
      <c r="AR9">
        <f t="shared" si="22"/>
        <v>1.2432837162257777E-2</v>
      </c>
      <c r="AS9" s="1">
        <f t="shared" si="23"/>
        <v>971.77688096311738</v>
      </c>
      <c r="AT9" s="8">
        <v>759</v>
      </c>
      <c r="AU9" s="1">
        <f t="shared" si="24"/>
        <v>212.77688096311738</v>
      </c>
      <c r="AV9" s="82">
        <f t="shared" si="25"/>
        <v>0.9884666666666666</v>
      </c>
      <c r="AW9" s="82">
        <f t="shared" si="26"/>
        <v>4.1955485230170803E-5</v>
      </c>
      <c r="AX9" s="49">
        <f t="shared" si="27"/>
        <v>4.0794782144145074</v>
      </c>
      <c r="AY9" s="8">
        <v>0</v>
      </c>
      <c r="AZ9" s="49">
        <f t="shared" si="28"/>
        <v>4.0794782144145074</v>
      </c>
      <c r="BA9" s="68">
        <v>0.59</v>
      </c>
    </row>
    <row r="10" spans="1:53" x14ac:dyDescent="0.2">
      <c r="A10" s="48" t="s">
        <v>130</v>
      </c>
      <c r="B10" s="21">
        <v>0</v>
      </c>
      <c r="C10" s="21">
        <v>4639</v>
      </c>
      <c r="D10" s="21">
        <f t="shared" si="0"/>
        <v>5361</v>
      </c>
      <c r="E10" s="21">
        <v>0.3387</v>
      </c>
      <c r="F10" s="21">
        <v>0.97070000000000001</v>
      </c>
      <c r="G10" s="21">
        <v>0.99470000000000003</v>
      </c>
      <c r="H10" s="21">
        <v>1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4">
        <v>0.9</v>
      </c>
      <c r="O10" s="63">
        <v>1</v>
      </c>
      <c r="P10" s="21">
        <f t="shared" si="1"/>
        <v>5.523522509352204E-3</v>
      </c>
      <c r="Q10" s="44">
        <f t="shared" si="2"/>
        <v>2.481634240164424E-2</v>
      </c>
      <c r="R10" s="41">
        <v>2</v>
      </c>
      <c r="S10" s="13">
        <f t="shared" si="3"/>
        <v>6.158508501956458E-4</v>
      </c>
      <c r="T10" s="13">
        <f t="shared" si="4"/>
        <v>2.9187983495031693E-2</v>
      </c>
      <c r="U10" s="13">
        <f t="shared" si="5"/>
        <v>1.6122048383740816E-4</v>
      </c>
      <c r="V10" s="31">
        <f t="shared" si="6"/>
        <v>9.3006504449726773E-3</v>
      </c>
      <c r="W10" s="80">
        <v>0</v>
      </c>
      <c r="X10" s="46">
        <f t="shared" si="7"/>
        <v>672.40912522018971</v>
      </c>
      <c r="Y10" s="86">
        <f t="shared" si="8"/>
        <v>672.40912522018971</v>
      </c>
      <c r="Z10" s="80">
        <v>0</v>
      </c>
      <c r="AA10" s="80">
        <v>391</v>
      </c>
      <c r="AB10" s="80">
        <v>0</v>
      </c>
      <c r="AC10" s="26">
        <f t="shared" si="9"/>
        <v>391</v>
      </c>
      <c r="AD10" s="46">
        <f t="shared" si="10"/>
        <v>636.75043141416438</v>
      </c>
      <c r="AE10" s="22">
        <f t="shared" si="11"/>
        <v>245.75043141416438</v>
      </c>
      <c r="AF10" s="22">
        <f t="shared" si="12"/>
        <v>918.15955663435409</v>
      </c>
      <c r="AG10" s="55">
        <f t="shared" si="13"/>
        <v>391</v>
      </c>
      <c r="AH10">
        <f t="shared" si="14"/>
        <v>9.3006504449726808E-3</v>
      </c>
      <c r="AI10" s="1">
        <f t="shared" si="15"/>
        <v>1012.4223041875011</v>
      </c>
      <c r="AJ10" s="2">
        <v>469</v>
      </c>
      <c r="AK10" s="1">
        <f t="shared" si="16"/>
        <v>543.42230418750114</v>
      </c>
      <c r="AL10">
        <f t="shared" si="17"/>
        <v>0</v>
      </c>
      <c r="AM10">
        <f t="shared" si="18"/>
        <v>0</v>
      </c>
      <c r="AN10" s="1">
        <f t="shared" si="19"/>
        <v>0</v>
      </c>
      <c r="AO10" s="8">
        <v>665</v>
      </c>
      <c r="AP10" s="1">
        <f t="shared" si="20"/>
        <v>-665</v>
      </c>
      <c r="AQ10" s="69">
        <f t="shared" si="21"/>
        <v>1</v>
      </c>
      <c r="AR10">
        <f t="shared" si="22"/>
        <v>5.523522509352204E-3</v>
      </c>
      <c r="AS10" s="1">
        <f t="shared" si="23"/>
        <v>431.73021620216446</v>
      </c>
      <c r="AT10" s="8">
        <v>0</v>
      </c>
      <c r="AU10" s="1">
        <f t="shared" si="24"/>
        <v>431.73021620216446</v>
      </c>
      <c r="AV10" s="82">
        <f t="shared" si="25"/>
        <v>0.9884666666666666</v>
      </c>
      <c r="AW10" s="82">
        <f t="shared" si="26"/>
        <v>1.0150230605327751E-2</v>
      </c>
      <c r="AX10" s="49">
        <f t="shared" si="27"/>
        <v>986.94233658728126</v>
      </c>
      <c r="AY10" s="8">
        <v>0</v>
      </c>
      <c r="AZ10" s="49">
        <f t="shared" si="28"/>
        <v>986.94233658728126</v>
      </c>
      <c r="BA10" s="68">
        <v>0.59</v>
      </c>
    </row>
    <row r="11" spans="1:53" x14ac:dyDescent="0.2">
      <c r="A11" s="48" t="s">
        <v>146</v>
      </c>
      <c r="B11" s="21">
        <v>1</v>
      </c>
      <c r="C11" s="21">
        <v>4306</v>
      </c>
      <c r="D11" s="21">
        <f t="shared" si="0"/>
        <v>5694</v>
      </c>
      <c r="E11" s="21">
        <v>0.83450000000000002</v>
      </c>
      <c r="F11" s="21">
        <v>0.97070000000000001</v>
      </c>
      <c r="G11" s="21">
        <v>0.99470000000000003</v>
      </c>
      <c r="H11" s="21">
        <v>1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24">
        <v>1.1000000000000001</v>
      </c>
      <c r="O11" s="63">
        <v>1</v>
      </c>
      <c r="P11" s="44">
        <f t="shared" si="1"/>
        <v>5.523522509352204E-3</v>
      </c>
      <c r="Q11" s="44">
        <f t="shared" si="2"/>
        <v>2.6357816384063103E-2</v>
      </c>
      <c r="R11" s="41">
        <v>2</v>
      </c>
      <c r="S11" s="4">
        <f t="shared" si="3"/>
        <v>6.9473448453598536E-4</v>
      </c>
      <c r="T11" s="4">
        <f t="shared" si="4"/>
        <v>3.2926639074418319E-2</v>
      </c>
      <c r="U11" s="4">
        <f t="shared" si="5"/>
        <v>1.818710320848654E-4</v>
      </c>
      <c r="V11" s="28">
        <f t="shared" si="6"/>
        <v>1.0491960172961957E-2</v>
      </c>
      <c r="W11" s="80">
        <v>0</v>
      </c>
      <c r="X11" s="46">
        <f t="shared" si="7"/>
        <v>758.5372446246306</v>
      </c>
      <c r="Y11" s="86">
        <f t="shared" si="8"/>
        <v>758.5372446246306</v>
      </c>
      <c r="Z11" s="80">
        <v>0</v>
      </c>
      <c r="AA11" s="80">
        <v>734</v>
      </c>
      <c r="AB11" s="80">
        <v>0</v>
      </c>
      <c r="AC11" s="26">
        <f t="shared" si="9"/>
        <v>734</v>
      </c>
      <c r="AD11" s="46">
        <f t="shared" si="10"/>
        <v>718.31106932149441</v>
      </c>
      <c r="AE11" s="22">
        <f t="shared" si="11"/>
        <v>-15.688930678505585</v>
      </c>
      <c r="AF11" s="22">
        <f t="shared" si="12"/>
        <v>742.84831394612502</v>
      </c>
      <c r="AG11" s="55">
        <f t="shared" si="13"/>
        <v>734</v>
      </c>
      <c r="AH11">
        <f t="shared" si="14"/>
        <v>1.0491960172961959E-2</v>
      </c>
      <c r="AI11" s="1">
        <f t="shared" si="15"/>
        <v>1142.1023246277741</v>
      </c>
      <c r="AJ11" s="2">
        <v>0</v>
      </c>
      <c r="AK11" s="1">
        <f t="shared" si="16"/>
        <v>1142.1023246277741</v>
      </c>
      <c r="AL11">
        <f t="shared" si="17"/>
        <v>1</v>
      </c>
      <c r="AM11">
        <f t="shared" si="18"/>
        <v>6.5500581425881662E-3</v>
      </c>
      <c r="AN11" s="1">
        <f t="shared" si="19"/>
        <v>677.38736293204033</v>
      </c>
      <c r="AO11" s="8">
        <v>0</v>
      </c>
      <c r="AP11" s="1">
        <f t="shared" si="20"/>
        <v>677.38736293204033</v>
      </c>
      <c r="AQ11" s="69">
        <f t="shared" si="21"/>
        <v>1</v>
      </c>
      <c r="AR11">
        <f t="shared" si="22"/>
        <v>5.523522509352204E-3</v>
      </c>
      <c r="AS11" s="1">
        <f t="shared" si="23"/>
        <v>431.73021620216446</v>
      </c>
      <c r="AT11" s="8">
        <v>0</v>
      </c>
      <c r="AU11" s="1">
        <f t="shared" si="24"/>
        <v>431.73021620216446</v>
      </c>
      <c r="AV11" s="82">
        <f t="shared" si="25"/>
        <v>0.9884666666666666</v>
      </c>
      <c r="AW11" s="82">
        <f t="shared" si="26"/>
        <v>2.5008466017555381E-2</v>
      </c>
      <c r="AX11" s="49">
        <f t="shared" si="27"/>
        <v>2431.6604070920757</v>
      </c>
      <c r="AY11" s="8">
        <v>2085</v>
      </c>
      <c r="AZ11" s="1">
        <f t="shared" si="28"/>
        <v>346.66040709207573</v>
      </c>
      <c r="BA11" s="68">
        <v>0.59</v>
      </c>
    </row>
    <row r="12" spans="1:53" x14ac:dyDescent="0.2">
      <c r="A12" s="48" t="s">
        <v>19</v>
      </c>
      <c r="B12" s="21">
        <v>1</v>
      </c>
      <c r="C12" s="21">
        <v>6939</v>
      </c>
      <c r="D12" s="21">
        <f t="shared" si="0"/>
        <v>3061</v>
      </c>
      <c r="E12" s="21">
        <v>0.27650000000000002</v>
      </c>
      <c r="F12" s="21">
        <v>0.97070000000000001</v>
      </c>
      <c r="G12" s="21">
        <v>0.99470000000000003</v>
      </c>
      <c r="H12" s="21">
        <v>1</v>
      </c>
      <c r="I12" s="21">
        <v>0</v>
      </c>
      <c r="J12" s="66">
        <f>$AD$57</f>
        <v>4.9234666666666671</v>
      </c>
      <c r="K12" s="41">
        <v>6.5</v>
      </c>
      <c r="L12" s="41">
        <v>7.3</v>
      </c>
      <c r="M12" s="21">
        <v>3</v>
      </c>
      <c r="N12" s="24">
        <v>1</v>
      </c>
      <c r="O12" s="63">
        <f>(SUM(I12:L12) / M12) *((R12 + 1) * N12 / 3)</f>
        <v>6.2411555555555553</v>
      </c>
      <c r="P12" s="13">
        <f t="shared" si="1"/>
        <v>3.4473163195479668E-2</v>
      </c>
      <c r="Q12" s="13">
        <f t="shared" si="2"/>
        <v>1.4169525105658089E-2</v>
      </c>
      <c r="R12" s="41">
        <v>2</v>
      </c>
      <c r="S12" s="13">
        <f t="shared" si="3"/>
        <v>2.0077544171987486E-4</v>
      </c>
      <c r="T12" s="13">
        <f t="shared" si="4"/>
        <v>9.5156648355128604E-3</v>
      </c>
      <c r="U12" s="13">
        <f t="shared" si="5"/>
        <v>3.2803506678812203E-4</v>
      </c>
      <c r="V12" s="31">
        <f t="shared" si="6"/>
        <v>1.8924018941454613E-2</v>
      </c>
      <c r="W12" s="80">
        <v>1001</v>
      </c>
      <c r="X12" s="46">
        <f t="shared" si="7"/>
        <v>1368.1497974103443</v>
      </c>
      <c r="Y12" s="86">
        <f t="shared" si="8"/>
        <v>367.14979741034426</v>
      </c>
      <c r="Z12" s="80">
        <v>0</v>
      </c>
      <c r="AA12" s="80">
        <v>1112</v>
      </c>
      <c r="AB12" s="80">
        <v>0</v>
      </c>
      <c r="AC12" s="26">
        <f t="shared" si="9"/>
        <v>1112</v>
      </c>
      <c r="AD12" s="46">
        <f t="shared" si="10"/>
        <v>1295.5951087888072</v>
      </c>
      <c r="AE12" s="22">
        <f t="shared" si="11"/>
        <v>183.59510878880724</v>
      </c>
      <c r="AF12" s="22">
        <f t="shared" si="12"/>
        <v>550.7449061991515</v>
      </c>
      <c r="AG12" s="55">
        <f t="shared" si="13"/>
        <v>2113</v>
      </c>
      <c r="AH12">
        <f t="shared" si="14"/>
        <v>1.892401894145462E-2</v>
      </c>
      <c r="AI12" s="1">
        <f t="shared" si="15"/>
        <v>2059.9740818720425</v>
      </c>
      <c r="AJ12" s="2">
        <v>2113</v>
      </c>
      <c r="AK12" s="1">
        <f t="shared" si="16"/>
        <v>-53.025918127957539</v>
      </c>
      <c r="AL12">
        <f t="shared" si="17"/>
        <v>6.2411555555555553</v>
      </c>
      <c r="AM12">
        <f t="shared" si="18"/>
        <v>4.0879931765826036E-2</v>
      </c>
      <c r="AN12" s="1">
        <f t="shared" si="19"/>
        <v>4227.6799034264313</v>
      </c>
      <c r="AO12" s="8">
        <v>0</v>
      </c>
      <c r="AP12" s="1">
        <f t="shared" si="20"/>
        <v>4227.6799034264313</v>
      </c>
      <c r="AQ12" s="69">
        <f t="shared" si="21"/>
        <v>6.2411555555555553</v>
      </c>
      <c r="AR12">
        <f t="shared" si="22"/>
        <v>3.4473163195479668E-2</v>
      </c>
      <c r="AS12" s="1">
        <f t="shared" si="23"/>
        <v>2694.4954373513397</v>
      </c>
      <c r="AT12" s="8">
        <v>2336</v>
      </c>
      <c r="AU12" s="1">
        <f t="shared" si="24"/>
        <v>358.49543735133966</v>
      </c>
      <c r="AV12" s="82">
        <f t="shared" si="25"/>
        <v>0.9884666666666666</v>
      </c>
      <c r="AW12" s="82">
        <f t="shared" si="26"/>
        <v>8.2862083329587333E-3</v>
      </c>
      <c r="AX12" s="49">
        <f t="shared" si="27"/>
        <v>805.69694734686516</v>
      </c>
      <c r="AY12" s="8">
        <v>779</v>
      </c>
      <c r="AZ12" s="1">
        <f t="shared" si="28"/>
        <v>26.696947346865159</v>
      </c>
      <c r="BA12" s="68">
        <v>0.59</v>
      </c>
    </row>
    <row r="13" spans="1:53" x14ac:dyDescent="0.2">
      <c r="A13" s="48" t="s">
        <v>40</v>
      </c>
      <c r="B13" s="3">
        <v>1</v>
      </c>
      <c r="C13" s="21">
        <v>7599</v>
      </c>
      <c r="D13" s="21">
        <f t="shared" si="0"/>
        <v>2401</v>
      </c>
      <c r="E13" s="21">
        <v>0.99770000000000003</v>
      </c>
      <c r="F13" s="21">
        <v>0.97070000000000001</v>
      </c>
      <c r="G13" s="21">
        <v>0.99470000000000003</v>
      </c>
      <c r="H13" s="21">
        <v>1</v>
      </c>
      <c r="I13" s="21">
        <v>0</v>
      </c>
      <c r="J13" s="66">
        <f>$AD$58</f>
        <v>3.5262666666666669</v>
      </c>
      <c r="K13" s="24">
        <v>1.1000000000000001</v>
      </c>
      <c r="L13" s="41">
        <v>7.7</v>
      </c>
      <c r="M13" s="21">
        <v>3</v>
      </c>
      <c r="N13" s="24">
        <v>0.59</v>
      </c>
      <c r="O13" s="63">
        <f>(SUM(I13:L13) / M13) *((R13 + 1) * N13 / 3)</f>
        <v>2.4241657777777776</v>
      </c>
      <c r="P13" s="13">
        <f t="shared" si="1"/>
        <v>1.3389934239956847E-2</v>
      </c>
      <c r="Q13" s="13">
        <f t="shared" si="2"/>
        <v>1.1114351446809889E-2</v>
      </c>
      <c r="R13" s="41">
        <v>2</v>
      </c>
      <c r="S13" s="13">
        <f t="shared" si="3"/>
        <v>1.2352880808320509E-4</v>
      </c>
      <c r="T13" s="13">
        <f t="shared" si="4"/>
        <v>5.8545941932987523E-3</v>
      </c>
      <c r="U13" s="13">
        <f t="shared" si="5"/>
        <v>7.8392631249903495E-5</v>
      </c>
      <c r="V13" s="31">
        <f t="shared" si="6"/>
        <v>4.5223934537518091E-3</v>
      </c>
      <c r="W13" s="80">
        <v>0</v>
      </c>
      <c r="X13" s="46">
        <f t="shared" si="7"/>
        <v>326.95547952589453</v>
      </c>
      <c r="Y13" s="86">
        <f t="shared" si="8"/>
        <v>326.95547952589453</v>
      </c>
      <c r="Z13" s="80">
        <v>0</v>
      </c>
      <c r="AA13" s="80">
        <v>617</v>
      </c>
      <c r="AB13" s="80">
        <v>0</v>
      </c>
      <c r="AC13" s="26">
        <f t="shared" si="9"/>
        <v>617</v>
      </c>
      <c r="AD13" s="46">
        <f t="shared" si="10"/>
        <v>309.61662302421013</v>
      </c>
      <c r="AE13" s="22">
        <f t="shared" si="11"/>
        <v>-307.38337697578987</v>
      </c>
      <c r="AF13" s="22">
        <f t="shared" si="12"/>
        <v>19.57210255010466</v>
      </c>
      <c r="AG13" s="55">
        <f t="shared" si="13"/>
        <v>617</v>
      </c>
      <c r="AH13">
        <f t="shared" si="14"/>
        <v>4.52239345375181E-3</v>
      </c>
      <c r="AI13" s="1">
        <f t="shared" si="15"/>
        <v>492.28513940815327</v>
      </c>
      <c r="AJ13" s="2">
        <v>617</v>
      </c>
      <c r="AK13" s="1">
        <f t="shared" si="16"/>
        <v>-124.71486059184673</v>
      </c>
      <c r="AL13">
        <f t="shared" si="17"/>
        <v>2.4241657777777776</v>
      </c>
      <c r="AM13">
        <f t="shared" si="18"/>
        <v>1.5878426791716908E-2</v>
      </c>
      <c r="AN13" s="1">
        <f t="shared" si="19"/>
        <v>1642.0992635189875</v>
      </c>
      <c r="AO13" s="8">
        <v>1543</v>
      </c>
      <c r="AP13" s="1">
        <f t="shared" si="20"/>
        <v>99.099263518987527</v>
      </c>
      <c r="AQ13" s="69">
        <f t="shared" si="21"/>
        <v>2.4241657777777776</v>
      </c>
      <c r="AR13">
        <f t="shared" si="22"/>
        <v>1.3389934239956847E-2</v>
      </c>
      <c r="AS13" s="1">
        <f t="shared" si="23"/>
        <v>1046.5856153498883</v>
      </c>
      <c r="AT13" s="8">
        <v>1543</v>
      </c>
      <c r="AU13" s="1">
        <f t="shared" si="24"/>
        <v>-496.41438465011174</v>
      </c>
      <c r="AV13" s="82">
        <f t="shared" si="25"/>
        <v>0.9884666666666666</v>
      </c>
      <c r="AW13" s="82">
        <f t="shared" si="26"/>
        <v>2.9899276867243866E-2</v>
      </c>
      <c r="AX13" s="49">
        <f t="shared" si="27"/>
        <v>2907.2110103723958</v>
      </c>
      <c r="AY13" s="8">
        <v>2160</v>
      </c>
      <c r="AZ13" s="1">
        <f t="shared" si="28"/>
        <v>747.21101037239578</v>
      </c>
      <c r="BA13" s="68">
        <v>0.59</v>
      </c>
    </row>
    <row r="14" spans="1:53" x14ac:dyDescent="0.2">
      <c r="A14" s="48" t="s">
        <v>152</v>
      </c>
      <c r="B14" s="3">
        <v>1</v>
      </c>
      <c r="C14" s="21">
        <v>5000</v>
      </c>
      <c r="D14" s="21">
        <f t="shared" si="0"/>
        <v>5000</v>
      </c>
      <c r="E14" s="21">
        <v>0.5</v>
      </c>
      <c r="F14" s="21">
        <v>0.97070000000000001</v>
      </c>
      <c r="G14" s="21">
        <v>0.99470000000000003</v>
      </c>
      <c r="H14" s="21">
        <v>1</v>
      </c>
      <c r="I14" s="21">
        <v>0</v>
      </c>
      <c r="J14" s="21">
        <v>0</v>
      </c>
      <c r="K14" s="21">
        <v>0</v>
      </c>
      <c r="L14" s="21">
        <v>0</v>
      </c>
      <c r="M14" s="21">
        <v>1</v>
      </c>
      <c r="N14" s="24">
        <v>1</v>
      </c>
      <c r="O14" s="63">
        <v>1</v>
      </c>
      <c r="P14" s="13">
        <f t="shared" si="1"/>
        <v>5.523522509352204E-3</v>
      </c>
      <c r="Q14" s="21">
        <f t="shared" si="2"/>
        <v>2.314525499127424E-2</v>
      </c>
      <c r="R14" s="41">
        <v>2</v>
      </c>
      <c r="S14" s="21">
        <f t="shared" si="3"/>
        <v>5.3570282861110517E-4</v>
      </c>
      <c r="T14" s="21">
        <f t="shared" si="4"/>
        <v>2.538940283150604E-2</v>
      </c>
      <c r="U14" s="21">
        <f t="shared" si="5"/>
        <v>1.4023893803883418E-4</v>
      </c>
      <c r="V14" s="31">
        <f t="shared" si="6"/>
        <v>8.0902457952476241E-3</v>
      </c>
      <c r="W14" s="80">
        <v>0</v>
      </c>
      <c r="X14" s="46">
        <f t="shared" si="7"/>
        <v>584.90050025901746</v>
      </c>
      <c r="Y14" s="86">
        <f t="shared" si="8"/>
        <v>584.90050025901746</v>
      </c>
      <c r="Z14" s="80">
        <v>0</v>
      </c>
      <c r="AA14" s="80">
        <v>0</v>
      </c>
      <c r="AB14" s="80">
        <v>0</v>
      </c>
      <c r="AC14" s="26">
        <f t="shared" si="9"/>
        <v>0</v>
      </c>
      <c r="AD14" s="46">
        <f t="shared" si="10"/>
        <v>553.88249788003804</v>
      </c>
      <c r="AE14" s="22">
        <f t="shared" si="11"/>
        <v>553.88249788003804</v>
      </c>
      <c r="AF14" s="22">
        <f t="shared" si="12"/>
        <v>1138.7829981390555</v>
      </c>
      <c r="AG14" s="55">
        <f t="shared" si="13"/>
        <v>0</v>
      </c>
      <c r="AH14">
        <f t="shared" si="14"/>
        <v>8.0902457952476258E-3</v>
      </c>
      <c r="AI14" s="1">
        <f t="shared" si="15"/>
        <v>880.66370604168026</v>
      </c>
      <c r="AJ14" s="2">
        <v>0</v>
      </c>
      <c r="AK14" s="1">
        <f t="shared" si="16"/>
        <v>880.66370604168026</v>
      </c>
      <c r="AL14">
        <f t="shared" ref="AL14" si="30">B14*O14</f>
        <v>1</v>
      </c>
      <c r="AM14">
        <f t="shared" si="18"/>
        <v>6.5500581425881662E-3</v>
      </c>
      <c r="AN14" s="1">
        <f t="shared" si="19"/>
        <v>677.38736293204033</v>
      </c>
      <c r="AO14" s="8">
        <v>0</v>
      </c>
      <c r="AP14" s="1">
        <f t="shared" si="20"/>
        <v>677.38736293204033</v>
      </c>
      <c r="AQ14" s="69">
        <f t="shared" ref="AQ14" si="31">O14</f>
        <v>1</v>
      </c>
      <c r="AR14">
        <f t="shared" si="22"/>
        <v>5.523522509352204E-3</v>
      </c>
      <c r="AS14" s="1">
        <f t="shared" si="23"/>
        <v>431.73021620216446</v>
      </c>
      <c r="AT14" s="8">
        <v>0</v>
      </c>
      <c r="AU14" s="1">
        <f t="shared" si="24"/>
        <v>431.73021620216446</v>
      </c>
      <c r="AV14" s="82">
        <f t="shared" ref="AV14" si="32">AVERAGE(F14:H14)</f>
        <v>0.9884666666666666</v>
      </c>
      <c r="AW14" s="82">
        <f t="shared" si="26"/>
        <v>1.4984101867918143E-2</v>
      </c>
      <c r="AX14" s="49">
        <f t="shared" si="27"/>
        <v>1456.9565051480383</v>
      </c>
      <c r="AY14" s="8">
        <v>2160</v>
      </c>
      <c r="AZ14" s="1">
        <f t="shared" ref="AZ14" si="33">AX14-AY14</f>
        <v>-703.04349485196167</v>
      </c>
      <c r="BA14" s="68">
        <v>0.59</v>
      </c>
    </row>
    <row r="15" spans="1:53" x14ac:dyDescent="0.2">
      <c r="A15" s="48" t="s">
        <v>104</v>
      </c>
      <c r="B15" s="3">
        <v>0</v>
      </c>
      <c r="C15" s="21">
        <v>4482</v>
      </c>
      <c r="D15" s="21">
        <f t="shared" si="0"/>
        <v>5518</v>
      </c>
      <c r="E15" s="21">
        <v>2.0000000000000001E-4</v>
      </c>
      <c r="F15" s="21">
        <v>0.97070000000000001</v>
      </c>
      <c r="G15" s="21">
        <v>0.99470000000000003</v>
      </c>
      <c r="H15" s="21">
        <v>1</v>
      </c>
      <c r="I15" s="24">
        <v>1.7</v>
      </c>
      <c r="J15" s="21">
        <v>0</v>
      </c>
      <c r="K15" s="21">
        <v>0</v>
      </c>
      <c r="L15" s="21">
        <v>0</v>
      </c>
      <c r="M15" s="21">
        <v>1</v>
      </c>
      <c r="N15" s="24">
        <v>1.464</v>
      </c>
      <c r="O15" s="63">
        <f>(SUM(I15:L15) / M15) *((R15 + 1) * N15 / 3)</f>
        <v>2.4887999999999995</v>
      </c>
      <c r="P15" s="13">
        <f t="shared" si="1"/>
        <v>1.3746942821275763E-2</v>
      </c>
      <c r="Q15" s="13">
        <f t="shared" si="2"/>
        <v>2.5543103408370248E-2</v>
      </c>
      <c r="R15" s="41">
        <v>2</v>
      </c>
      <c r="S15" s="13">
        <f t="shared" si="3"/>
        <v>6.5245013173069585E-4</v>
      </c>
      <c r="T15" s="13">
        <f t="shared" si="4"/>
        <v>3.0922590543208523E-2</v>
      </c>
      <c r="U15" s="13">
        <f t="shared" si="5"/>
        <v>4.2509108408321017E-4</v>
      </c>
      <c r="V15" s="31">
        <f t="shared" si="6"/>
        <v>2.4523084698838144E-2</v>
      </c>
      <c r="W15" s="80">
        <v>898</v>
      </c>
      <c r="X15" s="46">
        <f t="shared" si="7"/>
        <v>1772.9454544719013</v>
      </c>
      <c r="Y15" s="86">
        <f t="shared" si="8"/>
        <v>874.94545447190126</v>
      </c>
      <c r="Z15" s="80">
        <v>0</v>
      </c>
      <c r="AA15" s="80">
        <f>530+2246</f>
        <v>2776</v>
      </c>
      <c r="AB15" s="80">
        <v>0</v>
      </c>
      <c r="AC15" s="26">
        <f t="shared" si="9"/>
        <v>2776</v>
      </c>
      <c r="AD15" s="46">
        <f t="shared" si="10"/>
        <v>1678.9239477365559</v>
      </c>
      <c r="AE15" s="22">
        <f t="shared" si="11"/>
        <v>-1097.0760522634441</v>
      </c>
      <c r="AF15" s="22">
        <f t="shared" si="12"/>
        <v>-222.13059779154287</v>
      </c>
      <c r="AG15" s="55">
        <f t="shared" si="13"/>
        <v>3674</v>
      </c>
      <c r="AH15">
        <f t="shared" si="14"/>
        <v>2.4523084698838148E-2</v>
      </c>
      <c r="AI15" s="1">
        <f t="shared" si="15"/>
        <v>2669.4603848920265</v>
      </c>
      <c r="AJ15" s="2">
        <v>368</v>
      </c>
      <c r="AK15" s="49">
        <f t="shared" si="16"/>
        <v>2301.4603848920265</v>
      </c>
      <c r="AL15">
        <f t="shared" si="17"/>
        <v>0</v>
      </c>
      <c r="AM15">
        <f t="shared" si="18"/>
        <v>0</v>
      </c>
      <c r="AN15" s="1">
        <f t="shared" si="19"/>
        <v>0</v>
      </c>
      <c r="AO15" s="8">
        <v>1879</v>
      </c>
      <c r="AP15" s="1">
        <f t="shared" si="20"/>
        <v>-1879</v>
      </c>
      <c r="AQ15" s="69">
        <f t="shared" si="21"/>
        <v>2.4887999999999995</v>
      </c>
      <c r="AR15">
        <f t="shared" si="22"/>
        <v>1.3746942821275763E-2</v>
      </c>
      <c r="AS15" s="1">
        <f t="shared" si="23"/>
        <v>1074.4901620839469</v>
      </c>
      <c r="AT15" s="8">
        <v>1062</v>
      </c>
      <c r="AU15" s="1">
        <f t="shared" si="24"/>
        <v>12.490162083946871</v>
      </c>
      <c r="AV15" s="82">
        <f t="shared" si="25"/>
        <v>0.9884666666666666</v>
      </c>
      <c r="AW15" s="82">
        <f t="shared" si="26"/>
        <v>5.9936407471672579E-6</v>
      </c>
      <c r="AX15" s="49">
        <f t="shared" si="27"/>
        <v>0.58278260205921539</v>
      </c>
      <c r="AY15" s="8">
        <v>0</v>
      </c>
      <c r="AZ15" s="1">
        <f t="shared" si="28"/>
        <v>0.58278260205921539</v>
      </c>
      <c r="BA15" s="68">
        <v>0.59</v>
      </c>
    </row>
    <row r="16" spans="1:53" x14ac:dyDescent="0.2">
      <c r="A16" s="48" t="s">
        <v>20</v>
      </c>
      <c r="B16" s="21">
        <v>1</v>
      </c>
      <c r="C16" s="21">
        <v>6902</v>
      </c>
      <c r="D16" s="21">
        <f t="shared" si="0"/>
        <v>3098</v>
      </c>
      <c r="E16" s="21">
        <v>2.5999999999999999E-3</v>
      </c>
      <c r="F16" s="21">
        <v>0.97070000000000001</v>
      </c>
      <c r="G16" s="21">
        <v>0.99470000000000003</v>
      </c>
      <c r="H16" s="21">
        <v>1</v>
      </c>
      <c r="I16" s="24">
        <v>3.3</v>
      </c>
      <c r="J16" s="66">
        <f>$AD$59</f>
        <v>7.7844000000000007</v>
      </c>
      <c r="K16" s="24">
        <v>14.1</v>
      </c>
      <c r="L16" s="41">
        <v>7</v>
      </c>
      <c r="M16" s="21">
        <v>3</v>
      </c>
      <c r="N16" s="24">
        <v>1</v>
      </c>
      <c r="O16" s="63">
        <f>(SUM(I16:L16) / M16) *((R16 + 1) * N16 / 3)</f>
        <v>10.728133333333332</v>
      </c>
      <c r="P16" s="13">
        <f t="shared" si="1"/>
        <v>5.9257085949998352E-2</v>
      </c>
      <c r="Q16" s="13">
        <f t="shared" si="2"/>
        <v>1.4340799992593519E-2</v>
      </c>
      <c r="R16" s="41">
        <v>2</v>
      </c>
      <c r="S16" s="13">
        <f t="shared" si="3"/>
        <v>2.0565854442757027E-4</v>
      </c>
      <c r="T16" s="13">
        <f t="shared" si="4"/>
        <v>9.7470973669309454E-3</v>
      </c>
      <c r="U16" s="13">
        <f t="shared" si="5"/>
        <v>5.7758458643522961E-4</v>
      </c>
      <c r="V16" s="31">
        <f t="shared" si="6"/>
        <v>3.3320284203189617E-2</v>
      </c>
      <c r="W16" s="80">
        <f>3968-1253</f>
        <v>2715</v>
      </c>
      <c r="X16" s="46">
        <f t="shared" si="7"/>
        <v>2408.9565870379997</v>
      </c>
      <c r="Y16" s="86">
        <f t="shared" si="8"/>
        <v>-306.04341296200028</v>
      </c>
      <c r="Z16" s="80">
        <v>0</v>
      </c>
      <c r="AA16" s="80">
        <v>2297</v>
      </c>
      <c r="AB16" s="80">
        <v>0</v>
      </c>
      <c r="AC16" s="26">
        <f t="shared" si="9"/>
        <v>2297</v>
      </c>
      <c r="AD16" s="46">
        <f t="shared" si="10"/>
        <v>2281.2066174029706</v>
      </c>
      <c r="AE16" s="22">
        <f t="shared" si="11"/>
        <v>-15.793382597029449</v>
      </c>
      <c r="AF16" s="22">
        <f t="shared" si="12"/>
        <v>-321.83679555902972</v>
      </c>
      <c r="AG16" s="55">
        <f t="shared" si="13"/>
        <v>5012</v>
      </c>
      <c r="AH16">
        <f t="shared" si="14"/>
        <v>3.3320284203189623E-2</v>
      </c>
      <c r="AI16" s="1">
        <f t="shared" si="15"/>
        <v>3627.0795369382063</v>
      </c>
      <c r="AJ16" s="2">
        <v>4804</v>
      </c>
      <c r="AK16" s="49">
        <f t="shared" si="16"/>
        <v>-1176.9204630617937</v>
      </c>
      <c r="AL16">
        <f t="shared" si="17"/>
        <v>10.728133333333332</v>
      </c>
      <c r="AM16">
        <f t="shared" si="18"/>
        <v>7.0269897094771522E-2</v>
      </c>
      <c r="AN16" s="1">
        <f t="shared" si="19"/>
        <v>7267.1019478499866</v>
      </c>
      <c r="AO16" s="8">
        <v>6892</v>
      </c>
      <c r="AP16" s="49">
        <f t="shared" si="20"/>
        <v>375.10194784998657</v>
      </c>
      <c r="AQ16" s="69">
        <f t="shared" si="21"/>
        <v>10.728133333333332</v>
      </c>
      <c r="AR16">
        <f t="shared" si="22"/>
        <v>5.9257085949998352E-2</v>
      </c>
      <c r="AS16" s="1">
        <f t="shared" si="23"/>
        <v>4631.6593234456477</v>
      </c>
      <c r="AT16" s="8">
        <v>2715</v>
      </c>
      <c r="AU16" s="49">
        <f t="shared" si="24"/>
        <v>1916.6593234456477</v>
      </c>
      <c r="AV16" s="82">
        <f t="shared" si="25"/>
        <v>0.9884666666666666</v>
      </c>
      <c r="AW16" s="82">
        <f t="shared" si="26"/>
        <v>7.7917329713174345E-5</v>
      </c>
      <c r="AX16" s="49">
        <f t="shared" si="27"/>
        <v>7.5761738267697991</v>
      </c>
      <c r="AY16" s="8">
        <v>209</v>
      </c>
      <c r="AZ16" s="49">
        <f t="shared" si="28"/>
        <v>-201.4238261732302</v>
      </c>
      <c r="BA16" s="68">
        <v>0.59</v>
      </c>
    </row>
    <row r="17" spans="1:53" x14ac:dyDescent="0.2">
      <c r="A17" s="24" t="s">
        <v>17</v>
      </c>
      <c r="B17" s="21">
        <v>1</v>
      </c>
      <c r="C17" s="21">
        <v>3929</v>
      </c>
      <c r="D17" s="21">
        <f t="shared" si="0"/>
        <v>6071</v>
      </c>
      <c r="E17" s="21">
        <v>2.0000000000000001E-4</v>
      </c>
      <c r="F17" s="21">
        <v>0.97070000000000001</v>
      </c>
      <c r="G17" s="21">
        <v>0.99470000000000003</v>
      </c>
      <c r="H17" s="21">
        <v>1</v>
      </c>
      <c r="I17" s="24">
        <v>1.5</v>
      </c>
      <c r="J17" s="21">
        <v>0</v>
      </c>
      <c r="K17" s="21">
        <v>0</v>
      </c>
      <c r="L17" s="21">
        <v>0</v>
      </c>
      <c r="M17" s="21">
        <v>1</v>
      </c>
      <c r="N17" s="24">
        <v>1.331</v>
      </c>
      <c r="O17" s="63">
        <f>(SUM(I17:L17) / M17) *((R17 + 1) * N17 / 3)</f>
        <v>1.9964999999999999</v>
      </c>
      <c r="P17" s="75">
        <f t="shared" si="1"/>
        <v>1.1027712689921676E-2</v>
      </c>
      <c r="Q17" s="75">
        <f t="shared" si="2"/>
        <v>2.810296861040518E-2</v>
      </c>
      <c r="R17" s="41">
        <v>2</v>
      </c>
      <c r="S17" s="4">
        <f t="shared" si="3"/>
        <v>7.8977684471741891E-4</v>
      </c>
      <c r="T17" s="4">
        <f t="shared" si="4"/>
        <v>3.7431130445053362E-2</v>
      </c>
      <c r="U17" s="4">
        <f t="shared" si="5"/>
        <v>4.1277975220702854E-4</v>
      </c>
      <c r="V17" s="28">
        <f t="shared" si="6"/>
        <v>2.3812856125104968E-2</v>
      </c>
      <c r="W17" s="80">
        <f>349+2391</f>
        <v>2740</v>
      </c>
      <c r="X17" s="46">
        <f t="shared" si="7"/>
        <v>1721.5980592767139</v>
      </c>
      <c r="Y17" s="86">
        <f t="shared" si="8"/>
        <v>-1018.4019407232861</v>
      </c>
      <c r="Z17" s="80">
        <v>0</v>
      </c>
      <c r="AA17" s="80">
        <v>448</v>
      </c>
      <c r="AB17" s="80">
        <v>349</v>
      </c>
      <c r="AC17" s="26">
        <f t="shared" si="9"/>
        <v>797</v>
      </c>
      <c r="AD17" s="46">
        <f t="shared" si="10"/>
        <v>1630.2995688930614</v>
      </c>
      <c r="AE17" s="22">
        <f t="shared" si="11"/>
        <v>833.29956889306141</v>
      </c>
      <c r="AF17" s="22">
        <f t="shared" si="12"/>
        <v>-185.10237183022468</v>
      </c>
      <c r="AG17" s="55">
        <f t="shared" si="13"/>
        <v>3537</v>
      </c>
      <c r="AH17">
        <f t="shared" si="14"/>
        <v>2.3812856125104972E-2</v>
      </c>
      <c r="AI17" s="1">
        <f t="shared" si="15"/>
        <v>2592.1484534983019</v>
      </c>
      <c r="AJ17" s="2">
        <v>996</v>
      </c>
      <c r="AK17" s="1">
        <f t="shared" si="16"/>
        <v>1596.1484534983019</v>
      </c>
      <c r="AL17">
        <f t="shared" si="17"/>
        <v>1.9964999999999999</v>
      </c>
      <c r="AM17">
        <f t="shared" si="18"/>
        <v>1.3077191081677274E-2</v>
      </c>
      <c r="AN17" s="1">
        <f t="shared" si="19"/>
        <v>1352.4038700938188</v>
      </c>
      <c r="AO17" s="8">
        <v>0</v>
      </c>
      <c r="AP17" s="1">
        <f t="shared" si="20"/>
        <v>1352.4038700938188</v>
      </c>
      <c r="AQ17" s="69">
        <f t="shared" si="21"/>
        <v>1.9964999999999999</v>
      </c>
      <c r="AR17">
        <f t="shared" si="22"/>
        <v>1.1027712689921676E-2</v>
      </c>
      <c r="AS17" s="1">
        <f t="shared" si="23"/>
        <v>861.94937664762153</v>
      </c>
      <c r="AT17" s="8">
        <v>448</v>
      </c>
      <c r="AU17" s="1">
        <f t="shared" si="24"/>
        <v>413.94937664762153</v>
      </c>
      <c r="AV17" s="82">
        <f t="shared" si="25"/>
        <v>0.9884666666666666</v>
      </c>
      <c r="AW17" s="82">
        <f t="shared" si="26"/>
        <v>5.9936407471672579E-6</v>
      </c>
      <c r="AX17" s="49">
        <f t="shared" si="27"/>
        <v>0.58278260205921539</v>
      </c>
      <c r="AY17" s="8">
        <v>1893</v>
      </c>
      <c r="AZ17" s="1">
        <f t="shared" si="28"/>
        <v>-1892.4172173979407</v>
      </c>
      <c r="BA17" s="68">
        <v>0.59</v>
      </c>
    </row>
    <row r="18" spans="1:53" x14ac:dyDescent="0.2">
      <c r="A18" s="48" t="s">
        <v>145</v>
      </c>
      <c r="B18" s="21">
        <v>1</v>
      </c>
      <c r="C18" s="21">
        <v>6031</v>
      </c>
      <c r="D18" s="21">
        <f t="shared" si="0"/>
        <v>3969</v>
      </c>
      <c r="E18" s="21">
        <v>9.3600000000000003E-2</v>
      </c>
      <c r="F18" s="21">
        <v>0.97070000000000001</v>
      </c>
      <c r="G18" s="21">
        <v>0.99470000000000003</v>
      </c>
      <c r="H18" s="21">
        <v>1</v>
      </c>
      <c r="I18" s="21">
        <v>0</v>
      </c>
      <c r="J18" s="21">
        <v>0</v>
      </c>
      <c r="K18" s="21">
        <v>0</v>
      </c>
      <c r="L18" s="21">
        <v>0</v>
      </c>
      <c r="M18" s="21">
        <v>1</v>
      </c>
      <c r="N18" s="24">
        <v>1</v>
      </c>
      <c r="O18" s="63">
        <v>1</v>
      </c>
      <c r="P18" s="44">
        <f t="shared" si="1"/>
        <v>5.523522509352204E-3</v>
      </c>
      <c r="Q18" s="44">
        <f t="shared" si="2"/>
        <v>1.8372703412073491E-2</v>
      </c>
      <c r="R18" s="41">
        <v>2</v>
      </c>
      <c r="S18" s="13">
        <f t="shared" si="3"/>
        <v>3.3755623066801689E-4</v>
      </c>
      <c r="T18" s="13">
        <f t="shared" si="4"/>
        <v>1.5998330904720165E-2</v>
      </c>
      <c r="U18" s="13">
        <f t="shared" si="5"/>
        <v>8.8367140864286845E-5</v>
      </c>
      <c r="V18" s="31">
        <f t="shared" si="6"/>
        <v>5.0978130597179915E-3</v>
      </c>
      <c r="W18" s="80">
        <v>0</v>
      </c>
      <c r="X18" s="46">
        <f t="shared" si="7"/>
        <v>368.55659077843166</v>
      </c>
      <c r="Y18" s="86">
        <f t="shared" si="8"/>
        <v>368.55659077843166</v>
      </c>
      <c r="Z18" s="80">
        <v>0</v>
      </c>
      <c r="AA18" s="80">
        <v>306</v>
      </c>
      <c r="AB18" s="80">
        <v>0</v>
      </c>
      <c r="AC18" s="26">
        <f t="shared" si="9"/>
        <v>306</v>
      </c>
      <c r="AD18" s="46">
        <f t="shared" si="10"/>
        <v>349.01157550747286</v>
      </c>
      <c r="AE18" s="22">
        <f t="shared" si="11"/>
        <v>43.011575507472855</v>
      </c>
      <c r="AF18" s="22">
        <f t="shared" si="12"/>
        <v>411.56816628590451</v>
      </c>
      <c r="AG18" s="55">
        <f t="shared" si="13"/>
        <v>306</v>
      </c>
      <c r="AH18">
        <f t="shared" si="14"/>
        <v>5.0978130597179932E-3</v>
      </c>
      <c r="AI18" s="1">
        <f t="shared" si="15"/>
        <v>554.92244061560211</v>
      </c>
      <c r="AJ18" s="2">
        <v>0</v>
      </c>
      <c r="AK18" s="1">
        <f t="shared" si="16"/>
        <v>554.92244061560211</v>
      </c>
      <c r="AL18">
        <f t="shared" si="17"/>
        <v>1</v>
      </c>
      <c r="AM18">
        <f t="shared" si="18"/>
        <v>6.5500581425881662E-3</v>
      </c>
      <c r="AN18" s="1">
        <f t="shared" si="19"/>
        <v>677.38736293204033</v>
      </c>
      <c r="AO18" s="8">
        <v>0</v>
      </c>
      <c r="AP18" s="1">
        <f t="shared" si="20"/>
        <v>677.38736293204033</v>
      </c>
      <c r="AQ18" s="69">
        <f t="shared" si="21"/>
        <v>1</v>
      </c>
      <c r="AR18">
        <f t="shared" si="22"/>
        <v>5.523522509352204E-3</v>
      </c>
      <c r="AS18" s="1">
        <f t="shared" si="23"/>
        <v>431.73021620216446</v>
      </c>
      <c r="AT18" s="8">
        <v>0</v>
      </c>
      <c r="AU18" s="1">
        <f t="shared" si="24"/>
        <v>431.73021620216446</v>
      </c>
      <c r="AV18" s="82">
        <f t="shared" si="25"/>
        <v>0.9884666666666666</v>
      </c>
      <c r="AW18" s="82">
        <f t="shared" si="26"/>
        <v>2.8050238696742764E-3</v>
      </c>
      <c r="AX18" s="49">
        <f t="shared" si="27"/>
        <v>272.74225776371276</v>
      </c>
      <c r="AY18" s="8">
        <v>0</v>
      </c>
      <c r="AZ18" s="1">
        <f t="shared" si="28"/>
        <v>272.74225776371276</v>
      </c>
      <c r="BA18" s="68">
        <v>0.59</v>
      </c>
    </row>
    <row r="19" spans="1:53" x14ac:dyDescent="0.2">
      <c r="A19" s="24" t="s">
        <v>8</v>
      </c>
      <c r="B19" s="3">
        <v>1</v>
      </c>
      <c r="C19" s="21">
        <v>4657</v>
      </c>
      <c r="D19" s="21">
        <f t="shared" si="0"/>
        <v>5343</v>
      </c>
      <c r="E19" s="21">
        <v>1.6999999999999999E-3</v>
      </c>
      <c r="F19" s="21">
        <v>0.97070000000000001</v>
      </c>
      <c r="G19" s="21">
        <v>0.99470000000000003</v>
      </c>
      <c r="H19" s="21">
        <v>1</v>
      </c>
      <c r="I19" s="24">
        <v>1.5</v>
      </c>
      <c r="J19" s="21">
        <v>0</v>
      </c>
      <c r="K19" s="21">
        <v>0</v>
      </c>
      <c r="L19" s="21">
        <v>0</v>
      </c>
      <c r="M19" s="21">
        <v>1</v>
      </c>
      <c r="N19" s="24">
        <v>0.9</v>
      </c>
      <c r="O19" s="63">
        <f>(SUM(I19:L19) / M19) *((R19 + 1) * N19 / 3)</f>
        <v>1.35</v>
      </c>
      <c r="P19" s="44">
        <f t="shared" si="1"/>
        <v>7.4567553876254758E-3</v>
      </c>
      <c r="Q19" s="44">
        <f t="shared" si="2"/>
        <v>2.473301948367565E-2</v>
      </c>
      <c r="R19" s="41">
        <v>2</v>
      </c>
      <c r="S19" s="13">
        <f t="shared" si="3"/>
        <v>6.1172225277987937E-4</v>
      </c>
      <c r="T19" s="13">
        <f t="shared" si="4"/>
        <v>2.8992310414137613E-2</v>
      </c>
      <c r="U19" s="13">
        <f t="shared" si="5"/>
        <v>2.1618856688033084E-4</v>
      </c>
      <c r="V19" s="31">
        <f t="shared" si="6"/>
        <v>1.247170485346857E-2</v>
      </c>
      <c r="W19" s="80">
        <v>476</v>
      </c>
      <c r="X19" s="46">
        <f t="shared" si="7"/>
        <v>901.66684579121727</v>
      </c>
      <c r="Y19" s="86">
        <f t="shared" si="8"/>
        <v>425.66684579121727</v>
      </c>
      <c r="Z19" s="80">
        <v>0</v>
      </c>
      <c r="AA19" s="80">
        <v>1190</v>
      </c>
      <c r="AB19" s="80">
        <v>0</v>
      </c>
      <c r="AC19" s="26">
        <f t="shared" si="9"/>
        <v>1190</v>
      </c>
      <c r="AD19" s="46">
        <f t="shared" si="10"/>
        <v>853.85032938301867</v>
      </c>
      <c r="AE19" s="22">
        <f t="shared" si="11"/>
        <v>-336.14967061698133</v>
      </c>
      <c r="AF19" s="22">
        <f t="shared" si="12"/>
        <v>89.517175174235945</v>
      </c>
      <c r="AG19" s="55">
        <f t="shared" si="13"/>
        <v>1666</v>
      </c>
      <c r="AH19">
        <f t="shared" si="14"/>
        <v>1.2471704853468574E-2</v>
      </c>
      <c r="AI19" s="1">
        <f t="shared" si="15"/>
        <v>1357.6074318243216</v>
      </c>
      <c r="AJ19" s="2">
        <v>1190</v>
      </c>
      <c r="AK19" s="1">
        <f t="shared" si="16"/>
        <v>167.60743182432157</v>
      </c>
      <c r="AL19">
        <f t="shared" si="17"/>
        <v>1.35</v>
      </c>
      <c r="AM19">
        <f t="shared" si="18"/>
        <v>8.842578492494025E-3</v>
      </c>
      <c r="AN19" s="1">
        <f t="shared" si="19"/>
        <v>914.47293995825453</v>
      </c>
      <c r="AO19" s="8">
        <v>0</v>
      </c>
      <c r="AP19" s="1">
        <f t="shared" si="20"/>
        <v>914.47293995825453</v>
      </c>
      <c r="AQ19" s="69">
        <f t="shared" si="21"/>
        <v>1.35</v>
      </c>
      <c r="AR19">
        <f t="shared" si="22"/>
        <v>7.4567553876254758E-3</v>
      </c>
      <c r="AS19" s="1">
        <f t="shared" si="23"/>
        <v>582.83579187292207</v>
      </c>
      <c r="AT19" s="8">
        <v>476</v>
      </c>
      <c r="AU19" s="1">
        <f t="shared" si="24"/>
        <v>106.83579187292207</v>
      </c>
      <c r="AV19" s="82">
        <f t="shared" si="25"/>
        <v>0.9884666666666666</v>
      </c>
      <c r="AW19" s="82">
        <f t="shared" si="26"/>
        <v>5.0945946350921686E-5</v>
      </c>
      <c r="AX19" s="49">
        <f t="shared" si="27"/>
        <v>4.9536521175033297</v>
      </c>
      <c r="AY19" s="8">
        <v>119</v>
      </c>
      <c r="AZ19" s="1">
        <f t="shared" si="28"/>
        <v>-114.04634788249668</v>
      </c>
      <c r="BA19" s="68">
        <v>0.59</v>
      </c>
    </row>
    <row r="20" spans="1:53" x14ac:dyDescent="0.2">
      <c r="A20" s="2" t="s">
        <v>80</v>
      </c>
      <c r="B20" s="3">
        <v>1</v>
      </c>
      <c r="C20" s="3">
        <v>6783</v>
      </c>
      <c r="D20" s="21">
        <f t="shared" si="0"/>
        <v>3217</v>
      </c>
      <c r="E20" s="21">
        <v>0.99380000000000002</v>
      </c>
      <c r="F20" s="21">
        <v>0.97070000000000001</v>
      </c>
      <c r="G20" s="21">
        <v>0.99470000000000003</v>
      </c>
      <c r="H20" s="21">
        <v>1</v>
      </c>
      <c r="I20" s="21">
        <v>0</v>
      </c>
      <c r="J20" s="21">
        <v>0</v>
      </c>
      <c r="K20" s="24">
        <v>1.2</v>
      </c>
      <c r="L20" s="21">
        <v>0</v>
      </c>
      <c r="M20" s="21">
        <v>1</v>
      </c>
      <c r="N20" s="24">
        <v>0.59</v>
      </c>
      <c r="O20" s="63">
        <f>(SUM(I20:L20) / M20) *((R20 + 1) * N20 / 3)</f>
        <v>0.70799999999999996</v>
      </c>
      <c r="P20" s="45">
        <f t="shared" si="1"/>
        <v>3.9106539366213604E-3</v>
      </c>
      <c r="Q20" s="44">
        <f t="shared" si="2"/>
        <v>1.4891657061385845E-2</v>
      </c>
      <c r="R20" s="41">
        <v>2</v>
      </c>
      <c r="S20" s="13">
        <f t="shared" si="3"/>
        <v>2.2176145003392289E-4</v>
      </c>
      <c r="T20" s="13">
        <f t="shared" si="4"/>
        <v>1.0510287582404318E-2</v>
      </c>
      <c r="U20" s="13">
        <f t="shared" si="5"/>
        <v>4.1102097509152046E-5</v>
      </c>
      <c r="V20" s="31">
        <f t="shared" si="6"/>
        <v>2.3711394010784217E-3</v>
      </c>
      <c r="W20" s="81">
        <v>0</v>
      </c>
      <c r="X20" s="46">
        <f t="shared" si="7"/>
        <v>171.42626527976665</v>
      </c>
      <c r="Y20" s="86">
        <f t="shared" si="8"/>
        <v>171.42626527976665</v>
      </c>
      <c r="Z20" s="80">
        <v>166</v>
      </c>
      <c r="AA20" s="81">
        <v>0</v>
      </c>
      <c r="AB20" s="81">
        <v>0</v>
      </c>
      <c r="AC20" s="7">
        <f t="shared" si="9"/>
        <v>166</v>
      </c>
      <c r="AD20" s="46">
        <f t="shared" si="10"/>
        <v>162.33531681603199</v>
      </c>
      <c r="AE20" s="22">
        <f t="shared" si="11"/>
        <v>-3.664683183968009</v>
      </c>
      <c r="AF20" s="22">
        <f t="shared" si="12"/>
        <v>167.76158209579864</v>
      </c>
      <c r="AG20" s="55">
        <f t="shared" si="13"/>
        <v>166</v>
      </c>
      <c r="AH20">
        <f t="shared" si="14"/>
        <v>2.3711394010784222E-3</v>
      </c>
      <c r="AI20" s="1">
        <f t="shared" si="15"/>
        <v>258.11037950439163</v>
      </c>
      <c r="AJ20" s="2">
        <v>581</v>
      </c>
      <c r="AK20" s="1">
        <f t="shared" si="16"/>
        <v>-322.88962049560837</v>
      </c>
      <c r="AL20">
        <f t="shared" si="17"/>
        <v>0.70799999999999996</v>
      </c>
      <c r="AM20">
        <f t="shared" si="18"/>
        <v>4.6374411649524215E-3</v>
      </c>
      <c r="AN20" s="1">
        <f t="shared" si="19"/>
        <v>479.59025295588458</v>
      </c>
      <c r="AO20" s="8">
        <v>0</v>
      </c>
      <c r="AP20" s="1">
        <f t="shared" si="20"/>
        <v>479.59025295588458</v>
      </c>
      <c r="AQ20" s="69">
        <f t="shared" si="21"/>
        <v>0.70799999999999996</v>
      </c>
      <c r="AR20">
        <f t="shared" si="22"/>
        <v>3.9106539366213604E-3</v>
      </c>
      <c r="AS20" s="1">
        <f t="shared" si="23"/>
        <v>305.66499307113247</v>
      </c>
      <c r="AT20" s="8">
        <v>0</v>
      </c>
      <c r="AU20" s="1">
        <f t="shared" si="24"/>
        <v>305.66499307113247</v>
      </c>
      <c r="AV20" s="82">
        <f t="shared" si="25"/>
        <v>0.9884666666666666</v>
      </c>
      <c r="AW20" s="82">
        <f t="shared" si="26"/>
        <v>2.9782400872674104E-2</v>
      </c>
      <c r="AX20" s="49">
        <f t="shared" si="27"/>
        <v>2895.846749632241</v>
      </c>
      <c r="AY20" s="8">
        <v>2242</v>
      </c>
      <c r="AZ20" s="1">
        <f t="shared" si="28"/>
        <v>653.84674963224097</v>
      </c>
      <c r="BA20" s="68">
        <v>0.59</v>
      </c>
    </row>
    <row r="21" spans="1:53" x14ac:dyDescent="0.2">
      <c r="A21" s="2" t="s">
        <v>149</v>
      </c>
      <c r="B21" s="89">
        <v>1</v>
      </c>
      <c r="C21" s="89">
        <v>6031</v>
      </c>
      <c r="D21" s="21">
        <f t="shared" si="0"/>
        <v>3969</v>
      </c>
      <c r="E21" s="21">
        <v>0.25740000000000002</v>
      </c>
      <c r="F21" s="21">
        <v>0.97070000000000001</v>
      </c>
      <c r="G21" s="21">
        <v>0.99470000000000003</v>
      </c>
      <c r="H21" s="21">
        <v>1</v>
      </c>
      <c r="I21" s="21">
        <v>0</v>
      </c>
      <c r="J21" s="21">
        <v>0</v>
      </c>
      <c r="K21" s="21">
        <v>0</v>
      </c>
      <c r="L21" s="21">
        <v>0</v>
      </c>
      <c r="M21" s="21">
        <v>1</v>
      </c>
      <c r="N21" s="24">
        <v>0.9</v>
      </c>
      <c r="O21" s="63">
        <v>1</v>
      </c>
      <c r="P21" s="45">
        <f t="shared" si="1"/>
        <v>5.523522509352204E-3</v>
      </c>
      <c r="Q21" s="44">
        <f t="shared" si="2"/>
        <v>1.8372703412073491E-2</v>
      </c>
      <c r="R21" s="41">
        <v>2</v>
      </c>
      <c r="S21" s="13">
        <f t="shared" si="3"/>
        <v>3.3755623066801689E-4</v>
      </c>
      <c r="T21" s="13">
        <f t="shared" si="4"/>
        <v>1.5998330904720165E-2</v>
      </c>
      <c r="U21" s="13">
        <f t="shared" si="5"/>
        <v>8.8367140864286845E-5</v>
      </c>
      <c r="V21" s="31">
        <f t="shared" si="6"/>
        <v>5.0978130597179915E-3</v>
      </c>
      <c r="W21" s="81">
        <v>0</v>
      </c>
      <c r="X21" s="46">
        <f t="shared" si="7"/>
        <v>368.55659077843166</v>
      </c>
      <c r="Y21" s="86">
        <f t="shared" si="8"/>
        <v>368.55659077843166</v>
      </c>
      <c r="Z21" s="80">
        <v>0</v>
      </c>
      <c r="AA21" s="81">
        <v>0</v>
      </c>
      <c r="AB21" s="81">
        <v>0</v>
      </c>
      <c r="AC21" s="7">
        <f t="shared" si="9"/>
        <v>0</v>
      </c>
      <c r="AD21" s="46">
        <f t="shared" si="10"/>
        <v>349.01157550747286</v>
      </c>
      <c r="AE21" s="22">
        <f t="shared" si="11"/>
        <v>349.01157550747286</v>
      </c>
      <c r="AF21" s="22">
        <f t="shared" si="12"/>
        <v>717.56816628590445</v>
      </c>
      <c r="AG21" s="55">
        <f t="shared" si="13"/>
        <v>0</v>
      </c>
      <c r="AH21">
        <f t="shared" si="14"/>
        <v>5.0978130597179932E-3</v>
      </c>
      <c r="AI21" s="1">
        <f t="shared" si="15"/>
        <v>554.92244061560211</v>
      </c>
      <c r="AJ21" s="2">
        <v>0</v>
      </c>
      <c r="AK21" s="1">
        <f t="shared" si="16"/>
        <v>554.92244061560211</v>
      </c>
      <c r="AL21">
        <f t="shared" si="17"/>
        <v>1</v>
      </c>
      <c r="AM21">
        <f t="shared" si="18"/>
        <v>6.5500581425881662E-3</v>
      </c>
      <c r="AN21" s="1">
        <f t="shared" si="19"/>
        <v>677.38736293204033</v>
      </c>
      <c r="AO21" s="8">
        <v>0</v>
      </c>
      <c r="AP21" s="1">
        <f t="shared" si="20"/>
        <v>677.38736293204033</v>
      </c>
      <c r="AQ21" s="69">
        <f t="shared" si="21"/>
        <v>1</v>
      </c>
      <c r="AR21">
        <f t="shared" si="22"/>
        <v>5.523522509352204E-3</v>
      </c>
      <c r="AS21" s="1">
        <f t="shared" si="23"/>
        <v>431.73021620216446</v>
      </c>
      <c r="AT21" s="8">
        <v>0</v>
      </c>
      <c r="AU21" s="1">
        <f t="shared" si="24"/>
        <v>431.73021620216446</v>
      </c>
      <c r="AV21" s="82">
        <f t="shared" si="25"/>
        <v>0.9884666666666666</v>
      </c>
      <c r="AW21" s="82">
        <f t="shared" si="26"/>
        <v>7.7138156416042608E-3</v>
      </c>
      <c r="AX21" s="49">
        <f t="shared" si="27"/>
        <v>750.04120885021018</v>
      </c>
      <c r="AY21" s="8">
        <v>1080</v>
      </c>
      <c r="AZ21" s="1">
        <f t="shared" si="28"/>
        <v>-329.95879114978982</v>
      </c>
      <c r="BA21" s="68">
        <v>0.65600000000000003</v>
      </c>
    </row>
    <row r="22" spans="1:53" x14ac:dyDescent="0.2">
      <c r="A22" s="24" t="s">
        <v>105</v>
      </c>
      <c r="B22" s="21">
        <v>1</v>
      </c>
      <c r="C22" s="21">
        <v>7024</v>
      </c>
      <c r="D22" s="21">
        <f t="shared" si="0"/>
        <v>2976</v>
      </c>
      <c r="E22" s="21">
        <v>0.99180000000000001</v>
      </c>
      <c r="F22" s="21">
        <v>0.97070000000000001</v>
      </c>
      <c r="G22" s="21">
        <v>0.99470000000000003</v>
      </c>
      <c r="H22" s="21">
        <v>1</v>
      </c>
      <c r="I22" s="24">
        <v>1.9</v>
      </c>
      <c r="J22" s="21">
        <v>0</v>
      </c>
      <c r="K22" s="24">
        <v>2.7</v>
      </c>
      <c r="L22" s="21">
        <v>0</v>
      </c>
      <c r="M22" s="21">
        <v>2</v>
      </c>
      <c r="N22" s="24">
        <v>0.59</v>
      </c>
      <c r="O22" s="63">
        <f>(SUM(I22:L22) / M22) *((R22 + 1) * N22 / 3)</f>
        <v>1.3569999999999998</v>
      </c>
      <c r="P22" s="44">
        <f t="shared" si="1"/>
        <v>7.4954200451909396E-3</v>
      </c>
      <c r="Q22" s="44">
        <f t="shared" si="2"/>
        <v>1.3776055770806426E-2</v>
      </c>
      <c r="R22" s="41">
        <v>2</v>
      </c>
      <c r="S22" s="13">
        <f t="shared" si="3"/>
        <v>1.8977971260036904E-4</v>
      </c>
      <c r="T22" s="13">
        <f t="shared" si="4"/>
        <v>8.994527030873934E-3</v>
      </c>
      <c r="U22" s="13">
        <f t="shared" si="5"/>
        <v>6.7417758204224226E-5</v>
      </c>
      <c r="V22" s="31">
        <f t="shared" si="6"/>
        <v>3.8892638696801144E-3</v>
      </c>
      <c r="W22" s="80">
        <v>0</v>
      </c>
      <c r="X22" s="46">
        <f t="shared" si="7"/>
        <v>281.18210998626324</v>
      </c>
      <c r="Y22" s="86">
        <f t="shared" si="8"/>
        <v>281.18210998626324</v>
      </c>
      <c r="Z22" s="80">
        <v>0</v>
      </c>
      <c r="AA22" s="80">
        <v>976</v>
      </c>
      <c r="AB22" s="80">
        <v>0</v>
      </c>
      <c r="AC22" s="26">
        <f t="shared" si="9"/>
        <v>976</v>
      </c>
      <c r="AD22" s="46">
        <f t="shared" si="10"/>
        <v>266.27067230990968</v>
      </c>
      <c r="AE22" s="22">
        <f t="shared" si="11"/>
        <v>-709.72932769009026</v>
      </c>
      <c r="AF22" s="22">
        <f t="shared" si="12"/>
        <v>-428.54721770382702</v>
      </c>
      <c r="AG22" s="55">
        <f t="shared" si="13"/>
        <v>976</v>
      </c>
      <c r="AH22">
        <f t="shared" si="14"/>
        <v>3.8892638696801153E-3</v>
      </c>
      <c r="AI22" s="1">
        <f t="shared" si="15"/>
        <v>423.36581853402896</v>
      </c>
      <c r="AJ22" s="2">
        <v>976</v>
      </c>
      <c r="AK22" s="1">
        <f t="shared" si="16"/>
        <v>-552.6341814659711</v>
      </c>
      <c r="AL22">
        <f t="shared" si="17"/>
        <v>1.3569999999999998</v>
      </c>
      <c r="AM22">
        <f t="shared" si="18"/>
        <v>8.8884288994921408E-3</v>
      </c>
      <c r="AN22" s="1">
        <f t="shared" si="19"/>
        <v>919.21465149877872</v>
      </c>
      <c r="AO22" s="8">
        <v>0</v>
      </c>
      <c r="AP22" s="49">
        <f t="shared" si="20"/>
        <v>919.21465149877872</v>
      </c>
      <c r="AQ22" s="69">
        <f t="shared" si="21"/>
        <v>1.3569999999999998</v>
      </c>
      <c r="AR22">
        <f t="shared" si="22"/>
        <v>7.4954200451909396E-3</v>
      </c>
      <c r="AS22" s="1">
        <f t="shared" si="23"/>
        <v>585.85790338633717</v>
      </c>
      <c r="AT22" s="8">
        <v>976</v>
      </c>
      <c r="AU22" s="49">
        <f t="shared" si="24"/>
        <v>-390.14209661366283</v>
      </c>
      <c r="AV22" s="82">
        <f t="shared" si="25"/>
        <v>0.9884666666666666</v>
      </c>
      <c r="AW22" s="82">
        <f t="shared" si="26"/>
        <v>2.9722464465202429E-2</v>
      </c>
      <c r="AX22" s="49">
        <f t="shared" si="27"/>
        <v>2890.0189236116489</v>
      </c>
      <c r="AY22" s="8">
        <v>2929</v>
      </c>
      <c r="AZ22" s="1">
        <f t="shared" si="28"/>
        <v>-38.981076388351084</v>
      </c>
      <c r="BA22" s="68">
        <f t="shared" ref="BA22:BA26" si="34">BA23*0.9</f>
        <v>0.72900000000000009</v>
      </c>
    </row>
    <row r="23" spans="1:53" x14ac:dyDescent="0.2">
      <c r="A23" s="24" t="s">
        <v>66</v>
      </c>
      <c r="B23" s="21">
        <v>1</v>
      </c>
      <c r="C23" s="21">
        <v>4419</v>
      </c>
      <c r="D23" s="21">
        <f t="shared" si="0"/>
        <v>5581</v>
      </c>
      <c r="E23" s="21">
        <v>1E-3</v>
      </c>
      <c r="F23" s="21">
        <v>0.97070000000000001</v>
      </c>
      <c r="G23" s="21">
        <v>0.99470000000000003</v>
      </c>
      <c r="H23" s="21">
        <v>1</v>
      </c>
      <c r="I23" s="21">
        <v>0</v>
      </c>
      <c r="J23" s="66">
        <f>$AD$60</f>
        <v>1.7298666666666671</v>
      </c>
      <c r="K23" s="21">
        <v>0</v>
      </c>
      <c r="L23" s="21">
        <v>0</v>
      </c>
      <c r="M23" s="21">
        <v>1</v>
      </c>
      <c r="N23" s="24">
        <v>1.464</v>
      </c>
      <c r="O23" s="63">
        <f>(SUM(I23:L23) / M23) *((R23 + 1) * N23 / 3)</f>
        <v>2.5325248</v>
      </c>
      <c r="P23" s="44">
        <f t="shared" si="1"/>
        <v>1.3988457738292688E-2</v>
      </c>
      <c r="Q23" s="44">
        <f t="shared" si="2"/>
        <v>2.5834733621260306E-2</v>
      </c>
      <c r="R23" s="41">
        <v>2</v>
      </c>
      <c r="S23" s="13">
        <f t="shared" si="3"/>
        <v>6.6743346128147758E-4</v>
      </c>
      <c r="T23" s="13">
        <f t="shared" si="4"/>
        <v>3.1632718937916277E-2</v>
      </c>
      <c r="U23" s="13">
        <f t="shared" si="5"/>
        <v>4.424929520103326E-4</v>
      </c>
      <c r="V23" s="31">
        <f t="shared" si="6"/>
        <v>2.552698126847611E-2</v>
      </c>
      <c r="W23" s="80">
        <v>1880</v>
      </c>
      <c r="X23" s="46">
        <f t="shared" si="7"/>
        <v>1845.5241647670173</v>
      </c>
      <c r="Y23" s="86">
        <f t="shared" si="8"/>
        <v>-34.475835232982718</v>
      </c>
      <c r="Z23" s="80">
        <v>289</v>
      </c>
      <c r="AA23" s="80">
        <v>940</v>
      </c>
      <c r="AB23" s="80">
        <v>0</v>
      </c>
      <c r="AC23" s="26">
        <f t="shared" si="9"/>
        <v>1229</v>
      </c>
      <c r="AD23" s="46">
        <f t="shared" si="10"/>
        <v>1747.6537185836798</v>
      </c>
      <c r="AE23" s="22">
        <f t="shared" si="11"/>
        <v>518.65371858367985</v>
      </c>
      <c r="AF23" s="22">
        <f t="shared" si="12"/>
        <v>484.17788335069713</v>
      </c>
      <c r="AG23" s="55">
        <f t="shared" si="13"/>
        <v>3109</v>
      </c>
      <c r="AH23">
        <f t="shared" si="14"/>
        <v>2.5526981268476114E-2</v>
      </c>
      <c r="AI23" s="1">
        <f t="shared" si="15"/>
        <v>2778.7395459799673</v>
      </c>
      <c r="AJ23" s="2">
        <v>1374</v>
      </c>
      <c r="AK23" s="1">
        <f t="shared" si="16"/>
        <v>1404.7395459799673</v>
      </c>
      <c r="AL23">
        <f t="shared" si="17"/>
        <v>2.5325248</v>
      </c>
      <c r="AM23">
        <f t="shared" si="18"/>
        <v>1.6588184687546467E-2</v>
      </c>
      <c r="AN23" s="1">
        <f t="shared" si="19"/>
        <v>1715.5002958319928</v>
      </c>
      <c r="AO23" s="8">
        <v>1518</v>
      </c>
      <c r="AP23" s="1">
        <f t="shared" si="20"/>
        <v>197.50029583199284</v>
      </c>
      <c r="AQ23" s="69">
        <f t="shared" si="21"/>
        <v>2.5325248</v>
      </c>
      <c r="AR23">
        <f t="shared" si="22"/>
        <v>1.3988457738292688E-2</v>
      </c>
      <c r="AS23" s="1">
        <f t="shared" si="23"/>
        <v>1093.3674794413434</v>
      </c>
      <c r="AT23" s="8">
        <v>651</v>
      </c>
      <c r="AU23" s="1">
        <f t="shared" si="24"/>
        <v>442.36747944134345</v>
      </c>
      <c r="AV23" s="82">
        <f t="shared" si="25"/>
        <v>0.9884666666666666</v>
      </c>
      <c r="AW23" s="82">
        <f t="shared" si="26"/>
        <v>2.9968203735836289E-5</v>
      </c>
      <c r="AX23" s="49">
        <f t="shared" si="27"/>
        <v>2.9139130102960769</v>
      </c>
      <c r="AY23" s="8">
        <v>0</v>
      </c>
      <c r="AZ23" s="1">
        <f t="shared" si="28"/>
        <v>2.9139130102960769</v>
      </c>
      <c r="BA23" s="68">
        <f>BA26*0.9</f>
        <v>0.81</v>
      </c>
    </row>
    <row r="24" spans="1:53" x14ac:dyDescent="0.2">
      <c r="A24" s="24" t="s">
        <v>126</v>
      </c>
      <c r="B24" s="21">
        <v>1</v>
      </c>
      <c r="C24" s="21">
        <v>7793</v>
      </c>
      <c r="D24" s="21">
        <f t="shared" si="0"/>
        <v>2207</v>
      </c>
      <c r="E24" s="21">
        <v>0.99619999999999997</v>
      </c>
      <c r="F24" s="21">
        <v>0.97070000000000001</v>
      </c>
      <c r="G24" s="21">
        <v>0.99470000000000003</v>
      </c>
      <c r="H24" s="21">
        <v>1</v>
      </c>
      <c r="I24" s="21">
        <v>0</v>
      </c>
      <c r="J24" s="21">
        <v>0</v>
      </c>
      <c r="K24" s="21">
        <v>0</v>
      </c>
      <c r="L24" s="24">
        <v>4.3</v>
      </c>
      <c r="M24" s="21">
        <v>1</v>
      </c>
      <c r="N24" s="24">
        <v>0.72899999999999998</v>
      </c>
      <c r="O24" s="63">
        <f>(SUM(I24:L24) / M24) *((R24 + 1) * N24 / 3)</f>
        <v>3.1346999999999996</v>
      </c>
      <c r="P24" s="44">
        <f t="shared" si="1"/>
        <v>1.731458601006635E-2</v>
      </c>
      <c r="Q24" s="44">
        <f t="shared" si="2"/>
        <v>1.0216315553148449E-2</v>
      </c>
      <c r="R24" s="41">
        <v>2</v>
      </c>
      <c r="S24" s="13">
        <f t="shared" si="3"/>
        <v>1.0437310348150291E-4</v>
      </c>
      <c r="T24" s="13">
        <f t="shared" si="4"/>
        <v>4.9467178956975333E-3</v>
      </c>
      <c r="U24" s="13">
        <f t="shared" si="5"/>
        <v>8.565037247258936E-5</v>
      </c>
      <c r="V24" s="31">
        <f t="shared" si="6"/>
        <v>4.9410853750609255E-3</v>
      </c>
      <c r="W24" s="80">
        <v>0</v>
      </c>
      <c r="X24" s="46">
        <f t="shared" si="7"/>
        <v>357.22564936077976</v>
      </c>
      <c r="Y24" s="86">
        <f t="shared" si="8"/>
        <v>357.22564936077976</v>
      </c>
      <c r="Z24" s="80">
        <v>403</v>
      </c>
      <c r="AA24" s="80">
        <v>1208</v>
      </c>
      <c r="AB24" s="80">
        <v>0</v>
      </c>
      <c r="AC24" s="26">
        <f t="shared" si="9"/>
        <v>1611</v>
      </c>
      <c r="AD24" s="46">
        <f t="shared" si="10"/>
        <v>338.28152803279613</v>
      </c>
      <c r="AE24" s="22">
        <f t="shared" si="11"/>
        <v>-1272.7184719672039</v>
      </c>
      <c r="AF24" s="22">
        <f t="shared" si="12"/>
        <v>-915.49282260642417</v>
      </c>
      <c r="AG24" s="55">
        <f t="shared" si="13"/>
        <v>1611</v>
      </c>
      <c r="AH24">
        <f t="shared" si="14"/>
        <v>4.9410853750609272E-3</v>
      </c>
      <c r="AI24" s="1">
        <f t="shared" si="15"/>
        <v>537.8618485022572</v>
      </c>
      <c r="AJ24" s="2">
        <v>1208</v>
      </c>
      <c r="AK24" s="49">
        <f t="shared" si="16"/>
        <v>-670.1381514977428</v>
      </c>
      <c r="AL24">
        <f t="shared" si="17"/>
        <v>3.1346999999999996</v>
      </c>
      <c r="AM24">
        <f t="shared" si="18"/>
        <v>2.0532467259571124E-2</v>
      </c>
      <c r="AN24" s="1">
        <f t="shared" si="19"/>
        <v>2123.4061665830668</v>
      </c>
      <c r="AO24" s="8">
        <v>3625</v>
      </c>
      <c r="AP24" s="49">
        <f t="shared" si="20"/>
        <v>-1501.5938334169332</v>
      </c>
      <c r="AQ24" s="69">
        <f t="shared" si="21"/>
        <v>3.1346999999999996</v>
      </c>
      <c r="AR24">
        <f t="shared" si="22"/>
        <v>1.731458601006635E-2</v>
      </c>
      <c r="AS24" s="1">
        <f t="shared" si="23"/>
        <v>1353.3447087289248</v>
      </c>
      <c r="AT24" s="8">
        <v>1208</v>
      </c>
      <c r="AU24" s="1">
        <f t="shared" si="24"/>
        <v>145.34470872892484</v>
      </c>
      <c r="AV24" s="82">
        <f t="shared" si="25"/>
        <v>0.9884666666666666</v>
      </c>
      <c r="AW24" s="82">
        <f t="shared" si="26"/>
        <v>2.9854324561640107E-2</v>
      </c>
      <c r="AX24" s="49">
        <f t="shared" si="27"/>
        <v>2902.8401408569512</v>
      </c>
      <c r="AY24" s="8">
        <v>2417</v>
      </c>
      <c r="AZ24" s="49">
        <f t="shared" si="28"/>
        <v>485.84014085695117</v>
      </c>
      <c r="BA24" s="68">
        <f>BA27*0.9</f>
        <v>0.9</v>
      </c>
    </row>
    <row r="25" spans="1:53" x14ac:dyDescent="0.2">
      <c r="A25" s="24" t="s">
        <v>148</v>
      </c>
      <c r="B25" s="21">
        <v>0</v>
      </c>
      <c r="C25" s="21">
        <v>4077</v>
      </c>
      <c r="D25" s="21">
        <f t="shared" si="0"/>
        <v>5923</v>
      </c>
      <c r="E25" s="21">
        <v>0.24940000000000001</v>
      </c>
      <c r="F25" s="21">
        <v>0.97070000000000001</v>
      </c>
      <c r="G25" s="21">
        <v>0.99470000000000003</v>
      </c>
      <c r="H25" s="21">
        <v>1</v>
      </c>
      <c r="I25" s="21">
        <v>0</v>
      </c>
      <c r="J25" s="21">
        <v>0</v>
      </c>
      <c r="K25" s="21">
        <v>0</v>
      </c>
      <c r="L25" s="21">
        <v>0</v>
      </c>
      <c r="M25" s="21">
        <v>1</v>
      </c>
      <c r="N25" s="24">
        <v>1.611</v>
      </c>
      <c r="O25" s="63">
        <v>1</v>
      </c>
      <c r="P25" s="44">
        <f t="shared" si="1"/>
        <v>5.523522509352204E-3</v>
      </c>
      <c r="Q25" s="44">
        <f t="shared" si="2"/>
        <v>2.7417869062663462E-2</v>
      </c>
      <c r="R25" s="41">
        <v>2</v>
      </c>
      <c r="S25" s="21">
        <f t="shared" si="3"/>
        <v>7.5173954393735823E-4</v>
      </c>
      <c r="T25" s="21">
        <f t="shared" si="4"/>
        <v>3.5628369099491741E-2</v>
      </c>
      <c r="U25" s="21">
        <f t="shared" si="5"/>
        <v>1.9679409869255115E-4</v>
      </c>
      <c r="V25" s="31">
        <f t="shared" si="6"/>
        <v>1.1352857143257023E-2</v>
      </c>
      <c r="W25" s="80">
        <v>0</v>
      </c>
      <c r="X25" s="46">
        <f t="shared" si="7"/>
        <v>820.77751288605305</v>
      </c>
      <c r="Y25" s="86">
        <f t="shared" si="8"/>
        <v>820.77751288605305</v>
      </c>
      <c r="Z25" s="80">
        <v>0</v>
      </c>
      <c r="AA25" s="80">
        <v>2687</v>
      </c>
      <c r="AB25" s="80">
        <v>0</v>
      </c>
      <c r="AC25" s="26">
        <f t="shared" si="9"/>
        <v>2687</v>
      </c>
      <c r="AD25" s="46">
        <f t="shared" si="10"/>
        <v>777.25065859880556</v>
      </c>
      <c r="AE25" s="22">
        <f t="shared" si="11"/>
        <v>-1909.7493414011944</v>
      </c>
      <c r="AF25" s="22">
        <f t="shared" si="12"/>
        <v>-1088.9718285151414</v>
      </c>
      <c r="AG25" s="55">
        <f t="shared" si="13"/>
        <v>2687</v>
      </c>
      <c r="AH25">
        <f t="shared" si="14"/>
        <v>1.1352857143257025E-2</v>
      </c>
      <c r="AI25" s="1">
        <f t="shared" si="15"/>
        <v>1235.8152643292435</v>
      </c>
      <c r="AJ25" s="2">
        <v>761</v>
      </c>
      <c r="AK25" s="49">
        <f t="shared" si="16"/>
        <v>474.81526432924352</v>
      </c>
      <c r="AL25">
        <f t="shared" si="17"/>
        <v>0</v>
      </c>
      <c r="AM25">
        <f t="shared" si="18"/>
        <v>0</v>
      </c>
      <c r="AN25" s="1">
        <f t="shared" si="19"/>
        <v>0</v>
      </c>
      <c r="AO25" s="8">
        <v>0</v>
      </c>
      <c r="AP25" s="49">
        <f t="shared" si="20"/>
        <v>0</v>
      </c>
      <c r="AQ25" s="69">
        <f t="shared" si="21"/>
        <v>1</v>
      </c>
      <c r="AR25">
        <f t="shared" si="22"/>
        <v>5.523522509352204E-3</v>
      </c>
      <c r="AS25" s="1">
        <f t="shared" si="23"/>
        <v>431.73021620216446</v>
      </c>
      <c r="AT25" s="8">
        <v>0</v>
      </c>
      <c r="AU25" s="1">
        <f t="shared" si="24"/>
        <v>431.73021620216446</v>
      </c>
      <c r="AV25" s="82">
        <f t="shared" si="25"/>
        <v>0.9884666666666666</v>
      </c>
      <c r="AW25" s="82">
        <f t="shared" si="26"/>
        <v>7.4740700117175707E-3</v>
      </c>
      <c r="AX25" s="49">
        <f t="shared" si="27"/>
        <v>726.72990476784162</v>
      </c>
      <c r="AY25" s="8">
        <v>1014</v>
      </c>
      <c r="AZ25" s="49">
        <f t="shared" si="28"/>
        <v>-287.27009523215838</v>
      </c>
      <c r="BA25" s="68">
        <v>0.9</v>
      </c>
    </row>
    <row r="26" spans="1:53" x14ac:dyDescent="0.2">
      <c r="A26" s="39" t="s">
        <v>15</v>
      </c>
      <c r="B26" s="21">
        <v>1</v>
      </c>
      <c r="C26" s="21">
        <v>5846</v>
      </c>
      <c r="D26" s="21">
        <f t="shared" si="0"/>
        <v>4154</v>
      </c>
      <c r="E26" s="21">
        <v>1</v>
      </c>
      <c r="F26" s="21">
        <v>0.97070000000000001</v>
      </c>
      <c r="G26" s="21">
        <v>0.99470000000000003</v>
      </c>
      <c r="H26" s="21">
        <v>1</v>
      </c>
      <c r="I26" s="24">
        <v>6.5</v>
      </c>
      <c r="J26" s="21">
        <v>0</v>
      </c>
      <c r="K26" s="21">
        <v>0</v>
      </c>
      <c r="L26" s="21">
        <v>0</v>
      </c>
      <c r="M26" s="21">
        <v>1</v>
      </c>
      <c r="N26" s="24">
        <v>1.1000000000000001</v>
      </c>
      <c r="O26" s="63">
        <f t="shared" ref="O26:O52" si="35">(SUM(I26:L26) / M26) *((R26 + 1) * N26 / 3)</f>
        <v>7.15</v>
      </c>
      <c r="P26" s="13">
        <f t="shared" si="1"/>
        <v>3.9493185941868257E-2</v>
      </c>
      <c r="Q26" s="13">
        <f t="shared" si="2"/>
        <v>1.9229077846750639E-2</v>
      </c>
      <c r="R26" s="41">
        <v>2</v>
      </c>
      <c r="S26" s="13">
        <f t="shared" si="3"/>
        <v>3.6975743483639618E-4</v>
      </c>
      <c r="T26" s="13">
        <f t="shared" si="4"/>
        <v>1.7524492986802559E-2</v>
      </c>
      <c r="U26" s="13">
        <f t="shared" si="5"/>
        <v>6.9209806006475974E-4</v>
      </c>
      <c r="V26" s="31">
        <f t="shared" si="6"/>
        <v>3.9926453370514321E-2</v>
      </c>
      <c r="W26" s="80">
        <v>1808</v>
      </c>
      <c r="X26" s="46">
        <f t="shared" si="7"/>
        <v>2886.5627993280741</v>
      </c>
      <c r="Y26" s="86">
        <f t="shared" si="8"/>
        <v>1078.5627993280741</v>
      </c>
      <c r="Z26" s="80">
        <v>2892</v>
      </c>
      <c r="AA26" s="80">
        <v>1085</v>
      </c>
      <c r="AB26" s="80">
        <v>0</v>
      </c>
      <c r="AC26" s="26">
        <f t="shared" si="9"/>
        <v>3977</v>
      </c>
      <c r="AD26" s="46">
        <f t="shared" si="10"/>
        <v>2733.484777105522</v>
      </c>
      <c r="AE26" s="22">
        <f t="shared" si="11"/>
        <v>-1243.515222894478</v>
      </c>
      <c r="AF26" s="22">
        <f t="shared" si="12"/>
        <v>-164.95242356640392</v>
      </c>
      <c r="AG26" s="55">
        <f t="shared" si="13"/>
        <v>5785</v>
      </c>
      <c r="AH26">
        <f t="shared" si="14"/>
        <v>3.9926453370514335E-2</v>
      </c>
      <c r="AI26" s="1">
        <f t="shared" si="15"/>
        <v>4346.194081647338</v>
      </c>
      <c r="AJ26" s="2">
        <v>7592</v>
      </c>
      <c r="AK26" s="49">
        <f t="shared" si="16"/>
        <v>-3245.805918352662</v>
      </c>
      <c r="AL26">
        <f t="shared" si="17"/>
        <v>7.15</v>
      </c>
      <c r="AM26">
        <f t="shared" si="18"/>
        <v>4.6832915719505396E-2</v>
      </c>
      <c r="AN26" s="1">
        <f t="shared" si="19"/>
        <v>4843.3196449640891</v>
      </c>
      <c r="AO26" s="8">
        <v>0</v>
      </c>
      <c r="AP26" s="1">
        <f t="shared" si="20"/>
        <v>4843.3196449640891</v>
      </c>
      <c r="AQ26" s="69">
        <f t="shared" si="21"/>
        <v>7.15</v>
      </c>
      <c r="AR26">
        <f t="shared" si="22"/>
        <v>3.9493185941868257E-2</v>
      </c>
      <c r="AS26" s="1">
        <f t="shared" si="23"/>
        <v>3086.8710458454761</v>
      </c>
      <c r="AT26" s="8">
        <v>2892</v>
      </c>
      <c r="AU26" s="1">
        <f t="shared" si="24"/>
        <v>194.87104584547615</v>
      </c>
      <c r="AV26" s="82">
        <f t="shared" si="25"/>
        <v>0.9884666666666666</v>
      </c>
      <c r="AW26" s="82">
        <f t="shared" si="26"/>
        <v>2.9968203735836287E-2</v>
      </c>
      <c r="AX26" s="49">
        <f t="shared" si="27"/>
        <v>2913.9130102960767</v>
      </c>
      <c r="AY26" s="8">
        <v>1446</v>
      </c>
      <c r="AZ26" s="1">
        <f t="shared" si="28"/>
        <v>1467.9130102960767</v>
      </c>
      <c r="BA26" s="68">
        <f t="shared" si="34"/>
        <v>0.9</v>
      </c>
    </row>
    <row r="27" spans="1:53" x14ac:dyDescent="0.2">
      <c r="A27" s="39" t="s">
        <v>27</v>
      </c>
      <c r="B27" s="21">
        <v>1</v>
      </c>
      <c r="C27" s="21">
        <v>6728</v>
      </c>
      <c r="D27" s="21">
        <f t="shared" si="0"/>
        <v>3272</v>
      </c>
      <c r="E27" s="21">
        <v>0.99839999999999995</v>
      </c>
      <c r="F27" s="21">
        <v>0.97070000000000001</v>
      </c>
      <c r="G27" s="21">
        <v>0.99470000000000003</v>
      </c>
      <c r="H27" s="21">
        <v>1</v>
      </c>
      <c r="I27" s="24">
        <v>7.5</v>
      </c>
      <c r="J27" s="66">
        <f>$AD$61</f>
        <v>5.1896000000000004</v>
      </c>
      <c r="K27" s="41">
        <v>7.1</v>
      </c>
      <c r="L27" s="41">
        <v>10</v>
      </c>
      <c r="M27" s="21">
        <v>3</v>
      </c>
      <c r="N27" s="24">
        <v>1.21</v>
      </c>
      <c r="O27" s="63">
        <f t="shared" si="35"/>
        <v>12.015138666666667</v>
      </c>
      <c r="P27" s="13">
        <f t="shared" si="1"/>
        <v>6.6365888878321358E-2</v>
      </c>
      <c r="Q27" s="13">
        <f t="shared" si="2"/>
        <v>1.5146254866289862E-2</v>
      </c>
      <c r="R27" s="41">
        <v>2</v>
      </c>
      <c r="S27" s="13">
        <f t="shared" si="3"/>
        <v>2.2940903647460933E-4</v>
      </c>
      <c r="T27" s="13">
        <f t="shared" si="4"/>
        <v>1.0872741619346331E-2</v>
      </c>
      <c r="U27" s="13">
        <f t="shared" si="5"/>
        <v>7.2157916211223843E-4</v>
      </c>
      <c r="V27" s="31">
        <f t="shared" si="6"/>
        <v>4.1627189023638232E-2</v>
      </c>
      <c r="W27" s="80">
        <v>3228</v>
      </c>
      <c r="X27" s="46">
        <f t="shared" si="7"/>
        <v>3009.5208848419734</v>
      </c>
      <c r="Y27" s="86">
        <f t="shared" si="8"/>
        <v>-218.47911515802662</v>
      </c>
      <c r="Z27" s="80">
        <v>0</v>
      </c>
      <c r="AA27" s="80">
        <f>4841-1614</f>
        <v>3227</v>
      </c>
      <c r="AB27" s="80">
        <v>0</v>
      </c>
      <c r="AC27" s="26">
        <f t="shared" si="9"/>
        <v>3227</v>
      </c>
      <c r="AD27" s="46">
        <f t="shared" si="10"/>
        <v>2849.9222421253444</v>
      </c>
      <c r="AE27" s="22">
        <f t="shared" si="11"/>
        <v>-377.07775787465562</v>
      </c>
      <c r="AF27" s="22">
        <f t="shared" si="12"/>
        <v>-595.55687303268223</v>
      </c>
      <c r="AG27" s="55">
        <f t="shared" si="13"/>
        <v>6455</v>
      </c>
      <c r="AH27">
        <f t="shared" si="14"/>
        <v>4.1627189023638239E-2</v>
      </c>
      <c r="AI27" s="1">
        <f t="shared" si="15"/>
        <v>4531.3276611681404</v>
      </c>
      <c r="AJ27" s="2">
        <v>4841</v>
      </c>
      <c r="AK27" s="49">
        <f t="shared" si="16"/>
        <v>-309.67233883185963</v>
      </c>
      <c r="AL27">
        <f t="shared" si="17"/>
        <v>12.015138666666667</v>
      </c>
      <c r="AM27">
        <f t="shared" si="18"/>
        <v>7.8699856857925923E-2</v>
      </c>
      <c r="AN27" s="1">
        <f t="shared" si="19"/>
        <v>8138.9030966761256</v>
      </c>
      <c r="AO27" s="8">
        <v>12910</v>
      </c>
      <c r="AP27" s="49">
        <f t="shared" si="20"/>
        <v>-4771.0969033238744</v>
      </c>
      <c r="AQ27" s="69">
        <f t="shared" si="21"/>
        <v>12.015138666666667</v>
      </c>
      <c r="AR27">
        <f t="shared" si="22"/>
        <v>6.6365888878321358E-2</v>
      </c>
      <c r="AS27" s="1">
        <f t="shared" si="23"/>
        <v>5187.2984142589858</v>
      </c>
      <c r="AT27" s="8">
        <v>3228</v>
      </c>
      <c r="AU27" s="49">
        <f t="shared" si="24"/>
        <v>1959.2984142589858</v>
      </c>
      <c r="AV27" s="82">
        <f t="shared" si="25"/>
        <v>0.9884666666666666</v>
      </c>
      <c r="AW27" s="82">
        <f t="shared" si="26"/>
        <v>2.9920254609858948E-2</v>
      </c>
      <c r="AX27" s="49">
        <f t="shared" si="27"/>
        <v>2909.2507494796027</v>
      </c>
      <c r="AY27" s="8">
        <v>1614</v>
      </c>
      <c r="AZ27" s="49">
        <f t="shared" si="28"/>
        <v>1295.2507494796027</v>
      </c>
      <c r="BA27" s="68">
        <v>1</v>
      </c>
    </row>
    <row r="28" spans="1:53" x14ac:dyDescent="0.2">
      <c r="A28" s="39" t="s">
        <v>81</v>
      </c>
      <c r="B28" s="21">
        <v>1</v>
      </c>
      <c r="C28" s="21">
        <v>6762</v>
      </c>
      <c r="D28" s="21">
        <f t="shared" si="0"/>
        <v>3238</v>
      </c>
      <c r="E28" s="21">
        <v>1</v>
      </c>
      <c r="F28" s="21">
        <v>0.97070000000000001</v>
      </c>
      <c r="G28" s="21">
        <v>0.99470000000000003</v>
      </c>
      <c r="H28" s="21">
        <v>1</v>
      </c>
      <c r="I28" s="21">
        <v>0</v>
      </c>
      <c r="J28" s="21">
        <v>0</v>
      </c>
      <c r="K28" s="24">
        <v>2</v>
      </c>
      <c r="L28" s="21">
        <v>0</v>
      </c>
      <c r="M28" s="21">
        <v>1</v>
      </c>
      <c r="N28" s="24">
        <v>0.72899999999999998</v>
      </c>
      <c r="O28" s="63">
        <f t="shared" si="35"/>
        <v>1.458</v>
      </c>
      <c r="P28" s="44">
        <f t="shared" si="1"/>
        <v>8.0532958186355138E-3</v>
      </c>
      <c r="Q28" s="44">
        <f t="shared" si="2"/>
        <v>1.4988867132349197E-2</v>
      </c>
      <c r="R28" s="41">
        <v>2</v>
      </c>
      <c r="S28" s="13">
        <f t="shared" si="3"/>
        <v>2.2466613791121803E-4</v>
      </c>
      <c r="T28" s="13">
        <f t="shared" si="4"/>
        <v>1.0647954002437308E-2</v>
      </c>
      <c r="U28" s="13">
        <f t="shared" si="5"/>
        <v>8.5751123444851657E-5</v>
      </c>
      <c r="V28" s="31">
        <f t="shared" si="6"/>
        <v>4.9468975991201697E-3</v>
      </c>
      <c r="W28" s="80">
        <v>193</v>
      </c>
      <c r="X28" s="46">
        <f t="shared" si="7"/>
        <v>357.6458557235909</v>
      </c>
      <c r="Y28" s="86">
        <f t="shared" si="8"/>
        <v>164.6458557235909</v>
      </c>
      <c r="Z28" s="80">
        <v>0</v>
      </c>
      <c r="AA28" s="80">
        <v>481</v>
      </c>
      <c r="AB28" s="80">
        <v>193</v>
      </c>
      <c r="AC28" s="26">
        <f t="shared" si="9"/>
        <v>674</v>
      </c>
      <c r="AD28" s="46">
        <f t="shared" si="10"/>
        <v>338.6794503285642</v>
      </c>
      <c r="AE28" s="22">
        <f t="shared" si="11"/>
        <v>-335.3205496714358</v>
      </c>
      <c r="AF28" s="22">
        <f t="shared" si="12"/>
        <v>-170.6746939478449</v>
      </c>
      <c r="AG28" s="55">
        <f t="shared" si="13"/>
        <v>867</v>
      </c>
      <c r="AH28">
        <f t="shared" si="14"/>
        <v>4.9468975991201706E-3</v>
      </c>
      <c r="AI28" s="1">
        <f t="shared" si="15"/>
        <v>538.49453815222614</v>
      </c>
      <c r="AJ28" s="2">
        <v>578</v>
      </c>
      <c r="AK28" s="1">
        <f t="shared" si="16"/>
        <v>-39.505461847773859</v>
      </c>
      <c r="AL28">
        <f t="shared" si="17"/>
        <v>1.458</v>
      </c>
      <c r="AM28">
        <f t="shared" si="18"/>
        <v>9.5499847718935466E-3</v>
      </c>
      <c r="AN28" s="1">
        <f t="shared" si="19"/>
        <v>987.63077515491489</v>
      </c>
      <c r="AO28" s="8">
        <v>962</v>
      </c>
      <c r="AP28" s="1">
        <f t="shared" si="20"/>
        <v>25.630775154914886</v>
      </c>
      <c r="AQ28" s="69">
        <f t="shared" si="21"/>
        <v>1.458</v>
      </c>
      <c r="AR28">
        <f t="shared" si="22"/>
        <v>8.0532958186355138E-3</v>
      </c>
      <c r="AS28" s="1">
        <f t="shared" si="23"/>
        <v>629.46265522275587</v>
      </c>
      <c r="AT28" s="8">
        <v>578</v>
      </c>
      <c r="AU28" s="1">
        <f t="shared" si="24"/>
        <v>51.46265522275587</v>
      </c>
      <c r="AV28" s="82">
        <f t="shared" si="25"/>
        <v>0.9884666666666666</v>
      </c>
      <c r="AW28" s="82">
        <f t="shared" si="26"/>
        <v>2.9968203735836287E-2</v>
      </c>
      <c r="AX28" s="49">
        <f t="shared" si="27"/>
        <v>2913.9130102960767</v>
      </c>
      <c r="AY28" s="8">
        <v>2407</v>
      </c>
      <c r="AZ28" s="1">
        <f t="shared" si="28"/>
        <v>506.91301029607666</v>
      </c>
      <c r="BA28" s="68">
        <f t="shared" ref="BA28:BA32" si="36">BA27*1.1</f>
        <v>1.1000000000000001</v>
      </c>
    </row>
    <row r="29" spans="1:53" x14ac:dyDescent="0.2">
      <c r="A29" s="39" t="s">
        <v>3</v>
      </c>
      <c r="B29" s="21">
        <v>1</v>
      </c>
      <c r="C29" s="21">
        <v>6187</v>
      </c>
      <c r="D29" s="21">
        <f t="shared" si="0"/>
        <v>3813</v>
      </c>
      <c r="E29" s="21">
        <v>0.99360000000000004</v>
      </c>
      <c r="F29" s="21">
        <v>0.97070000000000001</v>
      </c>
      <c r="G29" s="21">
        <v>0.99470000000000003</v>
      </c>
      <c r="H29" s="21">
        <v>1</v>
      </c>
      <c r="I29" s="24">
        <v>3.7</v>
      </c>
      <c r="J29" s="21">
        <v>0</v>
      </c>
      <c r="K29" s="21">
        <v>0</v>
      </c>
      <c r="L29" s="21">
        <v>0</v>
      </c>
      <c r="M29" s="21">
        <v>1</v>
      </c>
      <c r="N29" s="24">
        <v>1.1000000000000001</v>
      </c>
      <c r="O29" s="63">
        <f t="shared" si="35"/>
        <v>4.07</v>
      </c>
      <c r="P29" s="13">
        <f t="shared" si="1"/>
        <v>2.2480736613063473E-2</v>
      </c>
      <c r="Q29" s="13">
        <f t="shared" si="2"/>
        <v>1.7650571456345736E-2</v>
      </c>
      <c r="R29" s="41">
        <v>2</v>
      </c>
      <c r="S29" s="13">
        <f t="shared" si="3"/>
        <v>3.1154267273556684E-4</v>
      </c>
      <c r="T29" s="13">
        <f t="shared" si="4"/>
        <v>1.4765429627831141E-2</v>
      </c>
      <c r="U29" s="13">
        <f t="shared" si="5"/>
        <v>3.3193773444199569E-4</v>
      </c>
      <c r="V29" s="31">
        <f t="shared" si="6"/>
        <v>1.914915998301225E-2</v>
      </c>
      <c r="W29" s="80">
        <v>1161</v>
      </c>
      <c r="X29" s="46">
        <f t="shared" si="7"/>
        <v>1384.4268192918366</v>
      </c>
      <c r="Y29" s="86">
        <f t="shared" si="8"/>
        <v>223.42681929183664</v>
      </c>
      <c r="Z29" s="80">
        <v>0</v>
      </c>
      <c r="AA29" s="80">
        <v>2156</v>
      </c>
      <c r="AB29" s="80">
        <v>663</v>
      </c>
      <c r="AC29" s="26">
        <f t="shared" si="9"/>
        <v>2819</v>
      </c>
      <c r="AD29" s="46">
        <f t="shared" si="10"/>
        <v>1311.0089399169676</v>
      </c>
      <c r="AE29" s="22">
        <f t="shared" si="11"/>
        <v>-1507.9910600830324</v>
      </c>
      <c r="AF29" s="22">
        <f t="shared" si="12"/>
        <v>-1284.5642407911957</v>
      </c>
      <c r="AG29" s="55">
        <f t="shared" si="13"/>
        <v>3980</v>
      </c>
      <c r="AH29" s="3">
        <f t="shared" si="14"/>
        <v>1.9149159983012254E-2</v>
      </c>
      <c r="AI29" s="1">
        <f t="shared" si="15"/>
        <v>2084.4818099507988</v>
      </c>
      <c r="AJ29" s="2">
        <v>1824</v>
      </c>
      <c r="AK29" s="1">
        <f t="shared" si="16"/>
        <v>260.48180995079883</v>
      </c>
      <c r="AL29">
        <f t="shared" si="17"/>
        <v>4.07</v>
      </c>
      <c r="AM29">
        <f t="shared" si="18"/>
        <v>2.665873664033384E-2</v>
      </c>
      <c r="AN29" s="1">
        <f t="shared" si="19"/>
        <v>2756.9665671334046</v>
      </c>
      <c r="AO29" s="8">
        <v>2156</v>
      </c>
      <c r="AP29" s="1">
        <f t="shared" si="20"/>
        <v>600.96656713340462</v>
      </c>
      <c r="AQ29" s="69">
        <f t="shared" si="21"/>
        <v>4.07</v>
      </c>
      <c r="AR29">
        <f t="shared" si="22"/>
        <v>2.2480736613063473E-2</v>
      </c>
      <c r="AS29" s="1">
        <f t="shared" si="23"/>
        <v>1757.1419799428099</v>
      </c>
      <c r="AT29" s="8">
        <v>1824</v>
      </c>
      <c r="AU29" s="1">
        <f t="shared" si="24"/>
        <v>-66.85802005719006</v>
      </c>
      <c r="AV29" s="82">
        <f t="shared" si="25"/>
        <v>0.9884666666666666</v>
      </c>
      <c r="AW29" s="82">
        <f t="shared" si="26"/>
        <v>2.9776407231926937E-2</v>
      </c>
      <c r="AX29" s="49">
        <f t="shared" si="27"/>
        <v>2895.2639670301819</v>
      </c>
      <c r="AY29" s="8">
        <v>2156</v>
      </c>
      <c r="AZ29" s="1">
        <f t="shared" si="28"/>
        <v>739.2639670301819</v>
      </c>
      <c r="BA29" s="68">
        <f t="shared" si="36"/>
        <v>1.2100000000000002</v>
      </c>
    </row>
    <row r="30" spans="1:53" x14ac:dyDescent="0.2">
      <c r="A30" s="39" t="s">
        <v>18</v>
      </c>
      <c r="B30" s="21">
        <v>0</v>
      </c>
      <c r="C30" s="21">
        <v>4240</v>
      </c>
      <c r="D30" s="21">
        <f t="shared" si="0"/>
        <v>5760</v>
      </c>
      <c r="E30" s="21">
        <v>1</v>
      </c>
      <c r="F30" s="21">
        <v>0.97070000000000001</v>
      </c>
      <c r="G30" s="21">
        <v>0.99470000000000003</v>
      </c>
      <c r="H30" s="21">
        <v>1</v>
      </c>
      <c r="I30" s="24">
        <v>2.1</v>
      </c>
      <c r="J30" s="21">
        <v>0</v>
      </c>
      <c r="K30" s="24">
        <v>2.1</v>
      </c>
      <c r="L30" s="21">
        <v>0</v>
      </c>
      <c r="M30" s="21">
        <v>2</v>
      </c>
      <c r="N30" s="24">
        <v>0.81</v>
      </c>
      <c r="O30" s="63">
        <f t="shared" si="35"/>
        <v>1.7010000000000003</v>
      </c>
      <c r="P30" s="13">
        <f t="shared" si="1"/>
        <v>9.3955117884080997E-3</v>
      </c>
      <c r="Q30" s="13">
        <f t="shared" si="2"/>
        <v>2.6663333749947924E-2</v>
      </c>
      <c r="R30" s="41">
        <v>2</v>
      </c>
      <c r="S30" s="13">
        <f t="shared" si="3"/>
        <v>7.1093336666111203E-4</v>
      </c>
      <c r="T30" s="13">
        <f t="shared" si="4"/>
        <v>3.3694378055302988E-2</v>
      </c>
      <c r="U30" s="13">
        <f t="shared" si="5"/>
        <v>3.1657592622167839E-4</v>
      </c>
      <c r="V30" s="31">
        <f t="shared" si="6"/>
        <v>1.8262952442511571E-2</v>
      </c>
      <c r="W30" s="80">
        <v>189</v>
      </c>
      <c r="X30" s="46">
        <f t="shared" si="7"/>
        <v>1320.356672736259</v>
      </c>
      <c r="Y30" s="86">
        <f t="shared" si="8"/>
        <v>1131.356672736259</v>
      </c>
      <c r="Z30" s="80">
        <v>379</v>
      </c>
      <c r="AA30" s="80">
        <f>3598-1515</f>
        <v>2083</v>
      </c>
      <c r="AB30" s="80">
        <v>0</v>
      </c>
      <c r="AC30" s="26">
        <f t="shared" si="9"/>
        <v>2462</v>
      </c>
      <c r="AD30" s="46">
        <f t="shared" si="10"/>
        <v>1250.3365130716697</v>
      </c>
      <c r="AE30" s="22">
        <f t="shared" si="11"/>
        <v>-1211.6634869283303</v>
      </c>
      <c r="AF30" s="22">
        <f t="shared" si="12"/>
        <v>-80.306814192071215</v>
      </c>
      <c r="AG30" s="55">
        <f t="shared" si="13"/>
        <v>2651</v>
      </c>
      <c r="AH30" s="3">
        <f t="shared" si="14"/>
        <v>1.8262952442511575E-2</v>
      </c>
      <c r="AI30" s="1">
        <f t="shared" si="15"/>
        <v>1988.0136881295975</v>
      </c>
      <c r="AJ30" s="2">
        <v>1894</v>
      </c>
      <c r="AK30" s="1">
        <f t="shared" si="16"/>
        <v>94.01368812959754</v>
      </c>
      <c r="AL30">
        <f t="shared" si="17"/>
        <v>0</v>
      </c>
      <c r="AM30">
        <f t="shared" si="18"/>
        <v>0</v>
      </c>
      <c r="AN30" s="1">
        <f t="shared" si="19"/>
        <v>0</v>
      </c>
      <c r="AO30" s="8">
        <v>0</v>
      </c>
      <c r="AP30" s="1">
        <f t="shared" si="20"/>
        <v>0</v>
      </c>
      <c r="AQ30" s="69">
        <f t="shared" si="21"/>
        <v>1.7010000000000003</v>
      </c>
      <c r="AR30">
        <f t="shared" si="22"/>
        <v>9.3955117884080997E-3</v>
      </c>
      <c r="AS30" s="1">
        <f t="shared" si="23"/>
        <v>734.37309775988183</v>
      </c>
      <c r="AT30" s="8">
        <v>757</v>
      </c>
      <c r="AU30" s="1">
        <f t="shared" si="24"/>
        <v>-22.62690224011817</v>
      </c>
      <c r="AV30" s="82">
        <f t="shared" si="25"/>
        <v>0.9884666666666666</v>
      </c>
      <c r="AW30" s="82">
        <f t="shared" si="26"/>
        <v>2.9968203735836287E-2</v>
      </c>
      <c r="AX30" s="49">
        <f t="shared" si="27"/>
        <v>2913.9130102960767</v>
      </c>
      <c r="AY30" s="8">
        <v>2083</v>
      </c>
      <c r="AZ30" s="49">
        <f t="shared" si="28"/>
        <v>830.91301029607666</v>
      </c>
      <c r="BA30" s="68">
        <f t="shared" si="36"/>
        <v>1.3310000000000004</v>
      </c>
    </row>
    <row r="31" spans="1:53" x14ac:dyDescent="0.2">
      <c r="A31" s="31" t="s">
        <v>4</v>
      </c>
      <c r="B31" s="21">
        <v>1</v>
      </c>
      <c r="C31" s="21">
        <v>6437</v>
      </c>
      <c r="D31" s="21">
        <f t="shared" si="0"/>
        <v>3563</v>
      </c>
      <c r="E31" s="21">
        <v>1</v>
      </c>
      <c r="F31" s="21">
        <v>0.97070000000000001</v>
      </c>
      <c r="G31" s="21">
        <v>0.99470000000000003</v>
      </c>
      <c r="H31" s="21">
        <v>1</v>
      </c>
      <c r="I31" s="24">
        <v>3.9</v>
      </c>
      <c r="J31" s="66">
        <f>$AD$62</f>
        <v>4.058533333333334</v>
      </c>
      <c r="K31" s="24">
        <v>4</v>
      </c>
      <c r="L31" s="21">
        <v>0</v>
      </c>
      <c r="M31" s="21">
        <v>2</v>
      </c>
      <c r="N31" s="24">
        <v>1.21</v>
      </c>
      <c r="O31" s="63">
        <f t="shared" si="35"/>
        <v>7.2349126666666663</v>
      </c>
      <c r="P31" s="44">
        <f t="shared" si="1"/>
        <v>3.9962202967530711E-2</v>
      </c>
      <c r="Q31" s="44">
        <f t="shared" si="2"/>
        <v>1.6493308706782023E-2</v>
      </c>
      <c r="R31" s="41">
        <v>2</v>
      </c>
      <c r="S31" s="13">
        <f t="shared" si="3"/>
        <v>2.720292320972117E-4</v>
      </c>
      <c r="T31" s="13">
        <f t="shared" si="4"/>
        <v>1.2892707274979254E-2</v>
      </c>
      <c r="U31" s="13">
        <f t="shared" si="5"/>
        <v>5.1522098492368074E-4</v>
      </c>
      <c r="V31" s="31">
        <f t="shared" si="6"/>
        <v>2.972258964017465E-2</v>
      </c>
      <c r="W31" s="80">
        <v>1032</v>
      </c>
      <c r="X31" s="46">
        <f t="shared" si="7"/>
        <v>2148.8540632157069</v>
      </c>
      <c r="Y31" s="86">
        <f t="shared" si="8"/>
        <v>1116.8540632157069</v>
      </c>
      <c r="Z31" s="80">
        <v>1290</v>
      </c>
      <c r="AA31" s="88">
        <v>1805</v>
      </c>
      <c r="AB31" s="80">
        <v>0</v>
      </c>
      <c r="AC31" s="26">
        <f t="shared" si="9"/>
        <v>3095</v>
      </c>
      <c r="AD31" s="46">
        <f t="shared" si="10"/>
        <v>2034.8976545352771</v>
      </c>
      <c r="AE31" s="22">
        <f t="shared" si="11"/>
        <v>-1060.1023454647229</v>
      </c>
      <c r="AF31" s="22">
        <f t="shared" si="12"/>
        <v>56.751717750983971</v>
      </c>
      <c r="AG31" s="55">
        <f t="shared" si="13"/>
        <v>4127</v>
      </c>
      <c r="AH31">
        <f t="shared" si="14"/>
        <v>2.972258964017466E-2</v>
      </c>
      <c r="AI31" s="1">
        <f t="shared" si="15"/>
        <v>3235.4524952812126</v>
      </c>
      <c r="AJ31" s="2">
        <v>4642</v>
      </c>
      <c r="AK31" s="1">
        <f t="shared" si="16"/>
        <v>-1406.5475047187874</v>
      </c>
      <c r="AL31">
        <f t="shared" si="17"/>
        <v>7.2349126666666663</v>
      </c>
      <c r="AM31">
        <f t="shared" si="18"/>
        <v>4.7389098623214262E-2</v>
      </c>
      <c r="AN31" s="1">
        <f t="shared" si="19"/>
        <v>4900.838412316949</v>
      </c>
      <c r="AO31" s="8">
        <v>0</v>
      </c>
      <c r="AP31" s="49">
        <f t="shared" si="20"/>
        <v>4900.838412316949</v>
      </c>
      <c r="AQ31" s="69">
        <f t="shared" si="21"/>
        <v>7.2349126666666663</v>
      </c>
      <c r="AR31">
        <f t="shared" si="22"/>
        <v>3.9962202967530711E-2</v>
      </c>
      <c r="AS31" s="1">
        <f t="shared" si="23"/>
        <v>3123.5304097837784</v>
      </c>
      <c r="AT31" s="8">
        <v>2063</v>
      </c>
      <c r="AU31" s="1">
        <f t="shared" si="24"/>
        <v>1060.5304097837784</v>
      </c>
      <c r="AV31" s="82">
        <f t="shared" si="25"/>
        <v>0.9884666666666666</v>
      </c>
      <c r="AW31" s="82">
        <f t="shared" si="26"/>
        <v>2.9968203735836287E-2</v>
      </c>
      <c r="AX31" s="49">
        <f t="shared" si="27"/>
        <v>2913.9130102960767</v>
      </c>
      <c r="AY31" s="8">
        <v>2321</v>
      </c>
      <c r="AZ31" s="1">
        <f t="shared" si="28"/>
        <v>592.91301029607666</v>
      </c>
      <c r="BA31" s="68">
        <f t="shared" si="36"/>
        <v>1.4641000000000006</v>
      </c>
    </row>
    <row r="32" spans="1:53" x14ac:dyDescent="0.2">
      <c r="A32" s="31" t="s">
        <v>106</v>
      </c>
      <c r="B32" s="21">
        <v>1</v>
      </c>
      <c r="C32" s="21">
        <v>6688</v>
      </c>
      <c r="D32" s="21">
        <f t="shared" si="0"/>
        <v>3312</v>
      </c>
      <c r="E32" s="21">
        <v>9.4899999999999998E-2</v>
      </c>
      <c r="F32" s="21">
        <v>0.97070000000000001</v>
      </c>
      <c r="G32" s="21">
        <v>0.99470000000000003</v>
      </c>
      <c r="H32" s="21">
        <v>1</v>
      </c>
      <c r="I32" s="24">
        <v>2</v>
      </c>
      <c r="J32" s="21">
        <v>0</v>
      </c>
      <c r="K32" s="21">
        <v>0</v>
      </c>
      <c r="L32" s="21">
        <v>0</v>
      </c>
      <c r="M32" s="21">
        <v>1</v>
      </c>
      <c r="N32" s="24">
        <v>1.1000000000000001</v>
      </c>
      <c r="O32" s="63">
        <f t="shared" si="35"/>
        <v>2.2000000000000002</v>
      </c>
      <c r="P32" s="44">
        <f t="shared" si="1"/>
        <v>1.215174952057485E-2</v>
      </c>
      <c r="Q32" s="44">
        <f t="shared" si="2"/>
        <v>1.5331416906220056E-2</v>
      </c>
      <c r="R32" s="41">
        <v>2</v>
      </c>
      <c r="S32" s="13">
        <f t="shared" si="3"/>
        <v>2.3505234435233015E-4</v>
      </c>
      <c r="T32" s="13">
        <f t="shared" si="4"/>
        <v>1.1140203744534548E-2</v>
      </c>
      <c r="U32" s="13">
        <f t="shared" si="5"/>
        <v>1.3537296551175386E-4</v>
      </c>
      <c r="V32" s="31">
        <f t="shared" si="6"/>
        <v>7.809532647190978E-3</v>
      </c>
      <c r="W32" s="80">
        <v>402</v>
      </c>
      <c r="X32" s="46">
        <f t="shared" si="7"/>
        <v>564.60578179396612</v>
      </c>
      <c r="Y32" s="86">
        <f t="shared" si="8"/>
        <v>162.60578179396612</v>
      </c>
      <c r="Z32" s="80">
        <v>402</v>
      </c>
      <c r="AA32" s="80">
        <v>402</v>
      </c>
      <c r="AB32" s="80">
        <v>0</v>
      </c>
      <c r="AC32" s="26">
        <f t="shared" si="9"/>
        <v>804</v>
      </c>
      <c r="AD32" s="46">
        <f t="shared" si="10"/>
        <v>534.66403362463598</v>
      </c>
      <c r="AE32" s="22">
        <f t="shared" si="11"/>
        <v>-269.33596637536402</v>
      </c>
      <c r="AF32" s="22">
        <f t="shared" si="12"/>
        <v>-106.73018458139791</v>
      </c>
      <c r="AG32" s="55">
        <f t="shared" si="13"/>
        <v>1206</v>
      </c>
      <c r="AH32">
        <f t="shared" si="14"/>
        <v>7.8095326471909789E-3</v>
      </c>
      <c r="AI32" s="1">
        <f t="shared" si="15"/>
        <v>850.10667630997398</v>
      </c>
      <c r="AJ32" s="2">
        <v>1205</v>
      </c>
      <c r="AK32" s="1">
        <f t="shared" si="16"/>
        <v>-354.89332369002602</v>
      </c>
      <c r="AL32">
        <f t="shared" si="17"/>
        <v>2.2000000000000002</v>
      </c>
      <c r="AM32">
        <f t="shared" si="18"/>
        <v>1.4410127913693968E-2</v>
      </c>
      <c r="AN32" s="1">
        <f t="shared" si="19"/>
        <v>1490.252198450489</v>
      </c>
      <c r="AO32" s="8">
        <v>2008</v>
      </c>
      <c r="AP32" s="1">
        <f t="shared" si="20"/>
        <v>-517.747801549511</v>
      </c>
      <c r="AQ32" s="69">
        <f t="shared" si="21"/>
        <v>2.2000000000000002</v>
      </c>
      <c r="AR32">
        <f t="shared" si="22"/>
        <v>1.215174952057485E-2</v>
      </c>
      <c r="AS32" s="1">
        <f t="shared" si="23"/>
        <v>949.80647564476214</v>
      </c>
      <c r="AT32" s="8">
        <v>803</v>
      </c>
      <c r="AU32" s="1">
        <f t="shared" si="24"/>
        <v>146.80647564476214</v>
      </c>
      <c r="AV32" s="82">
        <f t="shared" si="25"/>
        <v>0.9884666666666666</v>
      </c>
      <c r="AW32" s="82">
        <f t="shared" si="26"/>
        <v>2.8439825345308637E-3</v>
      </c>
      <c r="AX32" s="49">
        <f t="shared" si="27"/>
        <v>276.53034467709767</v>
      </c>
      <c r="AY32" s="8">
        <v>402</v>
      </c>
      <c r="AZ32" s="1">
        <f t="shared" si="28"/>
        <v>-125.46965532290233</v>
      </c>
      <c r="BA32" s="68">
        <f t="shared" si="36"/>
        <v>1.6105100000000008</v>
      </c>
    </row>
    <row r="33" spans="1:53" x14ac:dyDescent="0.2">
      <c r="A33" s="31" t="s">
        <v>21</v>
      </c>
      <c r="B33" s="21">
        <v>1</v>
      </c>
      <c r="C33" s="21">
        <v>6023</v>
      </c>
      <c r="D33" s="21">
        <f t="shared" si="0"/>
        <v>3977</v>
      </c>
      <c r="E33" s="21">
        <v>0.1484</v>
      </c>
      <c r="F33" s="21">
        <v>0.97070000000000001</v>
      </c>
      <c r="G33" s="21">
        <v>0.99470000000000003</v>
      </c>
      <c r="H33" s="21">
        <v>1</v>
      </c>
      <c r="I33" s="24">
        <v>3</v>
      </c>
      <c r="J33" s="66">
        <f>$AD$64</f>
        <v>8.7824000000000009</v>
      </c>
      <c r="K33" s="24">
        <v>5.9</v>
      </c>
      <c r="L33" s="24">
        <v>6.5</v>
      </c>
      <c r="M33" s="21">
        <v>3</v>
      </c>
      <c r="N33" s="24">
        <v>0.9</v>
      </c>
      <c r="O33" s="63">
        <f t="shared" si="35"/>
        <v>7.2547200000000007</v>
      </c>
      <c r="P33" s="44">
        <f t="shared" si="1"/>
        <v>4.0071609219047628E-2</v>
      </c>
      <c r="Q33" s="44">
        <f t="shared" si="2"/>
        <v>1.8409735820059531E-2</v>
      </c>
      <c r="R33" s="41">
        <v>2</v>
      </c>
      <c r="S33" s="13">
        <f t="shared" si="3"/>
        <v>3.3891837296438297E-4</v>
      </c>
      <c r="T33" s="13">
        <f t="shared" si="4"/>
        <v>1.6062889047087893E-2</v>
      </c>
      <c r="U33" s="13">
        <f t="shared" si="5"/>
        <v>6.4366581282382634E-4</v>
      </c>
      <c r="V33" s="31">
        <f t="shared" si="6"/>
        <v>3.7132444872768483E-2</v>
      </c>
      <c r="W33" s="80">
        <v>3230</v>
      </c>
      <c r="X33" s="46">
        <f t="shared" si="7"/>
        <v>2684.5643669665428</v>
      </c>
      <c r="Y33" s="86">
        <f t="shared" si="8"/>
        <v>-545.43563303345718</v>
      </c>
      <c r="Z33" s="80">
        <v>2153</v>
      </c>
      <c r="AA33" s="80">
        <f>3384-3230</f>
        <v>154</v>
      </c>
      <c r="AB33" s="80">
        <v>0</v>
      </c>
      <c r="AC33" s="26">
        <f t="shared" si="9"/>
        <v>2307</v>
      </c>
      <c r="AD33" s="46">
        <f t="shared" si="10"/>
        <v>2542.1985733243487</v>
      </c>
      <c r="AE33" s="22">
        <f t="shared" si="11"/>
        <v>235.19857332434867</v>
      </c>
      <c r="AF33" s="22">
        <f t="shared" si="12"/>
        <v>-310.23705970910851</v>
      </c>
      <c r="AG33" s="55">
        <f t="shared" si="13"/>
        <v>5537</v>
      </c>
      <c r="AH33" s="3">
        <f t="shared" si="14"/>
        <v>3.713244487276849E-2</v>
      </c>
      <c r="AI33" s="1">
        <f t="shared" si="15"/>
        <v>4042.052286625214</v>
      </c>
      <c r="AJ33" s="2">
        <v>6614</v>
      </c>
      <c r="AK33" s="49">
        <f t="shared" si="16"/>
        <v>-2571.947713374786</v>
      </c>
      <c r="AL33">
        <f t="shared" si="17"/>
        <v>7.2547200000000007</v>
      </c>
      <c r="AM33">
        <f t="shared" si="18"/>
        <v>4.7518837808197226E-2</v>
      </c>
      <c r="AN33" s="1">
        <f t="shared" si="19"/>
        <v>4914.2556496103325</v>
      </c>
      <c r="AO33" s="8">
        <v>0</v>
      </c>
      <c r="AP33" s="49">
        <f t="shared" si="20"/>
        <v>4914.2556496103325</v>
      </c>
      <c r="AQ33" s="69">
        <f t="shared" si="21"/>
        <v>7.2547200000000007</v>
      </c>
      <c r="AR33">
        <f t="shared" si="22"/>
        <v>4.0071609219047628E-2</v>
      </c>
      <c r="AS33" s="1">
        <f t="shared" si="23"/>
        <v>3132.0818340861674</v>
      </c>
      <c r="AT33" s="8">
        <v>2307</v>
      </c>
      <c r="AU33" s="1">
        <f t="shared" si="24"/>
        <v>825.08183408616742</v>
      </c>
      <c r="AV33" s="82">
        <f t="shared" si="25"/>
        <v>0.9884666666666666</v>
      </c>
      <c r="AW33" s="82">
        <f t="shared" si="26"/>
        <v>4.4472814343981051E-3</v>
      </c>
      <c r="AX33" s="49">
        <f t="shared" si="27"/>
        <v>432.42469072793779</v>
      </c>
      <c r="AY33" s="8">
        <v>308</v>
      </c>
      <c r="AZ33" s="1">
        <f t="shared" si="28"/>
        <v>124.42469072793779</v>
      </c>
      <c r="BA33" s="68">
        <v>1.611</v>
      </c>
    </row>
    <row r="34" spans="1:53" x14ac:dyDescent="0.2">
      <c r="A34" s="31" t="s">
        <v>41</v>
      </c>
      <c r="B34" s="21">
        <v>1</v>
      </c>
      <c r="C34" s="21">
        <v>5464</v>
      </c>
      <c r="D34" s="21">
        <f t="shared" si="0"/>
        <v>4536</v>
      </c>
      <c r="E34" s="21">
        <v>0.997</v>
      </c>
      <c r="F34" s="21">
        <v>0.97070000000000001</v>
      </c>
      <c r="G34" s="21">
        <v>0.99470000000000003</v>
      </c>
      <c r="H34" s="21">
        <v>1</v>
      </c>
      <c r="I34" s="21">
        <v>0</v>
      </c>
      <c r="J34" s="66">
        <f>$AD$63</f>
        <v>4.3912000000000004</v>
      </c>
      <c r="K34" s="41">
        <v>4</v>
      </c>
      <c r="L34" s="41">
        <v>6</v>
      </c>
      <c r="M34" s="21">
        <v>3</v>
      </c>
      <c r="N34" s="24">
        <v>1.1000000000000001</v>
      </c>
      <c r="O34" s="63">
        <f t="shared" si="35"/>
        <v>5.2767733333333338</v>
      </c>
      <c r="P34" s="44">
        <f t="shared" si="1"/>
        <v>2.9146376283416129E-2</v>
      </c>
      <c r="Q34" s="44">
        <f t="shared" si="2"/>
        <v>2.0997375328083989E-2</v>
      </c>
      <c r="R34" s="41">
        <v>2</v>
      </c>
      <c r="S34" s="13">
        <f t="shared" si="3"/>
        <v>4.408897706684302E-4</v>
      </c>
      <c r="T34" s="13">
        <f t="shared" si="4"/>
        <v>2.0895779140858987E-2</v>
      </c>
      <c r="U34" s="13">
        <f t="shared" si="5"/>
        <v>6.0903624157463386E-4</v>
      </c>
      <c r="V34" s="31">
        <f t="shared" si="6"/>
        <v>3.5134699117503089E-2</v>
      </c>
      <c r="W34" s="80">
        <v>1459</v>
      </c>
      <c r="X34" s="46">
        <f t="shared" si="7"/>
        <v>2540.1333420981209</v>
      </c>
      <c r="Y34" s="86">
        <f t="shared" si="8"/>
        <v>1081.1333420981209</v>
      </c>
      <c r="Z34" s="80">
        <f>243+2431</f>
        <v>2674</v>
      </c>
      <c r="AA34" s="80">
        <v>1094</v>
      </c>
      <c r="AB34" s="80">
        <v>0</v>
      </c>
      <c r="AC34" s="26">
        <f t="shared" si="9"/>
        <v>3768</v>
      </c>
      <c r="AD34" s="46">
        <f t="shared" si="10"/>
        <v>2405.4269056816138</v>
      </c>
      <c r="AE34" s="22">
        <f t="shared" si="11"/>
        <v>-1362.5730943183862</v>
      </c>
      <c r="AF34" s="22">
        <f t="shared" si="12"/>
        <v>-281.43975222026529</v>
      </c>
      <c r="AG34" s="55">
        <f t="shared" si="13"/>
        <v>5227</v>
      </c>
      <c r="AH34">
        <f t="shared" si="14"/>
        <v>3.5134699117503096E-2</v>
      </c>
      <c r="AI34" s="1">
        <f t="shared" si="15"/>
        <v>3824.5876724357995</v>
      </c>
      <c r="AJ34" s="2">
        <v>3039</v>
      </c>
      <c r="AK34" s="1">
        <f t="shared" si="16"/>
        <v>785.5876724357995</v>
      </c>
      <c r="AL34">
        <f t="shared" si="17"/>
        <v>5.2767733333333338</v>
      </c>
      <c r="AM34">
        <f t="shared" si="18"/>
        <v>3.4563172138592106E-2</v>
      </c>
      <c r="AN34" s="1">
        <f t="shared" si="19"/>
        <v>3574.4195730567799</v>
      </c>
      <c r="AO34" s="8">
        <v>0</v>
      </c>
      <c r="AP34" s="1">
        <f t="shared" si="20"/>
        <v>3574.4195730567799</v>
      </c>
      <c r="AQ34" s="69">
        <f t="shared" si="21"/>
        <v>5.2767733333333338</v>
      </c>
      <c r="AR34">
        <f t="shared" si="22"/>
        <v>2.9146376283416129E-2</v>
      </c>
      <c r="AS34" s="1">
        <f t="shared" si="23"/>
        <v>2278.1424920498162</v>
      </c>
      <c r="AT34" s="8">
        <v>1702</v>
      </c>
      <c r="AU34" s="1">
        <f t="shared" si="24"/>
        <v>576.14249204981616</v>
      </c>
      <c r="AV34" s="82">
        <f t="shared" si="25"/>
        <v>0.9884666666666666</v>
      </c>
      <c r="AW34" s="82">
        <f t="shared" si="26"/>
        <v>2.9878299124628777E-2</v>
      </c>
      <c r="AX34" s="49">
        <f t="shared" si="27"/>
        <v>2905.1712712651884</v>
      </c>
      <c r="AY34" s="8">
        <v>2553</v>
      </c>
      <c r="AZ34" s="1">
        <f t="shared" si="28"/>
        <v>352.17127126518835</v>
      </c>
      <c r="BA34" s="68">
        <v>1.611</v>
      </c>
    </row>
    <row r="35" spans="1:53" x14ac:dyDescent="0.2">
      <c r="A35" s="31" t="s">
        <v>76</v>
      </c>
      <c r="B35" s="21">
        <v>1</v>
      </c>
      <c r="C35" s="21">
        <v>7519</v>
      </c>
      <c r="D35" s="21">
        <f t="shared" ref="D35:D52" si="37">10000-C35</f>
        <v>2481</v>
      </c>
      <c r="E35" s="21">
        <v>0.31929999999999997</v>
      </c>
      <c r="F35" s="21">
        <v>0.97070000000000001</v>
      </c>
      <c r="G35" s="21">
        <v>0.99470000000000003</v>
      </c>
      <c r="H35" s="21">
        <v>1</v>
      </c>
      <c r="I35" s="21">
        <v>0</v>
      </c>
      <c r="J35" s="66">
        <f>$AD$65</f>
        <v>1.3306666666666669</v>
      </c>
      <c r="K35" s="21">
        <v>0</v>
      </c>
      <c r="L35" s="21">
        <v>0</v>
      </c>
      <c r="M35" s="21">
        <v>1</v>
      </c>
      <c r="N35" s="24">
        <v>1.464</v>
      </c>
      <c r="O35" s="63">
        <f t="shared" si="35"/>
        <v>1.948096</v>
      </c>
      <c r="P35" s="44">
        <f t="shared" ref="P35:P52" si="38">O35/$O$53</f>
        <v>1.0760352106378991E-2</v>
      </c>
      <c r="Q35" s="44">
        <f t="shared" ref="Q35:Q52" si="39">D35/$D$53</f>
        <v>1.1484675526670277E-2</v>
      </c>
      <c r="R35" s="41">
        <v>2</v>
      </c>
      <c r="S35" s="13">
        <f t="shared" ref="S35:S52" si="40">Q35^R35</f>
        <v>1.3189777195289919E-4</v>
      </c>
      <c r="T35" s="13">
        <f t="shared" ref="T35:T52" si="41">S35/$S$53</f>
        <v>6.2512376000936716E-3</v>
      </c>
      <c r="U35" s="13">
        <f t="shared" ref="U35:U52" si="42">T35*P35</f>
        <v>6.7265517677643496E-5</v>
      </c>
      <c r="V35" s="31">
        <f t="shared" ref="V35:V52" si="43">U35/$U$53</f>
        <v>3.8804812640980974E-3</v>
      </c>
      <c r="W35" s="80">
        <v>751</v>
      </c>
      <c r="X35" s="46">
        <f t="shared" ref="X35:X52" si="44">$F$59*V35</f>
        <v>280.54715395050016</v>
      </c>
      <c r="Y35" s="86">
        <f t="shared" ref="Y35:Y52" si="45">X35-W35</f>
        <v>-470.45284604949984</v>
      </c>
      <c r="Z35" s="80">
        <v>751</v>
      </c>
      <c r="AA35" s="80">
        <v>0</v>
      </c>
      <c r="AB35" s="80">
        <v>0</v>
      </c>
      <c r="AC35" s="26">
        <f t="shared" ref="AC35:AC52" si="46">SUM(Z35:AB35)</f>
        <v>751</v>
      </c>
      <c r="AD35" s="46">
        <f t="shared" ref="AD35:AD52" si="47">V35*$F$58</f>
        <v>265.66938878394802</v>
      </c>
      <c r="AE35" s="22">
        <f t="shared" ref="AE35:AE52" si="48">AD35-AC35</f>
        <v>-485.33061121605198</v>
      </c>
      <c r="AF35" s="22">
        <f t="shared" ref="AF35:AF52" si="49">AE35+Y35</f>
        <v>-955.78345726555176</v>
      </c>
      <c r="AG35" s="55">
        <f t="shared" ref="AG35:AG52" si="50">W35+AC35</f>
        <v>1502</v>
      </c>
      <c r="AH35">
        <f t="shared" ref="AH35:AH52" si="51">X35/$X$53</f>
        <v>3.8804812640980983E-3</v>
      </c>
      <c r="AI35" s="1">
        <f t="shared" ref="AI35:AI52" si="52">AH35*$AI$53</f>
        <v>422.40978800339849</v>
      </c>
      <c r="AJ35" s="2">
        <v>1652</v>
      </c>
      <c r="AK35" s="1">
        <f t="shared" ref="AK35:AK52" si="53">AI35-AJ35</f>
        <v>-1229.5902119966015</v>
      </c>
      <c r="AL35">
        <f t="shared" ref="AL35:AL52" si="54">B35*O35</f>
        <v>1.948096</v>
      </c>
      <c r="AM35">
        <f t="shared" ref="AM35:AM52" si="55">AL35/$AL$53</f>
        <v>1.2760142067343437E-2</v>
      </c>
      <c r="AN35" s="1">
        <f t="shared" ref="AN35:AN52" si="56">AM35*$AN$53</f>
        <v>1319.6156121784561</v>
      </c>
      <c r="AO35" s="8">
        <v>1502</v>
      </c>
      <c r="AP35" s="1">
        <f t="shared" ref="AP35:AP52" si="57">AN35-AO35</f>
        <v>-182.3843878215439</v>
      </c>
      <c r="AQ35" s="69">
        <f t="shared" ref="AQ35:AQ52" si="58">O35</f>
        <v>1.948096</v>
      </c>
      <c r="AR35">
        <f t="shared" ref="AR35:AR52" si="59">AQ35/$AQ$53</f>
        <v>1.0760352106378991E-2</v>
      </c>
      <c r="AS35" s="1">
        <f t="shared" ref="AS35:AS52" si="60">AR35*$AS$53*$B$53</f>
        <v>841.05190726257183</v>
      </c>
      <c r="AT35" s="8">
        <v>751</v>
      </c>
      <c r="AU35" s="1">
        <f t="shared" ref="AU35:AU52" si="61">AS35-AT35</f>
        <v>90.051907262571831</v>
      </c>
      <c r="AV35" s="82">
        <f t="shared" ref="AV35:AV52" si="62">AVERAGE(F35:H35)</f>
        <v>0.9884666666666666</v>
      </c>
      <c r="AW35" s="82">
        <f t="shared" ref="AW35:AW52" si="63">E35/$E$53</f>
        <v>9.5688474528525264E-3</v>
      </c>
      <c r="AX35" s="49">
        <f t="shared" ref="AX35:AX52" si="64">AV35*$AX$53*AW35</f>
        <v>930.41242418753723</v>
      </c>
      <c r="AY35" s="8">
        <v>300</v>
      </c>
      <c r="AZ35" s="1">
        <f t="shared" ref="AZ35:AZ52" si="65">AX35-AY35</f>
        <v>630.41242418753723</v>
      </c>
      <c r="BA35" s="68">
        <v>1.611</v>
      </c>
    </row>
    <row r="36" spans="1:53" x14ac:dyDescent="0.2">
      <c r="A36" s="31" t="s">
        <v>82</v>
      </c>
      <c r="B36" s="21">
        <v>1</v>
      </c>
      <c r="C36" s="21">
        <v>4694</v>
      </c>
      <c r="D36" s="21">
        <f t="shared" si="37"/>
        <v>5306</v>
      </c>
      <c r="E36" s="21">
        <v>2.5700000000000001E-2</v>
      </c>
      <c r="F36" s="21">
        <v>0.97070000000000001</v>
      </c>
      <c r="G36" s="21">
        <v>0.99470000000000003</v>
      </c>
      <c r="H36" s="21">
        <v>1</v>
      </c>
      <c r="I36" s="21">
        <v>0</v>
      </c>
      <c r="J36" s="21">
        <v>0</v>
      </c>
      <c r="K36" s="24">
        <v>2.6</v>
      </c>
      <c r="L36" s="24">
        <v>2.6</v>
      </c>
      <c r="M36" s="21">
        <v>2</v>
      </c>
      <c r="N36" s="24">
        <v>1</v>
      </c>
      <c r="O36" s="63">
        <f t="shared" si="35"/>
        <v>2.6</v>
      </c>
      <c r="P36" s="44">
        <f t="shared" si="38"/>
        <v>1.436115852431573E-2</v>
      </c>
      <c r="Q36" s="44">
        <f t="shared" si="39"/>
        <v>2.4561744596740223E-2</v>
      </c>
      <c r="R36" s="41">
        <v>2</v>
      </c>
      <c r="S36" s="13">
        <f t="shared" si="40"/>
        <v>6.032792976354976E-4</v>
      </c>
      <c r="T36" s="13">
        <f t="shared" si="41"/>
        <v>2.8592160223023612E-2</v>
      </c>
      <c r="U36" s="13">
        <f t="shared" si="42"/>
        <v>4.1061654551547669E-4</v>
      </c>
      <c r="V36" s="31">
        <f t="shared" si="43"/>
        <v>2.3688062868072939E-2</v>
      </c>
      <c r="W36" s="80">
        <v>1162</v>
      </c>
      <c r="X36" s="46">
        <f t="shared" si="44"/>
        <v>1712.5758811730693</v>
      </c>
      <c r="Y36" s="86">
        <f t="shared" si="45"/>
        <v>550.57588117306932</v>
      </c>
      <c r="Z36" s="80">
        <v>1336</v>
      </c>
      <c r="AA36" s="80">
        <v>0</v>
      </c>
      <c r="AB36" s="80">
        <v>0</v>
      </c>
      <c r="AC36" s="26">
        <f t="shared" si="46"/>
        <v>1336</v>
      </c>
      <c r="AD36" s="46">
        <f t="shared" si="47"/>
        <v>1621.7558481368776</v>
      </c>
      <c r="AE36" s="22">
        <f t="shared" si="48"/>
        <v>285.7558481368776</v>
      </c>
      <c r="AF36" s="22">
        <f t="shared" si="49"/>
        <v>836.33172930994692</v>
      </c>
      <c r="AG36" s="55">
        <f t="shared" si="50"/>
        <v>2498</v>
      </c>
      <c r="AH36">
        <f t="shared" si="51"/>
        <v>2.3688062868072946E-2</v>
      </c>
      <c r="AI36" s="1">
        <f t="shared" si="52"/>
        <v>2578.5640835040804</v>
      </c>
      <c r="AJ36" s="2">
        <v>2207</v>
      </c>
      <c r="AK36" s="1">
        <f t="shared" si="53"/>
        <v>371.56408350408037</v>
      </c>
      <c r="AL36">
        <f t="shared" si="54"/>
        <v>2.6</v>
      </c>
      <c r="AM36">
        <f t="shared" si="55"/>
        <v>1.7030151170729233E-2</v>
      </c>
      <c r="AN36" s="1">
        <f t="shared" si="56"/>
        <v>1761.207143623305</v>
      </c>
      <c r="AO36" s="8">
        <v>0</v>
      </c>
      <c r="AP36" s="1">
        <f t="shared" si="57"/>
        <v>1761.207143623305</v>
      </c>
      <c r="AQ36" s="69">
        <f t="shared" si="58"/>
        <v>2.6</v>
      </c>
      <c r="AR36">
        <f t="shared" si="59"/>
        <v>1.436115852431573E-2</v>
      </c>
      <c r="AS36" s="1">
        <f t="shared" si="60"/>
        <v>1122.4985621256276</v>
      </c>
      <c r="AT36" s="8">
        <v>1336</v>
      </c>
      <c r="AU36" s="1">
        <f t="shared" si="61"/>
        <v>-213.50143787437241</v>
      </c>
      <c r="AV36" s="82">
        <f t="shared" si="62"/>
        <v>0.9884666666666666</v>
      </c>
      <c r="AW36" s="82">
        <f t="shared" si="63"/>
        <v>7.7018283601099264E-4</v>
      </c>
      <c r="AX36" s="49">
        <f t="shared" si="64"/>
        <v>74.887564364609176</v>
      </c>
      <c r="AY36" s="8">
        <v>0</v>
      </c>
      <c r="AZ36" s="1">
        <f t="shared" si="65"/>
        <v>74.887564364609176</v>
      </c>
      <c r="BA36" s="68">
        <v>1.611</v>
      </c>
    </row>
    <row r="37" spans="1:53" x14ac:dyDescent="0.2">
      <c r="A37" s="31" t="s">
        <v>98</v>
      </c>
      <c r="B37" s="21">
        <v>1</v>
      </c>
      <c r="C37" s="21">
        <v>6446</v>
      </c>
      <c r="D37" s="21">
        <f t="shared" si="37"/>
        <v>3554</v>
      </c>
      <c r="E37" s="21">
        <v>0.61299999999999999</v>
      </c>
      <c r="F37" s="21">
        <v>0.97070000000000001</v>
      </c>
      <c r="G37" s="21">
        <v>0.99470000000000003</v>
      </c>
      <c r="H37" s="21">
        <v>1</v>
      </c>
      <c r="I37" s="21">
        <v>0</v>
      </c>
      <c r="J37" s="21">
        <v>0</v>
      </c>
      <c r="K37" s="21">
        <v>0</v>
      </c>
      <c r="L37" s="24">
        <v>3</v>
      </c>
      <c r="M37" s="21">
        <v>1</v>
      </c>
      <c r="N37" s="24">
        <v>1</v>
      </c>
      <c r="O37" s="63">
        <f t="shared" si="35"/>
        <v>3</v>
      </c>
      <c r="P37" s="44">
        <f t="shared" si="38"/>
        <v>1.657056752805661E-2</v>
      </c>
      <c r="Q37" s="44">
        <f t="shared" si="39"/>
        <v>1.645164724779773E-2</v>
      </c>
      <c r="R37" s="41">
        <v>2</v>
      </c>
      <c r="S37" s="21">
        <f t="shared" si="40"/>
        <v>2.706566971659706E-4</v>
      </c>
      <c r="T37" s="21">
        <f t="shared" si="41"/>
        <v>1.2827656578196595E-2</v>
      </c>
      <c r="U37" s="21">
        <f t="shared" si="42"/>
        <v>2.1256154955572626E-4</v>
      </c>
      <c r="V37" s="31">
        <f t="shared" si="43"/>
        <v>1.2262465807095108E-2</v>
      </c>
      <c r="W37" s="80">
        <v>1260</v>
      </c>
      <c r="X37" s="46">
        <f t="shared" si="44"/>
        <v>886.53949045555498</v>
      </c>
      <c r="Y37" s="86">
        <f t="shared" si="45"/>
        <v>-373.46050954444502</v>
      </c>
      <c r="Z37" s="80">
        <v>1469</v>
      </c>
      <c r="AA37" s="80">
        <v>0</v>
      </c>
      <c r="AB37" s="80">
        <v>0</v>
      </c>
      <c r="AC37" s="26">
        <f t="shared" si="46"/>
        <v>1469</v>
      </c>
      <c r="AD37" s="46">
        <f t="shared" si="47"/>
        <v>839.52519655115236</v>
      </c>
      <c r="AE37" s="22">
        <f t="shared" si="48"/>
        <v>-629.47480344884764</v>
      </c>
      <c r="AF37" s="22">
        <f t="shared" si="49"/>
        <v>-1002.9353129932927</v>
      </c>
      <c r="AG37" s="55">
        <f t="shared" si="50"/>
        <v>2729</v>
      </c>
      <c r="AH37">
        <f t="shared" si="51"/>
        <v>1.226246580709511E-2</v>
      </c>
      <c r="AI37" s="1">
        <f t="shared" si="52"/>
        <v>1334.8307154313381</v>
      </c>
      <c r="AJ37" s="2">
        <v>2309</v>
      </c>
      <c r="AK37" s="1">
        <f t="shared" si="53"/>
        <v>-974.16928456866185</v>
      </c>
      <c r="AL37">
        <f t="shared" si="54"/>
        <v>3</v>
      </c>
      <c r="AM37">
        <f t="shared" si="55"/>
        <v>1.96501744277645E-2</v>
      </c>
      <c r="AN37" s="1">
        <f t="shared" si="56"/>
        <v>2032.1620887961212</v>
      </c>
      <c r="AO37" s="8">
        <v>2729</v>
      </c>
      <c r="AP37" s="1">
        <f t="shared" si="57"/>
        <v>-696.83791120387878</v>
      </c>
      <c r="AQ37" s="69">
        <f t="shared" si="58"/>
        <v>3</v>
      </c>
      <c r="AR37">
        <f t="shared" si="59"/>
        <v>1.657056752805661E-2</v>
      </c>
      <c r="AS37" s="1">
        <f t="shared" si="60"/>
        <v>1295.1906486064934</v>
      </c>
      <c r="AT37" s="8">
        <v>1889</v>
      </c>
      <c r="AU37" s="1">
        <f t="shared" si="61"/>
        <v>-593.80935139350663</v>
      </c>
      <c r="AV37" s="82">
        <f t="shared" si="62"/>
        <v>0.9884666666666666</v>
      </c>
      <c r="AW37" s="82">
        <f t="shared" si="63"/>
        <v>1.8370508890067645E-2</v>
      </c>
      <c r="AX37" s="49">
        <f t="shared" si="64"/>
        <v>1786.2286753114952</v>
      </c>
      <c r="AY37" s="8">
        <v>1469</v>
      </c>
      <c r="AZ37" s="1">
        <f t="shared" si="65"/>
        <v>317.22867531149518</v>
      </c>
      <c r="BA37" s="68">
        <v>1.611</v>
      </c>
    </row>
    <row r="38" spans="1:53" x14ac:dyDescent="0.2">
      <c r="A38" s="31" t="s">
        <v>16</v>
      </c>
      <c r="B38" s="21">
        <v>1</v>
      </c>
      <c r="C38" s="21">
        <v>7072</v>
      </c>
      <c r="D38" s="21">
        <f t="shared" si="37"/>
        <v>2928</v>
      </c>
      <c r="E38" s="21">
        <v>0.99350000000000005</v>
      </c>
      <c r="F38" s="21">
        <v>0.97070000000000001</v>
      </c>
      <c r="G38" s="21">
        <v>0.99470000000000003</v>
      </c>
      <c r="H38" s="21">
        <v>1</v>
      </c>
      <c r="I38" s="24">
        <v>6.6</v>
      </c>
      <c r="J38" s="66">
        <f>$AD$66</f>
        <v>9.1816000000000031</v>
      </c>
      <c r="K38" s="24">
        <v>8.1</v>
      </c>
      <c r="L38" s="24">
        <v>7.5</v>
      </c>
      <c r="M38" s="21">
        <v>3</v>
      </c>
      <c r="N38" s="24">
        <v>0.9</v>
      </c>
      <c r="O38" s="63">
        <f t="shared" si="35"/>
        <v>9.4144800000000011</v>
      </c>
      <c r="P38" s="44">
        <f t="shared" si="38"/>
        <v>5.2001092193846146E-2</v>
      </c>
      <c r="Q38" s="44">
        <f t="shared" si="39"/>
        <v>1.3553861322890194E-2</v>
      </c>
      <c r="R38" s="41">
        <v>2</v>
      </c>
      <c r="S38" s="13">
        <f t="shared" si="40"/>
        <v>1.8370715676013872E-4</v>
      </c>
      <c r="T38" s="13">
        <f t="shared" si="41"/>
        <v>8.7067208849848886E-3</v>
      </c>
      <c r="U38" s="13">
        <f t="shared" si="42"/>
        <v>4.5275899544618489E-4</v>
      </c>
      <c r="V38" s="31">
        <f t="shared" si="43"/>
        <v>2.6119219172600384E-2</v>
      </c>
      <c r="W38" s="80">
        <f>3789-1895</f>
        <v>1894</v>
      </c>
      <c r="X38" s="46">
        <f t="shared" si="44"/>
        <v>1888.34118852149</v>
      </c>
      <c r="Y38" s="86">
        <f t="shared" si="45"/>
        <v>-5.6588114785099606</v>
      </c>
      <c r="Z38" s="80">
        <v>1895</v>
      </c>
      <c r="AA38" s="80">
        <v>0</v>
      </c>
      <c r="AB38" s="80">
        <v>0</v>
      </c>
      <c r="AC38" s="26">
        <f t="shared" si="46"/>
        <v>1895</v>
      </c>
      <c r="AD38" s="46">
        <f t="shared" si="47"/>
        <v>1788.2001022137401</v>
      </c>
      <c r="AE38" s="22">
        <f t="shared" si="48"/>
        <v>-106.79989778625986</v>
      </c>
      <c r="AF38" s="22">
        <f t="shared" si="49"/>
        <v>-112.45870926476982</v>
      </c>
      <c r="AG38" s="55">
        <f t="shared" si="50"/>
        <v>3789</v>
      </c>
      <c r="AH38" s="3">
        <f t="shared" si="51"/>
        <v>2.6119219172600391E-2</v>
      </c>
      <c r="AI38" s="1">
        <f t="shared" si="52"/>
        <v>2843.2076030334156</v>
      </c>
      <c r="AJ38" s="2">
        <v>5684</v>
      </c>
      <c r="AK38" s="49">
        <f t="shared" si="53"/>
        <v>-2840.7923969665844</v>
      </c>
      <c r="AL38">
        <f t="shared" si="54"/>
        <v>9.4144800000000011</v>
      </c>
      <c r="AM38">
        <f t="shared" si="55"/>
        <v>6.1665391382233446E-2</v>
      </c>
      <c r="AN38" s="1">
        <f t="shared" si="56"/>
        <v>6377.249780576436</v>
      </c>
      <c r="AO38" s="8">
        <v>0</v>
      </c>
      <c r="AP38" s="74">
        <f t="shared" si="57"/>
        <v>6377.249780576436</v>
      </c>
      <c r="AQ38" s="69">
        <f t="shared" si="58"/>
        <v>9.4144800000000011</v>
      </c>
      <c r="AR38">
        <f t="shared" si="59"/>
        <v>5.2001092193846146E-2</v>
      </c>
      <c r="AS38" s="1">
        <f t="shared" si="60"/>
        <v>4064.5154858309543</v>
      </c>
      <c r="AT38" s="8">
        <v>3316</v>
      </c>
      <c r="AU38" s="49">
        <f t="shared" si="61"/>
        <v>748.51548583095428</v>
      </c>
      <c r="AV38" s="82">
        <f t="shared" si="62"/>
        <v>0.9884666666666666</v>
      </c>
      <c r="AW38" s="82">
        <f t="shared" si="63"/>
        <v>2.9773410411553354E-2</v>
      </c>
      <c r="AX38" s="49">
        <f t="shared" si="64"/>
        <v>2894.9725757291526</v>
      </c>
      <c r="AY38" s="8">
        <v>2842</v>
      </c>
      <c r="AZ38" s="74">
        <f t="shared" si="65"/>
        <v>52.972575729152595</v>
      </c>
      <c r="BA38" s="68">
        <v>1.611</v>
      </c>
    </row>
    <row r="39" spans="1:53" x14ac:dyDescent="0.2">
      <c r="A39" s="31" t="s">
        <v>67</v>
      </c>
      <c r="B39" s="21">
        <v>1</v>
      </c>
      <c r="C39" s="21">
        <v>6615</v>
      </c>
      <c r="D39" s="21">
        <f t="shared" si="37"/>
        <v>3385</v>
      </c>
      <c r="E39" s="21">
        <v>1</v>
      </c>
      <c r="F39" s="21">
        <v>0.97070000000000001</v>
      </c>
      <c r="G39" s="21">
        <v>0.99470000000000003</v>
      </c>
      <c r="H39" s="21">
        <v>1</v>
      </c>
      <c r="I39" s="21">
        <v>0</v>
      </c>
      <c r="J39" s="66">
        <f>$AD$67</f>
        <v>3.3932000000000002</v>
      </c>
      <c r="K39" s="21">
        <v>0</v>
      </c>
      <c r="L39" s="21">
        <v>0</v>
      </c>
      <c r="M39" s="21">
        <v>1</v>
      </c>
      <c r="N39" s="24">
        <v>0.9</v>
      </c>
      <c r="O39" s="63">
        <f t="shared" si="35"/>
        <v>3.0538800000000004</v>
      </c>
      <c r="P39" s="44">
        <f t="shared" si="38"/>
        <v>1.6868174920860509E-2</v>
      </c>
      <c r="Q39" s="44">
        <f t="shared" si="39"/>
        <v>1.5669337629092658E-2</v>
      </c>
      <c r="R39" s="41">
        <v>2</v>
      </c>
      <c r="S39" s="13">
        <f t="shared" si="40"/>
        <v>2.4552814173449915E-4</v>
      </c>
      <c r="T39" s="13">
        <f t="shared" si="41"/>
        <v>1.1636699610361328E-2</v>
      </c>
      <c r="U39" s="13">
        <f t="shared" si="42"/>
        <v>1.9628988452908422E-4</v>
      </c>
      <c r="V39" s="31">
        <f t="shared" si="43"/>
        <v>1.1323769526273194E-2</v>
      </c>
      <c r="W39" s="80">
        <v>595</v>
      </c>
      <c r="X39" s="46">
        <f t="shared" si="44"/>
        <v>818.67456544097308</v>
      </c>
      <c r="Y39" s="86">
        <f t="shared" si="45"/>
        <v>223.67456544097308</v>
      </c>
      <c r="Z39" s="80">
        <v>595</v>
      </c>
      <c r="AA39" s="80">
        <v>595</v>
      </c>
      <c r="AB39" s="80">
        <v>0</v>
      </c>
      <c r="AC39" s="26">
        <f t="shared" si="46"/>
        <v>1190</v>
      </c>
      <c r="AD39" s="46">
        <f t="shared" si="47"/>
        <v>775.25923307724167</v>
      </c>
      <c r="AE39" s="22">
        <f t="shared" si="48"/>
        <v>-414.74076692275833</v>
      </c>
      <c r="AF39" s="22">
        <f t="shared" si="49"/>
        <v>-191.06620148178524</v>
      </c>
      <c r="AG39" s="55">
        <f t="shared" si="50"/>
        <v>1785</v>
      </c>
      <c r="AH39">
        <f t="shared" si="51"/>
        <v>1.1323769526273196E-2</v>
      </c>
      <c r="AI39" s="1">
        <f t="shared" si="52"/>
        <v>1232.6489317824687</v>
      </c>
      <c r="AJ39" s="2">
        <v>1488</v>
      </c>
      <c r="AK39" s="1">
        <f t="shared" si="53"/>
        <v>-255.35106821753129</v>
      </c>
      <c r="AL39">
        <f t="shared" si="54"/>
        <v>3.0538800000000004</v>
      </c>
      <c r="AM39">
        <f t="shared" si="55"/>
        <v>2.0003091560487154E-2</v>
      </c>
      <c r="AN39" s="1">
        <f t="shared" si="56"/>
        <v>2068.6597199109001</v>
      </c>
      <c r="AO39" s="8">
        <v>0</v>
      </c>
      <c r="AP39" s="1">
        <f t="shared" si="57"/>
        <v>2068.6597199109001</v>
      </c>
      <c r="AQ39" s="69">
        <f t="shared" si="58"/>
        <v>3.0538800000000004</v>
      </c>
      <c r="AR39">
        <f t="shared" si="59"/>
        <v>1.6868174920860509E-2</v>
      </c>
      <c r="AS39" s="1">
        <f t="shared" si="60"/>
        <v>1318.4522726554662</v>
      </c>
      <c r="AT39" s="8">
        <v>1191</v>
      </c>
      <c r="AU39" s="1">
        <f t="shared" si="61"/>
        <v>127.45227265546623</v>
      </c>
      <c r="AV39" s="82">
        <f t="shared" si="62"/>
        <v>0.9884666666666666</v>
      </c>
      <c r="AW39" s="82">
        <f t="shared" si="63"/>
        <v>2.9968203735836287E-2</v>
      </c>
      <c r="AX39" s="49">
        <f t="shared" si="64"/>
        <v>2913.9130102960767</v>
      </c>
      <c r="AY39" s="8">
        <v>2977</v>
      </c>
      <c r="AZ39" s="1">
        <f t="shared" si="65"/>
        <v>-63.086989703923336</v>
      </c>
      <c r="BA39" s="68">
        <v>1.611</v>
      </c>
    </row>
    <row r="40" spans="1:53" x14ac:dyDescent="0.2">
      <c r="A40" s="41" t="s">
        <v>103</v>
      </c>
      <c r="B40" s="21">
        <v>1</v>
      </c>
      <c r="C40" s="21">
        <v>7283</v>
      </c>
      <c r="D40" s="21">
        <f t="shared" si="37"/>
        <v>2717</v>
      </c>
      <c r="E40" s="21">
        <v>0.99490000000000001</v>
      </c>
      <c r="F40" s="21">
        <v>0.97070000000000001</v>
      </c>
      <c r="G40" s="21">
        <v>0.99470000000000003</v>
      </c>
      <c r="H40" s="21">
        <v>1</v>
      </c>
      <c r="I40" s="24">
        <v>11.7</v>
      </c>
      <c r="J40" s="21">
        <v>0</v>
      </c>
      <c r="K40" s="24">
        <v>6.7</v>
      </c>
      <c r="L40" s="24">
        <v>4.4000000000000004</v>
      </c>
      <c r="M40" s="21">
        <v>3</v>
      </c>
      <c r="N40" s="24">
        <v>0.81</v>
      </c>
      <c r="O40" s="63">
        <f t="shared" si="35"/>
        <v>6.1559999999999997</v>
      </c>
      <c r="P40" s="13">
        <f t="shared" si="38"/>
        <v>3.4002804567572167E-2</v>
      </c>
      <c r="Q40" s="13">
        <f t="shared" si="39"/>
        <v>1.2577131562258422E-2</v>
      </c>
      <c r="R40" s="41">
        <v>2</v>
      </c>
      <c r="S40" s="13">
        <f t="shared" si="40"/>
        <v>1.5818423833435699E-4</v>
      </c>
      <c r="T40" s="13">
        <f t="shared" si="41"/>
        <v>7.4970732543611831E-3</v>
      </c>
      <c r="U40" s="13">
        <f t="shared" si="42"/>
        <v>2.5492151669681556E-4</v>
      </c>
      <c r="V40" s="31">
        <f t="shared" si="43"/>
        <v>1.4706170464607033E-2</v>
      </c>
      <c r="W40" s="80">
        <v>1643</v>
      </c>
      <c r="X40" s="46">
        <f t="shared" si="44"/>
        <v>1063.2120060796947</v>
      </c>
      <c r="Y40" s="86">
        <f t="shared" si="45"/>
        <v>-579.78799392030533</v>
      </c>
      <c r="Z40" s="80">
        <v>0</v>
      </c>
      <c r="AA40" s="80">
        <v>1643</v>
      </c>
      <c r="AB40" s="80">
        <v>0</v>
      </c>
      <c r="AC40" s="26">
        <f t="shared" si="46"/>
        <v>1643</v>
      </c>
      <c r="AD40" s="46">
        <f t="shared" si="47"/>
        <v>1006.8285485183912</v>
      </c>
      <c r="AE40" s="22">
        <f t="shared" si="48"/>
        <v>-636.17145148160876</v>
      </c>
      <c r="AF40" s="22">
        <f t="shared" si="49"/>
        <v>-1215.9594454019141</v>
      </c>
      <c r="AG40" s="55">
        <f t="shared" si="50"/>
        <v>3286</v>
      </c>
      <c r="AH40">
        <f t="shared" si="51"/>
        <v>1.4706170464607036E-2</v>
      </c>
      <c r="AI40" s="1">
        <f t="shared" si="52"/>
        <v>1600.840185924799</v>
      </c>
      <c r="AJ40" s="2">
        <v>3287</v>
      </c>
      <c r="AK40" s="49">
        <f t="shared" si="53"/>
        <v>-1686.159814075201</v>
      </c>
      <c r="AL40">
        <f t="shared" si="54"/>
        <v>6.1559999999999997</v>
      </c>
      <c r="AM40">
        <f t="shared" si="55"/>
        <v>4.0322157925772747E-2</v>
      </c>
      <c r="AN40" s="1">
        <f t="shared" si="56"/>
        <v>4169.99660620964</v>
      </c>
      <c r="AO40" s="8">
        <v>0</v>
      </c>
      <c r="AP40" s="1">
        <f t="shared" si="57"/>
        <v>4169.99660620964</v>
      </c>
      <c r="AQ40" s="69">
        <f t="shared" si="58"/>
        <v>6.1559999999999997</v>
      </c>
      <c r="AR40">
        <f t="shared" si="59"/>
        <v>3.4002804567572167E-2</v>
      </c>
      <c r="AS40" s="1">
        <f t="shared" si="60"/>
        <v>2657.7312109405248</v>
      </c>
      <c r="AT40" s="8">
        <v>1643</v>
      </c>
      <c r="AU40" s="1">
        <f t="shared" si="61"/>
        <v>1014.7312109405248</v>
      </c>
      <c r="AV40" s="82">
        <f t="shared" si="62"/>
        <v>0.9884666666666666</v>
      </c>
      <c r="AW40" s="82">
        <f t="shared" si="63"/>
        <v>2.9815365896783522E-2</v>
      </c>
      <c r="AX40" s="49">
        <f t="shared" si="64"/>
        <v>2899.0520539435665</v>
      </c>
      <c r="AY40" s="8">
        <v>3287</v>
      </c>
      <c r="AZ40" s="1">
        <f t="shared" si="65"/>
        <v>-387.94794605643347</v>
      </c>
      <c r="BA40" s="68">
        <v>1.611</v>
      </c>
    </row>
    <row r="41" spans="1:53" x14ac:dyDescent="0.2">
      <c r="A41" s="41" t="s">
        <v>77</v>
      </c>
      <c r="B41" s="21">
        <v>1</v>
      </c>
      <c r="C41" s="21">
        <v>4386</v>
      </c>
      <c r="D41" s="21">
        <f t="shared" si="37"/>
        <v>5614</v>
      </c>
      <c r="E41" s="21">
        <v>1</v>
      </c>
      <c r="F41" s="21">
        <v>0.97070000000000001</v>
      </c>
      <c r="G41" s="21">
        <v>0.99470000000000003</v>
      </c>
      <c r="H41" s="21">
        <v>1</v>
      </c>
      <c r="I41" s="24">
        <v>5.4</v>
      </c>
      <c r="J41" s="66">
        <f>$AD$68</f>
        <v>1.3972000000000002</v>
      </c>
      <c r="K41" s="24">
        <v>3.4</v>
      </c>
      <c r="L41" s="24">
        <v>2.2999999999999998</v>
      </c>
      <c r="M41" s="21">
        <v>3</v>
      </c>
      <c r="N41" s="24">
        <v>1</v>
      </c>
      <c r="O41" s="63">
        <f t="shared" si="35"/>
        <v>4.1657333333333328</v>
      </c>
      <c r="P41" s="13">
        <f t="shared" si="38"/>
        <v>2.300952183462545E-2</v>
      </c>
      <c r="Q41" s="13">
        <f t="shared" si="39"/>
        <v>2.5987492304202716E-2</v>
      </c>
      <c r="R41" s="41">
        <v>2</v>
      </c>
      <c r="S41" s="13">
        <f t="shared" si="40"/>
        <v>6.7534975626099534E-4</v>
      </c>
      <c r="T41" s="13">
        <f t="shared" si="41"/>
        <v>3.2007908299318572E-2</v>
      </c>
      <c r="U41" s="13">
        <f t="shared" si="42"/>
        <v>7.3648666489385987E-4</v>
      </c>
      <c r="V41" s="31">
        <f t="shared" si="43"/>
        <v>4.2487188132182947E-2</v>
      </c>
      <c r="W41" s="80">
        <v>1971</v>
      </c>
      <c r="X41" s="46">
        <f t="shared" si="44"/>
        <v>3071.6962403924304</v>
      </c>
      <c r="Y41" s="86">
        <f t="shared" si="45"/>
        <v>1100.6962403924304</v>
      </c>
      <c r="Z41" s="80">
        <f>758+2425</f>
        <v>3183</v>
      </c>
      <c r="AA41" s="80">
        <v>1213</v>
      </c>
      <c r="AB41" s="80">
        <v>0</v>
      </c>
      <c r="AC41" s="26">
        <f t="shared" si="46"/>
        <v>4396</v>
      </c>
      <c r="AD41" s="46">
        <f t="shared" si="47"/>
        <v>2908.8003610936412</v>
      </c>
      <c r="AE41" s="22">
        <f t="shared" si="48"/>
        <v>-1487.1996389063588</v>
      </c>
      <c r="AF41" s="22">
        <f t="shared" si="49"/>
        <v>-386.50339851392846</v>
      </c>
      <c r="AG41" s="55">
        <f t="shared" si="50"/>
        <v>6367</v>
      </c>
      <c r="AH41">
        <f t="shared" si="51"/>
        <v>4.2487188132182954E-2</v>
      </c>
      <c r="AI41" s="1">
        <f t="shared" si="52"/>
        <v>4624.9428641287759</v>
      </c>
      <c r="AJ41" s="2">
        <v>3335</v>
      </c>
      <c r="AK41" s="1">
        <f t="shared" si="53"/>
        <v>1289.9428641287759</v>
      </c>
      <c r="AL41">
        <f t="shared" si="54"/>
        <v>4.1657333333333328</v>
      </c>
      <c r="AM41">
        <f t="shared" si="55"/>
        <v>2.728579553985094E-2</v>
      </c>
      <c r="AN41" s="1">
        <f t="shared" si="56"/>
        <v>2821.8151173447645</v>
      </c>
      <c r="AO41" s="8">
        <v>3335</v>
      </c>
      <c r="AP41" s="1">
        <f t="shared" si="57"/>
        <v>-513.18488265523547</v>
      </c>
      <c r="AQ41" s="69">
        <f t="shared" si="58"/>
        <v>4.1657333333333328</v>
      </c>
      <c r="AR41">
        <f t="shared" si="59"/>
        <v>2.300952183462545E-2</v>
      </c>
      <c r="AS41" s="1">
        <f t="shared" si="60"/>
        <v>1798.4729526405633</v>
      </c>
      <c r="AT41" s="8">
        <v>1819</v>
      </c>
      <c r="AU41" s="1">
        <f t="shared" si="61"/>
        <v>-20.527047359436665</v>
      </c>
      <c r="AV41" s="82">
        <f t="shared" si="62"/>
        <v>0.9884666666666666</v>
      </c>
      <c r="AW41" s="82">
        <f t="shared" si="63"/>
        <v>2.9968203735836287E-2</v>
      </c>
      <c r="AX41" s="49">
        <f t="shared" si="64"/>
        <v>2913.9130102960767</v>
      </c>
      <c r="AY41" s="8">
        <v>152</v>
      </c>
      <c r="AZ41" s="1">
        <f t="shared" si="65"/>
        <v>2761.9130102960767</v>
      </c>
      <c r="BA41" s="68">
        <v>1.611</v>
      </c>
    </row>
    <row r="42" spans="1:53" x14ac:dyDescent="0.2">
      <c r="A42" s="41" t="s">
        <v>14</v>
      </c>
      <c r="B42" s="21">
        <v>1</v>
      </c>
      <c r="C42" s="21">
        <v>6620</v>
      </c>
      <c r="D42" s="21">
        <f t="shared" si="37"/>
        <v>3380</v>
      </c>
      <c r="E42" s="21">
        <v>0.99390000000000001</v>
      </c>
      <c r="F42" s="21">
        <v>0.97070000000000001</v>
      </c>
      <c r="G42" s="21">
        <v>0.99470000000000003</v>
      </c>
      <c r="H42" s="21">
        <v>1</v>
      </c>
      <c r="I42" s="24">
        <v>5.0999999999999996</v>
      </c>
      <c r="J42" s="21">
        <v>0</v>
      </c>
      <c r="K42" s="24">
        <v>2.8</v>
      </c>
      <c r="L42" s="21">
        <v>0</v>
      </c>
      <c r="M42" s="21">
        <v>2</v>
      </c>
      <c r="N42" s="24">
        <v>1.1000000000000001</v>
      </c>
      <c r="O42" s="63">
        <f t="shared" si="35"/>
        <v>4.3449999999999998</v>
      </c>
      <c r="P42" s="13">
        <f t="shared" si="38"/>
        <v>2.3999705303135326E-2</v>
      </c>
      <c r="Q42" s="13">
        <f t="shared" si="39"/>
        <v>1.5646192374101385E-2</v>
      </c>
      <c r="R42" s="41">
        <v>2</v>
      </c>
      <c r="S42" s="13">
        <f t="shared" si="40"/>
        <v>2.4480333580738833E-4</v>
      </c>
      <c r="T42" s="13">
        <f t="shared" si="41"/>
        <v>1.1602347748330299E-2</v>
      </c>
      <c r="U42" s="13">
        <f t="shared" si="42"/>
        <v>2.7845292678442291E-4</v>
      </c>
      <c r="V42" s="31">
        <f t="shared" si="43"/>
        <v>1.6063674266188838E-2</v>
      </c>
      <c r="W42" s="80">
        <v>1085</v>
      </c>
      <c r="X42" s="46">
        <f t="shared" si="44"/>
        <v>1161.3554584226545</v>
      </c>
      <c r="Y42" s="86">
        <f t="shared" si="45"/>
        <v>76.355458422654465</v>
      </c>
      <c r="Z42" s="80">
        <v>0</v>
      </c>
      <c r="AA42" s="80">
        <v>814</v>
      </c>
      <c r="AB42" s="80">
        <v>0</v>
      </c>
      <c r="AC42" s="26">
        <f t="shared" si="46"/>
        <v>814</v>
      </c>
      <c r="AD42" s="46">
        <f t="shared" si="47"/>
        <v>1099.7673312860863</v>
      </c>
      <c r="AE42" s="22">
        <f t="shared" si="48"/>
        <v>285.76733128608635</v>
      </c>
      <c r="AF42" s="22">
        <f t="shared" si="49"/>
        <v>362.12278970874081</v>
      </c>
      <c r="AG42" s="55">
        <f t="shared" si="50"/>
        <v>1899</v>
      </c>
      <c r="AH42">
        <f t="shared" si="51"/>
        <v>1.6063674266188842E-2</v>
      </c>
      <c r="AI42" s="1">
        <f t="shared" si="52"/>
        <v>1748.6112622459864</v>
      </c>
      <c r="AJ42" s="2">
        <v>1628</v>
      </c>
      <c r="AK42" s="1">
        <f t="shared" si="53"/>
        <v>120.61126224598638</v>
      </c>
      <c r="AL42">
        <f t="shared" si="54"/>
        <v>4.3449999999999998</v>
      </c>
      <c r="AM42">
        <f t="shared" si="55"/>
        <v>2.846000262954558E-2</v>
      </c>
      <c r="AN42" s="1">
        <f t="shared" si="56"/>
        <v>2943.2480919397153</v>
      </c>
      <c r="AO42" s="8">
        <v>0</v>
      </c>
      <c r="AP42" s="1">
        <f t="shared" si="57"/>
        <v>2943.2480919397153</v>
      </c>
      <c r="AQ42" s="69">
        <f t="shared" si="58"/>
        <v>4.3449999999999998</v>
      </c>
      <c r="AR42">
        <f t="shared" si="59"/>
        <v>2.3999705303135326E-2</v>
      </c>
      <c r="AS42" s="1">
        <f t="shared" si="60"/>
        <v>1875.8677893984045</v>
      </c>
      <c r="AT42" s="8">
        <v>1899</v>
      </c>
      <c r="AU42" s="1">
        <f t="shared" si="61"/>
        <v>-23.132210601595489</v>
      </c>
      <c r="AV42" s="82">
        <f t="shared" si="62"/>
        <v>0.9884666666666666</v>
      </c>
      <c r="AW42" s="82">
        <f t="shared" si="63"/>
        <v>2.9785397693047687E-2</v>
      </c>
      <c r="AX42" s="49">
        <f t="shared" si="64"/>
        <v>2896.1381409332707</v>
      </c>
      <c r="AY42" s="8">
        <v>2170</v>
      </c>
      <c r="AZ42" s="1">
        <f t="shared" si="65"/>
        <v>726.13814093327073</v>
      </c>
      <c r="BA42" s="68">
        <v>1.611</v>
      </c>
    </row>
    <row r="43" spans="1:53" x14ac:dyDescent="0.2">
      <c r="A43" s="41" t="s">
        <v>10</v>
      </c>
      <c r="B43" s="21">
        <v>0</v>
      </c>
      <c r="C43" s="21">
        <v>5162</v>
      </c>
      <c r="D43" s="21">
        <f t="shared" si="37"/>
        <v>4838</v>
      </c>
      <c r="E43" s="21">
        <v>0.77980000000000005</v>
      </c>
      <c r="F43" s="21">
        <v>0.97070000000000001</v>
      </c>
      <c r="G43" s="21">
        <v>0.99470000000000003</v>
      </c>
      <c r="H43" s="21">
        <v>1</v>
      </c>
      <c r="I43" s="24">
        <v>5.8</v>
      </c>
      <c r="J43" s="21">
        <v>0</v>
      </c>
      <c r="K43" s="21">
        <v>0</v>
      </c>
      <c r="L43" s="21">
        <v>0</v>
      </c>
      <c r="M43" s="21">
        <v>1</v>
      </c>
      <c r="N43" s="24">
        <v>0.65600000000000003</v>
      </c>
      <c r="O43" s="63">
        <f t="shared" si="35"/>
        <v>3.8048000000000002</v>
      </c>
      <c r="P43" s="13">
        <f t="shared" si="38"/>
        <v>2.1015898443583265E-2</v>
      </c>
      <c r="Q43" s="13">
        <f t="shared" si="39"/>
        <v>2.2395348729556952E-2</v>
      </c>
      <c r="R43" s="41">
        <v>2</v>
      </c>
      <c r="S43" s="13">
        <f t="shared" si="40"/>
        <v>5.0155164471846821E-4</v>
      </c>
      <c r="T43" s="13">
        <f t="shared" si="41"/>
        <v>2.377082230754084E-2</v>
      </c>
      <c r="U43" s="13">
        <f t="shared" si="42"/>
        <v>4.9956518753574192E-4</v>
      </c>
      <c r="V43" s="31">
        <f t="shared" si="43"/>
        <v>2.8819422155021937E-2</v>
      </c>
      <c r="W43" s="80">
        <v>2300</v>
      </c>
      <c r="X43" s="46">
        <f t="shared" si="44"/>
        <v>2083.5577635416212</v>
      </c>
      <c r="Y43" s="86">
        <f t="shared" si="45"/>
        <v>-216.44223645837883</v>
      </c>
      <c r="Z43" s="80">
        <v>1300</v>
      </c>
      <c r="AA43" s="80">
        <v>0</v>
      </c>
      <c r="AB43" s="80">
        <v>0</v>
      </c>
      <c r="AC43" s="26">
        <f t="shared" si="46"/>
        <v>1300</v>
      </c>
      <c r="AD43" s="46">
        <f t="shared" si="47"/>
        <v>1973.0640989992669</v>
      </c>
      <c r="AE43" s="22">
        <f t="shared" si="48"/>
        <v>673.06409899926689</v>
      </c>
      <c r="AF43" s="22">
        <f t="shared" si="49"/>
        <v>456.62186254088806</v>
      </c>
      <c r="AG43" s="55">
        <f t="shared" si="50"/>
        <v>3600</v>
      </c>
      <c r="AH43">
        <f t="shared" si="51"/>
        <v>2.8819422155021944E-2</v>
      </c>
      <c r="AI43" s="1">
        <f t="shared" si="52"/>
        <v>3137.1381986849137</v>
      </c>
      <c r="AJ43" s="2">
        <v>2500</v>
      </c>
      <c r="AK43" s="49">
        <f t="shared" si="53"/>
        <v>637.13819868491373</v>
      </c>
      <c r="AL43">
        <f t="shared" si="54"/>
        <v>0</v>
      </c>
      <c r="AM43">
        <f t="shared" si="55"/>
        <v>0</v>
      </c>
      <c r="AN43" s="1">
        <f t="shared" si="56"/>
        <v>0</v>
      </c>
      <c r="AO43" s="8">
        <v>0</v>
      </c>
      <c r="AP43" s="1">
        <f t="shared" si="57"/>
        <v>0</v>
      </c>
      <c r="AQ43" s="69">
        <f t="shared" si="58"/>
        <v>3.8048000000000002</v>
      </c>
      <c r="AR43">
        <f t="shared" si="59"/>
        <v>2.1015898443583265E-2</v>
      </c>
      <c r="AS43" s="1">
        <f t="shared" si="60"/>
        <v>1642.6471266059953</v>
      </c>
      <c r="AT43" s="8">
        <v>1600</v>
      </c>
      <c r="AU43" s="1">
        <f t="shared" si="61"/>
        <v>42.647126605995254</v>
      </c>
      <c r="AV43" s="82">
        <f t="shared" si="62"/>
        <v>0.9884666666666666</v>
      </c>
      <c r="AW43" s="82">
        <f t="shared" si="63"/>
        <v>2.336920527320514E-2</v>
      </c>
      <c r="AX43" s="49">
        <f t="shared" si="64"/>
        <v>2272.269365428881</v>
      </c>
      <c r="AY43" s="8">
        <v>2400</v>
      </c>
      <c r="AZ43" s="1">
        <f t="shared" si="65"/>
        <v>-127.73063457111903</v>
      </c>
      <c r="BA43" s="68">
        <v>1.611</v>
      </c>
    </row>
    <row r="44" spans="1:53" x14ac:dyDescent="0.2">
      <c r="A44" s="23" t="s">
        <v>7</v>
      </c>
      <c r="B44" s="21">
        <v>1</v>
      </c>
      <c r="C44" s="21">
        <v>6893</v>
      </c>
      <c r="D44" s="21">
        <f t="shared" si="37"/>
        <v>3107</v>
      </c>
      <c r="E44" s="21">
        <v>1</v>
      </c>
      <c r="F44" s="21">
        <v>0.97070000000000001</v>
      </c>
      <c r="G44" s="21">
        <v>0.99470000000000003</v>
      </c>
      <c r="H44" s="21">
        <v>1</v>
      </c>
      <c r="I44" s="24">
        <v>6.3</v>
      </c>
      <c r="J44" s="21">
        <v>0</v>
      </c>
      <c r="K44" s="24">
        <v>3.5</v>
      </c>
      <c r="L44" s="41">
        <v>3.5</v>
      </c>
      <c r="M44" s="21">
        <v>3</v>
      </c>
      <c r="N44" s="24">
        <v>1.21</v>
      </c>
      <c r="O44" s="63">
        <f t="shared" si="35"/>
        <v>5.3643333333333336</v>
      </c>
      <c r="P44" s="44">
        <f t="shared" si="38"/>
        <v>2.9630015914335006E-2</v>
      </c>
      <c r="Q44" s="44">
        <f t="shared" si="39"/>
        <v>1.4382461451577813E-2</v>
      </c>
      <c r="R44" s="41">
        <v>2</v>
      </c>
      <c r="S44" s="13">
        <f t="shared" si="40"/>
        <v>2.0685519740612176E-4</v>
      </c>
      <c r="T44" s="13">
        <f t="shared" si="41"/>
        <v>9.8038122149759644E-3</v>
      </c>
      <c r="U44" s="13">
        <f t="shared" si="42"/>
        <v>2.9048711195088977E-4</v>
      </c>
      <c r="V44" s="31">
        <f t="shared" si="43"/>
        <v>1.6757914520028182E-2</v>
      </c>
      <c r="W44" s="80">
        <f>2435-1542</f>
        <v>893</v>
      </c>
      <c r="X44" s="46">
        <f t="shared" si="44"/>
        <v>1211.5469460544775</v>
      </c>
      <c r="Y44" s="86">
        <f t="shared" si="45"/>
        <v>318.54694605447753</v>
      </c>
      <c r="Z44" s="80">
        <v>1623</v>
      </c>
      <c r="AA44" s="80">
        <v>0</v>
      </c>
      <c r="AB44" s="80">
        <v>0</v>
      </c>
      <c r="AC44" s="26">
        <f t="shared" si="46"/>
        <v>1623</v>
      </c>
      <c r="AD44" s="46">
        <f t="shared" si="47"/>
        <v>1147.2971017846894</v>
      </c>
      <c r="AE44" s="22">
        <f t="shared" si="48"/>
        <v>-475.7028982153106</v>
      </c>
      <c r="AF44" s="22">
        <f t="shared" si="49"/>
        <v>-157.15595216083307</v>
      </c>
      <c r="AG44" s="55">
        <f t="shared" si="50"/>
        <v>2516</v>
      </c>
      <c r="AH44">
        <f t="shared" si="51"/>
        <v>1.6757914520028186E-2</v>
      </c>
      <c r="AI44" s="1">
        <f t="shared" si="52"/>
        <v>1824.1827850776681</v>
      </c>
      <c r="AJ44" s="2">
        <v>1785</v>
      </c>
      <c r="AK44" s="1">
        <f t="shared" si="53"/>
        <v>39.182785077668086</v>
      </c>
      <c r="AL44">
        <f t="shared" si="54"/>
        <v>5.3643333333333336</v>
      </c>
      <c r="AM44">
        <f t="shared" si="55"/>
        <v>3.5136695229557126E-2</v>
      </c>
      <c r="AN44" s="1">
        <f t="shared" si="56"/>
        <v>3633.7316105551095</v>
      </c>
      <c r="AO44" s="8">
        <v>4869</v>
      </c>
      <c r="AP44" s="1">
        <f t="shared" si="57"/>
        <v>-1235.2683894448905</v>
      </c>
      <c r="AQ44" s="69">
        <f t="shared" si="58"/>
        <v>5.3643333333333336</v>
      </c>
      <c r="AR44">
        <f t="shared" si="59"/>
        <v>2.9630015914335006E-2</v>
      </c>
      <c r="AS44" s="1">
        <f t="shared" si="60"/>
        <v>2315.9447897804775</v>
      </c>
      <c r="AT44" s="8">
        <v>1785</v>
      </c>
      <c r="AU44" s="1">
        <f t="shared" si="61"/>
        <v>530.94478978047755</v>
      </c>
      <c r="AV44" s="82">
        <f t="shared" si="62"/>
        <v>0.9884666666666666</v>
      </c>
      <c r="AW44" s="82">
        <f t="shared" si="63"/>
        <v>2.9968203735836287E-2</v>
      </c>
      <c r="AX44" s="49">
        <f t="shared" si="64"/>
        <v>2913.9130102960767</v>
      </c>
      <c r="AY44" s="8">
        <v>2516</v>
      </c>
      <c r="AZ44" s="1">
        <f t="shared" si="65"/>
        <v>397.91301029607666</v>
      </c>
      <c r="BA44" s="68">
        <v>1.611</v>
      </c>
    </row>
    <row r="45" spans="1:53" x14ac:dyDescent="0.2">
      <c r="A45" s="23" t="s">
        <v>9</v>
      </c>
      <c r="B45" s="21">
        <v>1</v>
      </c>
      <c r="C45" s="21">
        <v>4968</v>
      </c>
      <c r="D45" s="21">
        <f t="shared" si="37"/>
        <v>5032</v>
      </c>
      <c r="E45" s="21">
        <v>0.99850000000000005</v>
      </c>
      <c r="F45" s="21">
        <v>0.97070000000000001</v>
      </c>
      <c r="G45" s="21">
        <v>0.99470000000000003</v>
      </c>
      <c r="H45" s="21">
        <v>1</v>
      </c>
      <c r="I45" s="24">
        <v>1.7</v>
      </c>
      <c r="J45" s="21">
        <v>0</v>
      </c>
      <c r="K45" s="21">
        <v>0</v>
      </c>
      <c r="L45" s="21">
        <v>0</v>
      </c>
      <c r="M45" s="21">
        <v>1</v>
      </c>
      <c r="N45" s="24">
        <v>1.331</v>
      </c>
      <c r="O45" s="63">
        <f t="shared" si="35"/>
        <v>2.2626999999999997</v>
      </c>
      <c r="P45" s="44">
        <f t="shared" si="38"/>
        <v>1.249807438191123E-2</v>
      </c>
      <c r="Q45" s="44">
        <f t="shared" si="39"/>
        <v>2.3293384623218394E-2</v>
      </c>
      <c r="R45" s="41">
        <v>2</v>
      </c>
      <c r="S45" s="13">
        <f t="shared" si="40"/>
        <v>5.4258176720518706E-4</v>
      </c>
      <c r="T45" s="13">
        <f t="shared" si="41"/>
        <v>2.5715427137689286E-2</v>
      </c>
      <c r="U45" s="13">
        <f t="shared" si="42"/>
        <v>3.2139332112945929E-4</v>
      </c>
      <c r="V45" s="31">
        <f t="shared" si="43"/>
        <v>1.8540863195700027E-2</v>
      </c>
      <c r="W45" s="80">
        <v>2946</v>
      </c>
      <c r="X45" s="46">
        <f t="shared" si="44"/>
        <v>1340.4487864595249</v>
      </c>
      <c r="Y45" s="86">
        <f t="shared" si="45"/>
        <v>-1605.5512135404751</v>
      </c>
      <c r="Z45" s="80">
        <v>693</v>
      </c>
      <c r="AA45" s="80">
        <v>0</v>
      </c>
      <c r="AB45" s="80">
        <v>0</v>
      </c>
      <c r="AC45" s="26">
        <f t="shared" si="46"/>
        <v>693</v>
      </c>
      <c r="AD45" s="46">
        <f t="shared" si="47"/>
        <v>1269.363116967211</v>
      </c>
      <c r="AE45" s="22">
        <f t="shared" si="48"/>
        <v>576.363116967211</v>
      </c>
      <c r="AF45" s="22">
        <f t="shared" si="49"/>
        <v>-1029.1880965732641</v>
      </c>
      <c r="AG45" s="55">
        <f t="shared" si="50"/>
        <v>3639</v>
      </c>
      <c r="AH45">
        <f t="shared" si="51"/>
        <v>1.854086319570003E-2</v>
      </c>
      <c r="AI45" s="1">
        <f t="shared" si="52"/>
        <v>2018.2656631679267</v>
      </c>
      <c r="AJ45" s="2">
        <v>1560</v>
      </c>
      <c r="AK45" s="1">
        <f t="shared" si="53"/>
        <v>458.26566316792673</v>
      </c>
      <c r="AL45">
        <f t="shared" si="54"/>
        <v>2.2626999999999997</v>
      </c>
      <c r="AM45">
        <f t="shared" si="55"/>
        <v>1.4820816559234243E-2</v>
      </c>
      <c r="AN45" s="1">
        <f t="shared" si="56"/>
        <v>1532.7243861063278</v>
      </c>
      <c r="AO45" s="8">
        <v>0</v>
      </c>
      <c r="AP45" s="1">
        <f t="shared" si="57"/>
        <v>1532.7243861063278</v>
      </c>
      <c r="AQ45" s="69">
        <f t="shared" si="58"/>
        <v>2.2626999999999997</v>
      </c>
      <c r="AR45">
        <f t="shared" si="59"/>
        <v>1.249807438191123E-2</v>
      </c>
      <c r="AS45" s="1">
        <f t="shared" si="60"/>
        <v>976.87596020063756</v>
      </c>
      <c r="AT45" s="8">
        <v>693</v>
      </c>
      <c r="AU45" s="1">
        <f t="shared" si="61"/>
        <v>283.87596020063756</v>
      </c>
      <c r="AV45" s="82">
        <f t="shared" si="62"/>
        <v>0.9884666666666666</v>
      </c>
      <c r="AW45" s="82">
        <f t="shared" si="63"/>
        <v>2.9923251430232535E-2</v>
      </c>
      <c r="AX45" s="49">
        <f t="shared" si="64"/>
        <v>2909.542140780633</v>
      </c>
      <c r="AY45" s="8">
        <v>1040</v>
      </c>
      <c r="AZ45" s="1">
        <f t="shared" si="65"/>
        <v>1869.542140780633</v>
      </c>
      <c r="BA45" s="68">
        <v>1.611</v>
      </c>
    </row>
    <row r="46" spans="1:53" x14ac:dyDescent="0.2">
      <c r="A46" s="23" t="s">
        <v>127</v>
      </c>
      <c r="B46" s="21">
        <v>1</v>
      </c>
      <c r="C46" s="21">
        <v>6658</v>
      </c>
      <c r="D46" s="21">
        <f t="shared" si="37"/>
        <v>3342</v>
      </c>
      <c r="E46" s="21">
        <v>0.99780000000000002</v>
      </c>
      <c r="F46" s="21">
        <v>0.97070000000000001</v>
      </c>
      <c r="G46" s="21">
        <v>0.99470000000000003</v>
      </c>
      <c r="H46" s="21">
        <v>1</v>
      </c>
      <c r="I46" s="21">
        <v>0</v>
      </c>
      <c r="J46" s="21">
        <v>0</v>
      </c>
      <c r="K46" s="21">
        <v>0</v>
      </c>
      <c r="L46" s="24">
        <v>3.9</v>
      </c>
      <c r="M46" s="21">
        <v>1</v>
      </c>
      <c r="N46" s="24">
        <v>1</v>
      </c>
      <c r="O46" s="63">
        <f t="shared" si="35"/>
        <v>3.9</v>
      </c>
      <c r="P46" s="44">
        <f t="shared" si="38"/>
        <v>2.1541737786473596E-2</v>
      </c>
      <c r="Q46" s="44">
        <f t="shared" si="39"/>
        <v>1.5470288436167701E-2</v>
      </c>
      <c r="R46" s="41">
        <v>2</v>
      </c>
      <c r="S46" s="13">
        <f t="shared" si="40"/>
        <v>2.3932982429822409E-4</v>
      </c>
      <c r="T46" s="13">
        <f t="shared" si="41"/>
        <v>1.1342933048263558E-2</v>
      </c>
      <c r="U46" s="13">
        <f t="shared" si="42"/>
        <v>2.4434648945521919E-4</v>
      </c>
      <c r="V46" s="31">
        <f t="shared" si="43"/>
        <v>1.4096107589970441E-2</v>
      </c>
      <c r="W46" s="80">
        <v>1639</v>
      </c>
      <c r="X46" s="46">
        <f t="shared" si="44"/>
        <v>1019.1062904320929</v>
      </c>
      <c r="Y46" s="86">
        <f t="shared" si="45"/>
        <v>-619.89370956790708</v>
      </c>
      <c r="Z46" s="80">
        <v>1230</v>
      </c>
      <c r="AA46" s="80">
        <v>0</v>
      </c>
      <c r="AB46" s="80">
        <v>0</v>
      </c>
      <c r="AC46" s="26">
        <f t="shared" si="46"/>
        <v>1230</v>
      </c>
      <c r="AD46" s="46">
        <f t="shared" si="47"/>
        <v>965.06181393214626</v>
      </c>
      <c r="AE46" s="22">
        <f t="shared" si="48"/>
        <v>-264.93818606785374</v>
      </c>
      <c r="AF46" s="22">
        <f t="shared" si="49"/>
        <v>-884.83189563576082</v>
      </c>
      <c r="AG46" s="55">
        <f t="shared" si="50"/>
        <v>2869</v>
      </c>
      <c r="AH46">
        <f t="shared" si="51"/>
        <v>1.4096107589970442E-2</v>
      </c>
      <c r="AI46" s="1">
        <f t="shared" si="52"/>
        <v>1534.4317917062326</v>
      </c>
      <c r="AJ46" s="2">
        <v>2869</v>
      </c>
      <c r="AK46" s="1">
        <f t="shared" si="53"/>
        <v>-1334.5682082937674</v>
      </c>
      <c r="AL46">
        <f t="shared" si="54"/>
        <v>3.9</v>
      </c>
      <c r="AM46">
        <f t="shared" si="55"/>
        <v>2.5545226756093848E-2</v>
      </c>
      <c r="AN46" s="1">
        <f t="shared" si="56"/>
        <v>2641.8107154349573</v>
      </c>
      <c r="AO46" s="8">
        <v>2869</v>
      </c>
      <c r="AP46" s="1">
        <f t="shared" si="57"/>
        <v>-227.18928456504273</v>
      </c>
      <c r="AQ46" s="69">
        <f t="shared" si="58"/>
        <v>3.9</v>
      </c>
      <c r="AR46">
        <f t="shared" si="59"/>
        <v>2.1541737786473596E-2</v>
      </c>
      <c r="AS46" s="1">
        <f t="shared" si="60"/>
        <v>1683.7478431884417</v>
      </c>
      <c r="AT46" s="8">
        <v>2459</v>
      </c>
      <c r="AU46" s="1">
        <f t="shared" si="61"/>
        <v>-775.25215681155828</v>
      </c>
      <c r="AV46" s="82">
        <f t="shared" si="62"/>
        <v>0.9884666666666666</v>
      </c>
      <c r="AW46" s="82">
        <f t="shared" si="63"/>
        <v>2.9902273687617449E-2</v>
      </c>
      <c r="AX46" s="49">
        <f t="shared" si="64"/>
        <v>2907.5024016734255</v>
      </c>
      <c r="AY46" s="8">
        <v>3279</v>
      </c>
      <c r="AZ46" s="1">
        <f t="shared" si="65"/>
        <v>-371.49759832657446</v>
      </c>
      <c r="BA46" s="68">
        <v>1.611</v>
      </c>
    </row>
    <row r="47" spans="1:53" x14ac:dyDescent="0.2">
      <c r="A47" s="23" t="s">
        <v>128</v>
      </c>
      <c r="B47" s="21">
        <v>1</v>
      </c>
      <c r="C47" s="21">
        <v>6577</v>
      </c>
      <c r="D47" s="21">
        <f t="shared" si="37"/>
        <v>3423</v>
      </c>
      <c r="E47" s="21">
        <v>4.0000000000000002E-4</v>
      </c>
      <c r="F47" s="21">
        <v>0.97070000000000001</v>
      </c>
      <c r="G47" s="21">
        <v>0.99470000000000003</v>
      </c>
      <c r="H47" s="21">
        <v>1</v>
      </c>
      <c r="I47" s="21">
        <v>0</v>
      </c>
      <c r="J47" s="21">
        <v>0</v>
      </c>
      <c r="K47" s="21">
        <v>0</v>
      </c>
      <c r="L47" s="24">
        <v>3.5</v>
      </c>
      <c r="M47" s="21">
        <v>1</v>
      </c>
      <c r="N47" s="24">
        <v>0.9</v>
      </c>
      <c r="O47" s="63">
        <f t="shared" si="35"/>
        <v>3.15</v>
      </c>
      <c r="P47" s="44">
        <f t="shared" si="38"/>
        <v>1.7399095904459441E-2</v>
      </c>
      <c r="Q47" s="44">
        <f t="shared" si="39"/>
        <v>1.5845241567026346E-2</v>
      </c>
      <c r="R47" s="41">
        <v>2</v>
      </c>
      <c r="S47" s="13">
        <f t="shared" si="40"/>
        <v>2.5107168031741954E-4</v>
      </c>
      <c r="T47" s="13">
        <f t="shared" si="41"/>
        <v>1.189943321316621E-2</v>
      </c>
      <c r="U47" s="13">
        <f t="shared" si="42"/>
        <v>2.0703937968458884E-4</v>
      </c>
      <c r="V47" s="31">
        <f t="shared" si="43"/>
        <v>1.1943897282508583E-2</v>
      </c>
      <c r="W47" s="80">
        <v>430</v>
      </c>
      <c r="X47" s="46">
        <f t="shared" si="44"/>
        <v>863.50794183352298</v>
      </c>
      <c r="Y47" s="86">
        <f t="shared" si="45"/>
        <v>433.50794183352298</v>
      </c>
      <c r="Z47" s="80">
        <v>1219</v>
      </c>
      <c r="AA47" s="80">
        <v>0</v>
      </c>
      <c r="AB47" s="80">
        <v>0</v>
      </c>
      <c r="AC47" s="26">
        <f t="shared" si="46"/>
        <v>1219</v>
      </c>
      <c r="AD47" s="46">
        <f t="shared" si="47"/>
        <v>817.71503965238514</v>
      </c>
      <c r="AE47" s="22">
        <f t="shared" si="48"/>
        <v>-401.28496034761486</v>
      </c>
      <c r="AF47" s="22">
        <f t="shared" si="49"/>
        <v>32.222981485908122</v>
      </c>
      <c r="AG47" s="55">
        <f t="shared" si="50"/>
        <v>1649</v>
      </c>
      <c r="AH47">
        <f t="shared" si="51"/>
        <v>1.1943897282508584E-2</v>
      </c>
      <c r="AI47" s="1">
        <f t="shared" si="52"/>
        <v>1300.152938687472</v>
      </c>
      <c r="AJ47" s="2">
        <v>1290</v>
      </c>
      <c r="AK47" s="49">
        <f t="shared" si="53"/>
        <v>10.152938687471988</v>
      </c>
      <c r="AL47">
        <f t="shared" si="54"/>
        <v>3.15</v>
      </c>
      <c r="AM47">
        <f t="shared" si="55"/>
        <v>2.0632683149152724E-2</v>
      </c>
      <c r="AN47" s="1">
        <f t="shared" si="56"/>
        <v>2133.7701932359273</v>
      </c>
      <c r="AO47" s="8">
        <v>3011</v>
      </c>
      <c r="AP47" s="1">
        <f t="shared" si="57"/>
        <v>-877.22980676407269</v>
      </c>
      <c r="AQ47" s="69">
        <f t="shared" si="58"/>
        <v>3.15</v>
      </c>
      <c r="AR47">
        <f t="shared" si="59"/>
        <v>1.7399095904459441E-2</v>
      </c>
      <c r="AS47" s="1">
        <f t="shared" si="60"/>
        <v>1359.9501810368181</v>
      </c>
      <c r="AT47" s="8">
        <v>1219</v>
      </c>
      <c r="AU47" s="1">
        <f t="shared" si="61"/>
        <v>140.95018103681809</v>
      </c>
      <c r="AV47" s="82">
        <f t="shared" si="62"/>
        <v>0.9884666666666666</v>
      </c>
      <c r="AW47" s="82">
        <f t="shared" si="63"/>
        <v>1.1987281494334516E-5</v>
      </c>
      <c r="AX47" s="49">
        <f t="shared" si="64"/>
        <v>1.1655652041184308</v>
      </c>
      <c r="AY47" s="8">
        <v>0</v>
      </c>
      <c r="AZ47" s="1">
        <f t="shared" si="65"/>
        <v>1.1655652041184308</v>
      </c>
      <c r="BA47" s="68">
        <v>1.611</v>
      </c>
    </row>
    <row r="48" spans="1:53" x14ac:dyDescent="0.2">
      <c r="A48" s="23" t="s">
        <v>151</v>
      </c>
      <c r="B48" s="21">
        <v>0</v>
      </c>
      <c r="C48" s="21">
        <v>4478</v>
      </c>
      <c r="D48" s="21">
        <f t="shared" si="37"/>
        <v>5522</v>
      </c>
      <c r="E48" s="21">
        <v>0.5</v>
      </c>
      <c r="F48" s="21">
        <v>0.97070000000000001</v>
      </c>
      <c r="G48" s="21">
        <v>0.99470000000000003</v>
      </c>
      <c r="H48" s="21">
        <v>1</v>
      </c>
      <c r="I48" s="21">
        <v>0</v>
      </c>
      <c r="J48" s="21">
        <v>0</v>
      </c>
      <c r="K48" s="41">
        <v>3</v>
      </c>
      <c r="L48" s="41">
        <v>7</v>
      </c>
      <c r="M48" s="21">
        <v>2</v>
      </c>
      <c r="N48" s="24">
        <v>1</v>
      </c>
      <c r="O48" s="63">
        <f t="shared" si="35"/>
        <v>5</v>
      </c>
      <c r="P48" s="44">
        <f t="shared" si="38"/>
        <v>2.7617612546761018E-2</v>
      </c>
      <c r="Q48" s="44">
        <f t="shared" si="39"/>
        <v>2.5561619612363268E-2</v>
      </c>
      <c r="R48" s="41">
        <v>2</v>
      </c>
      <c r="S48" s="21">
        <f t="shared" si="40"/>
        <v>6.5339639720715453E-4</v>
      </c>
      <c r="T48" s="21">
        <f t="shared" si="41"/>
        <v>3.0967438384370095E-2</v>
      </c>
      <c r="U48" s="21">
        <f t="shared" si="42"/>
        <v>8.5524671486522826E-4</v>
      </c>
      <c r="V48" s="31">
        <f t="shared" si="43"/>
        <v>4.9338338093531074E-2</v>
      </c>
      <c r="W48" s="80">
        <v>0</v>
      </c>
      <c r="X48" s="46">
        <f t="shared" si="44"/>
        <v>3567.0138291480162</v>
      </c>
      <c r="Y48" s="86">
        <f t="shared" si="45"/>
        <v>3567.0138291480162</v>
      </c>
      <c r="Z48" s="80">
        <v>0</v>
      </c>
      <c r="AA48" s="80">
        <v>7344</v>
      </c>
      <c r="AB48" s="80">
        <v>0</v>
      </c>
      <c r="AC48" s="26">
        <f t="shared" si="46"/>
        <v>7344</v>
      </c>
      <c r="AD48" s="46">
        <f t="shared" si="47"/>
        <v>3377.8506408974181</v>
      </c>
      <c r="AE48" s="22">
        <f t="shared" si="48"/>
        <v>-3966.1493591025819</v>
      </c>
      <c r="AF48" s="22">
        <f t="shared" si="49"/>
        <v>-399.13552995456575</v>
      </c>
      <c r="AG48" s="55">
        <f t="shared" si="50"/>
        <v>7344</v>
      </c>
      <c r="AH48">
        <f t="shared" si="51"/>
        <v>4.9338338093531088E-2</v>
      </c>
      <c r="AI48" s="1">
        <f t="shared" si="52"/>
        <v>5370.7247931713264</v>
      </c>
      <c r="AJ48" s="2">
        <v>0</v>
      </c>
      <c r="AK48" s="74">
        <f t="shared" si="53"/>
        <v>5370.7247931713264</v>
      </c>
      <c r="AL48">
        <f t="shared" si="54"/>
        <v>0</v>
      </c>
      <c r="AM48">
        <f t="shared" si="55"/>
        <v>0</v>
      </c>
      <c r="AN48" s="1">
        <f t="shared" si="56"/>
        <v>0</v>
      </c>
      <c r="AO48" s="8">
        <v>0</v>
      </c>
      <c r="AP48" s="1">
        <f t="shared" si="57"/>
        <v>0</v>
      </c>
      <c r="AQ48" s="69">
        <f t="shared" si="58"/>
        <v>5</v>
      </c>
      <c r="AR48">
        <f t="shared" si="59"/>
        <v>2.7617612546761018E-2</v>
      </c>
      <c r="AS48" s="1">
        <f t="shared" si="60"/>
        <v>2158.6510810108225</v>
      </c>
      <c r="AT48" s="8">
        <v>0</v>
      </c>
      <c r="AU48" s="74">
        <f t="shared" si="61"/>
        <v>2158.6510810108225</v>
      </c>
      <c r="AV48" s="82">
        <f t="shared" si="62"/>
        <v>0.9884666666666666</v>
      </c>
      <c r="AW48" s="82">
        <f t="shared" si="63"/>
        <v>1.4984101867918143E-2</v>
      </c>
      <c r="AX48" s="49">
        <f t="shared" si="64"/>
        <v>1456.9565051480383</v>
      </c>
      <c r="AY48" s="8">
        <v>0</v>
      </c>
      <c r="AZ48" s="1">
        <f t="shared" si="65"/>
        <v>1456.9565051480383</v>
      </c>
      <c r="BA48" s="68">
        <v>1.611</v>
      </c>
    </row>
    <row r="49" spans="1:53" x14ac:dyDescent="0.2">
      <c r="A49" s="23" t="s">
        <v>102</v>
      </c>
      <c r="B49" s="21">
        <v>1</v>
      </c>
      <c r="C49" s="21">
        <v>7109</v>
      </c>
      <c r="D49" s="21">
        <f t="shared" si="37"/>
        <v>2891</v>
      </c>
      <c r="E49" s="21">
        <v>0.99890000000000001</v>
      </c>
      <c r="F49" s="21">
        <v>0.97070000000000001</v>
      </c>
      <c r="G49" s="21">
        <v>0.99470000000000003</v>
      </c>
      <c r="H49" s="21">
        <v>1</v>
      </c>
      <c r="I49" s="24">
        <v>5.5</v>
      </c>
      <c r="J49" s="21">
        <v>0</v>
      </c>
      <c r="K49" s="24">
        <v>3.1</v>
      </c>
      <c r="L49" s="21">
        <v>0</v>
      </c>
      <c r="M49" s="21">
        <v>2</v>
      </c>
      <c r="N49" s="24">
        <v>1.1000000000000001</v>
      </c>
      <c r="O49" s="63">
        <f t="shared" si="35"/>
        <v>4.7300000000000004</v>
      </c>
      <c r="P49" s="44">
        <f t="shared" si="38"/>
        <v>2.6126261469235926E-2</v>
      </c>
      <c r="Q49" s="44">
        <f t="shared" si="39"/>
        <v>1.3382586435954765E-2</v>
      </c>
      <c r="R49" s="41">
        <v>2</v>
      </c>
      <c r="S49" s="13">
        <f t="shared" si="40"/>
        <v>1.7909361971580047E-4</v>
      </c>
      <c r="T49" s="13">
        <f t="shared" si="41"/>
        <v>8.488064301071619E-3</v>
      </c>
      <c r="U49" s="13">
        <f t="shared" si="42"/>
        <v>2.217613872974844E-4</v>
      </c>
      <c r="V49" s="31">
        <f t="shared" si="43"/>
        <v>1.2793195358017755E-2</v>
      </c>
      <c r="W49" s="80">
        <v>0</v>
      </c>
      <c r="X49" s="46">
        <f t="shared" si="44"/>
        <v>924.90964479860963</v>
      </c>
      <c r="Y49" s="86">
        <f t="shared" si="45"/>
        <v>924.90964479860963</v>
      </c>
      <c r="Z49" s="80">
        <v>666</v>
      </c>
      <c r="AA49" s="80">
        <v>999</v>
      </c>
      <c r="AB49" s="80">
        <v>0</v>
      </c>
      <c r="AC49" s="26">
        <f t="shared" si="46"/>
        <v>1665</v>
      </c>
      <c r="AD49" s="46">
        <f t="shared" si="47"/>
        <v>875.86053379596956</v>
      </c>
      <c r="AE49" s="22">
        <f t="shared" si="48"/>
        <v>-789.13946620403044</v>
      </c>
      <c r="AF49" s="22">
        <f t="shared" si="49"/>
        <v>135.77017859457919</v>
      </c>
      <c r="AG49" s="55">
        <f t="shared" si="50"/>
        <v>1665</v>
      </c>
      <c r="AH49">
        <f t="shared" si="51"/>
        <v>1.2793195358017758E-2</v>
      </c>
      <c r="AI49" s="1">
        <f t="shared" si="52"/>
        <v>1392.6032806970231</v>
      </c>
      <c r="AJ49" s="2">
        <v>1332</v>
      </c>
      <c r="AK49" s="1">
        <f t="shared" si="53"/>
        <v>60.603280697023138</v>
      </c>
      <c r="AL49">
        <f t="shared" si="54"/>
        <v>4.7300000000000004</v>
      </c>
      <c r="AM49">
        <f t="shared" si="55"/>
        <v>3.098177501444203E-2</v>
      </c>
      <c r="AN49" s="1">
        <f t="shared" si="56"/>
        <v>3204.0422266685514</v>
      </c>
      <c r="AO49" s="8">
        <v>0</v>
      </c>
      <c r="AP49" s="1">
        <f t="shared" si="57"/>
        <v>3204.0422266685514</v>
      </c>
      <c r="AQ49" s="69">
        <f t="shared" si="58"/>
        <v>4.7300000000000004</v>
      </c>
      <c r="AR49">
        <f t="shared" si="59"/>
        <v>2.6126261469235926E-2</v>
      </c>
      <c r="AS49" s="1">
        <f t="shared" si="60"/>
        <v>2042.0839226362384</v>
      </c>
      <c r="AT49" s="8">
        <v>1998</v>
      </c>
      <c r="AU49" s="1">
        <f t="shared" si="61"/>
        <v>44.083922636238412</v>
      </c>
      <c r="AV49" s="82">
        <f t="shared" si="62"/>
        <v>0.9884666666666666</v>
      </c>
      <c r="AW49" s="82">
        <f t="shared" si="63"/>
        <v>2.9935238711726868E-2</v>
      </c>
      <c r="AX49" s="49">
        <f t="shared" si="64"/>
        <v>2910.7077059847511</v>
      </c>
      <c r="AY49" s="8">
        <v>2998</v>
      </c>
      <c r="AZ49" s="1">
        <f t="shared" si="65"/>
        <v>-87.292294015248899</v>
      </c>
      <c r="BA49" s="68">
        <v>1.611</v>
      </c>
    </row>
    <row r="50" spans="1:53" x14ac:dyDescent="0.2">
      <c r="A50" s="10" t="s">
        <v>101</v>
      </c>
      <c r="B50" s="21">
        <v>1</v>
      </c>
      <c r="C50" s="3">
        <v>6002</v>
      </c>
      <c r="D50" s="21">
        <f t="shared" si="37"/>
        <v>3998</v>
      </c>
      <c r="E50" s="21">
        <v>0.99390000000000001</v>
      </c>
      <c r="F50" s="21">
        <v>0.97070000000000001</v>
      </c>
      <c r="G50" s="21">
        <v>0.99470000000000003</v>
      </c>
      <c r="H50" s="21">
        <v>1</v>
      </c>
      <c r="I50" s="24">
        <v>4.2</v>
      </c>
      <c r="J50" s="21">
        <v>0</v>
      </c>
      <c r="K50" s="24">
        <v>2.4</v>
      </c>
      <c r="L50" s="21">
        <v>0</v>
      </c>
      <c r="M50" s="21">
        <v>2</v>
      </c>
      <c r="N50" s="24">
        <v>1</v>
      </c>
      <c r="O50" s="63">
        <f t="shared" si="35"/>
        <v>3.3</v>
      </c>
      <c r="P50" s="44">
        <f t="shared" si="38"/>
        <v>1.8227624280862272E-2</v>
      </c>
      <c r="Q50" s="44">
        <f t="shared" si="39"/>
        <v>1.8506945891022881E-2</v>
      </c>
      <c r="R50" s="41">
        <v>2</v>
      </c>
      <c r="S50" s="13">
        <f t="shared" si="40"/>
        <v>3.425070462132487E-4</v>
      </c>
      <c r="T50" s="13">
        <f t="shared" si="41"/>
        <v>1.6232972656656151E-2</v>
      </c>
      <c r="U50" s="13">
        <f t="shared" si="42"/>
        <v>2.95888526547039E-4</v>
      </c>
      <c r="V50" s="31">
        <f t="shared" si="43"/>
        <v>1.7069516792093193E-2</v>
      </c>
      <c r="W50" s="81">
        <v>735</v>
      </c>
      <c r="X50" s="46">
        <f t="shared" si="44"/>
        <v>1234.0748555179616</v>
      </c>
      <c r="Y50" s="86">
        <f t="shared" si="45"/>
        <v>499.07485551796162</v>
      </c>
      <c r="Z50" s="80">
        <v>881</v>
      </c>
      <c r="AA50" s="81">
        <v>1028</v>
      </c>
      <c r="AB50" s="81">
        <v>0</v>
      </c>
      <c r="AC50" s="7">
        <f t="shared" si="46"/>
        <v>1909</v>
      </c>
      <c r="AD50" s="46">
        <f t="shared" si="47"/>
        <v>1168.6303281370763</v>
      </c>
      <c r="AE50" s="1">
        <f t="shared" si="48"/>
        <v>-740.36967186292372</v>
      </c>
      <c r="AF50" s="1">
        <f t="shared" si="49"/>
        <v>-241.2948163449621</v>
      </c>
      <c r="AG50" s="55">
        <f t="shared" si="50"/>
        <v>2644</v>
      </c>
      <c r="AH50">
        <f t="shared" si="51"/>
        <v>1.7069516792093196E-2</v>
      </c>
      <c r="AI50" s="1">
        <f t="shared" si="52"/>
        <v>1858.1022504033049</v>
      </c>
      <c r="AJ50" s="2">
        <v>1616</v>
      </c>
      <c r="AK50" s="1">
        <f t="shared" si="53"/>
        <v>242.10225040330488</v>
      </c>
      <c r="AL50">
        <f t="shared" si="54"/>
        <v>3.3</v>
      </c>
      <c r="AM50">
        <f t="shared" si="55"/>
        <v>2.1615191870540947E-2</v>
      </c>
      <c r="AN50" s="1">
        <f t="shared" si="56"/>
        <v>2235.3782976757329</v>
      </c>
      <c r="AO50" s="8">
        <v>0</v>
      </c>
      <c r="AP50" s="1">
        <f t="shared" si="57"/>
        <v>2235.3782976757329</v>
      </c>
      <c r="AQ50" s="69">
        <f t="shared" si="58"/>
        <v>3.3</v>
      </c>
      <c r="AR50">
        <f t="shared" si="59"/>
        <v>1.8227624280862272E-2</v>
      </c>
      <c r="AS50" s="1">
        <f t="shared" si="60"/>
        <v>1424.7097134671428</v>
      </c>
      <c r="AT50" s="8">
        <v>1469</v>
      </c>
      <c r="AU50" s="1">
        <f t="shared" si="61"/>
        <v>-44.290286532857181</v>
      </c>
      <c r="AV50" s="82">
        <f t="shared" si="62"/>
        <v>0.9884666666666666</v>
      </c>
      <c r="AW50" s="82">
        <f t="shared" si="63"/>
        <v>2.9785397693047687E-2</v>
      </c>
      <c r="AX50" s="49">
        <f t="shared" si="64"/>
        <v>2896.1381409332707</v>
      </c>
      <c r="AY50" s="8">
        <v>2204</v>
      </c>
      <c r="AZ50" s="49">
        <f t="shared" si="65"/>
        <v>692.13814093327073</v>
      </c>
      <c r="BA50" s="68">
        <v>1.611</v>
      </c>
    </row>
    <row r="51" spans="1:53" x14ac:dyDescent="0.2">
      <c r="A51" s="23" t="s">
        <v>22</v>
      </c>
      <c r="B51" s="21">
        <v>1</v>
      </c>
      <c r="C51" s="21">
        <v>4909</v>
      </c>
      <c r="D51" s="21">
        <f t="shared" si="37"/>
        <v>5091</v>
      </c>
      <c r="E51" s="21">
        <v>4.1999999999999997E-3</v>
      </c>
      <c r="F51" s="21">
        <v>0.97070000000000001</v>
      </c>
      <c r="G51" s="21">
        <v>0.99470000000000003</v>
      </c>
      <c r="H51" s="21">
        <v>1</v>
      </c>
      <c r="I51" s="21">
        <v>0</v>
      </c>
      <c r="J51" s="66">
        <f>$AD$69</f>
        <v>5.5222666666666678</v>
      </c>
      <c r="K51" s="24">
        <v>3.3</v>
      </c>
      <c r="L51" s="24">
        <v>2.7</v>
      </c>
      <c r="M51" s="21">
        <v>2</v>
      </c>
      <c r="N51" s="24">
        <v>1</v>
      </c>
      <c r="O51" s="63">
        <f t="shared" si="35"/>
        <v>5.7611333333333334</v>
      </c>
      <c r="P51" s="44">
        <f t="shared" si="38"/>
        <v>3.1821749646045963E-2</v>
      </c>
      <c r="Q51" s="44">
        <f t="shared" si="39"/>
        <v>2.3566498632115431E-2</v>
      </c>
      <c r="R51" s="41">
        <v>2</v>
      </c>
      <c r="S51" s="13">
        <f t="shared" si="40"/>
        <v>5.553798577774985E-4</v>
      </c>
      <c r="T51" s="13">
        <f t="shared" si="41"/>
        <v>2.6321987080366763E-2</v>
      </c>
      <c r="U51" s="13">
        <f t="shared" si="42"/>
        <v>8.3761168305788742E-4</v>
      </c>
      <c r="V51" s="31">
        <f t="shared" si="43"/>
        <v>4.8320990529982857E-2</v>
      </c>
      <c r="W51" s="80">
        <v>2379</v>
      </c>
      <c r="X51" s="46">
        <f t="shared" si="44"/>
        <v>3493.4626523461707</v>
      </c>
      <c r="Y51" s="86">
        <f t="shared" si="45"/>
        <v>1114.4626523461707</v>
      </c>
      <c r="Z51" s="80">
        <v>1359</v>
      </c>
      <c r="AA51" s="80">
        <v>3738</v>
      </c>
      <c r="AB51" s="80">
        <v>227</v>
      </c>
      <c r="AC51" s="26">
        <f t="shared" si="46"/>
        <v>5324</v>
      </c>
      <c r="AD51" s="46">
        <f t="shared" si="47"/>
        <v>3308.1999746542165</v>
      </c>
      <c r="AE51" s="22">
        <f t="shared" si="48"/>
        <v>-2015.8000253457835</v>
      </c>
      <c r="AF51" s="22">
        <f t="shared" si="49"/>
        <v>-901.33737299961285</v>
      </c>
      <c r="AG51" s="55">
        <f t="shared" si="50"/>
        <v>7703</v>
      </c>
      <c r="AH51">
        <f t="shared" si="51"/>
        <v>4.8320990529982864E-2</v>
      </c>
      <c r="AI51" s="1">
        <f t="shared" si="52"/>
        <v>5259.9814241412851</v>
      </c>
      <c r="AJ51" s="2">
        <v>5777</v>
      </c>
      <c r="AK51" s="49">
        <f t="shared" si="53"/>
        <v>-517.01857585871494</v>
      </c>
      <c r="AL51">
        <f t="shared" si="54"/>
        <v>5.7611333333333334</v>
      </c>
      <c r="AM51">
        <f t="shared" si="55"/>
        <v>3.7735758300536104E-2</v>
      </c>
      <c r="AN51" s="1">
        <f t="shared" si="56"/>
        <v>3902.5189161665421</v>
      </c>
      <c r="AO51" s="8">
        <v>0</v>
      </c>
      <c r="AP51" s="49">
        <f t="shared" si="57"/>
        <v>3902.5189161665421</v>
      </c>
      <c r="AQ51" s="69">
        <f t="shared" si="58"/>
        <v>5.7611333333333334</v>
      </c>
      <c r="AR51">
        <f t="shared" si="59"/>
        <v>3.1821749646045963E-2</v>
      </c>
      <c r="AS51" s="1">
        <f t="shared" si="60"/>
        <v>2487.2553395694968</v>
      </c>
      <c r="AT51" s="8">
        <v>2605</v>
      </c>
      <c r="AU51" s="49">
        <f t="shared" si="61"/>
        <v>-117.74466043050325</v>
      </c>
      <c r="AV51" s="82">
        <f t="shared" si="62"/>
        <v>0.9884666666666666</v>
      </c>
      <c r="AW51" s="82">
        <f t="shared" si="63"/>
        <v>1.258664556905124E-4</v>
      </c>
      <c r="AX51" s="49">
        <f t="shared" si="64"/>
        <v>12.23843464324352</v>
      </c>
      <c r="AY51" s="8">
        <v>0</v>
      </c>
      <c r="AZ51" s="49">
        <f t="shared" si="65"/>
        <v>12.23843464324352</v>
      </c>
      <c r="BA51" s="68">
        <v>1.611</v>
      </c>
    </row>
    <row r="52" spans="1:53" x14ac:dyDescent="0.2">
      <c r="A52" s="23" t="s">
        <v>83</v>
      </c>
      <c r="B52" s="21">
        <v>0</v>
      </c>
      <c r="C52" s="21">
        <v>4777</v>
      </c>
      <c r="D52" s="21">
        <f t="shared" si="37"/>
        <v>5223</v>
      </c>
      <c r="E52" s="21">
        <v>0.99990000000000001</v>
      </c>
      <c r="F52" s="21">
        <v>0.97070000000000001</v>
      </c>
      <c r="G52" s="21">
        <v>0.99470000000000003</v>
      </c>
      <c r="H52" s="21">
        <v>1</v>
      </c>
      <c r="I52" s="21">
        <v>0</v>
      </c>
      <c r="J52" s="21">
        <v>0</v>
      </c>
      <c r="K52" s="24">
        <v>2.9</v>
      </c>
      <c r="L52" s="21">
        <v>0</v>
      </c>
      <c r="M52" s="21">
        <v>1</v>
      </c>
      <c r="N52" s="24">
        <v>0.81</v>
      </c>
      <c r="O52" s="63">
        <f t="shared" si="35"/>
        <v>2.3490000000000002</v>
      </c>
      <c r="P52" s="44">
        <f t="shared" si="38"/>
        <v>1.2974754374468328E-2</v>
      </c>
      <c r="Q52" s="44">
        <f t="shared" si="39"/>
        <v>2.4177533363885069E-2</v>
      </c>
      <c r="R52" s="41">
        <v>2</v>
      </c>
      <c r="S52" s="13">
        <f t="shared" si="40"/>
        <v>5.8455311956177565E-4</v>
      </c>
      <c r="T52" s="13">
        <f t="shared" si="41"/>
        <v>2.7704641148612687E-2</v>
      </c>
      <c r="U52" s="13">
        <f t="shared" si="42"/>
        <v>3.5946091393603767E-4</v>
      </c>
      <c r="V52" s="31">
        <f t="shared" si="43"/>
        <v>2.0736945018234483E-2</v>
      </c>
      <c r="W52" s="80">
        <v>1118</v>
      </c>
      <c r="X52" s="46">
        <f t="shared" si="44"/>
        <v>1499.2189139832985</v>
      </c>
      <c r="Y52" s="87">
        <f t="shared" si="45"/>
        <v>381.21891398329853</v>
      </c>
      <c r="Z52" s="84">
        <v>0</v>
      </c>
      <c r="AA52" s="80">
        <v>1003</v>
      </c>
      <c r="AB52" s="80">
        <v>0</v>
      </c>
      <c r="AC52" s="26">
        <f t="shared" si="46"/>
        <v>1003</v>
      </c>
      <c r="AD52" s="46">
        <f t="shared" si="47"/>
        <v>1419.7134667833875</v>
      </c>
      <c r="AE52" s="22">
        <f t="shared" si="48"/>
        <v>416.7134667833875</v>
      </c>
      <c r="AF52" s="22">
        <f t="shared" si="49"/>
        <v>797.93238076668604</v>
      </c>
      <c r="AG52" s="55">
        <f t="shared" si="50"/>
        <v>2121</v>
      </c>
      <c r="AH52">
        <f t="shared" si="51"/>
        <v>2.073694501823449E-2</v>
      </c>
      <c r="AI52" s="1">
        <f t="shared" si="52"/>
        <v>2257.3201499599154</v>
      </c>
      <c r="AJ52" s="2">
        <v>1557</v>
      </c>
      <c r="AK52" s="1">
        <f t="shared" si="53"/>
        <v>700.3201499599154</v>
      </c>
      <c r="AL52">
        <f t="shared" si="54"/>
        <v>0</v>
      </c>
      <c r="AM52">
        <f t="shared" si="55"/>
        <v>0</v>
      </c>
      <c r="AN52" s="1">
        <f t="shared" si="56"/>
        <v>0</v>
      </c>
      <c r="AO52" s="8">
        <v>836</v>
      </c>
      <c r="AP52" s="1">
        <f t="shared" si="57"/>
        <v>-836</v>
      </c>
      <c r="AQ52" s="69">
        <f t="shared" si="58"/>
        <v>2.3490000000000002</v>
      </c>
      <c r="AR52">
        <f t="shared" si="59"/>
        <v>1.2974754374468328E-2</v>
      </c>
      <c r="AS52" s="1">
        <f t="shared" si="60"/>
        <v>1014.1342778588845</v>
      </c>
      <c r="AT52" s="8">
        <v>1066</v>
      </c>
      <c r="AU52" s="1">
        <f t="shared" si="61"/>
        <v>-51.865722141115498</v>
      </c>
      <c r="AV52" s="82">
        <f t="shared" si="62"/>
        <v>0.9884666666666666</v>
      </c>
      <c r="AW52" s="82">
        <f t="shared" si="63"/>
        <v>2.9965206915462703E-2</v>
      </c>
      <c r="AX52" s="49">
        <f t="shared" si="64"/>
        <v>2913.6216189950469</v>
      </c>
      <c r="AY52" s="8">
        <v>2383</v>
      </c>
      <c r="AZ52" s="1">
        <f t="shared" si="65"/>
        <v>530.6216189950469</v>
      </c>
      <c r="BA52" s="68">
        <v>1.611</v>
      </c>
    </row>
    <row r="53" spans="1:53" ht="17" thickBot="1" x14ac:dyDescent="0.25">
      <c r="A53" s="4" t="s">
        <v>35</v>
      </c>
      <c r="B53" s="32">
        <f>AVERAGE(B2:B52)</f>
        <v>0.76470588235294112</v>
      </c>
      <c r="C53" s="4">
        <f>SUM(C2:C52)</f>
        <v>293973</v>
      </c>
      <c r="D53" s="4">
        <f>SUM(D2:D52)</f>
        <v>216027</v>
      </c>
      <c r="E53" s="4">
        <f>SUM(E2:E52)</f>
        <v>33.36869999999999</v>
      </c>
      <c r="F53" s="4"/>
      <c r="G53" s="4"/>
      <c r="H53" s="4"/>
      <c r="I53" s="4">
        <f>SUM(I2:I52)</f>
        <v>99.8</v>
      </c>
      <c r="J53" s="64"/>
      <c r="K53" s="4">
        <f>MEDIAN(K6:K52)</f>
        <v>1.1000000000000001</v>
      </c>
      <c r="L53" s="4">
        <f>SUM(L2:L52)</f>
        <v>100.4</v>
      </c>
      <c r="M53" s="4"/>
      <c r="N53" s="4" t="s">
        <v>90</v>
      </c>
      <c r="O53" s="64">
        <f>SUM(O2:O52)</f>
        <v>181.04388971111109</v>
      </c>
      <c r="P53" s="4">
        <f>SUM(P2:P52)</f>
        <v>1.0000000000000002</v>
      </c>
      <c r="Q53" s="4">
        <f>SUM(Q2:Q52)</f>
        <v>0.99999999999999978</v>
      </c>
      <c r="R53" s="4"/>
      <c r="S53" s="4">
        <f t="shared" ref="S53:Y53" si="66">SUM(S2:S52)</f>
        <v>2.1099465480391079E-2</v>
      </c>
      <c r="T53" s="4">
        <f t="shared" si="66"/>
        <v>1</v>
      </c>
      <c r="U53" s="4">
        <f t="shared" si="66"/>
        <v>1.7334323528367137E-2</v>
      </c>
      <c r="V53" s="28">
        <f t="shared" si="66"/>
        <v>0.99999999999999989</v>
      </c>
      <c r="W53" s="12">
        <f t="shared" si="66"/>
        <v>57393</v>
      </c>
      <c r="X53" s="12">
        <f t="shared" si="66"/>
        <v>72296.999999999985</v>
      </c>
      <c r="Y53" s="12">
        <f t="shared" si="66"/>
        <v>14903.999999999989</v>
      </c>
      <c r="Z53" s="4"/>
      <c r="AA53" s="4"/>
      <c r="AB53" s="4"/>
      <c r="AC53" s="12">
        <f t="shared" ref="AC53:AH53" si="67">SUM(AC2:AC52)</f>
        <v>90067</v>
      </c>
      <c r="AD53" s="12">
        <f t="shared" si="67"/>
        <v>68462.999999999985</v>
      </c>
      <c r="AE53" s="12">
        <f t="shared" si="67"/>
        <v>-21604.000000000004</v>
      </c>
      <c r="AF53" s="12">
        <f t="shared" si="67"/>
        <v>-6700.0000000000182</v>
      </c>
      <c r="AG53" s="12">
        <f t="shared" si="67"/>
        <v>147460</v>
      </c>
      <c r="AH53" s="60">
        <f t="shared" si="67"/>
        <v>1</v>
      </c>
      <c r="AI53" s="1">
        <v>108855</v>
      </c>
      <c r="AL53">
        <f>SUM(AL2:AL52)</f>
        <v>152.67040051111113</v>
      </c>
      <c r="AN53" s="1">
        <v>103417</v>
      </c>
      <c r="AO53" s="1"/>
      <c r="AP53" s="1"/>
      <c r="AQ53">
        <f>SUM(AQ2:AQ52)</f>
        <v>181.04388971111109</v>
      </c>
      <c r="AS53" s="1">
        <v>102212</v>
      </c>
      <c r="AT53" s="1" t="s">
        <v>129</v>
      </c>
      <c r="AU53" s="1"/>
      <c r="AV53" s="82"/>
      <c r="AW53" s="82">
        <f>SUM(AW2:AW52)</f>
        <v>1.0000000000000007</v>
      </c>
      <c r="AX53" s="1">
        <v>98368</v>
      </c>
      <c r="AZ53" s="82"/>
    </row>
    <row r="54" spans="1:53" x14ac:dyDescent="0.2">
      <c r="A54" s="29" t="s">
        <v>58</v>
      </c>
      <c r="B54" s="21"/>
      <c r="C54">
        <f>MEDIAN(C2:C52)</f>
        <v>6031</v>
      </c>
      <c r="E54">
        <f>AVERAGE(E2:E52) * AVERAGE(F52:H52)</f>
        <v>0.64674211098039192</v>
      </c>
      <c r="K54">
        <f>SUM(K2:K52)</f>
        <v>100.2</v>
      </c>
      <c r="L54">
        <f>(100-L53)/9</f>
        <v>-4.4444444444445078E-2</v>
      </c>
      <c r="P54" t="s">
        <v>47</v>
      </c>
      <c r="Q54" s="21">
        <f>MEDIAN(Q2:Q52)</f>
        <v>1.8372703412073491E-2</v>
      </c>
      <c r="R54" s="30">
        <v>0</v>
      </c>
      <c r="Z54" s="14" t="s">
        <v>95</v>
      </c>
      <c r="AA54" s="15">
        <v>3.8</v>
      </c>
      <c r="AB54" s="15">
        <f t="shared" ref="AB54:AB69" si="68">AA54/$AA$70</f>
        <v>3.8000000000000006E-2</v>
      </c>
      <c r="AC54" s="56">
        <f t="shared" ref="AC54:AC69" si="69">AB54*$AA$72</f>
        <v>2.5282666666666671</v>
      </c>
      <c r="AD54" s="50">
        <v>2.5282666666666671</v>
      </c>
      <c r="AI54" s="72">
        <f>0.01*$AI$53</f>
        <v>1088.55</v>
      </c>
      <c r="AN54" s="72">
        <f>0.01*AN53</f>
        <v>1034.17</v>
      </c>
      <c r="AO54" s="1"/>
      <c r="AP54" s="1"/>
      <c r="AS54" s="72">
        <f>0.01*AS53</f>
        <v>1022.12</v>
      </c>
      <c r="AT54" s="1"/>
      <c r="AU54" s="1"/>
      <c r="AV54" s="82"/>
      <c r="AW54" s="82"/>
      <c r="AX54" s="72">
        <f>0.01*AX53</f>
        <v>983.68000000000006</v>
      </c>
      <c r="AZ54" s="82"/>
    </row>
    <row r="55" spans="1:53" x14ac:dyDescent="0.2">
      <c r="A55" s="31" t="s">
        <v>57</v>
      </c>
      <c r="B55" s="21"/>
      <c r="K55" s="24"/>
      <c r="L55">
        <v>3.5</v>
      </c>
      <c r="P55" t="s">
        <v>48</v>
      </c>
      <c r="Q55">
        <f>AVERAGE(Q2:Q52)</f>
        <v>1.9607843137254898E-2</v>
      </c>
      <c r="R55" s="5">
        <v>2</v>
      </c>
      <c r="Z55" s="16" t="s">
        <v>26</v>
      </c>
      <c r="AA55" s="13">
        <v>2.1</v>
      </c>
      <c r="AB55" s="13">
        <f t="shared" si="68"/>
        <v>2.1000000000000005E-2</v>
      </c>
      <c r="AC55" s="57">
        <f t="shared" si="69"/>
        <v>1.3972000000000002</v>
      </c>
      <c r="AD55" s="51">
        <v>1.3972000000000002</v>
      </c>
      <c r="AE55" t="s">
        <v>72</v>
      </c>
      <c r="AF55" t="s">
        <v>70</v>
      </c>
      <c r="AG55" t="s">
        <v>74</v>
      </c>
      <c r="AV55" s="82"/>
      <c r="AW55" s="82"/>
      <c r="AX55" s="1">
        <f>SUM(AX2:AX52)</f>
        <v>97233.489066666662</v>
      </c>
      <c r="AY55" s="82"/>
      <c r="AZ55" s="82"/>
    </row>
    <row r="56" spans="1:53" x14ac:dyDescent="0.2">
      <c r="A56" t="s">
        <v>99</v>
      </c>
      <c r="B56" s="2" t="s">
        <v>131</v>
      </c>
      <c r="R56" s="27"/>
      <c r="Z56" s="16" t="s">
        <v>68</v>
      </c>
      <c r="AA56" s="13">
        <v>2.1</v>
      </c>
      <c r="AB56" s="13">
        <f t="shared" si="68"/>
        <v>2.1000000000000005E-2</v>
      </c>
      <c r="AC56" s="57">
        <f t="shared" si="69"/>
        <v>1.3972000000000002</v>
      </c>
      <c r="AD56" s="51">
        <v>1.3972000000000002</v>
      </c>
      <c r="AE56">
        <v>5371</v>
      </c>
      <c r="AF56">
        <v>20310</v>
      </c>
      <c r="AG56">
        <v>921</v>
      </c>
      <c r="AV56" s="82"/>
      <c r="AW56" s="82"/>
      <c r="AX56" s="82"/>
      <c r="AY56" s="82"/>
      <c r="AZ56" s="82"/>
    </row>
    <row r="57" spans="1:53" x14ac:dyDescent="0.2">
      <c r="A57" s="10" t="s">
        <v>28</v>
      </c>
      <c r="B57" t="s">
        <v>30</v>
      </c>
      <c r="C57" t="s">
        <v>136</v>
      </c>
      <c r="D57" t="s">
        <v>13</v>
      </c>
      <c r="E57" t="s">
        <v>135</v>
      </c>
      <c r="F57" t="s">
        <v>44</v>
      </c>
      <c r="G57" t="s">
        <v>71</v>
      </c>
      <c r="H57" t="s">
        <v>42</v>
      </c>
      <c r="Z57" s="16" t="s">
        <v>19</v>
      </c>
      <c r="AA57" s="13">
        <v>7.4</v>
      </c>
      <c r="AB57" s="13">
        <f t="shared" si="68"/>
        <v>7.400000000000001E-2</v>
      </c>
      <c r="AC57" s="57">
        <f t="shared" si="69"/>
        <v>4.9234666666666671</v>
      </c>
      <c r="AD57" s="51">
        <v>4.9234666666666671</v>
      </c>
      <c r="AV57" s="82"/>
      <c r="AW57" s="82"/>
      <c r="AX57" s="82"/>
      <c r="AY57" s="82"/>
      <c r="AZ57" s="82"/>
    </row>
    <row r="58" spans="1:53" x14ac:dyDescent="0.2">
      <c r="A58" s="10" t="s">
        <v>2</v>
      </c>
      <c r="B58" s="3">
        <v>113115</v>
      </c>
      <c r="C58" s="70">
        <v>27842</v>
      </c>
      <c r="D58">
        <v>12919</v>
      </c>
      <c r="E58">
        <v>16810</v>
      </c>
      <c r="F58" s="1">
        <f>B58-C58-E58</f>
        <v>68463</v>
      </c>
      <c r="G58">
        <f>F58/B58</f>
        <v>0.60525129293197188</v>
      </c>
      <c r="H58" s="1">
        <f>$B60*0.0025</f>
        <v>524.79250000000002</v>
      </c>
      <c r="Z58" s="16" t="s">
        <v>40</v>
      </c>
      <c r="AA58" s="13">
        <v>5.3</v>
      </c>
      <c r="AB58" s="13">
        <f t="shared" si="68"/>
        <v>5.3000000000000005E-2</v>
      </c>
      <c r="AC58" s="57">
        <f t="shared" si="69"/>
        <v>3.5262666666666669</v>
      </c>
      <c r="AD58" s="51">
        <v>3.5262666666666669</v>
      </c>
      <c r="AV58" s="82"/>
      <c r="AW58" s="82"/>
      <c r="AX58" s="82"/>
      <c r="AY58" s="82"/>
      <c r="AZ58" s="82"/>
    </row>
    <row r="59" spans="1:53" x14ac:dyDescent="0.2">
      <c r="A59" s="10" t="s">
        <v>29</v>
      </c>
      <c r="B59" s="3">
        <v>96802</v>
      </c>
      <c r="C59" s="70">
        <v>23343</v>
      </c>
      <c r="D59">
        <v>27518</v>
      </c>
      <c r="E59">
        <v>1162</v>
      </c>
      <c r="F59" s="1">
        <f>B59-C59-E59</f>
        <v>72297</v>
      </c>
      <c r="G59">
        <f>F59/B59</f>
        <v>0.74685440383463153</v>
      </c>
      <c r="H59" s="1">
        <f>B60*0.005</f>
        <v>1049.585</v>
      </c>
      <c r="I59" t="s">
        <v>119</v>
      </c>
      <c r="Z59" s="16" t="s">
        <v>20</v>
      </c>
      <c r="AA59" s="13">
        <v>11.7</v>
      </c>
      <c r="AB59" s="13">
        <f t="shared" si="68"/>
        <v>0.11700000000000001</v>
      </c>
      <c r="AC59" s="57">
        <f t="shared" si="69"/>
        <v>7.7844000000000007</v>
      </c>
      <c r="AD59" s="51">
        <v>7.7844000000000007</v>
      </c>
      <c r="AV59" s="82"/>
      <c r="AW59" s="82"/>
      <c r="AX59" s="82"/>
      <c r="AY59" s="82"/>
      <c r="AZ59" s="82"/>
    </row>
    <row r="60" spans="1:53" x14ac:dyDescent="0.2">
      <c r="A60" s="10" t="s">
        <v>30</v>
      </c>
      <c r="B60">
        <f>B58+B59</f>
        <v>209917</v>
      </c>
      <c r="C60" s="71">
        <f>C58+C59</f>
        <v>51185</v>
      </c>
      <c r="D60">
        <f>D58+D59</f>
        <v>40437</v>
      </c>
      <c r="F60">
        <f>F58+F59</f>
        <v>140760</v>
      </c>
      <c r="G60">
        <f>F60/B60</f>
        <v>0.67055074148353877</v>
      </c>
      <c r="H60" s="53">
        <f>H59*2</f>
        <v>2099.17</v>
      </c>
      <c r="I60" t="s">
        <v>150</v>
      </c>
      <c r="Z60" s="16" t="s">
        <v>66</v>
      </c>
      <c r="AA60" s="21">
        <v>2.6</v>
      </c>
      <c r="AB60" s="13">
        <f t="shared" si="68"/>
        <v>2.6000000000000006E-2</v>
      </c>
      <c r="AC60" s="57">
        <f t="shared" si="69"/>
        <v>1.7298666666666671</v>
      </c>
      <c r="AD60" s="51">
        <v>1.7298666666666671</v>
      </c>
      <c r="AV60" s="82"/>
      <c r="AW60" s="82"/>
      <c r="AX60" s="82"/>
      <c r="AY60" s="82"/>
      <c r="AZ60" s="82"/>
    </row>
    <row r="61" spans="1:53" x14ac:dyDescent="0.2">
      <c r="A61" s="10" t="s">
        <v>73</v>
      </c>
      <c r="F61">
        <f>0.025 * F60</f>
        <v>3519</v>
      </c>
      <c r="Z61" s="16" t="s">
        <v>27</v>
      </c>
      <c r="AA61" s="13">
        <v>7.8</v>
      </c>
      <c r="AB61" s="13">
        <f t="shared" si="68"/>
        <v>7.8000000000000014E-2</v>
      </c>
      <c r="AC61" s="57">
        <f t="shared" si="69"/>
        <v>5.1896000000000004</v>
      </c>
      <c r="AD61" s="51">
        <v>5.1896000000000004</v>
      </c>
      <c r="AV61" s="82"/>
      <c r="AW61" s="82"/>
      <c r="AX61" s="82"/>
      <c r="AY61" s="82"/>
      <c r="AZ61" s="82"/>
    </row>
    <row r="62" spans="1:53" x14ac:dyDescent="0.2">
      <c r="Z62" s="16" t="s">
        <v>4</v>
      </c>
      <c r="AA62" s="13">
        <v>6.1</v>
      </c>
      <c r="AB62" s="13">
        <f t="shared" si="68"/>
        <v>6.1000000000000006E-2</v>
      </c>
      <c r="AC62" s="57">
        <f t="shared" si="69"/>
        <v>4.058533333333334</v>
      </c>
      <c r="AD62" s="51">
        <v>4.058533333333334</v>
      </c>
      <c r="AV62" s="82"/>
      <c r="AW62" s="82"/>
      <c r="AX62" s="82"/>
      <c r="AY62" s="82"/>
      <c r="AZ62" s="82"/>
    </row>
    <row r="63" spans="1:53" x14ac:dyDescent="0.2">
      <c r="A63" s="2" t="s">
        <v>143</v>
      </c>
      <c r="B63" t="s">
        <v>70</v>
      </c>
      <c r="Z63" s="16" t="s">
        <v>41</v>
      </c>
      <c r="AA63" s="13">
        <v>6.6</v>
      </c>
      <c r="AB63" s="13">
        <f t="shared" si="68"/>
        <v>6.6000000000000003E-2</v>
      </c>
      <c r="AC63" s="57">
        <f t="shared" si="69"/>
        <v>4.3912000000000004</v>
      </c>
      <c r="AD63" s="51">
        <v>4.3912000000000004</v>
      </c>
      <c r="AV63" s="82"/>
      <c r="AW63" s="82"/>
      <c r="AX63" s="82"/>
      <c r="AY63" s="82"/>
      <c r="AZ63" s="82"/>
    </row>
    <row r="64" spans="1:53" x14ac:dyDescent="0.2">
      <c r="A64" s="2" t="s">
        <v>144</v>
      </c>
      <c r="B64">
        <v>12021</v>
      </c>
      <c r="Z64" s="16" t="s">
        <v>21</v>
      </c>
      <c r="AA64" s="13">
        <v>13.2</v>
      </c>
      <c r="AB64" s="13">
        <f t="shared" si="68"/>
        <v>0.13200000000000001</v>
      </c>
      <c r="AC64" s="57">
        <f t="shared" si="69"/>
        <v>8.7824000000000009</v>
      </c>
      <c r="AD64" s="51">
        <v>8.7824000000000009</v>
      </c>
      <c r="AV64" s="82"/>
      <c r="AW64" s="82"/>
      <c r="AX64" s="82"/>
      <c r="AY64" s="82"/>
      <c r="AZ64" s="82"/>
    </row>
    <row r="65" spans="26:52" x14ac:dyDescent="0.2">
      <c r="Z65" s="16" t="s">
        <v>76</v>
      </c>
      <c r="AA65" s="21">
        <v>2</v>
      </c>
      <c r="AB65" s="21">
        <f t="shared" si="68"/>
        <v>2.0000000000000004E-2</v>
      </c>
      <c r="AC65" s="57">
        <f t="shared" si="69"/>
        <v>1.3306666666666669</v>
      </c>
      <c r="AD65" s="51">
        <v>1.3306666666666669</v>
      </c>
      <c r="AV65" s="82"/>
      <c r="AW65" s="82"/>
      <c r="AX65" s="82"/>
      <c r="AY65" s="82"/>
      <c r="AZ65" s="82"/>
    </row>
    <row r="66" spans="26:52" x14ac:dyDescent="0.2">
      <c r="Z66" s="16" t="s">
        <v>16</v>
      </c>
      <c r="AA66" s="13">
        <v>13.8</v>
      </c>
      <c r="AB66" s="13">
        <f t="shared" si="68"/>
        <v>0.13800000000000004</v>
      </c>
      <c r="AC66" s="57">
        <f t="shared" si="69"/>
        <v>9.1816000000000031</v>
      </c>
      <c r="AD66" s="51">
        <v>9.1816000000000031</v>
      </c>
      <c r="AV66" s="82"/>
      <c r="AW66" s="82"/>
      <c r="AX66" s="82"/>
      <c r="AY66" s="82"/>
      <c r="AZ66" s="82"/>
    </row>
    <row r="67" spans="26:52" x14ac:dyDescent="0.2">
      <c r="Z67" s="16" t="s">
        <v>67</v>
      </c>
      <c r="AA67" s="21">
        <v>5.0999999999999996</v>
      </c>
      <c r="AB67" s="13">
        <f t="shared" si="68"/>
        <v>5.1000000000000004E-2</v>
      </c>
      <c r="AC67" s="57">
        <f t="shared" si="69"/>
        <v>3.3932000000000002</v>
      </c>
      <c r="AD67" s="51">
        <v>3.3932000000000002</v>
      </c>
      <c r="AV67" s="82"/>
      <c r="AW67" s="82"/>
      <c r="AX67" s="82"/>
      <c r="AY67" s="82"/>
      <c r="AZ67" s="82"/>
    </row>
    <row r="68" spans="26:52" x14ac:dyDescent="0.2">
      <c r="Z68" s="16" t="s">
        <v>77</v>
      </c>
      <c r="AA68" s="21">
        <v>2.1</v>
      </c>
      <c r="AB68" s="21">
        <f t="shared" si="68"/>
        <v>2.1000000000000005E-2</v>
      </c>
      <c r="AC68" s="57">
        <f t="shared" si="69"/>
        <v>1.3972000000000002</v>
      </c>
      <c r="AD68" s="51">
        <v>1.3972000000000002</v>
      </c>
      <c r="AV68" s="82"/>
      <c r="AW68" s="82"/>
      <c r="AX68" s="82"/>
      <c r="AY68" s="82"/>
      <c r="AZ68" s="82"/>
    </row>
    <row r="69" spans="26:52" x14ac:dyDescent="0.2">
      <c r="Z69" s="16" t="s">
        <v>22</v>
      </c>
      <c r="AA69" s="13">
        <v>8.3000000000000007</v>
      </c>
      <c r="AB69" s="13">
        <f t="shared" si="68"/>
        <v>8.3000000000000018E-2</v>
      </c>
      <c r="AC69" s="57">
        <f t="shared" si="69"/>
        <v>5.5222666666666678</v>
      </c>
      <c r="AD69" s="52">
        <v>5.5222666666666678</v>
      </c>
      <c r="AV69" s="82"/>
      <c r="AW69" s="82"/>
      <c r="AX69" s="82"/>
      <c r="AY69" s="82"/>
      <c r="AZ69" s="82"/>
    </row>
    <row r="70" spans="26:52" x14ac:dyDescent="0.2">
      <c r="Z70" s="16" t="s">
        <v>5</v>
      </c>
      <c r="AA70" s="13">
        <f>SUM(AA54:AA69)</f>
        <v>99.999999999999986</v>
      </c>
      <c r="AB70" s="13">
        <f t="shared" ref="AB70" si="70">AA70/99.9</f>
        <v>1.0010010010010009</v>
      </c>
      <c r="AC70" s="17"/>
      <c r="AV70" s="82"/>
      <c r="AW70" s="82"/>
      <c r="AX70" s="82"/>
      <c r="AY70" s="82"/>
      <c r="AZ70" s="82"/>
    </row>
    <row r="71" spans="26:52" x14ac:dyDescent="0.2">
      <c r="Z71" s="16" t="s">
        <v>33</v>
      </c>
      <c r="AA71" s="61">
        <f>SUM(I2:I52) / 24</f>
        <v>4.1583333333333332</v>
      </c>
      <c r="AB71" s="13"/>
      <c r="AC71" s="17"/>
      <c r="AV71" s="82"/>
      <c r="AW71" s="82"/>
      <c r="AX71" s="82"/>
      <c r="AY71" s="82"/>
      <c r="AZ71" s="82"/>
    </row>
    <row r="72" spans="26:52" ht="17" thickBot="1" x14ac:dyDescent="0.25">
      <c r="Z72" s="18" t="s">
        <v>78</v>
      </c>
      <c r="AA72" s="62">
        <f>AA71*16</f>
        <v>66.533333333333331</v>
      </c>
      <c r="AB72" s="19"/>
      <c r="AC72" s="20"/>
      <c r="AV72" s="82"/>
      <c r="AW72" s="82"/>
      <c r="AX72" s="82"/>
      <c r="AY72" s="82"/>
      <c r="AZ72" s="82"/>
    </row>
    <row r="73" spans="26:52" x14ac:dyDescent="0.2">
      <c r="Z73" s="47" t="s">
        <v>69</v>
      </c>
      <c r="AA73">
        <f>MEDIAN(AA54:AA69)</f>
        <v>5.6999999999999993</v>
      </c>
      <c r="AV73" s="82"/>
      <c r="AW73" s="82"/>
      <c r="AX73" s="82"/>
      <c r="AY73" s="82"/>
      <c r="AZ73" s="82"/>
    </row>
  </sheetData>
  <sortState xmlns:xlrd2="http://schemas.microsoft.com/office/spreadsheetml/2017/richdata2" ref="A2:AZ52">
    <sortCondition ref="A2:A52"/>
  </sortState>
  <conditionalFormatting sqref="B58:C59 I18:N20 C22:F52 C21:E21 I22:N24 C2:N2 K55 I26:N52 C12:G13 C11:E11 C3:G10 H2:H13 C15:F20 C14:E14 G15:H52 I3:N16 F2:F52">
    <cfRule type="cellIs" dxfId="11" priority="25" operator="between">
      <formula>3000</formula>
      <formula>7000</formula>
    </cfRule>
  </conditionalFormatting>
  <conditionalFormatting sqref="I17:N17">
    <cfRule type="cellIs" dxfId="10" priority="22" operator="between">
      <formula>3000</formula>
      <formula>7000</formula>
    </cfRule>
  </conditionalFormatting>
  <conditionalFormatting sqref="G22:G52">
    <cfRule type="cellIs" dxfId="9" priority="13" operator="between">
      <formula>3000</formula>
      <formula>7000</formula>
    </cfRule>
  </conditionalFormatting>
  <conditionalFormatting sqref="I25:N25">
    <cfRule type="cellIs" dxfId="8" priority="11" operator="between">
      <formula>3000</formula>
      <formula>7000</formula>
    </cfRule>
  </conditionalFormatting>
  <conditionalFormatting sqref="F21">
    <cfRule type="cellIs" dxfId="7" priority="10" operator="between">
      <formula>3000</formula>
      <formula>7000</formula>
    </cfRule>
  </conditionalFormatting>
  <conditionalFormatting sqref="G21">
    <cfRule type="cellIs" dxfId="6" priority="9" operator="between">
      <formula>3000</formula>
      <formula>7000</formula>
    </cfRule>
  </conditionalFormatting>
  <conditionalFormatting sqref="I21:N21">
    <cfRule type="cellIs" dxfId="5" priority="7" operator="between">
      <formula>3000</formula>
      <formula>7000</formula>
    </cfRule>
  </conditionalFormatting>
  <conditionalFormatting sqref="Y2:Y52">
    <cfRule type="colorScale" priority="3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F2:AF52">
    <cfRule type="colorScale" priority="3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52">
    <cfRule type="colorScale" priority="37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F11:G11">
    <cfRule type="cellIs" dxfId="4" priority="4" operator="between">
      <formula>3000</formula>
      <formula>7000</formula>
    </cfRule>
  </conditionalFormatting>
  <conditionalFormatting sqref="H3:H13 H15:H52">
    <cfRule type="cellIs" dxfId="3" priority="3" operator="between">
      <formula>3000</formula>
      <formula>7000</formula>
    </cfRule>
  </conditionalFormatting>
  <conditionalFormatting sqref="F14:H14">
    <cfRule type="cellIs" dxfId="2" priority="2" operator="between">
      <formula>3000</formula>
      <formula>7000</formula>
    </cfRule>
  </conditionalFormatting>
  <conditionalFormatting sqref="H14">
    <cfRule type="cellIs" dxfId="1" priority="1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519.84523191271148</v>
      </c>
      <c r="F2" s="2">
        <v>724</v>
      </c>
      <c r="G2" s="1">
        <f t="shared" ref="G2:G40" si="2">E2-F2</f>
        <v>-204.15476808728852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123.30175388079267</v>
      </c>
      <c r="F3" s="2">
        <f>879-220</f>
        <v>659</v>
      </c>
      <c r="G3" s="1">
        <f t="shared" si="2"/>
        <v>-535.69824611920728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208.48122636849007</v>
      </c>
      <c r="F4" s="2">
        <v>684</v>
      </c>
      <c r="G4" s="1">
        <f t="shared" si="2"/>
        <v>-475.51877363150993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326.12308152255304</v>
      </c>
      <c r="F5" s="2">
        <f>620-207</f>
        <v>413</v>
      </c>
      <c r="G5" s="1">
        <f t="shared" si="2"/>
        <v>-86.876918477446964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153.69515453620605</v>
      </c>
      <c r="F6" s="2">
        <v>217</v>
      </c>
      <c r="G6" s="1">
        <f t="shared" si="2"/>
        <v>-63.304845463793953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117.94080805988867</v>
      </c>
      <c r="F7" s="2">
        <v>464</v>
      </c>
      <c r="G7" s="1">
        <f t="shared" si="2"/>
        <v>-346.0591919401113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118.58887306341173</v>
      </c>
      <c r="F8" s="2">
        <v>279</v>
      </c>
      <c r="G8" s="1">
        <f t="shared" si="2"/>
        <v>-160.41112693658829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311.43491840231229</v>
      </c>
      <c r="F9" s="2">
        <v>387</v>
      </c>
      <c r="G9" s="1">
        <f t="shared" si="2"/>
        <v>-75.565081597687708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461.08546360861828</v>
      </c>
      <c r="F10" s="2">
        <v>268</v>
      </c>
      <c r="G10" s="1">
        <f t="shared" si="2"/>
        <v>193.08546360861828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312.53799367410323</v>
      </c>
      <c r="F11" s="2">
        <v>340</v>
      </c>
      <c r="G11" s="1">
        <f t="shared" si="2"/>
        <v>-27.462006325896766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150.23220240389915</v>
      </c>
      <c r="F12" s="2">
        <v>179</v>
      </c>
      <c r="G12" s="1">
        <f t="shared" si="2"/>
        <v>-28.767797596100849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324.30412990654008</v>
      </c>
      <c r="F13" s="2">
        <v>174</v>
      </c>
      <c r="G13" s="1">
        <f t="shared" si="2"/>
        <v>150.30412990654008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162.15206495327004</v>
      </c>
      <c r="F14" s="2">
        <v>212</v>
      </c>
      <c r="G14" s="1">
        <f t="shared" si="2"/>
        <v>-49.847935046729958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80.414187313560447</v>
      </c>
      <c r="F15" s="2">
        <v>167</v>
      </c>
      <c r="G15" s="1">
        <f t="shared" si="2"/>
        <v>-86.585812686439553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73.538351452730168</v>
      </c>
      <c r="F16" s="2">
        <v>292</v>
      </c>
      <c r="G16" s="1">
        <f t="shared" si="2"/>
        <v>-218.46164854726982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177.962810515607</v>
      </c>
      <c r="F17" s="2">
        <v>143</v>
      </c>
      <c r="G17" s="1">
        <f t="shared" si="2"/>
        <v>34.962810515607003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686.29390448397623</v>
      </c>
      <c r="F18" s="2">
        <v>184</v>
      </c>
      <c r="G18" s="1">
        <f t="shared" si="2"/>
        <v>502.29390448397623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433.87627357110807</v>
      </c>
      <c r="F19" s="2">
        <v>570</v>
      </c>
      <c r="G19" s="1">
        <f t="shared" si="2"/>
        <v>-136.12372642889193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283.86661649082993</v>
      </c>
      <c r="F20" s="2">
        <v>345</v>
      </c>
      <c r="G20" s="1">
        <f t="shared" si="2"/>
        <v>-61.133383509170073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557.28930665699681</v>
      </c>
      <c r="F21" s="2">
        <v>139</v>
      </c>
      <c r="G21" s="1">
        <f t="shared" si="2"/>
        <v>418.28930665699681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207.58573683353259</v>
      </c>
      <c r="F22" s="2">
        <v>137</v>
      </c>
      <c r="G22" s="1">
        <f t="shared" si="2"/>
        <v>70.585736833532593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406.13601411308565</v>
      </c>
      <c r="F23" s="2">
        <v>183</v>
      </c>
      <c r="G23" s="1">
        <f t="shared" si="2"/>
        <v>223.13601411308565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381.17033228163564</v>
      </c>
      <c r="F24" s="2">
        <v>137</v>
      </c>
      <c r="G24" s="1">
        <f t="shared" si="2"/>
        <v>244.17033228163564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523.65556994217366</v>
      </c>
      <c r="F25" s="2">
        <v>182</v>
      </c>
      <c r="G25" s="1">
        <f t="shared" si="2"/>
        <v>341.65556994217366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492.70695473329204</v>
      </c>
      <c r="F26" s="2">
        <v>265</v>
      </c>
      <c r="G26" s="1">
        <f t="shared" si="2"/>
        <v>227.70695473329204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734.70055908894085</v>
      </c>
      <c r="F27" s="2">
        <v>282</v>
      </c>
      <c r="G27" s="1">
        <f t="shared" si="2"/>
        <v>452.70055908894085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209.24282392110049</v>
      </c>
      <c r="F28" s="2">
        <v>262</v>
      </c>
      <c r="G28" s="1">
        <f t="shared" si="2"/>
        <v>-52.757176078899505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405.04923980163784</v>
      </c>
      <c r="F29" s="2">
        <v>341</v>
      </c>
      <c r="G29" s="1">
        <f t="shared" si="2"/>
        <v>64.049239801637839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182.89137683952933</v>
      </c>
      <c r="F30" s="2">
        <v>60</v>
      </c>
      <c r="G30" s="1">
        <f t="shared" si="2"/>
        <v>122.89137683952933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220.61505435819055</v>
      </c>
      <c r="F31" s="2">
        <v>223</v>
      </c>
      <c r="G31" s="1">
        <f t="shared" si="2"/>
        <v>-2.3849456418094519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177.70542628552249</v>
      </c>
      <c r="F32" s="2">
        <v>208</v>
      </c>
      <c r="G32" s="1">
        <f t="shared" si="2"/>
        <v>-30.294573714477508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104.13030565706592</v>
      </c>
      <c r="F33" s="2">
        <v>305</v>
      </c>
      <c r="G33" s="1">
        <f t="shared" si="2"/>
        <v>-200.86969434293408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355.92562103121412</v>
      </c>
      <c r="F34" s="2">
        <v>0</v>
      </c>
      <c r="G34" s="1">
        <f t="shared" si="2"/>
        <v>355.92562103121412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605.41349580011968</v>
      </c>
      <c r="F35" s="2">
        <v>0</v>
      </c>
      <c r="G35" s="1">
        <f t="shared" si="2"/>
        <v>605.41349580011968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307.39030907241209</v>
      </c>
      <c r="F36" s="2">
        <v>226</v>
      </c>
      <c r="G36" s="1">
        <f t="shared" si="2"/>
        <v>81.390309072412094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469.17468226841856</v>
      </c>
      <c r="F37" s="2">
        <v>0</v>
      </c>
      <c r="G37" s="1">
        <f t="shared" si="2"/>
        <v>469.17468226841856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153.69515453620605</v>
      </c>
      <c r="F38" s="2">
        <v>0</v>
      </c>
      <c r="G38" s="1">
        <f t="shared" si="2"/>
        <v>153.69515453620605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268.41498280246515</v>
      </c>
      <c r="F39" s="2">
        <v>0</v>
      </c>
      <c r="G39" s="1">
        <f t="shared" si="2"/>
        <v>268.41498280246515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327.61335572191297</v>
      </c>
      <c r="F40" s="2">
        <v>0</v>
      </c>
      <c r="G40" s="1">
        <f t="shared" si="2"/>
        <v>327.61335572191297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12116.181347866057</v>
      </c>
      <c r="F41" s="12">
        <f>SUM(F2:F40)</f>
        <v>9651</v>
      </c>
      <c r="G41" s="12">
        <f>SUM(G2:G40)</f>
        <v>2465.1813478660606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Damian!G60</f>
        <v>0.67055074148353877</v>
      </c>
      <c r="C45" s="1">
        <f>A45*B45</f>
        <v>12116.181347866062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 t="shared" ref="AW22:AW26" si="33"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 t="shared" si="33"/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 t="shared" si="33"/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 t="shared" si="33"/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 t="shared" si="33"/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4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5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4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5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4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5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4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5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4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5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4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5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4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5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4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5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4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5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6">SUM(C2:C45)</f>
        <v>203782</v>
      </c>
      <c r="D46" s="4">
        <f t="shared" si="36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6"/>
        <v>61.950671690208722</v>
      </c>
      <c r="L46" s="4">
        <f t="shared" si="36"/>
        <v>1.0000000000000002</v>
      </c>
      <c r="M46" s="4">
        <f t="shared" si="36"/>
        <v>1</v>
      </c>
      <c r="N46" s="4"/>
      <c r="O46" s="4">
        <f t="shared" si="36"/>
        <v>44</v>
      </c>
      <c r="P46" s="4">
        <f t="shared" si="36"/>
        <v>0.99999999999999944</v>
      </c>
      <c r="Q46" s="4">
        <f t="shared" si="36"/>
        <v>2.2727272727272735E-2</v>
      </c>
      <c r="R46" s="28">
        <f t="shared" si="36"/>
        <v>0.99999999999999967</v>
      </c>
      <c r="S46" s="12">
        <f t="shared" si="36"/>
        <v>57550</v>
      </c>
      <c r="T46" s="12">
        <f t="shared" si="36"/>
        <v>54409</v>
      </c>
      <c r="U46" s="12">
        <f t="shared" si="36"/>
        <v>-4019.2632781139</v>
      </c>
      <c r="V46" s="4"/>
      <c r="W46" s="4">
        <f t="shared" si="36"/>
        <v>82.405089314454443</v>
      </c>
      <c r="X46" s="4">
        <f t="shared" si="36"/>
        <v>0.99999999999999956</v>
      </c>
      <c r="Y46" s="4">
        <f t="shared" si="36"/>
        <v>2.3020637920777184E-2</v>
      </c>
      <c r="Z46" s="28">
        <f t="shared" si="36"/>
        <v>0.99999999999999944</v>
      </c>
      <c r="AA46" s="4"/>
      <c r="AB46" s="4"/>
      <c r="AC46" s="4"/>
      <c r="AD46" s="12">
        <f t="shared" ref="AD46:AH46" si="37">SUM(AD2:AD45)</f>
        <v>61856</v>
      </c>
      <c r="AE46" s="12">
        <f t="shared" si="37"/>
        <v>65993</v>
      </c>
      <c r="AF46" s="12">
        <f t="shared" si="37"/>
        <v>4136.9999999999891</v>
      </c>
      <c r="AG46" s="12">
        <f t="shared" si="37"/>
        <v>117.73672188608452</v>
      </c>
      <c r="AH46" s="12">
        <f t="shared" si="37"/>
        <v>119406</v>
      </c>
      <c r="AI46" s="60">
        <f>SUM(AI2:AI45)</f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8">AB47/$AB$63</f>
        <v>3.5035035035035036E-2</v>
      </c>
      <c r="AD47" s="56">
        <f t="shared" ref="AD47:AD62" si="39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8"/>
        <v>2.3023023023023025E-2</v>
      </c>
      <c r="AD48" s="57">
        <f t="shared" si="39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8"/>
        <v>2.4024024024024024E-2</v>
      </c>
      <c r="AD49" s="57">
        <f t="shared" si="39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8"/>
        <v>6.2062062062062072E-2</v>
      </c>
      <c r="AD50" s="57">
        <f t="shared" si="39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8"/>
        <v>4.2042042042042045E-2</v>
      </c>
      <c r="AD51" s="57">
        <f t="shared" si="39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8"/>
        <v>0.12512512512512514</v>
      </c>
      <c r="AD52" s="57">
        <f t="shared" si="39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8"/>
        <v>2.8028028028028028E-2</v>
      </c>
      <c r="AD53" s="57">
        <f t="shared" si="39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8"/>
        <v>8.3083083083083098E-2</v>
      </c>
      <c r="AD54" s="57">
        <f t="shared" si="39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8"/>
        <v>7.1071071071071079E-2</v>
      </c>
      <c r="AD55" s="57">
        <f t="shared" si="39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8"/>
        <v>5.9059059059059067E-2</v>
      </c>
      <c r="AD56" s="57">
        <f t="shared" si="39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8"/>
        <v>0.13113113113113115</v>
      </c>
      <c r="AD57" s="57">
        <f t="shared" si="39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8"/>
        <v>1.5015015015015017E-2</v>
      </c>
      <c r="AD58" s="57">
        <f t="shared" si="39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8"/>
        <v>0.12112112112112113</v>
      </c>
      <c r="AD59" s="57">
        <f t="shared" si="39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8"/>
        <v>4.7047047047047055E-2</v>
      </c>
      <c r="AD60" s="57">
        <f t="shared" si="39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8"/>
        <v>2.5025025025025027E-2</v>
      </c>
      <c r="AD61" s="57">
        <f t="shared" si="39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8"/>
        <v>0.10810810810810813</v>
      </c>
      <c r="AD62" s="57">
        <f t="shared" si="39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 t="shared" ref="AC63" si="40"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0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2021-07-30T06:09:40Z</dcterms:modified>
</cp:coreProperties>
</file>