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QUI\Music\"/>
    </mc:Choice>
  </mc:AlternateContent>
  <bookViews>
    <workbookView xWindow="0" yWindow="0" windowWidth="16860" windowHeight="8603" activeTab="1"/>
  </bookViews>
  <sheets>
    <sheet name="Scenario PivotTable" sheetId="6" r:id="rId1"/>
    <sheet name="Sheet1" sheetId="1" r:id="rId2"/>
  </sheets>
  <calcPr calcId="152511"/>
  <pivotCaches>
    <pivotCache cacheId="2" r:id="rId3"/>
  </pivotCaches>
</workbook>
</file>

<file path=xl/calcChain.xml><?xml version="1.0" encoding="utf-8"?>
<calcChain xmlns="http://schemas.openxmlformats.org/spreadsheetml/2006/main">
  <c r="B59" i="1" l="1"/>
  <c r="D54" i="1"/>
  <c r="E54" i="1"/>
  <c r="F54" i="1"/>
  <c r="G54" i="1"/>
  <c r="H54" i="1"/>
  <c r="I54" i="1"/>
  <c r="J54" i="1"/>
  <c r="C54" i="1"/>
  <c r="I31" i="1" l="1"/>
  <c r="I38" i="1" s="1"/>
  <c r="J31" i="1"/>
  <c r="J38" i="1" s="1"/>
  <c r="E31" i="1"/>
  <c r="E38" i="1" s="1"/>
  <c r="F31" i="1"/>
  <c r="F38" i="1" s="1"/>
  <c r="G31" i="1"/>
  <c r="G38" i="1" s="1"/>
  <c r="H31" i="1"/>
  <c r="H38" i="1" s="1"/>
  <c r="C31" i="1"/>
  <c r="C38" i="1" s="1"/>
  <c r="D31" i="1"/>
  <c r="D38" i="1" s="1"/>
  <c r="B31" i="1"/>
  <c r="D23" i="1"/>
  <c r="E23" i="1"/>
  <c r="F23" i="1"/>
  <c r="G23" i="1"/>
  <c r="H23" i="1"/>
  <c r="I23" i="1"/>
  <c r="J23" i="1"/>
  <c r="J24" i="1"/>
  <c r="J25" i="1"/>
  <c r="J34" i="1"/>
  <c r="J35" i="1"/>
  <c r="I24" i="1"/>
  <c r="I25" i="1"/>
  <c r="I34" i="1"/>
  <c r="I35" i="1"/>
  <c r="H24" i="1"/>
  <c r="H25" i="1"/>
  <c r="H34" i="1"/>
  <c r="H35" i="1"/>
  <c r="G24" i="1"/>
  <c r="G25" i="1"/>
  <c r="G34" i="1"/>
  <c r="G35" i="1"/>
  <c r="F24" i="1"/>
  <c r="F25" i="1"/>
  <c r="F34" i="1"/>
  <c r="F35" i="1"/>
  <c r="E24" i="1"/>
  <c r="E25" i="1"/>
  <c r="E34" i="1"/>
  <c r="E35" i="1"/>
  <c r="D24" i="1"/>
  <c r="D25" i="1"/>
  <c r="D34" i="1"/>
  <c r="D35" i="1"/>
  <c r="C24" i="1"/>
  <c r="C25" i="1"/>
  <c r="C34" i="1"/>
  <c r="C35" i="1"/>
  <c r="C40" i="1"/>
  <c r="D40" i="1"/>
  <c r="E40" i="1"/>
  <c r="F40" i="1"/>
  <c r="G40" i="1"/>
  <c r="H40" i="1"/>
  <c r="I40" i="1"/>
  <c r="J40" i="1"/>
  <c r="B40" i="1"/>
  <c r="B41" i="1" s="1"/>
  <c r="C39" i="1"/>
  <c r="D39" i="1"/>
  <c r="E39" i="1"/>
  <c r="F39" i="1"/>
  <c r="G39" i="1"/>
  <c r="H39" i="1"/>
  <c r="I39" i="1"/>
  <c r="J39" i="1"/>
  <c r="B39" i="1"/>
  <c r="J37" i="1" l="1"/>
  <c r="J41" i="1" s="1"/>
  <c r="J43" i="1" s="1"/>
  <c r="J44" i="1" s="1"/>
  <c r="J45" i="1" s="1"/>
  <c r="I37" i="1"/>
  <c r="I41" i="1" s="1"/>
  <c r="I43" i="1" s="1"/>
  <c r="I44" i="1" s="1"/>
  <c r="I45" i="1" s="1"/>
  <c r="I59" i="1" s="1"/>
  <c r="G37" i="1"/>
  <c r="G41" i="1" s="1"/>
  <c r="G43" i="1" s="1"/>
  <c r="G44" i="1" s="1"/>
  <c r="G45" i="1" s="1"/>
  <c r="G59" i="1" s="1"/>
  <c r="D37" i="1"/>
  <c r="D41" i="1" s="1"/>
  <c r="D43" i="1" s="1"/>
  <c r="D44" i="1" s="1"/>
  <c r="D45" i="1" s="1"/>
  <c r="D59" i="1" s="1"/>
  <c r="C37" i="1"/>
  <c r="C41" i="1" s="1"/>
  <c r="C43" i="1" s="1"/>
  <c r="C44" i="1" s="1"/>
  <c r="C45" i="1" s="1"/>
  <c r="C59" i="1" s="1"/>
  <c r="F37" i="1"/>
  <c r="F41" i="1" s="1"/>
  <c r="F43" i="1" s="1"/>
  <c r="F44" i="1" s="1"/>
  <c r="F45" i="1" s="1"/>
  <c r="F59" i="1" s="1"/>
  <c r="E37" i="1"/>
  <c r="E41" i="1" s="1"/>
  <c r="E43" i="1" s="1"/>
  <c r="E44" i="1" s="1"/>
  <c r="E45" i="1" s="1"/>
  <c r="E59" i="1" s="1"/>
  <c r="H37" i="1"/>
  <c r="H41" i="1" s="1"/>
  <c r="H43" i="1" s="1"/>
  <c r="H44" i="1" s="1"/>
  <c r="H45" i="1" s="1"/>
  <c r="H59" i="1" s="1"/>
  <c r="B43" i="1"/>
  <c r="B44" i="1" s="1"/>
  <c r="B45" i="1" s="1"/>
  <c r="J46" i="1" l="1"/>
  <c r="J48" i="1" s="1"/>
  <c r="J55" i="1" s="1"/>
  <c r="J59" i="1"/>
  <c r="B61" i="1" s="1"/>
  <c r="B46" i="1"/>
  <c r="B49" i="1" s="1"/>
  <c r="I46" i="1"/>
  <c r="I49" i="1" s="1"/>
  <c r="I56" i="1" s="1"/>
  <c r="E46" i="1"/>
  <c r="E49" i="1" s="1"/>
  <c r="E56" i="1" s="1"/>
  <c r="F46" i="1"/>
  <c r="F48" i="1" s="1"/>
  <c r="F55" i="1" s="1"/>
  <c r="G46" i="1"/>
  <c r="G48" i="1" s="1"/>
  <c r="G55" i="1" s="1"/>
  <c r="H46" i="1"/>
  <c r="H49" i="1" s="1"/>
  <c r="H56" i="1" s="1"/>
  <c r="C46" i="1"/>
  <c r="C49" i="1" s="1"/>
  <c r="C56" i="1" s="1"/>
  <c r="D46" i="1"/>
  <c r="D48" i="1" s="1"/>
  <c r="D55" i="1" s="1"/>
  <c r="J49" i="1" l="1"/>
  <c r="J56" i="1" s="1"/>
  <c r="G49" i="1"/>
  <c r="G56" i="1" s="1"/>
  <c r="B48" i="1"/>
  <c r="E48" i="1"/>
  <c r="E55" i="1" s="1"/>
  <c r="C48" i="1"/>
  <c r="C55" i="1" s="1"/>
  <c r="I48" i="1"/>
  <c r="I55" i="1" s="1"/>
  <c r="D49" i="1"/>
  <c r="D56" i="1" s="1"/>
  <c r="H48" i="1"/>
  <c r="H55" i="1" s="1"/>
  <c r="F49" i="1"/>
  <c r="F56" i="1" s="1"/>
  <c r="J50" i="1" l="1"/>
  <c r="G50" i="1"/>
  <c r="E50" i="1"/>
  <c r="C50" i="1"/>
  <c r="I50" i="1"/>
  <c r="F50" i="1"/>
  <c r="H50" i="1"/>
  <c r="D50" i="1"/>
</calcChain>
</file>

<file path=xl/sharedStrings.xml><?xml version="1.0" encoding="utf-8"?>
<sst xmlns="http://schemas.openxmlformats.org/spreadsheetml/2006/main" count="85" uniqueCount="57">
  <si>
    <t xml:space="preserve">Constant </t>
  </si>
  <si>
    <t>Income Tax Rate</t>
  </si>
  <si>
    <t xml:space="preserve">N/A </t>
  </si>
  <si>
    <t xml:space="preserve">Cash Needed to Start Year </t>
  </si>
  <si>
    <t xml:space="preserve">Decline Rate </t>
  </si>
  <si>
    <t xml:space="preserve">Initial Production Rate </t>
  </si>
  <si>
    <t>N/A </t>
  </si>
  <si>
    <t>N/A</t>
  </si>
  <si>
    <t xml:space="preserve">Interest on Junk Bonds </t>
  </si>
  <si>
    <t>Inputs</t>
  </si>
  <si>
    <t>Price per Barrel</t>
  </si>
  <si>
    <t xml:space="preserve">Interest Rate on New Debt </t>
  </si>
  <si>
    <t xml:space="preserve">Requested Investment </t>
  </si>
  <si>
    <t xml:space="preserve">Summary of Key Results </t>
  </si>
  <si>
    <t xml:space="preserve">Net Income After Taxes </t>
  </si>
  <si>
    <t>End-of-Year Cash on Hand</t>
  </si>
  <si>
    <t xml:space="preserve">End-of-Year Debt Owed </t>
  </si>
  <si>
    <t xml:space="preserve">Net Present Value of Investment </t>
  </si>
  <si>
    <t xml:space="preserve">Calculations </t>
  </si>
  <si>
    <t>Initial Production Rate/Day (IPR)</t>
  </si>
  <si>
    <t xml:space="preserve">Average Production/Day </t>
  </si>
  <si>
    <t xml:space="preserve">Barrels of Oil Produced in the Year </t>
  </si>
  <si>
    <t xml:space="preserve">Income and Cash Flow Statement </t>
  </si>
  <si>
    <t xml:space="preserve">Beginning of the Year Cash on Hand </t>
  </si>
  <si>
    <t xml:space="preserve">Revenue </t>
  </si>
  <si>
    <t xml:space="preserve">Out of Pocket Cash and Expenses </t>
  </si>
  <si>
    <t>Oil Transport (12/barrel)</t>
  </si>
  <si>
    <t>Well Operations (3/barrel)</t>
  </si>
  <si>
    <t xml:space="preserve">General Administrative </t>
  </si>
  <si>
    <t xml:space="preserve">Royalities to Land Owners </t>
  </si>
  <si>
    <t>Severance Taxes</t>
  </si>
  <si>
    <t xml:space="preserve">Interest on New Debt </t>
  </si>
  <si>
    <t>Total Out of Pocket Costs and Expenses</t>
  </si>
  <si>
    <t xml:space="preserve">Income Before Taxes </t>
  </si>
  <si>
    <t xml:space="preserve">Income Tax Expense </t>
  </si>
  <si>
    <t xml:space="preserve">Net Income After Income Tax Expense </t>
  </si>
  <si>
    <t>Net Cash Position (NCP)</t>
  </si>
  <si>
    <t xml:space="preserve">Borrowing and Repayment of Debt </t>
  </si>
  <si>
    <t xml:space="preserve">Add: Increase in Borrowing </t>
  </si>
  <si>
    <t xml:space="preserve">Less:Repayment of Debt </t>
  </si>
  <si>
    <t xml:space="preserve">Debt Owed </t>
  </si>
  <si>
    <t xml:space="preserve">Beginning of the Year Debt Owed </t>
  </si>
  <si>
    <t xml:space="preserve">End-of-the-Year Debt Owed </t>
  </si>
  <si>
    <t xml:space="preserve">Net Present Value Data </t>
  </si>
  <si>
    <t>Net Value at 15%</t>
  </si>
  <si>
    <t>Row Labels</t>
  </si>
  <si>
    <t>His 110</t>
  </si>
  <si>
    <t>His 50</t>
  </si>
  <si>
    <t>His 70</t>
  </si>
  <si>
    <t>His 90</t>
  </si>
  <si>
    <t>Yours 110</t>
  </si>
  <si>
    <t>Yours 50</t>
  </si>
  <si>
    <t>Yours 70</t>
  </si>
  <si>
    <t>Yours 90</t>
  </si>
  <si>
    <t>$B$11:$J$11,$B$13:$J$13 by</t>
  </si>
  <si>
    <t>(All)</t>
  </si>
  <si>
    <t>NPV @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</si>
</sst>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9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3" fontId="0" fillId="0" borderId="0" xfId="0" applyNumberFormat="1"/>
    <xf numFmtId="168" fontId="1" fillId="0" borderId="1" xfId="1" applyNumberFormat="1" applyFont="1" applyBorder="1"/>
    <xf numFmtId="168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mon Quire" refreshedDate="42694.552255555558" createdVersion="5" refreshedVersion="5" minRefreshableVersion="3" recordCount="8">
  <cacheSource type="scenario"/>
  <cacheFields count="3">
    <cacheField name="$B$11:$J$11,$B$13:$J$13" numFmtId="0">
      <sharedItems containsNonDate="0" count="8">
        <s v="His 50"/>
        <s v="His 70"/>
        <s v="His 90"/>
        <s v="His 110"/>
        <s v="Yours 50"/>
        <s v="Yours 70"/>
        <s v="Yours 90"/>
        <s v="Yours 110"/>
      </sharedItems>
    </cacheField>
    <cacheField name="$B$11:$J$11,$B$13:$J$13 by" numFmtId="0">
      <sharedItems containsNonDate="0" count="1">
        <s v="Damon Quire"/>
      </sharedItems>
    </cacheField>
    <cacheField name="res $B$61" numFmtId="0">
      <sharedItems containsSemiMixedTypes="0" containsNonDate="0" containsString="0" containsNumber="1" minValue="-8258719.2918329556" maxValue="4707349.328306105" count="8">
        <n v="-8258719.2918329556"/>
        <n v="-5569771.3445509421"/>
        <n v="-2922762.1989885047"/>
        <n v="-292650.67169389501"/>
        <n v="-3258719.291832956"/>
        <n v="-569771.34455094207"/>
        <n v="2077237.8010114953"/>
        <n v="4707349.328306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B11" firstHeaderRow="1" firstDataRow="1" firstDataCol="1" rowPageCount="1" colPageCount="1"/>
  <pivotFields count="3">
    <pivotField axis="axisRow" showAll="0" defaultSubtotal="0">
      <items count="8">
        <item x="3"/>
        <item x="0"/>
        <item x="1"/>
        <item x="2"/>
        <item x="7"/>
        <item x="4"/>
        <item x="5"/>
        <item x="6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ageFields count="1">
    <pageField fld="1" hier="-1"/>
  </pageFields>
  <dataFields count="1">
    <dataField name="NPV @ 15%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4.25" x14ac:dyDescent="0.45"/>
  <cols>
    <col min="1" max="1" width="24.1328125" bestFit="1" customWidth="1"/>
    <col min="2" max="2" width="12.33203125" bestFit="1" customWidth="1"/>
  </cols>
  <sheetData>
    <row r="1" spans="1:2" x14ac:dyDescent="0.45">
      <c r="A1" s="13" t="s">
        <v>54</v>
      </c>
      <c r="B1" t="s">
        <v>55</v>
      </c>
    </row>
    <row r="3" spans="1:2" x14ac:dyDescent="0.45">
      <c r="A3" s="13" t="s">
        <v>45</v>
      </c>
      <c r="B3" t="s">
        <v>56</v>
      </c>
    </row>
    <row r="4" spans="1:2" x14ac:dyDescent="0.45">
      <c r="A4" s="14" t="s">
        <v>46</v>
      </c>
      <c r="B4" s="15">
        <v>-292650.67169389501</v>
      </c>
    </row>
    <row r="5" spans="1:2" x14ac:dyDescent="0.45">
      <c r="A5" s="14" t="s">
        <v>47</v>
      </c>
      <c r="B5" s="15">
        <v>-8258719.2918329556</v>
      </c>
    </row>
    <row r="6" spans="1:2" x14ac:dyDescent="0.45">
      <c r="A6" s="14" t="s">
        <v>48</v>
      </c>
      <c r="B6" s="15">
        <v>-5569771.3445509421</v>
      </c>
    </row>
    <row r="7" spans="1:2" x14ac:dyDescent="0.45">
      <c r="A7" s="14" t="s">
        <v>49</v>
      </c>
      <c r="B7" s="15">
        <v>-2922762.1989885047</v>
      </c>
    </row>
    <row r="8" spans="1:2" x14ac:dyDescent="0.45">
      <c r="A8" s="14" t="s">
        <v>50</v>
      </c>
      <c r="B8" s="15">
        <v>4707349.328306105</v>
      </c>
    </row>
    <row r="9" spans="1:2" x14ac:dyDescent="0.45">
      <c r="A9" s="14" t="s">
        <v>51</v>
      </c>
      <c r="B9" s="15">
        <v>-3258719.291832956</v>
      </c>
    </row>
    <row r="10" spans="1:2" x14ac:dyDescent="0.45">
      <c r="A10" s="14" t="s">
        <v>52</v>
      </c>
      <c r="B10" s="15">
        <v>-569771.34455094207</v>
      </c>
    </row>
    <row r="11" spans="1:2" x14ac:dyDescent="0.45">
      <c r="A11" s="14" t="s">
        <v>53</v>
      </c>
      <c r="B11" s="15">
        <v>2077237.8010114953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topLeftCell="A23" workbookViewId="0">
      <selection activeCell="B61" sqref="B61"/>
    </sheetView>
  </sheetViews>
  <sheetFormatPr defaultRowHeight="14.25" x14ac:dyDescent="0.45"/>
  <cols>
    <col min="1" max="1" width="36.3984375" bestFit="1" customWidth="1"/>
    <col min="2" max="2" width="14.3984375" bestFit="1" customWidth="1"/>
    <col min="3" max="3" width="15" bestFit="1" customWidth="1"/>
    <col min="4" max="9" width="13.3984375" bestFit="1" customWidth="1"/>
    <col min="10" max="10" width="12.86328125" bestFit="1" customWidth="1"/>
  </cols>
  <sheetData>
    <row r="2" spans="1:10" ht="15.75" x14ac:dyDescent="0.5">
      <c r="A2" s="5" t="s">
        <v>0</v>
      </c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>
        <v>2022</v>
      </c>
      <c r="I2" s="2">
        <v>2023</v>
      </c>
      <c r="J2" s="2">
        <v>2024</v>
      </c>
    </row>
    <row r="3" spans="1:10" x14ac:dyDescent="0.45">
      <c r="A3" t="s">
        <v>1</v>
      </c>
      <c r="B3" s="2" t="s">
        <v>2</v>
      </c>
      <c r="C3" s="4">
        <v>0.2</v>
      </c>
      <c r="D3" s="4">
        <v>0.2</v>
      </c>
      <c r="E3" s="4">
        <v>0.2</v>
      </c>
      <c r="F3" s="4">
        <v>0.2</v>
      </c>
      <c r="G3" s="4">
        <v>0.2</v>
      </c>
      <c r="H3" s="4">
        <v>0.2</v>
      </c>
      <c r="I3" s="4">
        <v>0.2</v>
      </c>
      <c r="J3" s="4">
        <v>0.2</v>
      </c>
    </row>
    <row r="4" spans="1:10" x14ac:dyDescent="0.45">
      <c r="A4" t="s">
        <v>3</v>
      </c>
      <c r="B4" s="3" t="s">
        <v>2</v>
      </c>
      <c r="C4" s="1">
        <v>1000000</v>
      </c>
      <c r="D4" s="1">
        <v>1000000</v>
      </c>
      <c r="E4" s="1">
        <v>1000000</v>
      </c>
      <c r="F4" s="1">
        <v>1000000</v>
      </c>
      <c r="G4" s="1">
        <v>1000000</v>
      </c>
      <c r="H4" s="1">
        <v>1000000</v>
      </c>
      <c r="I4" s="1">
        <v>1000000</v>
      </c>
      <c r="J4" s="1">
        <v>1000000</v>
      </c>
    </row>
    <row r="5" spans="1:10" x14ac:dyDescent="0.45">
      <c r="A5" t="s">
        <v>4</v>
      </c>
      <c r="B5" s="3" t="s">
        <v>2</v>
      </c>
      <c r="C5">
        <v>0.7</v>
      </c>
      <c r="D5">
        <v>0.3</v>
      </c>
      <c r="E5">
        <v>0.25</v>
      </c>
      <c r="F5">
        <v>0.25</v>
      </c>
      <c r="G5">
        <v>0.2</v>
      </c>
      <c r="H5">
        <v>0.2</v>
      </c>
      <c r="I5">
        <v>0.2</v>
      </c>
      <c r="J5">
        <v>0.2</v>
      </c>
    </row>
    <row r="6" spans="1:10" x14ac:dyDescent="0.45">
      <c r="A6" t="s">
        <v>5</v>
      </c>
      <c r="B6" s="2" t="s">
        <v>6</v>
      </c>
      <c r="C6" s="2">
        <v>500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</row>
    <row r="7" spans="1:10" x14ac:dyDescent="0.45">
      <c r="A7" t="s">
        <v>8</v>
      </c>
      <c r="B7" s="2" t="s">
        <v>2</v>
      </c>
      <c r="C7" s="1">
        <v>500000</v>
      </c>
      <c r="D7" s="1">
        <v>500000</v>
      </c>
      <c r="E7" s="1">
        <v>500000</v>
      </c>
      <c r="F7" s="1">
        <v>500000</v>
      </c>
      <c r="G7" s="1">
        <v>500000</v>
      </c>
      <c r="H7" s="1">
        <v>500000</v>
      </c>
      <c r="I7" s="1">
        <v>500000</v>
      </c>
      <c r="J7" s="1">
        <v>500000</v>
      </c>
    </row>
    <row r="10" spans="1:10" ht="15.75" x14ac:dyDescent="0.5">
      <c r="A10" s="5" t="s">
        <v>9</v>
      </c>
      <c r="B10">
        <v>2016</v>
      </c>
      <c r="C10">
        <v>2017</v>
      </c>
      <c r="D10">
        <v>2018</v>
      </c>
      <c r="E10">
        <v>2019</v>
      </c>
      <c r="F10">
        <v>2020</v>
      </c>
      <c r="G10">
        <v>2021</v>
      </c>
      <c r="H10">
        <v>2022</v>
      </c>
      <c r="I10">
        <v>2023</v>
      </c>
      <c r="J10">
        <v>2024</v>
      </c>
    </row>
    <row r="11" spans="1:10" x14ac:dyDescent="0.45">
      <c r="A11" t="s">
        <v>10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</row>
    <row r="12" spans="1:10" x14ac:dyDescent="0.45">
      <c r="A12" t="s">
        <v>11</v>
      </c>
      <c r="B12" t="s">
        <v>2</v>
      </c>
      <c r="C12" s="6">
        <v>0.04</v>
      </c>
      <c r="D12" s="6">
        <v>0.04</v>
      </c>
      <c r="E12" s="6">
        <v>0.04</v>
      </c>
      <c r="F12" s="6">
        <v>0.04</v>
      </c>
      <c r="G12" s="6">
        <v>0.04</v>
      </c>
      <c r="H12" s="6">
        <v>0.04</v>
      </c>
      <c r="I12" s="6">
        <v>0.04</v>
      </c>
      <c r="J12" s="6">
        <v>0.04</v>
      </c>
    </row>
    <row r="13" spans="1:10" x14ac:dyDescent="0.45">
      <c r="A13" t="s">
        <v>12</v>
      </c>
      <c r="B13" s="9">
        <v>10000000</v>
      </c>
      <c r="C13">
        <v>10000000</v>
      </c>
      <c r="D13">
        <v>10000000</v>
      </c>
      <c r="E13">
        <v>10000000</v>
      </c>
      <c r="F13">
        <v>10000000</v>
      </c>
      <c r="G13">
        <v>10000000</v>
      </c>
      <c r="H13">
        <v>10000000</v>
      </c>
      <c r="I13">
        <v>10000000</v>
      </c>
      <c r="J13">
        <v>10000000</v>
      </c>
    </row>
    <row r="15" spans="1:10" ht="15.75" x14ac:dyDescent="0.5">
      <c r="A15" s="5" t="s">
        <v>13</v>
      </c>
      <c r="B15" s="2">
        <v>2016</v>
      </c>
      <c r="C15" s="2">
        <v>2017</v>
      </c>
      <c r="D15" s="2">
        <v>2018</v>
      </c>
      <c r="E15" s="2">
        <v>2019</v>
      </c>
      <c r="F15" s="2">
        <v>2020</v>
      </c>
      <c r="G15" s="2">
        <v>2021</v>
      </c>
      <c r="H15" s="2">
        <v>2022</v>
      </c>
      <c r="I15" s="2">
        <v>2023</v>
      </c>
      <c r="J15" s="2">
        <v>2024</v>
      </c>
    </row>
    <row r="16" spans="1:10" x14ac:dyDescent="0.45">
      <c r="A16" t="s">
        <v>14</v>
      </c>
      <c r="B16" s="2" t="s">
        <v>2</v>
      </c>
    </row>
    <row r="17" spans="1:10" x14ac:dyDescent="0.45">
      <c r="A17" t="s">
        <v>15</v>
      </c>
      <c r="B17" s="2" t="s">
        <v>2</v>
      </c>
    </row>
    <row r="18" spans="1:10" x14ac:dyDescent="0.45">
      <c r="A18" t="s">
        <v>16</v>
      </c>
      <c r="B18" s="2" t="s">
        <v>2</v>
      </c>
    </row>
    <row r="19" spans="1:10" x14ac:dyDescent="0.45">
      <c r="A19" t="s">
        <v>17</v>
      </c>
      <c r="B19" s="2" t="s">
        <v>2</v>
      </c>
    </row>
    <row r="22" spans="1:10" ht="15.75" x14ac:dyDescent="0.5">
      <c r="A22" s="5" t="s">
        <v>18</v>
      </c>
      <c r="B22">
        <v>2016</v>
      </c>
      <c r="C22">
        <v>2017</v>
      </c>
      <c r="D22">
        <v>2018</v>
      </c>
      <c r="E22">
        <v>2019</v>
      </c>
      <c r="F22">
        <v>2020</v>
      </c>
      <c r="G22">
        <v>2021</v>
      </c>
      <c r="H22">
        <v>2022</v>
      </c>
      <c r="I22">
        <v>2023</v>
      </c>
      <c r="J22">
        <v>2024</v>
      </c>
    </row>
    <row r="23" spans="1:10" x14ac:dyDescent="0.45">
      <c r="A23" t="s">
        <v>19</v>
      </c>
      <c r="B23" t="s">
        <v>2</v>
      </c>
      <c r="C23">
        <v>500</v>
      </c>
      <c r="D23">
        <f>C$23-(C$5*C$23)</f>
        <v>150</v>
      </c>
      <c r="E23">
        <f t="shared" ref="E23:J23" si="0">D$23-(D$5*D$23)</f>
        <v>105</v>
      </c>
      <c r="F23">
        <f t="shared" si="0"/>
        <v>78.75</v>
      </c>
      <c r="G23">
        <f t="shared" si="0"/>
        <v>59.0625</v>
      </c>
      <c r="H23">
        <f t="shared" si="0"/>
        <v>47.25</v>
      </c>
      <c r="I23">
        <f t="shared" si="0"/>
        <v>37.799999999999997</v>
      </c>
      <c r="J23">
        <f t="shared" si="0"/>
        <v>30.24</v>
      </c>
    </row>
    <row r="24" spans="1:10" x14ac:dyDescent="0.45">
      <c r="A24" t="s">
        <v>20</v>
      </c>
      <c r="B24" t="s">
        <v>2</v>
      </c>
      <c r="C24">
        <f>(C$23+D$23)/2</f>
        <v>325</v>
      </c>
      <c r="D24">
        <f t="shared" ref="D24:J24" si="1">(D$23+E$23)/2</f>
        <v>127.5</v>
      </c>
      <c r="E24">
        <f t="shared" si="1"/>
        <v>91.875</v>
      </c>
      <c r="F24">
        <f t="shared" si="1"/>
        <v>68.90625</v>
      </c>
      <c r="G24">
        <f t="shared" si="1"/>
        <v>53.15625</v>
      </c>
      <c r="H24">
        <f t="shared" si="1"/>
        <v>42.524999999999999</v>
      </c>
      <c r="I24">
        <f t="shared" si="1"/>
        <v>34.019999999999996</v>
      </c>
      <c r="J24">
        <f t="shared" si="1"/>
        <v>15.12</v>
      </c>
    </row>
    <row r="25" spans="1:10" x14ac:dyDescent="0.45">
      <c r="A25" t="s">
        <v>21</v>
      </c>
      <c r="B25" t="s">
        <v>2</v>
      </c>
      <c r="C25">
        <f>C$24*365</f>
        <v>118625</v>
      </c>
      <c r="D25">
        <f t="shared" ref="D25:J25" si="2">D$24*365</f>
        <v>46537.5</v>
      </c>
      <c r="E25">
        <f t="shared" si="2"/>
        <v>33534.375</v>
      </c>
      <c r="F25">
        <f t="shared" si="2"/>
        <v>25150.78125</v>
      </c>
      <c r="G25">
        <f t="shared" si="2"/>
        <v>19402.03125</v>
      </c>
      <c r="H25">
        <f t="shared" si="2"/>
        <v>15521.625</v>
      </c>
      <c r="I25">
        <f t="shared" si="2"/>
        <v>12417.3</v>
      </c>
      <c r="J25">
        <f t="shared" si="2"/>
        <v>5518.7999999999993</v>
      </c>
    </row>
    <row r="28" spans="1:10" ht="15.75" x14ac:dyDescent="0.5">
      <c r="A28" s="5" t="s">
        <v>22</v>
      </c>
      <c r="B28">
        <v>2016</v>
      </c>
      <c r="C28">
        <v>2017</v>
      </c>
      <c r="D28">
        <v>2018</v>
      </c>
      <c r="E28">
        <v>2019</v>
      </c>
      <c r="F28">
        <v>2020</v>
      </c>
      <c r="G28">
        <v>2021</v>
      </c>
      <c r="H28">
        <v>2022</v>
      </c>
      <c r="I28">
        <v>2023</v>
      </c>
      <c r="J28">
        <v>2024</v>
      </c>
    </row>
    <row r="29" spans="1:10" x14ac:dyDescent="0.45">
      <c r="A29" s="7" t="s">
        <v>23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4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45">
      <c r="A31" s="8" t="s">
        <v>24</v>
      </c>
      <c r="B31" s="7" t="e">
        <f>B$25*B$11</f>
        <v>#VALUE!</v>
      </c>
      <c r="C31" s="7">
        <f t="shared" ref="C31:J31" si="3">C$25*C$11</f>
        <v>5931250</v>
      </c>
      <c r="D31" s="7">
        <f t="shared" si="3"/>
        <v>2326875</v>
      </c>
      <c r="E31" s="7">
        <f t="shared" si="3"/>
        <v>1676718.75</v>
      </c>
      <c r="F31" s="7">
        <f t="shared" si="3"/>
        <v>1257539.0625</v>
      </c>
      <c r="G31" s="7">
        <f t="shared" si="3"/>
        <v>970101.5625</v>
      </c>
      <c r="H31" s="7">
        <f t="shared" si="3"/>
        <v>776081.25</v>
      </c>
      <c r="I31" s="7">
        <f t="shared" si="3"/>
        <v>620865</v>
      </c>
      <c r="J31" s="7">
        <f t="shared" si="3"/>
        <v>275939.99999999994</v>
      </c>
    </row>
    <row r="32" spans="1:10" x14ac:dyDescent="0.4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45">
      <c r="A33" s="8" t="s">
        <v>25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45">
      <c r="A34" s="7" t="s">
        <v>26</v>
      </c>
      <c r="B34" s="7" t="s">
        <v>2</v>
      </c>
      <c r="C34" s="7">
        <f t="shared" ref="C34:J34" si="4">12*C$25</f>
        <v>1423500</v>
      </c>
      <c r="D34" s="7">
        <f t="shared" si="4"/>
        <v>558450</v>
      </c>
      <c r="E34" s="7">
        <f t="shared" si="4"/>
        <v>402412.5</v>
      </c>
      <c r="F34" s="7">
        <f t="shared" si="4"/>
        <v>301809.375</v>
      </c>
      <c r="G34" s="7">
        <f t="shared" si="4"/>
        <v>232824.375</v>
      </c>
      <c r="H34" s="7">
        <f t="shared" si="4"/>
        <v>186259.5</v>
      </c>
      <c r="I34" s="7">
        <f t="shared" si="4"/>
        <v>149007.59999999998</v>
      </c>
      <c r="J34" s="7">
        <f t="shared" si="4"/>
        <v>66225.599999999991</v>
      </c>
    </row>
    <row r="35" spans="1:10" x14ac:dyDescent="0.45">
      <c r="A35" s="7" t="s">
        <v>27</v>
      </c>
      <c r="B35" s="7" t="s">
        <v>2</v>
      </c>
      <c r="C35" s="7">
        <f t="shared" ref="C35:J35" si="5">3*C$25</f>
        <v>355875</v>
      </c>
      <c r="D35" s="7">
        <f t="shared" si="5"/>
        <v>139612.5</v>
      </c>
      <c r="E35" s="7">
        <f t="shared" si="5"/>
        <v>100603.125</v>
      </c>
      <c r="F35" s="7">
        <f t="shared" si="5"/>
        <v>75452.34375</v>
      </c>
      <c r="G35" s="7">
        <f t="shared" si="5"/>
        <v>58206.09375</v>
      </c>
      <c r="H35" s="7">
        <f t="shared" si="5"/>
        <v>46564.875</v>
      </c>
      <c r="I35" s="7">
        <f t="shared" si="5"/>
        <v>37251.899999999994</v>
      </c>
      <c r="J35" s="7">
        <f t="shared" si="5"/>
        <v>16556.399999999998</v>
      </c>
    </row>
    <row r="36" spans="1:10" x14ac:dyDescent="0.45">
      <c r="A36" s="7" t="s">
        <v>28</v>
      </c>
      <c r="B36" s="7">
        <v>200000</v>
      </c>
      <c r="C36" s="7">
        <v>200000</v>
      </c>
      <c r="D36" s="7">
        <v>200000</v>
      </c>
      <c r="E36" s="7">
        <v>200000</v>
      </c>
      <c r="F36" s="7">
        <v>200000</v>
      </c>
      <c r="G36" s="7">
        <v>200000</v>
      </c>
      <c r="H36" s="7">
        <v>200000</v>
      </c>
      <c r="I36" s="7">
        <v>200000</v>
      </c>
      <c r="J36" s="7">
        <v>200000</v>
      </c>
    </row>
    <row r="37" spans="1:10" x14ac:dyDescent="0.45">
      <c r="A37" s="7" t="s">
        <v>29</v>
      </c>
      <c r="B37" s="7" t="s">
        <v>2</v>
      </c>
      <c r="C37" s="7">
        <f t="shared" ref="C37:J37" si="6">(C31-C34)*0.12</f>
        <v>540930</v>
      </c>
      <c r="D37" s="7">
        <f t="shared" si="6"/>
        <v>212211</v>
      </c>
      <c r="E37" s="7">
        <f t="shared" si="6"/>
        <v>152916.75</v>
      </c>
      <c r="F37" s="7">
        <f t="shared" si="6"/>
        <v>114687.5625</v>
      </c>
      <c r="G37" s="7">
        <f t="shared" si="6"/>
        <v>88473.262499999997</v>
      </c>
      <c r="H37" s="7">
        <f t="shared" si="6"/>
        <v>70778.61</v>
      </c>
      <c r="I37" s="7">
        <f>(I31-I34)*0.12</f>
        <v>56622.887999999999</v>
      </c>
      <c r="J37" s="7">
        <f t="shared" si="6"/>
        <v>25165.727999999996</v>
      </c>
    </row>
    <row r="38" spans="1:10" x14ac:dyDescent="0.45">
      <c r="A38" s="7" t="s">
        <v>30</v>
      </c>
      <c r="B38" s="7" t="s">
        <v>2</v>
      </c>
      <c r="C38" s="7">
        <f t="shared" ref="C38:J38" si="7">(C$31-C34)*0.05</f>
        <v>225387.5</v>
      </c>
      <c r="D38" s="7">
        <f t="shared" si="7"/>
        <v>88421.25</v>
      </c>
      <c r="E38" s="7">
        <f t="shared" si="7"/>
        <v>63715.3125</v>
      </c>
      <c r="F38" s="7">
        <f t="shared" si="7"/>
        <v>47786.484375</v>
      </c>
      <c r="G38" s="7">
        <f t="shared" si="7"/>
        <v>36863.859375</v>
      </c>
      <c r="H38" s="7">
        <f t="shared" si="7"/>
        <v>29491.087500000001</v>
      </c>
      <c r="I38" s="7">
        <f>(I$31-I34)*0.05</f>
        <v>23592.870000000003</v>
      </c>
      <c r="J38" s="7">
        <f t="shared" si="7"/>
        <v>10485.719999999999</v>
      </c>
    </row>
    <row r="39" spans="1:10" x14ac:dyDescent="0.45">
      <c r="A39" s="7" t="s">
        <v>8</v>
      </c>
      <c r="B39" s="7" t="str">
        <f>IF(B7=B7,B7)</f>
        <v xml:space="preserve">N/A </v>
      </c>
      <c r="C39" s="7">
        <f t="shared" ref="C39:J39" si="8">IF(C7=C7,C7)</f>
        <v>500000</v>
      </c>
      <c r="D39" s="7">
        <f t="shared" si="8"/>
        <v>500000</v>
      </c>
      <c r="E39" s="7">
        <f t="shared" si="8"/>
        <v>500000</v>
      </c>
      <c r="F39" s="7">
        <f t="shared" si="8"/>
        <v>500000</v>
      </c>
      <c r="G39" s="7">
        <f t="shared" si="8"/>
        <v>500000</v>
      </c>
      <c r="H39" s="7">
        <f t="shared" si="8"/>
        <v>500000</v>
      </c>
      <c r="I39" s="7">
        <f t="shared" si="8"/>
        <v>500000</v>
      </c>
      <c r="J39" s="7">
        <f t="shared" si="8"/>
        <v>500000</v>
      </c>
    </row>
    <row r="40" spans="1:10" x14ac:dyDescent="0.45">
      <c r="A40" s="7" t="s">
        <v>31</v>
      </c>
      <c r="B40" s="7" t="e">
        <f t="shared" ref="B40:J40" si="9">B$54*B$12</f>
        <v>#VALUE!</v>
      </c>
      <c r="C40" s="7">
        <f t="shared" si="9"/>
        <v>40000</v>
      </c>
      <c r="D40" s="7">
        <f t="shared" si="9"/>
        <v>40000</v>
      </c>
      <c r="E40" s="7">
        <f t="shared" si="9"/>
        <v>40000</v>
      </c>
      <c r="F40" s="7">
        <f t="shared" si="9"/>
        <v>40000</v>
      </c>
      <c r="G40" s="7">
        <f t="shared" si="9"/>
        <v>40000</v>
      </c>
      <c r="H40" s="7">
        <f t="shared" si="9"/>
        <v>40000</v>
      </c>
      <c r="I40" s="7">
        <f t="shared" si="9"/>
        <v>40000</v>
      </c>
      <c r="J40" s="7">
        <f t="shared" si="9"/>
        <v>40000</v>
      </c>
    </row>
    <row r="41" spans="1:10" x14ac:dyDescent="0.45">
      <c r="A41" s="7" t="s">
        <v>32</v>
      </c>
      <c r="B41" s="7" t="e">
        <f>SUM(B$34:B$40)</f>
        <v>#VALUE!</v>
      </c>
      <c r="C41" s="7">
        <f t="shared" ref="C41:J41" si="10">SUM(C$34:C$40)</f>
        <v>3285692.5</v>
      </c>
      <c r="D41" s="7">
        <f t="shared" si="10"/>
        <v>1738694.75</v>
      </c>
      <c r="E41" s="7">
        <f t="shared" si="10"/>
        <v>1459647.6875</v>
      </c>
      <c r="F41" s="7">
        <f t="shared" si="10"/>
        <v>1279735.765625</v>
      </c>
      <c r="G41" s="7">
        <f t="shared" si="10"/>
        <v>1156367.590625</v>
      </c>
      <c r="H41" s="7">
        <f t="shared" si="10"/>
        <v>1073094.0725</v>
      </c>
      <c r="I41" s="7">
        <f t="shared" si="10"/>
        <v>1006475.2579999999</v>
      </c>
      <c r="J41" s="7">
        <f t="shared" si="10"/>
        <v>858433.44799999997</v>
      </c>
    </row>
    <row r="42" spans="1:10" x14ac:dyDescent="0.45">
      <c r="A42" s="7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45">
      <c r="A43" s="7" t="s">
        <v>33</v>
      </c>
      <c r="B43" s="7" t="e">
        <f>B$31-B$41</f>
        <v>#VALUE!</v>
      </c>
      <c r="C43" s="7">
        <f t="shared" ref="C43:J43" si="11">C$31-C$41</f>
        <v>2645557.5</v>
      </c>
      <c r="D43" s="7">
        <f t="shared" si="11"/>
        <v>588180.25</v>
      </c>
      <c r="E43" s="7">
        <f t="shared" si="11"/>
        <v>217071.0625</v>
      </c>
      <c r="F43" s="7">
        <f t="shared" si="11"/>
        <v>-22196.703125</v>
      </c>
      <c r="G43" s="7">
        <f t="shared" si="11"/>
        <v>-186266.02812499995</v>
      </c>
      <c r="H43" s="7">
        <f t="shared" si="11"/>
        <v>-297012.82250000001</v>
      </c>
      <c r="I43" s="7">
        <f t="shared" si="11"/>
        <v>-385610.25799999991</v>
      </c>
      <c r="J43" s="7">
        <f t="shared" si="11"/>
        <v>-582493.44800000009</v>
      </c>
    </row>
    <row r="44" spans="1:10" x14ac:dyDescent="0.45">
      <c r="A44" s="7" t="s">
        <v>34</v>
      </c>
      <c r="B44" s="7" t="e">
        <f>IF(B$43&lt;=0,0,B43*B$3)</f>
        <v>#VALUE!</v>
      </c>
      <c r="C44" s="7">
        <f t="shared" ref="C44:J44" si="12">IF(C$43&lt;=0,0,C43*C$3)</f>
        <v>529111.5</v>
      </c>
      <c r="D44" s="7">
        <f t="shared" si="12"/>
        <v>117636.05</v>
      </c>
      <c r="E44" s="7">
        <f t="shared" si="12"/>
        <v>43414.212500000001</v>
      </c>
      <c r="F44" s="7">
        <f t="shared" si="12"/>
        <v>0</v>
      </c>
      <c r="G44" s="7">
        <f t="shared" si="12"/>
        <v>0</v>
      </c>
      <c r="H44" s="7">
        <f t="shared" si="12"/>
        <v>0</v>
      </c>
      <c r="I44" s="7">
        <f t="shared" si="12"/>
        <v>0</v>
      </c>
      <c r="J44" s="7">
        <f t="shared" si="12"/>
        <v>0</v>
      </c>
    </row>
    <row r="45" spans="1:10" x14ac:dyDescent="0.45">
      <c r="A45" s="7" t="s">
        <v>35</v>
      </c>
      <c r="B45" s="7" t="e">
        <f>B$43-B$44</f>
        <v>#VALUE!</v>
      </c>
      <c r="C45" s="1">
        <f t="shared" ref="C45:J45" si="13">C$43-C$44</f>
        <v>2116446</v>
      </c>
      <c r="D45" s="7">
        <f t="shared" si="13"/>
        <v>470544.2</v>
      </c>
      <c r="E45" s="7">
        <f t="shared" si="13"/>
        <v>173656.85</v>
      </c>
      <c r="F45" s="7">
        <f t="shared" si="13"/>
        <v>-22196.703125</v>
      </c>
      <c r="G45" s="7">
        <f t="shared" si="13"/>
        <v>-186266.02812499995</v>
      </c>
      <c r="H45" s="7">
        <f t="shared" si="13"/>
        <v>-297012.82250000001</v>
      </c>
      <c r="I45" s="7">
        <f t="shared" si="13"/>
        <v>-385610.25799999991</v>
      </c>
      <c r="J45" s="7">
        <f t="shared" si="13"/>
        <v>-582493.44800000009</v>
      </c>
    </row>
    <row r="46" spans="1:10" x14ac:dyDescent="0.45">
      <c r="A46" s="7" t="s">
        <v>36</v>
      </c>
      <c r="B46" s="7" t="e">
        <f>B45+B29</f>
        <v>#VALUE!</v>
      </c>
      <c r="C46" s="7">
        <f t="shared" ref="C46:J46" si="14">C45+C29</f>
        <v>2116446</v>
      </c>
      <c r="D46" s="7">
        <f t="shared" si="14"/>
        <v>470544.2</v>
      </c>
      <c r="E46" s="7">
        <f t="shared" si="14"/>
        <v>173656.85</v>
      </c>
      <c r="F46" s="7">
        <f t="shared" si="14"/>
        <v>-22196.703125</v>
      </c>
      <c r="G46" s="7">
        <f t="shared" si="14"/>
        <v>-186266.02812499995</v>
      </c>
      <c r="H46" s="7">
        <f t="shared" si="14"/>
        <v>-297012.82250000001</v>
      </c>
      <c r="I46" s="7">
        <f t="shared" si="14"/>
        <v>-385610.25799999991</v>
      </c>
      <c r="J46" s="7">
        <f t="shared" si="14"/>
        <v>-582493.44800000009</v>
      </c>
    </row>
    <row r="47" spans="1:10" x14ac:dyDescent="0.45">
      <c r="A47" s="7" t="s">
        <v>37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45">
      <c r="A48" s="7" t="s">
        <v>38</v>
      </c>
      <c r="B48" s="7" t="e">
        <f>IF(B46&lt;B4,B4-B46,0)</f>
        <v>#VALUE!</v>
      </c>
      <c r="C48" s="7">
        <f t="shared" ref="C48:J48" si="15">IF(C46&lt;C4,C4-C46,0)</f>
        <v>0</v>
      </c>
      <c r="D48" s="7">
        <f t="shared" si="15"/>
        <v>529455.80000000005</v>
      </c>
      <c r="E48" s="7">
        <f t="shared" si="15"/>
        <v>826343.15</v>
      </c>
      <c r="F48" s="7">
        <f t="shared" si="15"/>
        <v>1022196.703125</v>
      </c>
      <c r="G48" s="7">
        <f t="shared" si="15"/>
        <v>1186266.028125</v>
      </c>
      <c r="H48" s="7">
        <f t="shared" si="15"/>
        <v>1297012.8225</v>
      </c>
      <c r="I48" s="7">
        <f t="shared" si="15"/>
        <v>1385610.2579999999</v>
      </c>
      <c r="J48" s="7">
        <f t="shared" si="15"/>
        <v>1582493.4480000001</v>
      </c>
    </row>
    <row r="49" spans="1:10" x14ac:dyDescent="0.45">
      <c r="A49" s="7" t="s">
        <v>39</v>
      </c>
      <c r="B49" s="7" t="e">
        <f>IF(B46&gt;B4,IF(B4-B54&gt;0,B54,0),0)</f>
        <v>#VALUE!</v>
      </c>
      <c r="C49" s="7">
        <f t="shared" ref="C49:J49" si="16">IF(C46&gt;C4,IF(C4-C54&gt;0,C54,0),0)</f>
        <v>0</v>
      </c>
      <c r="D49" s="7">
        <f t="shared" si="16"/>
        <v>0</v>
      </c>
      <c r="E49" s="7">
        <f t="shared" si="16"/>
        <v>0</v>
      </c>
      <c r="F49" s="7">
        <f t="shared" si="16"/>
        <v>0</v>
      </c>
      <c r="G49" s="7">
        <f t="shared" si="16"/>
        <v>0</v>
      </c>
      <c r="H49" s="7">
        <f t="shared" si="16"/>
        <v>0</v>
      </c>
      <c r="I49" s="7">
        <f t="shared" si="16"/>
        <v>0</v>
      </c>
      <c r="J49" s="7">
        <f t="shared" si="16"/>
        <v>0</v>
      </c>
    </row>
    <row r="50" spans="1:10" x14ac:dyDescent="0.45">
      <c r="A50" s="7" t="s">
        <v>15</v>
      </c>
      <c r="B50" s="7">
        <v>1000000</v>
      </c>
      <c r="C50" s="7">
        <f>C46+C48-C49</f>
        <v>2116446</v>
      </c>
      <c r="D50" s="7">
        <f t="shared" ref="D50:J50" si="17">D46+D48-D49</f>
        <v>1000000</v>
      </c>
      <c r="E50" s="7">
        <f t="shared" si="17"/>
        <v>1000000</v>
      </c>
      <c r="F50" s="7">
        <f t="shared" si="17"/>
        <v>1000000</v>
      </c>
      <c r="G50" s="7">
        <f t="shared" si="17"/>
        <v>1000000</v>
      </c>
      <c r="H50" s="7">
        <f t="shared" si="17"/>
        <v>1000000</v>
      </c>
      <c r="I50" s="7">
        <f t="shared" si="17"/>
        <v>1000000</v>
      </c>
      <c r="J50" s="7">
        <f t="shared" si="17"/>
        <v>1000000</v>
      </c>
    </row>
    <row r="53" spans="1:10" ht="15.75" x14ac:dyDescent="0.5">
      <c r="A53" s="5" t="s">
        <v>40</v>
      </c>
      <c r="B53">
        <v>2016</v>
      </c>
      <c r="C53">
        <v>2017</v>
      </c>
      <c r="D53">
        <v>2018</v>
      </c>
      <c r="E53">
        <v>2019</v>
      </c>
      <c r="F53">
        <v>2020</v>
      </c>
      <c r="G53">
        <v>2021</v>
      </c>
      <c r="H53">
        <v>2022</v>
      </c>
      <c r="I53">
        <v>2023</v>
      </c>
      <c r="J53">
        <v>2024</v>
      </c>
    </row>
    <row r="54" spans="1:10" x14ac:dyDescent="0.45">
      <c r="A54" t="s">
        <v>41</v>
      </c>
      <c r="B54" t="s">
        <v>7</v>
      </c>
      <c r="C54" s="11">
        <f>B57</f>
        <v>1000000</v>
      </c>
      <c r="D54" s="11">
        <f t="shared" ref="D54:J54" si="18">C57</f>
        <v>1000000</v>
      </c>
      <c r="E54" s="11">
        <f t="shared" si="18"/>
        <v>1000000</v>
      </c>
      <c r="F54" s="11">
        <f t="shared" si="18"/>
        <v>1000000</v>
      </c>
      <c r="G54" s="11">
        <f t="shared" si="18"/>
        <v>1000000</v>
      </c>
      <c r="H54" s="11">
        <f t="shared" si="18"/>
        <v>1000000</v>
      </c>
      <c r="I54" s="11">
        <f t="shared" si="18"/>
        <v>1000000</v>
      </c>
      <c r="J54" s="11">
        <f t="shared" si="18"/>
        <v>1000000</v>
      </c>
    </row>
    <row r="55" spans="1:10" x14ac:dyDescent="0.45">
      <c r="A55" t="s">
        <v>38</v>
      </c>
      <c r="B55" t="s">
        <v>7</v>
      </c>
      <c r="C55" s="7">
        <f>C48</f>
        <v>0</v>
      </c>
      <c r="D55" s="7">
        <f t="shared" ref="D55:J55" si="19">D48</f>
        <v>529455.80000000005</v>
      </c>
      <c r="E55" s="7">
        <f t="shared" si="19"/>
        <v>826343.15</v>
      </c>
      <c r="F55" s="7">
        <f t="shared" si="19"/>
        <v>1022196.703125</v>
      </c>
      <c r="G55" s="7">
        <f t="shared" si="19"/>
        <v>1186266.028125</v>
      </c>
      <c r="H55" s="7">
        <f t="shared" si="19"/>
        <v>1297012.8225</v>
      </c>
      <c r="I55" s="7">
        <f t="shared" si="19"/>
        <v>1385610.2579999999</v>
      </c>
      <c r="J55" s="7">
        <f t="shared" si="19"/>
        <v>1582493.4480000001</v>
      </c>
    </row>
    <row r="56" spans="1:10" x14ac:dyDescent="0.45">
      <c r="A56" t="s">
        <v>39</v>
      </c>
      <c r="B56" t="s">
        <v>7</v>
      </c>
      <c r="C56" s="7">
        <f>C49</f>
        <v>0</v>
      </c>
      <c r="D56" s="7">
        <f t="shared" ref="D56:J56" si="20">D49</f>
        <v>0</v>
      </c>
      <c r="E56" s="7">
        <f t="shared" si="20"/>
        <v>0</v>
      </c>
      <c r="F56" s="7">
        <f t="shared" si="20"/>
        <v>0</v>
      </c>
      <c r="G56" s="7">
        <f t="shared" si="20"/>
        <v>0</v>
      </c>
      <c r="H56" s="7">
        <f t="shared" si="20"/>
        <v>0</v>
      </c>
      <c r="I56" s="7">
        <f t="shared" si="20"/>
        <v>0</v>
      </c>
      <c r="J56" s="7">
        <f t="shared" si="20"/>
        <v>0</v>
      </c>
    </row>
    <row r="57" spans="1:10" x14ac:dyDescent="0.45">
      <c r="A57" t="s">
        <v>42</v>
      </c>
      <c r="B57" s="10">
        <v>1000000</v>
      </c>
      <c r="C57" s="10">
        <v>1000000</v>
      </c>
      <c r="D57" s="10">
        <v>1000000</v>
      </c>
      <c r="E57" s="10">
        <v>1000000</v>
      </c>
      <c r="F57" s="10">
        <v>1000000</v>
      </c>
      <c r="G57" s="10">
        <v>1000000</v>
      </c>
      <c r="H57" s="10">
        <v>1000000</v>
      </c>
      <c r="I57" s="10">
        <v>1000000</v>
      </c>
      <c r="J57" s="10">
        <v>1000000</v>
      </c>
    </row>
    <row r="59" spans="1:10" x14ac:dyDescent="0.45">
      <c r="A59" t="s">
        <v>43</v>
      </c>
      <c r="B59">
        <f>-1*B13</f>
        <v>-10000000</v>
      </c>
      <c r="C59" s="7">
        <f>C45</f>
        <v>2116446</v>
      </c>
      <c r="D59" s="7">
        <f t="shared" ref="D59:J59" si="21">D45</f>
        <v>470544.2</v>
      </c>
      <c r="E59" s="7">
        <f t="shared" si="21"/>
        <v>173656.85</v>
      </c>
      <c r="F59" s="7">
        <f t="shared" si="21"/>
        <v>-22196.703125</v>
      </c>
      <c r="G59" s="7">
        <f t="shared" si="21"/>
        <v>-186266.02812499995</v>
      </c>
      <c r="H59" s="7">
        <f t="shared" si="21"/>
        <v>-297012.82250000001</v>
      </c>
      <c r="I59" s="7">
        <f t="shared" si="21"/>
        <v>-385610.25799999991</v>
      </c>
      <c r="J59" s="7">
        <f t="shared" si="21"/>
        <v>-582493.44800000009</v>
      </c>
    </row>
    <row r="61" spans="1:10" x14ac:dyDescent="0.45">
      <c r="A61" t="s">
        <v>44</v>
      </c>
      <c r="B61" s="12">
        <f>NPV(0.15,C59,D59,E59,F59,G59,H59,I59,J59)+B59</f>
        <v>-8258719.2918329556</v>
      </c>
    </row>
  </sheetData>
  <scenarios current="7" show="0" sqref="B61">
    <scenario name="His 50" locked="1" count="18" user="Damon Quire" comment="Created by Damon Quire on 11/20/2016">
      <inputCells r="B11" val="50"/>
      <inputCells r="C11" val="50"/>
      <inputCells r="D11" val="50"/>
      <inputCells r="E11" val="50"/>
      <inputCells r="F11" val="50"/>
      <inputCells r="G11" val="50"/>
      <inputCells r="H11" val="50"/>
      <inputCells r="I11" val="50"/>
      <inputCells r="J11" val="50"/>
      <inputCells r="B13" val="10000000"/>
      <inputCells r="C13" val="10000000"/>
      <inputCells r="D13" val="10000000"/>
      <inputCells r="E13" val="10000000"/>
      <inputCells r="F13" val="10000000"/>
      <inputCells r="G13" val="10000000"/>
      <inputCells r="H13" val="10000000"/>
      <inputCells r="I13" val="10000000"/>
      <inputCells r="J13" val="10000000"/>
    </scenario>
    <scenario name="His 70" locked="1" count="18" user="Damon Quire" comment="Created by Damon Quire on 11/20/2016">
      <inputCells r="B11" val="70"/>
      <inputCells r="C11" val="70"/>
      <inputCells r="D11" val="70"/>
      <inputCells r="E11" val="70"/>
      <inputCells r="F11" val="70"/>
      <inputCells r="G11" val="70"/>
      <inputCells r="H11" val="70"/>
      <inputCells r="I11" val="70"/>
      <inputCells r="J11" val="70"/>
      <inputCells r="B13" val="10000000"/>
      <inputCells r="C13" val="10000000"/>
      <inputCells r="D13" val="10000000"/>
      <inputCells r="E13" val="10000000"/>
      <inputCells r="F13" val="10000000"/>
      <inputCells r="G13" val="10000000"/>
      <inputCells r="H13" val="10000000"/>
      <inputCells r="I13" val="10000000"/>
      <inputCells r="J13" val="10000000"/>
    </scenario>
    <scenario name="His 90" locked="1" count="18" user="Damon Quire" comment="Created by Damon Quire on 11/20/2016">
      <inputCells r="B11" val="90"/>
      <inputCells r="C11" val="90"/>
      <inputCells r="D11" val="90"/>
      <inputCells r="E11" val="90"/>
      <inputCells r="F11" val="90"/>
      <inputCells r="G11" val="90"/>
      <inputCells r="H11" val="90"/>
      <inputCells r="I11" val="90"/>
      <inputCells r="J11" val="90"/>
      <inputCells r="B13" val="10000000"/>
      <inputCells r="C13" val="10000000"/>
      <inputCells r="D13" val="10000000"/>
      <inputCells r="E13" val="10000000"/>
      <inputCells r="F13" val="10000000"/>
      <inputCells r="G13" val="10000000"/>
      <inputCells r="H13" val="10000000"/>
      <inputCells r="I13" val="10000000"/>
      <inputCells r="J13" val="10000000"/>
    </scenario>
    <scenario name="His 110" locked="1" count="18" user="Damon Quire" comment="Created by Damon Quire on 11/20/2016">
      <inputCells r="B11" val="110"/>
      <inputCells r="C11" val="110"/>
      <inputCells r="D11" val="110"/>
      <inputCells r="E11" val="110"/>
      <inputCells r="F11" val="110"/>
      <inputCells r="G11" val="110"/>
      <inputCells r="H11" val="110"/>
      <inputCells r="I11" val="110"/>
      <inputCells r="J11" val="110"/>
      <inputCells r="B13" val="10000000"/>
      <inputCells r="C13" val="10000000"/>
      <inputCells r="D13" val="10000000"/>
      <inputCells r="E13" val="10000000"/>
      <inputCells r="F13" val="10000000"/>
      <inputCells r="G13" val="10000000"/>
      <inputCells r="H13" val="10000000"/>
      <inputCells r="I13" val="10000000"/>
      <inputCells r="J13" val="10000000"/>
    </scenario>
    <scenario name="Yours 50" locked="1" count="18" user="Damon Quire" comment="Created by Damon Quire on 11/20/2016">
      <inputCells r="B11" val="50"/>
      <inputCells r="C11" val="50"/>
      <inputCells r="D11" val="50"/>
      <inputCells r="E11" val="50"/>
      <inputCells r="F11" val="50"/>
      <inputCells r="G11" val="50"/>
      <inputCells r="H11" val="50"/>
      <inputCells r="I11" val="50"/>
      <inputCells r="J11" val="50"/>
      <inputCells r="B13" val="5000000"/>
      <inputCells r="C13" val="5000000"/>
      <inputCells r="D13" val="5000000"/>
      <inputCells r="E13" val="5000000"/>
      <inputCells r="F13" val="5000000"/>
      <inputCells r="G13" val="5000000"/>
      <inputCells r="H13" val="5000000"/>
      <inputCells r="I13" val="5000000"/>
      <inputCells r="J13" val="5000000"/>
    </scenario>
    <scenario name="Yours 70" locked="1" count="18" user="Damon Quire" comment="Created by Damon Quire on 11/20/2016">
      <inputCells r="B11" val="70"/>
      <inputCells r="C11" val="70"/>
      <inputCells r="D11" val="70"/>
      <inputCells r="E11" val="70"/>
      <inputCells r="F11" val="70"/>
      <inputCells r="G11" val="70"/>
      <inputCells r="H11" val="70"/>
      <inputCells r="I11" val="70"/>
      <inputCells r="J11" val="70"/>
      <inputCells r="B13" val="5000000"/>
      <inputCells r="C13" val="5000000"/>
      <inputCells r="D13" val="5000000"/>
      <inputCells r="E13" val="5000000"/>
      <inputCells r="F13" val="5000000"/>
      <inputCells r="G13" val="5000000"/>
      <inputCells r="H13" val="5000000"/>
      <inputCells r="I13" val="5000000"/>
      <inputCells r="J13" val="5000000"/>
    </scenario>
    <scenario name="Yours 90" locked="1" count="18" user="Damon Quire" comment="Created by Damon Quire on 11/20/2016">
      <inputCells r="B11" val="90"/>
      <inputCells r="C11" val="90"/>
      <inputCells r="D11" val="90"/>
      <inputCells r="E11" val="90"/>
      <inputCells r="F11" val="90"/>
      <inputCells r="G11" val="90"/>
      <inputCells r="H11" val="90"/>
      <inputCells r="I11" val="90"/>
      <inputCells r="J11" val="90"/>
      <inputCells r="B13" val="5000000"/>
      <inputCells r="C13" val="5000000"/>
      <inputCells r="D13" val="5000000"/>
      <inputCells r="E13" val="5000000"/>
      <inputCells r="F13" val="5000000"/>
      <inputCells r="G13" val="5000000"/>
      <inputCells r="H13" val="5000000"/>
      <inputCells r="I13" val="5000000"/>
      <inputCells r="J13" val="5000000"/>
    </scenario>
    <scenario name="Yours 110" locked="1" count="18" user="Damon Quire" comment="Created by Damon Quire on 11/20/2016">
      <inputCells r="B11" val="110"/>
      <inputCells r="C11" val="110"/>
      <inputCells r="D11" val="110"/>
      <inputCells r="E11" val="110"/>
      <inputCells r="F11" val="110"/>
      <inputCells r="G11" val="110"/>
      <inputCells r="H11" val="110"/>
      <inputCells r="I11" val="110"/>
      <inputCells r="J11" val="110"/>
      <inputCells r="B13" val="5000000"/>
      <inputCells r="C13" val="5000000"/>
      <inputCells r="D13" val="5000000"/>
      <inputCells r="E13" val="5000000"/>
      <inputCells r="F13" val="5000000"/>
      <inputCells r="G13" val="5000000"/>
      <inputCells r="H13" val="5000000"/>
      <inputCells r="I13" val="5000000"/>
      <inputCells r="J13" val="5000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PivotTable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Damon Quire</dc:creator>
  <cp:keywords/>
  <dc:description/>
  <cp:lastModifiedBy>Damon Quire</cp:lastModifiedBy>
  <cp:revision/>
  <dcterms:created xsi:type="dcterms:W3CDTF">2016-11-18T00:09:23Z</dcterms:created>
  <dcterms:modified xsi:type="dcterms:W3CDTF">2016-11-20T18:16:03Z</dcterms:modified>
  <cp:category/>
  <cp:contentStatus/>
</cp:coreProperties>
</file>