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whoc/Downloads/"/>
    </mc:Choice>
  </mc:AlternateContent>
  <bookViews>
    <workbookView xWindow="12900" yWindow="6600" windowWidth="28780" windowHeight="17460" activeTab="1"/>
  </bookViews>
  <sheets>
    <sheet name="2015" sheetId="4" r:id="rId1"/>
    <sheet name="2016" sheetId="5" r:id="rId2"/>
  </sheets>
  <definedNames>
    <definedName name="BelgiumClosedDays">'2016'!$C$100:$C$109</definedName>
    <definedName name="BelgiumOffDays" localSheetId="0">'2015'!$C$98:$D$107</definedName>
    <definedName name="BelgiumOffDays" localSheetId="1">'2016'!$C$100:$D$109</definedName>
    <definedName name="BelgiumOffDays">#REF!</definedName>
    <definedName name="ClientClosedDays">'2016'!$C$77:$C$95</definedName>
    <definedName name="currentYear" localSheetId="0">'2015'!$C$1</definedName>
    <definedName name="currentYear" localSheetId="1">'2016'!$C$1</definedName>
    <definedName name="currentYear">#REF!</definedName>
    <definedName name="dailyDifferenceInDays">#REF!</definedName>
    <definedName name="dailyDifferenceInDecimal">#REF!</definedName>
    <definedName name="dailyDifferenceInHours">#REF!</definedName>
    <definedName name="dailyDifferenceInMinutes">#REF!</definedName>
    <definedName name="dayOffOnEPOffDay" localSheetId="0">'2015'!$I$24:$I$49</definedName>
    <definedName name="dayOffOnEPOffDay" localSheetId="1">'2016'!$I$26:$I$51</definedName>
    <definedName name="dayOffOnEPOffDay">#REF!</definedName>
    <definedName name="EPOffDays" localSheetId="0">'2015'!$C$75:$C$93</definedName>
    <definedName name="EPOffDays" localSheetId="1">'2016'!$C$77:$D$95</definedName>
    <definedName name="EPOffDays">#REF!</definedName>
    <definedName name="longDayDecimalValue">#REF!</definedName>
    <definedName name="longDayHours">#REF!</definedName>
    <definedName name="longDayMinutes">#REF!</definedName>
    <definedName name="longDayValueInMinutes">#REF!</definedName>
    <definedName name="normalDayDecimalValue">#REF!</definedName>
    <definedName name="normalDayHours">#REF!</definedName>
    <definedName name="normalDayMinutes">#REF!</definedName>
    <definedName name="normalDayValueInMinutes" localSheetId="1">'2016'!#REF!</definedName>
    <definedName name="normalDayValueInMinutes">#REF!</definedName>
    <definedName name="_xlnm.Print_Area" localSheetId="0">'2015'!$B$1:$J$107</definedName>
    <definedName name="_xlnm.Print_Area" localSheetId="1">'2016'!$B$1:$J$109</definedName>
    <definedName name="Year" localSheetId="0">'2015'!$C$4</definedName>
    <definedName name="Year" localSheetId="1">'2016'!$C$4</definedName>
    <definedName name="Year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4" l="1"/>
  <c r="E8" i="5"/>
  <c r="I8" i="5"/>
  <c r="I9" i="5"/>
  <c r="I19" i="5"/>
  <c r="I20" i="5"/>
  <c r="I21" i="5"/>
  <c r="F53" i="5"/>
  <c r="E53" i="5"/>
  <c r="B9" i="5"/>
  <c r="H9" i="5"/>
  <c r="B97" i="5"/>
  <c r="B74" i="5"/>
  <c r="F59" i="5"/>
  <c r="F60" i="5"/>
  <c r="F61" i="5"/>
  <c r="F62" i="5"/>
  <c r="F63" i="5"/>
  <c r="F64" i="5"/>
  <c r="F65" i="5"/>
  <c r="F66" i="5"/>
  <c r="F67" i="5"/>
  <c r="F68" i="5"/>
  <c r="F69" i="5"/>
  <c r="F70" i="5"/>
  <c r="F72" i="5"/>
  <c r="D72" i="5"/>
  <c r="C59" i="5"/>
  <c r="C60" i="5"/>
  <c r="C61" i="5"/>
  <c r="C62" i="5"/>
  <c r="C63" i="5"/>
  <c r="C64" i="5"/>
  <c r="C65" i="5"/>
  <c r="C66" i="5"/>
  <c r="C67" i="5"/>
  <c r="C68" i="5"/>
  <c r="C69" i="5"/>
  <c r="C70" i="5"/>
  <c r="C72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B7" i="5"/>
  <c r="H7" i="5"/>
  <c r="B8" i="5"/>
  <c r="H8" i="5"/>
  <c r="H11" i="5"/>
  <c r="B12" i="5"/>
  <c r="H12" i="5"/>
  <c r="B13" i="5"/>
  <c r="H13" i="5"/>
  <c r="B14" i="5"/>
  <c r="H14" i="5"/>
  <c r="H15" i="5"/>
  <c r="H16" i="5"/>
  <c r="H17" i="5"/>
  <c r="H19" i="5"/>
  <c r="F8" i="5"/>
  <c r="E11" i="5"/>
  <c r="I11" i="5"/>
  <c r="I12" i="5"/>
  <c r="E13" i="5"/>
  <c r="I13" i="5"/>
  <c r="I14" i="5"/>
  <c r="E19" i="5"/>
  <c r="F13" i="5"/>
  <c r="F12" i="5"/>
  <c r="F11" i="5"/>
  <c r="B10" i="5"/>
  <c r="F7" i="5"/>
  <c r="I7" i="5"/>
  <c r="B6" i="5"/>
  <c r="F8" i="4"/>
  <c r="I8" i="4"/>
  <c r="I9" i="4"/>
  <c r="F11" i="4"/>
  <c r="I11" i="4"/>
  <c r="F12" i="4"/>
  <c r="F57" i="4"/>
  <c r="F58" i="4"/>
  <c r="F59" i="4"/>
  <c r="F60" i="4"/>
  <c r="F61" i="4"/>
  <c r="F62" i="4"/>
  <c r="F63" i="4"/>
  <c r="F64" i="4"/>
  <c r="F65" i="4"/>
  <c r="F66" i="4"/>
  <c r="F67" i="4"/>
  <c r="F68" i="4"/>
  <c r="F70" i="4"/>
  <c r="E12" i="4"/>
  <c r="H12" i="4"/>
  <c r="I17" i="4"/>
  <c r="B7" i="4"/>
  <c r="H7" i="4"/>
  <c r="B8" i="4"/>
  <c r="H8" i="4"/>
  <c r="B9" i="4"/>
  <c r="H9" i="4"/>
  <c r="H11" i="4"/>
  <c r="H13" i="4"/>
  <c r="H14" i="4"/>
  <c r="H15" i="4"/>
  <c r="H17" i="4"/>
  <c r="I18" i="4"/>
  <c r="I19" i="4"/>
  <c r="F51" i="4"/>
  <c r="B72" i="4"/>
  <c r="B95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D70" i="4"/>
  <c r="C70" i="4"/>
  <c r="E51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B10" i="4"/>
  <c r="F7" i="4"/>
  <c r="B6" i="4"/>
  <c r="E17" i="4"/>
  <c r="I7" i="4"/>
</calcChain>
</file>

<file path=xl/comments1.xml><?xml version="1.0" encoding="utf-8"?>
<comments xmlns="http://schemas.openxmlformats.org/spreadsheetml/2006/main">
  <authors>
    <author>Microsoft Office User</author>
    <author>Wilfried HOC</author>
  </authors>
  <commentList>
    <comment ref="B12" authorId="0">
      <text>
        <r>
          <rPr>
            <b/>
            <sz val="10"/>
            <color indexed="81"/>
            <rFont val="Calibri"/>
          </rPr>
          <t>Holiday taken on client closing day: gain of 0,25 day</t>
        </r>
      </text>
    </comment>
    <comment ref="E12" authorId="1">
      <text>
        <r>
          <rPr>
            <sz val="10"/>
            <rFont val="Arial"/>
          </rPr>
          <t>24/03: +0,25
25/03: +0,25</t>
        </r>
      </text>
    </comment>
  </commentList>
</comments>
</file>

<file path=xl/sharedStrings.xml><?xml version="1.0" encoding="utf-8"?>
<sst xmlns="http://schemas.openxmlformats.org/spreadsheetml/2006/main" count="131" uniqueCount="68">
  <si>
    <t>Année</t>
  </si>
  <si>
    <t>Code</t>
  </si>
  <si>
    <t>Nombre</t>
  </si>
  <si>
    <t>TOTAL</t>
  </si>
  <si>
    <t>Début</t>
  </si>
  <si>
    <t>Fin</t>
  </si>
  <si>
    <t>Type</t>
  </si>
  <si>
    <t>Total</t>
  </si>
  <si>
    <t>Jours</t>
  </si>
  <si>
    <t>Gain</t>
  </si>
  <si>
    <t>N°</t>
  </si>
  <si>
    <t>Description</t>
  </si>
  <si>
    <t>Nouvel an</t>
  </si>
  <si>
    <t>Lundi de Pâques</t>
  </si>
  <si>
    <t>Fête du travail</t>
  </si>
  <si>
    <t>Ascension</t>
  </si>
  <si>
    <t>Lundi de Pentecôte</t>
  </si>
  <si>
    <t>Fête nationale</t>
  </si>
  <si>
    <t>Noël</t>
  </si>
  <si>
    <t>Offered</t>
  </si>
  <si>
    <t>Unpaid</t>
  </si>
  <si>
    <t>Sickness</t>
  </si>
  <si>
    <t>Legal</t>
  </si>
  <si>
    <t>Recovery for 2015</t>
  </si>
  <si>
    <t>Holiday balance</t>
  </si>
  <si>
    <t>Holiday follow-up</t>
  </si>
  <si>
    <t>Recovery days</t>
  </si>
  <si>
    <t>Month</t>
  </si>
  <si>
    <t>Workable</t>
  </si>
  <si>
    <t>Worked</t>
  </si>
  <si>
    <t>Amount</t>
  </si>
  <si>
    <t>Deadline</t>
  </si>
  <si>
    <t>Taken</t>
  </si>
  <si>
    <t>Left</t>
  </si>
  <si>
    <t>Lendemain du Nouvel an</t>
  </si>
  <si>
    <t>Jeudi Saint</t>
  </si>
  <si>
    <t>Vendredi Saint</t>
  </si>
  <si>
    <t>Jeudi de l'Ascension</t>
  </si>
  <si>
    <t>Lendemain de l'Ascension</t>
  </si>
  <si>
    <t>Pentecôte</t>
  </si>
  <si>
    <t>Fête nationale belge</t>
  </si>
  <si>
    <t>Jour des morts</t>
  </si>
  <si>
    <t>Closing day</t>
  </si>
  <si>
    <t>Rattrapage Assomption (15/08 - WE)</t>
  </si>
  <si>
    <t>Rattrapage Toussaint (1/11 - WE)</t>
  </si>
  <si>
    <t>Rattrapage Anniversaire 1918 (11/11)</t>
  </si>
  <si>
    <t>Échéance</t>
  </si>
  <si>
    <t>Pris</t>
  </si>
  <si>
    <t>Restant</t>
  </si>
  <si>
    <t>Detail of the holidays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</si>
  <si>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</si>
  <si>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</si>
  <si>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</si>
  <si>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</si>
  <si>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</si>
  <si>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</si>
  <si>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</si>
  <si>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</si>
  <si>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</si>
  <si>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</si>
  <si>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</si>
  <si>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</si>
  <si>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Nr.</t>
  </si>
  <si>
    <t>Assomption</t>
  </si>
  <si>
    <t>Rattrapage fête du travail (01/05 - WE)</t>
  </si>
  <si>
    <t>Rattrapage Noël (25/12)</t>
  </si>
  <si>
    <t>Education 2016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</si>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</sst>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ddd\ dd/mm/yyyy"/>
    <numFmt numFmtId="166" formatCode="#\ ##0\ &quot;€&quot;;\-#\ ##0\ &quot;€&quot;"/>
    <numFmt numFmtId="167" formatCode="mmm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indexed="8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Border="1"/>
    <xf numFmtId="0" fontId="1" fillId="2" borderId="1" xfId="0" applyFont="1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2" fontId="0" fillId="0" borderId="0" xfId="0" applyNumberFormat="1"/>
    <xf numFmtId="2" fontId="0" fillId="0" borderId="1" xfId="0" applyNumberFormat="1" applyBorder="1"/>
    <xf numFmtId="164" fontId="0" fillId="0" borderId="1" xfId="0" applyNumberFormat="1" applyBorder="1"/>
    <xf numFmtId="2" fontId="1" fillId="0" borderId="1" xfId="0" applyNumberFormat="1" applyFont="1" applyBorder="1"/>
    <xf numFmtId="14" fontId="0" fillId="0" borderId="1" xfId="0" applyNumberFormat="1" applyBorder="1"/>
    <xf numFmtId="166" fontId="0" fillId="0" borderId="0" xfId="0" applyNumberFormat="1"/>
    <xf numFmtId="14" fontId="0" fillId="0" borderId="0" xfId="0" applyNumberFormat="1" applyBorder="1"/>
    <xf numFmtId="164" fontId="0" fillId="0" borderId="0" xfId="0" applyNumberFormat="1" applyBorder="1"/>
    <xf numFmtId="164" fontId="1" fillId="0" borderId="0" xfId="0" applyNumberFormat="1" applyFont="1" applyBorder="1"/>
    <xf numFmtId="164" fontId="1" fillId="0" borderId="1" xfId="0" applyNumberFormat="1" applyFont="1" applyBorder="1"/>
    <xf numFmtId="1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3" fillId="0" borderId="0" xfId="0" applyNumberFormat="1" applyFont="1"/>
    <xf numFmtId="2" fontId="2" fillId="0" borderId="1" xfId="0" applyNumberFormat="1" applyFont="1" applyBorder="1"/>
    <xf numFmtId="14" fontId="1" fillId="0" borderId="1" xfId="0" applyNumberFormat="1" applyFont="1" applyBorder="1"/>
    <xf numFmtId="0" fontId="0" fillId="0" borderId="2" xfId="0" applyBorder="1" applyProtection="1"/>
    <xf numFmtId="0" fontId="0" fillId="0" borderId="3" xfId="0" applyBorder="1" applyProtection="1"/>
    <xf numFmtId="0" fontId="0" fillId="0" borderId="4" xfId="0" applyBorder="1" applyProtection="1"/>
    <xf numFmtId="0" fontId="1" fillId="3" borderId="1" xfId="0" applyFont="1" applyFill="1" applyBorder="1" applyAlignment="1">
      <alignment horizontal="centerContinuous"/>
    </xf>
    <xf numFmtId="0" fontId="1" fillId="0" borderId="5" xfId="0" applyFont="1" applyBorder="1" applyAlignment="1">
      <alignment horizontal="center"/>
    </xf>
    <xf numFmtId="2" fontId="0" fillId="0" borderId="6" xfId="0" applyNumberFormat="1" applyBorder="1"/>
    <xf numFmtId="14" fontId="0" fillId="0" borderId="6" xfId="0" applyNumberFormat="1" applyBorder="1"/>
    <xf numFmtId="0" fontId="0" fillId="3" borderId="1" xfId="0" applyFill="1" applyBorder="1" applyAlignment="1">
      <alignment horizontal="centerContinuous"/>
    </xf>
    <xf numFmtId="2" fontId="0" fillId="0" borderId="1" xfId="0" applyNumberFormat="1" applyBorder="1" applyProtection="1">
      <protection locked="0"/>
    </xf>
    <xf numFmtId="2" fontId="0" fillId="4" borderId="1" xfId="0" applyNumberFormat="1" applyFill="1" applyBorder="1"/>
    <xf numFmtId="14" fontId="0" fillId="4" borderId="1" xfId="0" applyNumberFormat="1" applyFill="1" applyBorder="1"/>
    <xf numFmtId="2" fontId="1" fillId="0" borderId="0" xfId="0" applyNumberFormat="1" applyFont="1" applyBorder="1"/>
    <xf numFmtId="0" fontId="1" fillId="0" borderId="6" xfId="0" applyFont="1" applyFill="1" applyBorder="1"/>
    <xf numFmtId="0" fontId="1" fillId="0" borderId="5" xfId="0" applyFont="1" applyFill="1" applyBorder="1"/>
    <xf numFmtId="2" fontId="0" fillId="4" borderId="6" xfId="0" applyNumberFormat="1" applyFill="1" applyBorder="1"/>
    <xf numFmtId="14" fontId="1" fillId="0" borderId="6" xfId="0" applyNumberFormat="1" applyFont="1" applyBorder="1"/>
    <xf numFmtId="0" fontId="0" fillId="0" borderId="1" xfId="0" applyBorder="1" applyAlignment="1">
      <alignment horizontal="centerContinuous"/>
    </xf>
    <xf numFmtId="14" fontId="1" fillId="0" borderId="1" xfId="0" applyNumberFormat="1" applyFont="1" applyBorder="1" applyAlignment="1">
      <alignment horizontal="centerContinuous"/>
    </xf>
    <xf numFmtId="0" fontId="2" fillId="0" borderId="1" xfId="0" applyFont="1" applyBorder="1" applyProtection="1">
      <protection locked="0"/>
    </xf>
    <xf numFmtId="14" fontId="0" fillId="0" borderId="1" xfId="0" applyNumberFormat="1" applyFill="1" applyBorder="1" applyProtection="1">
      <protection locked="0"/>
    </xf>
    <xf numFmtId="0" fontId="0" fillId="0" borderId="0" xfId="0" applyFill="1"/>
    <xf numFmtId="0" fontId="0" fillId="0" borderId="1" xfId="0" applyFill="1" applyBorder="1" applyProtection="1">
      <protection locked="0"/>
    </xf>
    <xf numFmtId="2" fontId="1" fillId="0" borderId="0" xfId="0" applyNumberFormat="1" applyFont="1"/>
    <xf numFmtId="0" fontId="1" fillId="0" borderId="0" xfId="0" applyFont="1" applyFill="1" applyBorder="1"/>
    <xf numFmtId="165" fontId="2" fillId="0" borderId="2" xfId="0" applyNumberFormat="1" applyFont="1" applyBorder="1" applyAlignment="1" applyProtection="1">
      <alignment horizontal="centerContinuous"/>
    </xf>
    <xf numFmtId="165" fontId="2" fillId="0" borderId="4" xfId="0" applyNumberFormat="1" applyFont="1" applyBorder="1" applyAlignment="1" applyProtection="1">
      <alignment horizontal="centerContinuous"/>
    </xf>
    <xf numFmtId="165" fontId="1" fillId="3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left"/>
    </xf>
    <xf numFmtId="165" fontId="1" fillId="3" borderId="1" xfId="0" applyNumberFormat="1" applyFont="1" applyFill="1" applyBorder="1" applyAlignment="1">
      <alignment horizontal="center"/>
    </xf>
    <xf numFmtId="0" fontId="0" fillId="0" borderId="2" xfId="0" applyFont="1" applyBorder="1" applyProtection="1"/>
    <xf numFmtId="165" fontId="0" fillId="0" borderId="2" xfId="0" applyNumberFormat="1" applyBorder="1" applyAlignment="1">
      <alignment horizontal="centerContinuous"/>
    </xf>
    <xf numFmtId="0" fontId="0" fillId="0" borderId="4" xfId="0" applyNumberFormat="1" applyBorder="1" applyAlignment="1">
      <alignment horizontal="centerContinuous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165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left"/>
    </xf>
    <xf numFmtId="165" fontId="1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34"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4" builtinId="8" hidden="1"/>
    <cellStyle name="Hyperlink" xfId="6" builtinId="8" hidden="1"/>
    <cellStyle name="Hyperlink" xfId="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Normal 2" xfId="1"/>
  </cellStyles>
  <dxfs count="21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7"/>
  <sheetViews>
    <sheetView showGridLines="0" showZeros="0" zoomScale="125" zoomScaleNormal="125" zoomScalePageLayoutView="125" workbookViewId="0">
      <selection activeCell="E35" sqref="E35"/>
    </sheetView>
  </sheetViews>
  <sheetFormatPr baseColWidth="10" defaultColWidth="8.83203125" defaultRowHeight="13" x14ac:dyDescent="0.15"/>
  <cols>
    <col min="2" max="3" width="12.83203125" customWidth="1"/>
    <col min="4" max="4" width="8.6640625" customWidth="1"/>
    <col min="5" max="5" width="15.6640625" customWidth="1"/>
    <col min="6" max="6" width="16.5" bestFit="1" customWidth="1"/>
    <col min="7" max="7" width="5.6640625" customWidth="1"/>
    <col min="8" max="11" width="11.5" customWidth="1"/>
  </cols>
  <sheetData>
    <row r="1" spans="2:10" x14ac:dyDescent="0.15">
      <c r="B1" s="3" t="s">
        <v>0</v>
      </c>
      <c r="C1">
        <v>2015</v>
      </c>
    </row>
    <row r="3" spans="2:10" x14ac:dyDescent="0.15">
      <c r="B3" s="5" t="s">
        <v>24</v>
      </c>
      <c r="C3" s="6"/>
      <c r="D3" s="6"/>
      <c r="E3" s="6"/>
      <c r="F3" s="6"/>
      <c r="G3" s="6"/>
      <c r="H3" s="6"/>
      <c r="I3" s="6"/>
      <c r="J3" s="6"/>
    </row>
    <row r="5" spans="2:10" x14ac:dyDescent="0.15">
      <c r="D5" s="26" t="s">
        <v>1</v>
      </c>
      <c r="E5" s="26" t="s">
        <v>30</v>
      </c>
      <c r="F5" s="26" t="s">
        <v>31</v>
      </c>
      <c r="H5" s="26" t="s">
        <v>32</v>
      </c>
      <c r="I5" s="26" t="s">
        <v>33</v>
      </c>
    </row>
    <row r="6" spans="2:10" hidden="1" x14ac:dyDescent="0.15">
      <c r="B6" s="25" t="str">
        <f>CONCATENATE("Solde ",currentYear-1)</f>
        <v>Solde 2014</v>
      </c>
      <c r="C6" s="25"/>
      <c r="D6" s="29"/>
      <c r="E6" s="25"/>
      <c r="F6" s="25"/>
      <c r="G6" s="29"/>
      <c r="H6" s="25"/>
      <c r="I6" s="25"/>
    </row>
    <row r="7" spans="2:10" hidden="1" x14ac:dyDescent="0.15">
      <c r="B7" s="62" t="str">
        <f>CONCATENATE("PE ",currentYear-1)</f>
        <v>PE 2014</v>
      </c>
      <c r="C7" s="62"/>
      <c r="D7" s="1">
        <v>136</v>
      </c>
      <c r="E7" s="27"/>
      <c r="F7" s="28">
        <f>DATE(currentYear,3,31)</f>
        <v>42094</v>
      </c>
      <c r="H7" s="27">
        <f>SUMIF($F$24:$F$49,B7,$E$24:$E$49)</f>
        <v>0</v>
      </c>
      <c r="I7" s="27">
        <f t="shared" ref="I7:I8" ca="1" si="0">IF(TODAY()&lt;=F7,E7-H7,0)</f>
        <v>0</v>
      </c>
    </row>
    <row r="8" spans="2:10" hidden="1" x14ac:dyDescent="0.15">
      <c r="B8" s="61" t="str">
        <f>CONCATENATE("Récupération ",currentYear-1)</f>
        <v>Récupération 2014</v>
      </c>
      <c r="C8" s="61"/>
      <c r="D8" s="1">
        <v>136</v>
      </c>
      <c r="E8" s="8"/>
      <c r="F8" s="28">
        <f>DATE(currentYear,3,31)</f>
        <v>42094</v>
      </c>
      <c r="H8" s="8">
        <f>SUMIF($F$24:$F$49,B8,$E$24:$E$49)</f>
        <v>0</v>
      </c>
      <c r="I8" s="27">
        <f t="shared" ca="1" si="0"/>
        <v>0</v>
      </c>
    </row>
    <row r="9" spans="2:10" hidden="1" x14ac:dyDescent="0.15">
      <c r="B9" s="61" t="str">
        <f>CONCATENATE("Education ",currentYear-1)</f>
        <v>Education 2014</v>
      </c>
      <c r="C9" s="61"/>
      <c r="D9" s="1">
        <v>224</v>
      </c>
      <c r="E9" s="8"/>
      <c r="F9" s="11">
        <v>41665</v>
      </c>
      <c r="H9" s="8">
        <f>SUMIF($F$24:$F$49,B9,$E$24:$E$49)</f>
        <v>0</v>
      </c>
      <c r="I9" s="27">
        <f ca="1">IF(TODAY()&lt;=F9,E9-H9,0)</f>
        <v>0</v>
      </c>
    </row>
    <row r="10" spans="2:10" x14ac:dyDescent="0.15">
      <c r="B10" s="25">
        <f>currentYear</f>
        <v>2015</v>
      </c>
      <c r="C10" s="25"/>
      <c r="D10" s="29"/>
      <c r="E10" s="25"/>
      <c r="F10" s="25"/>
      <c r="G10" s="29"/>
      <c r="H10" s="25"/>
      <c r="I10" s="25"/>
    </row>
    <row r="11" spans="2:10" x14ac:dyDescent="0.15">
      <c r="B11" s="60" t="s">
        <v>22</v>
      </c>
      <c r="C11" s="61"/>
      <c r="D11" s="1">
        <v>230</v>
      </c>
      <c r="E11" s="8"/>
      <c r="F11" s="28">
        <f>DATE(currentYear,12,31)</f>
        <v>42369</v>
      </c>
      <c r="H11" s="8">
        <f>SUMIF($F$24:$F$49,B11,$E$24:$E$49)</f>
        <v>0</v>
      </c>
      <c r="I11" s="27">
        <f t="shared" ref="I11:I12" ca="1" si="1">IF(TODAY()&lt;=F11,E11-H11,0)</f>
        <v>0</v>
      </c>
    </row>
    <row r="12" spans="2:10" x14ac:dyDescent="0.15">
      <c r="B12" s="60" t="s">
        <v>23</v>
      </c>
      <c r="C12" s="61"/>
      <c r="D12" s="1">
        <v>136</v>
      </c>
      <c r="E12" s="8">
        <f>F70</f>
        <v>3.5</v>
      </c>
      <c r="F12" s="28">
        <f>DATE(currentYear+1,3,31)</f>
        <v>42460</v>
      </c>
      <c r="H12" s="8">
        <f>SUMIF($F$24:$F$49,B12,$E$24:$E$49)</f>
        <v>3.5</v>
      </c>
      <c r="I12" s="27">
        <f t="shared" ca="1" si="1"/>
        <v>0</v>
      </c>
    </row>
    <row r="13" spans="2:10" x14ac:dyDescent="0.15">
      <c r="B13" s="60" t="s">
        <v>21</v>
      </c>
      <c r="C13" s="61"/>
      <c r="D13" s="1">
        <v>50</v>
      </c>
      <c r="E13" s="31"/>
      <c r="F13" s="32"/>
      <c r="H13" s="8">
        <f>SUMIF($F$24:$F$49,B13,$E$24:$E$49)</f>
        <v>0</v>
      </c>
      <c r="I13" s="36"/>
    </row>
    <row r="14" spans="2:10" x14ac:dyDescent="0.15">
      <c r="B14" s="60" t="s">
        <v>19</v>
      </c>
      <c r="C14" s="61"/>
      <c r="D14" s="1">
        <v>235</v>
      </c>
      <c r="E14" s="31"/>
      <c r="F14" s="32"/>
      <c r="H14" s="8">
        <f>SUMIF($F$24:$F$49,B14,$E$24:$E$49)</f>
        <v>0.5</v>
      </c>
      <c r="I14" s="36"/>
    </row>
    <row r="15" spans="2:10" x14ac:dyDescent="0.15">
      <c r="B15" s="60" t="s">
        <v>20</v>
      </c>
      <c r="C15" s="61"/>
      <c r="D15" s="1">
        <v>428</v>
      </c>
      <c r="E15" s="31"/>
      <c r="F15" s="32"/>
      <c r="H15" s="8">
        <f>SUMIF($F$24:$F$49,B15,$E$24:$E$49)</f>
        <v>0</v>
      </c>
      <c r="I15" s="36"/>
    </row>
    <row r="16" spans="2:10" x14ac:dyDescent="0.15">
      <c r="H16" s="7"/>
      <c r="I16" s="7"/>
    </row>
    <row r="17" spans="2:12" s="3" customFormat="1" x14ac:dyDescent="0.15">
      <c r="B17" s="35" t="s">
        <v>3</v>
      </c>
      <c r="C17"/>
      <c r="E17" s="10">
        <f>SUM(E7:E15)</f>
        <v>3.5</v>
      </c>
      <c r="H17" s="10">
        <f>SUM(H7:H15)</f>
        <v>4</v>
      </c>
      <c r="I17" s="10">
        <f ca="1">SUM(I8:I15)</f>
        <v>0</v>
      </c>
    </row>
    <row r="18" spans="2:12" s="3" customFormat="1" x14ac:dyDescent="0.15">
      <c r="B18" s="34"/>
      <c r="C18"/>
      <c r="E18" s="33"/>
      <c r="H18" s="33"/>
      <c r="I18" s="10">
        <f ca="1">H17+I17</f>
        <v>4</v>
      </c>
      <c r="L18" s="44"/>
    </row>
    <row r="19" spans="2:12" s="3" customFormat="1" x14ac:dyDescent="0.15">
      <c r="B19" s="45"/>
      <c r="C19"/>
      <c r="E19" s="33"/>
      <c r="H19" s="33"/>
      <c r="I19" s="3" t="str">
        <f ca="1">CONCATENATE(FLOOR(I18/5,1)," week(s)",IF(MOD(I18,5)&lt;&gt;0,CONCATENATE(" and ",MOD(I18,5)," day(s)",""),""))</f>
        <v>0 week(s) and 4 day(s)</v>
      </c>
      <c r="L19" s="44"/>
    </row>
    <row r="21" spans="2:12" x14ac:dyDescent="0.15">
      <c r="B21" s="5" t="s">
        <v>25</v>
      </c>
      <c r="C21" s="6"/>
      <c r="D21" s="6"/>
      <c r="E21" s="6"/>
      <c r="F21" s="6"/>
      <c r="G21" s="6"/>
      <c r="H21" s="6"/>
      <c r="I21" s="6"/>
      <c r="J21" s="6"/>
    </row>
    <row r="23" spans="2:12" s="3" customFormat="1" x14ac:dyDescent="0.15">
      <c r="B23" s="2" t="s">
        <v>4</v>
      </c>
      <c r="C23" s="2" t="s">
        <v>5</v>
      </c>
      <c r="E23" s="2" t="s">
        <v>2</v>
      </c>
      <c r="F23" s="2" t="s">
        <v>6</v>
      </c>
    </row>
    <row r="24" spans="2:12" x14ac:dyDescent="0.15">
      <c r="B24" s="17">
        <v>42361</v>
      </c>
      <c r="C24" s="17"/>
      <c r="E24" s="30">
        <v>3.5</v>
      </c>
      <c r="F24" s="18" t="s">
        <v>23</v>
      </c>
      <c r="I24" s="19">
        <f>IF(AND(NOT(ISBLANK(B24)),NOT(ISBLANK(C24))),SUMPRODUCT((EPOffDays&gt;=B24)*(EPOffDays&lt;=C24))-SUMPRODUCT((BelgiumOffDays&gt;=B24)*(BelgiumOffDays&lt;=C24)),0)</f>
        <v>0</v>
      </c>
    </row>
    <row r="25" spans="2:12" x14ac:dyDescent="0.15">
      <c r="B25" s="17"/>
      <c r="C25" s="17">
        <v>42369</v>
      </c>
      <c r="E25" s="30">
        <v>0.5</v>
      </c>
      <c r="F25" s="40" t="s">
        <v>19</v>
      </c>
      <c r="I25" s="19">
        <f t="shared" ref="I25:I49" si="2">IF(AND(NOT(ISBLANK(B25)),NOT(ISBLANK(C25))),SUMPRODUCT((EPOffDays&gt;=B25)*(EPOffDays&lt;=C25)),0)</f>
        <v>0</v>
      </c>
    </row>
    <row r="26" spans="2:12" x14ac:dyDescent="0.15">
      <c r="B26" s="17"/>
      <c r="C26" s="17"/>
      <c r="E26" s="30">
        <f t="shared" ref="E26:E49" si="3">IF(AND(NOT(ISBLANK(B26)),NOT(ISBLANK(C26))),NETWORKDAYS(B26,C26,BelgiumOffDays),0)</f>
        <v>0</v>
      </c>
      <c r="F26" s="18"/>
      <c r="I26" s="19">
        <f t="shared" si="2"/>
        <v>0</v>
      </c>
    </row>
    <row r="27" spans="2:12" x14ac:dyDescent="0.15">
      <c r="B27" s="17"/>
      <c r="C27" s="17"/>
      <c r="E27" s="30">
        <f t="shared" si="3"/>
        <v>0</v>
      </c>
      <c r="F27" s="18"/>
      <c r="I27" s="19">
        <f>IF(AND(NOT(ISBLANK(B27)),NOT(ISBLANK(C27))),SUMPRODUCT((EPOffDays&gt;=B27)*(EPOffDays&lt;=C27)),0)</f>
        <v>0</v>
      </c>
    </row>
    <row r="28" spans="2:12" x14ac:dyDescent="0.15">
      <c r="B28" s="17"/>
      <c r="C28" s="17"/>
      <c r="E28" s="30">
        <f t="shared" si="3"/>
        <v>0</v>
      </c>
      <c r="F28" s="18"/>
      <c r="I28" s="19">
        <f t="shared" si="2"/>
        <v>0</v>
      </c>
    </row>
    <row r="29" spans="2:12" x14ac:dyDescent="0.15">
      <c r="B29" s="17"/>
      <c r="C29" s="17"/>
      <c r="E29" s="30">
        <f t="shared" si="3"/>
        <v>0</v>
      </c>
      <c r="F29" s="18"/>
      <c r="I29" s="19">
        <f>IF(AND(NOT(ISBLANK(B29)),NOT(ISBLANK(C29))),SUMPRODUCT((EPOffDays&gt;=B29)*(EPOffDays&lt;=C29)),0)</f>
        <v>0</v>
      </c>
    </row>
    <row r="30" spans="2:12" x14ac:dyDescent="0.15">
      <c r="B30" s="17"/>
      <c r="C30" s="17"/>
      <c r="E30" s="30">
        <f t="shared" si="3"/>
        <v>0</v>
      </c>
      <c r="F30" s="18"/>
      <c r="I30" s="19">
        <f>IF(AND(NOT(ISBLANK(B30)),NOT(ISBLANK(C30))),SUMPRODUCT((EPOffDays&gt;=B30)*(EPOffDays&lt;=C30)),0)</f>
        <v>0</v>
      </c>
    </row>
    <row r="31" spans="2:12" x14ac:dyDescent="0.15">
      <c r="B31" s="17"/>
      <c r="C31" s="17"/>
      <c r="E31" s="30">
        <f t="shared" si="3"/>
        <v>0</v>
      </c>
      <c r="F31" s="18"/>
      <c r="I31" s="19">
        <f>IF(AND(NOT(ISBLANK(B31)),NOT(ISBLANK(C31))),SUMPRODUCT((EPOffDays&gt;=B31)*(EPOffDays&lt;=C31)),0)</f>
        <v>0</v>
      </c>
    </row>
    <row r="32" spans="2:12" x14ac:dyDescent="0.15">
      <c r="B32" s="17"/>
      <c r="C32" s="17"/>
      <c r="E32" s="30">
        <f t="shared" si="3"/>
        <v>0</v>
      </c>
      <c r="F32" s="18"/>
      <c r="I32" s="19">
        <f t="shared" si="2"/>
        <v>0</v>
      </c>
    </row>
    <row r="33" spans="2:9" x14ac:dyDescent="0.15">
      <c r="B33" s="17"/>
      <c r="C33" s="17"/>
      <c r="E33" s="30">
        <f t="shared" si="3"/>
        <v>0</v>
      </c>
      <c r="F33" s="18"/>
      <c r="I33" s="19">
        <f t="shared" si="2"/>
        <v>0</v>
      </c>
    </row>
    <row r="34" spans="2:9" x14ac:dyDescent="0.15">
      <c r="B34" s="41"/>
      <c r="C34" s="41"/>
      <c r="D34" s="42"/>
      <c r="E34" s="30">
        <f t="shared" si="3"/>
        <v>0</v>
      </c>
      <c r="F34" s="43"/>
      <c r="I34" s="19">
        <f t="shared" si="2"/>
        <v>0</v>
      </c>
    </row>
    <row r="35" spans="2:9" x14ac:dyDescent="0.15">
      <c r="B35" s="17"/>
      <c r="C35" s="17"/>
      <c r="E35" s="30">
        <f t="shared" si="3"/>
        <v>0</v>
      </c>
      <c r="F35" s="18"/>
      <c r="I35" s="19">
        <f t="shared" si="2"/>
        <v>0</v>
      </c>
    </row>
    <row r="36" spans="2:9" x14ac:dyDescent="0.15">
      <c r="B36" s="17"/>
      <c r="C36" s="17"/>
      <c r="E36" s="30">
        <f t="shared" si="3"/>
        <v>0</v>
      </c>
      <c r="F36" s="18"/>
      <c r="I36" s="19">
        <f t="shared" si="2"/>
        <v>0</v>
      </c>
    </row>
    <row r="37" spans="2:9" x14ac:dyDescent="0.15">
      <c r="B37" s="17"/>
      <c r="C37" s="17"/>
      <c r="E37" s="30">
        <f t="shared" si="3"/>
        <v>0</v>
      </c>
      <c r="F37" s="18"/>
      <c r="I37" s="19">
        <f t="shared" si="2"/>
        <v>0</v>
      </c>
    </row>
    <row r="38" spans="2:9" x14ac:dyDescent="0.15">
      <c r="B38" s="17"/>
      <c r="C38" s="17"/>
      <c r="E38" s="30">
        <f t="shared" si="3"/>
        <v>0</v>
      </c>
      <c r="F38" s="18"/>
      <c r="I38" s="19">
        <f t="shared" ref="I38:I43" si="4">IF(AND(NOT(ISBLANK(B38)),NOT(ISBLANK(C38))),SUMPRODUCT((EPOffDays&gt;=B38)*(EPOffDays&lt;=C38)),0)</f>
        <v>0</v>
      </c>
    </row>
    <row r="39" spans="2:9" x14ac:dyDescent="0.15">
      <c r="B39" s="17"/>
      <c r="C39" s="17"/>
      <c r="E39" s="30">
        <f t="shared" si="3"/>
        <v>0</v>
      </c>
      <c r="F39" s="18"/>
      <c r="I39" s="19">
        <f t="shared" si="4"/>
        <v>0</v>
      </c>
    </row>
    <row r="40" spans="2:9" x14ac:dyDescent="0.15">
      <c r="B40" s="17"/>
      <c r="C40" s="17"/>
      <c r="E40" s="30">
        <f t="shared" si="3"/>
        <v>0</v>
      </c>
      <c r="F40" s="18"/>
      <c r="I40" s="19">
        <f t="shared" si="4"/>
        <v>0</v>
      </c>
    </row>
    <row r="41" spans="2:9" x14ac:dyDescent="0.15">
      <c r="B41" s="17"/>
      <c r="C41" s="17"/>
      <c r="E41" s="30">
        <f t="shared" si="3"/>
        <v>0</v>
      </c>
      <c r="F41" s="40"/>
      <c r="I41" s="19">
        <f t="shared" si="4"/>
        <v>0</v>
      </c>
    </row>
    <row r="42" spans="2:9" x14ac:dyDescent="0.15">
      <c r="B42" s="17"/>
      <c r="C42" s="17"/>
      <c r="E42" s="30">
        <f t="shared" si="3"/>
        <v>0</v>
      </c>
      <c r="F42" s="18"/>
      <c r="I42" s="19">
        <f t="shared" si="4"/>
        <v>0</v>
      </c>
    </row>
    <row r="43" spans="2:9" x14ac:dyDescent="0.15">
      <c r="B43" s="17"/>
      <c r="C43" s="17"/>
      <c r="E43" s="30">
        <f t="shared" si="3"/>
        <v>0</v>
      </c>
      <c r="F43" s="18"/>
      <c r="I43" s="19">
        <f t="shared" si="4"/>
        <v>0</v>
      </c>
    </row>
    <row r="44" spans="2:9" x14ac:dyDescent="0.15">
      <c r="B44" s="17"/>
      <c r="C44" s="17"/>
      <c r="E44" s="30">
        <f t="shared" si="3"/>
        <v>0</v>
      </c>
      <c r="F44" s="18"/>
      <c r="I44" s="19">
        <f t="shared" si="2"/>
        <v>0</v>
      </c>
    </row>
    <row r="45" spans="2:9" x14ac:dyDescent="0.15">
      <c r="B45" s="17"/>
      <c r="C45" s="17"/>
      <c r="E45" s="30">
        <f t="shared" si="3"/>
        <v>0</v>
      </c>
      <c r="F45" s="18"/>
      <c r="I45" s="19">
        <f t="shared" si="2"/>
        <v>0</v>
      </c>
    </row>
    <row r="46" spans="2:9" x14ac:dyDescent="0.15">
      <c r="B46" s="17"/>
      <c r="C46" s="18"/>
      <c r="E46" s="30">
        <f t="shared" si="3"/>
        <v>0</v>
      </c>
      <c r="F46" s="18"/>
      <c r="I46" s="19">
        <f>IF(AND(NOT(ISBLANK(B46)),NOT(ISBLANK(C47))),SUMPRODUCT((EPOffDays&gt;=B46)*(EPOffDays&lt;=C47)),0)</f>
        <v>0</v>
      </c>
    </row>
    <row r="47" spans="2:9" x14ac:dyDescent="0.15">
      <c r="B47" s="17"/>
      <c r="C47" s="17"/>
      <c r="E47" s="30">
        <f t="shared" si="3"/>
        <v>0</v>
      </c>
      <c r="F47" s="18"/>
      <c r="I47" s="19">
        <f>IF(AND(NOT(ISBLANK(B47)),NOT(ISBLANK(#REF!))),SUMPRODUCT((EPOffDays&gt;=B47)*(EPOffDays&lt;=#REF!)),0)</f>
        <v>0</v>
      </c>
    </row>
    <row r="48" spans="2:9" x14ac:dyDescent="0.15">
      <c r="B48" s="17"/>
      <c r="C48" s="17"/>
      <c r="E48" s="30">
        <f t="shared" si="3"/>
        <v>0</v>
      </c>
      <c r="F48" s="18"/>
      <c r="I48" s="19">
        <f t="shared" si="2"/>
        <v>0</v>
      </c>
    </row>
    <row r="49" spans="2:10" x14ac:dyDescent="0.15">
      <c r="B49" s="17"/>
      <c r="C49" s="17"/>
      <c r="E49" s="30">
        <f t="shared" si="3"/>
        <v>0</v>
      </c>
      <c r="F49" s="18"/>
      <c r="I49" s="19">
        <f t="shared" si="2"/>
        <v>0</v>
      </c>
    </row>
    <row r="50" spans="2:10" x14ac:dyDescent="0.15">
      <c r="B50" s="13"/>
      <c r="C50" s="13"/>
      <c r="E50" s="14"/>
      <c r="F50" s="14"/>
    </row>
    <row r="51" spans="2:10" x14ac:dyDescent="0.15">
      <c r="B51" s="2" t="s">
        <v>7</v>
      </c>
      <c r="C51" s="13"/>
      <c r="E51" s="16">
        <f>SUM(E24:E49)</f>
        <v>4</v>
      </c>
      <c r="F51" s="3" t="str">
        <f ca="1">I19</f>
        <v>0 week(s) and 4 day(s)</v>
      </c>
    </row>
    <row r="52" spans="2:10" x14ac:dyDescent="0.15">
      <c r="B52" s="13"/>
      <c r="C52" s="13"/>
      <c r="F52" s="15"/>
    </row>
    <row r="53" spans="2:10" x14ac:dyDescent="0.15">
      <c r="B53" s="5" t="s">
        <v>26</v>
      </c>
      <c r="C53" s="6"/>
      <c r="D53" s="6"/>
      <c r="E53" s="6"/>
      <c r="F53" s="6"/>
      <c r="G53" s="6"/>
      <c r="H53" s="6"/>
      <c r="I53" s="6"/>
      <c r="J53" s="6"/>
    </row>
    <row r="54" spans="2:10" x14ac:dyDescent="0.15">
      <c r="B54" s="13"/>
      <c r="C54" s="13"/>
      <c r="E54" s="4"/>
      <c r="F54" s="15"/>
    </row>
    <row r="55" spans="2:10" x14ac:dyDescent="0.15">
      <c r="B55" s="13"/>
      <c r="C55" s="39" t="s">
        <v>8</v>
      </c>
      <c r="D55" s="38"/>
      <c r="E55" s="4"/>
      <c r="F55" s="15"/>
    </row>
    <row r="56" spans="2:10" x14ac:dyDescent="0.15">
      <c r="B56" s="21" t="s">
        <v>27</v>
      </c>
      <c r="C56" s="2" t="s">
        <v>28</v>
      </c>
      <c r="D56" s="37" t="s">
        <v>29</v>
      </c>
      <c r="F56" s="2" t="s">
        <v>9</v>
      </c>
    </row>
    <row r="57" spans="2:10" x14ac:dyDescent="0.15">
      <c r="B57" s="49">
        <v>42005</v>
      </c>
      <c r="C57" s="1"/>
      <c r="D57" s="9"/>
      <c r="F57" s="20">
        <f t="shared" ref="F57:F64" si="5">D57*10/456</f>
        <v>0</v>
      </c>
    </row>
    <row r="58" spans="2:10" x14ac:dyDescent="0.15">
      <c r="B58" s="49">
        <v>42036</v>
      </c>
      <c r="C58" s="1"/>
      <c r="D58" s="9"/>
      <c r="F58" s="20">
        <f t="shared" si="5"/>
        <v>0</v>
      </c>
    </row>
    <row r="59" spans="2:10" x14ac:dyDescent="0.15">
      <c r="B59" s="49">
        <v>42064</v>
      </c>
      <c r="C59" s="1"/>
      <c r="D59" s="9"/>
      <c r="F59" s="20">
        <f t="shared" si="5"/>
        <v>0</v>
      </c>
    </row>
    <row r="60" spans="2:10" x14ac:dyDescent="0.15">
      <c r="B60" s="49">
        <v>42095</v>
      </c>
      <c r="C60" s="1"/>
      <c r="D60" s="9"/>
      <c r="F60" s="20">
        <f t="shared" si="5"/>
        <v>0</v>
      </c>
    </row>
    <row r="61" spans="2:10" x14ac:dyDescent="0.15">
      <c r="B61" s="49">
        <v>42125</v>
      </c>
      <c r="C61" s="1"/>
      <c r="D61" s="9"/>
      <c r="F61" s="20">
        <f t="shared" si="5"/>
        <v>0</v>
      </c>
    </row>
    <row r="62" spans="2:10" x14ac:dyDescent="0.15">
      <c r="B62" s="49">
        <v>42156</v>
      </c>
      <c r="C62" s="1"/>
      <c r="D62" s="9"/>
      <c r="F62" s="20">
        <f t="shared" si="5"/>
        <v>0</v>
      </c>
    </row>
    <row r="63" spans="2:10" x14ac:dyDescent="0.15">
      <c r="B63" s="49">
        <v>42186</v>
      </c>
      <c r="C63" s="1"/>
      <c r="D63" s="9"/>
      <c r="F63" s="20">
        <f t="shared" si="5"/>
        <v>0</v>
      </c>
    </row>
    <row r="64" spans="2:10" x14ac:dyDescent="0.15">
      <c r="B64" s="49">
        <v>42217</v>
      </c>
      <c r="C64" s="1"/>
      <c r="D64" s="9"/>
      <c r="F64" s="20">
        <f t="shared" si="5"/>
        <v>0</v>
      </c>
    </row>
    <row r="65" spans="2:10" x14ac:dyDescent="0.15">
      <c r="B65" s="49">
        <v>42248</v>
      </c>
      <c r="C65" s="1">
        <v>22</v>
      </c>
      <c r="D65" s="9">
        <v>13</v>
      </c>
      <c r="F65" s="20">
        <f>D65*24/456</f>
        <v>0.68421052631578949</v>
      </c>
    </row>
    <row r="66" spans="2:10" x14ac:dyDescent="0.15">
      <c r="B66" s="49">
        <v>42278</v>
      </c>
      <c r="C66" s="1">
        <v>23</v>
      </c>
      <c r="D66" s="9">
        <v>23</v>
      </c>
      <c r="F66" s="20">
        <f t="shared" ref="F66:F68" si="6">D66*24/456</f>
        <v>1.2105263157894737</v>
      </c>
    </row>
    <row r="67" spans="2:10" x14ac:dyDescent="0.15">
      <c r="B67" s="49">
        <v>42309</v>
      </c>
      <c r="C67" s="1">
        <v>19</v>
      </c>
      <c r="D67" s="9">
        <v>17</v>
      </c>
      <c r="F67" s="20">
        <f t="shared" si="6"/>
        <v>0.89473684210526316</v>
      </c>
    </row>
    <row r="68" spans="2:10" x14ac:dyDescent="0.15">
      <c r="B68" s="49">
        <v>42339</v>
      </c>
      <c r="C68" s="1">
        <v>17</v>
      </c>
      <c r="D68" s="9">
        <v>17</v>
      </c>
      <c r="F68" s="20">
        <f t="shared" si="6"/>
        <v>0.89473684210526316</v>
      </c>
    </row>
    <row r="69" spans="2:10" x14ac:dyDescent="0.15">
      <c r="B69" s="13"/>
      <c r="D69" s="14"/>
      <c r="F69" s="15"/>
    </row>
    <row r="70" spans="2:10" x14ac:dyDescent="0.15">
      <c r="B70" s="11" t="s">
        <v>7</v>
      </c>
      <c r="C70" s="16">
        <f>SUM(C57:C68)</f>
        <v>81</v>
      </c>
      <c r="D70" s="16">
        <f>SUM(D57:D68)</f>
        <v>70</v>
      </c>
      <c r="F70" s="10">
        <f>FLOOR(SUM(F57:F68),0.25)</f>
        <v>3.5</v>
      </c>
    </row>
    <row r="72" spans="2:10" x14ac:dyDescent="0.15">
      <c r="B72" s="5" t="str">
        <f>CONCATENATE("EP closing days in ",currentYear)</f>
        <v>EP closing days in 2015</v>
      </c>
      <c r="C72" s="6"/>
      <c r="D72" s="6"/>
      <c r="E72" s="6"/>
      <c r="F72" s="6"/>
      <c r="G72" s="6"/>
      <c r="H72" s="6"/>
      <c r="I72" s="6"/>
      <c r="J72" s="6"/>
    </row>
    <row r="74" spans="2:10" x14ac:dyDescent="0.15">
      <c r="B74" s="50" t="s">
        <v>10</v>
      </c>
      <c r="C74" s="58" t="s">
        <v>42</v>
      </c>
      <c r="D74" s="58"/>
      <c r="E74" s="59" t="s">
        <v>11</v>
      </c>
      <c r="F74" s="59"/>
      <c r="G74" s="59"/>
    </row>
    <row r="75" spans="2:10" x14ac:dyDescent="0.15">
      <c r="B75" s="1">
        <v>1</v>
      </c>
      <c r="C75" s="52">
        <v>42005</v>
      </c>
      <c r="D75" s="53"/>
      <c r="E75" s="54" t="s">
        <v>12</v>
      </c>
      <c r="F75" s="55"/>
      <c r="G75" s="56"/>
    </row>
    <row r="76" spans="2:10" x14ac:dyDescent="0.15">
      <c r="B76" s="1">
        <v>2</v>
      </c>
      <c r="C76" s="52">
        <v>42006</v>
      </c>
      <c r="D76" s="53"/>
      <c r="E76" s="22" t="s">
        <v>34</v>
      </c>
      <c r="F76" s="23"/>
      <c r="G76" s="24"/>
    </row>
    <row r="77" spans="2:10" x14ac:dyDescent="0.15">
      <c r="B77" s="1">
        <v>3</v>
      </c>
      <c r="C77" s="52">
        <v>42096</v>
      </c>
      <c r="D77" s="53"/>
      <c r="E77" s="22" t="s">
        <v>35</v>
      </c>
      <c r="F77" s="23"/>
      <c r="G77" s="24"/>
    </row>
    <row r="78" spans="2:10" x14ac:dyDescent="0.15">
      <c r="B78" s="1">
        <v>4</v>
      </c>
      <c r="C78" s="52">
        <v>42097</v>
      </c>
      <c r="D78" s="53"/>
      <c r="E78" s="22" t="s">
        <v>36</v>
      </c>
      <c r="F78" s="23"/>
      <c r="G78" s="24"/>
    </row>
    <row r="79" spans="2:10" x14ac:dyDescent="0.15">
      <c r="B79" s="1">
        <v>5</v>
      </c>
      <c r="C79" s="52">
        <v>42100</v>
      </c>
      <c r="D79" s="53"/>
      <c r="E79" s="22" t="s">
        <v>13</v>
      </c>
      <c r="F79" s="23"/>
      <c r="G79" s="24"/>
    </row>
    <row r="80" spans="2:10" x14ac:dyDescent="0.15">
      <c r="B80" s="1">
        <v>6</v>
      </c>
      <c r="C80" s="52">
        <v>42125</v>
      </c>
      <c r="D80" s="53"/>
      <c r="E80" s="22" t="s">
        <v>14</v>
      </c>
      <c r="F80" s="23"/>
      <c r="G80" s="24"/>
    </row>
    <row r="81" spans="2:10" x14ac:dyDescent="0.15">
      <c r="B81" s="1">
        <v>7</v>
      </c>
      <c r="C81" s="52">
        <v>42138</v>
      </c>
      <c r="D81" s="53"/>
      <c r="E81" s="22" t="s">
        <v>37</v>
      </c>
      <c r="F81" s="23"/>
      <c r="G81" s="24"/>
    </row>
    <row r="82" spans="2:10" x14ac:dyDescent="0.15">
      <c r="B82" s="1">
        <v>8</v>
      </c>
      <c r="C82" s="52">
        <v>42139</v>
      </c>
      <c r="D82" s="53"/>
      <c r="E82" s="22" t="s">
        <v>38</v>
      </c>
      <c r="F82" s="23"/>
      <c r="G82" s="24"/>
    </row>
    <row r="83" spans="2:10" x14ac:dyDescent="0.15">
      <c r="B83" s="1">
        <v>9</v>
      </c>
      <c r="C83" s="52">
        <v>42149</v>
      </c>
      <c r="D83" s="53"/>
      <c r="E83" s="22" t="s">
        <v>39</v>
      </c>
      <c r="F83" s="23"/>
      <c r="G83" s="24"/>
    </row>
    <row r="84" spans="2:10" x14ac:dyDescent="0.15">
      <c r="B84" s="1">
        <v>10</v>
      </c>
      <c r="C84" s="52">
        <v>42206</v>
      </c>
      <c r="D84" s="53"/>
      <c r="E84" s="22" t="s">
        <v>40</v>
      </c>
      <c r="F84" s="23"/>
      <c r="G84" s="24"/>
    </row>
    <row r="85" spans="2:10" x14ac:dyDescent="0.15">
      <c r="B85" s="1">
        <v>11</v>
      </c>
      <c r="C85" s="52">
        <v>42310</v>
      </c>
      <c r="D85" s="53"/>
      <c r="E85" s="22" t="s">
        <v>41</v>
      </c>
      <c r="F85" s="23"/>
      <c r="G85" s="24"/>
    </row>
    <row r="86" spans="2:10" x14ac:dyDescent="0.15">
      <c r="B86" s="1">
        <v>12</v>
      </c>
      <c r="C86" s="52">
        <v>42362</v>
      </c>
      <c r="D86" s="53"/>
      <c r="E86" s="22" t="s">
        <v>18</v>
      </c>
      <c r="F86" s="23"/>
      <c r="G86" s="24"/>
    </row>
    <row r="87" spans="2:10" x14ac:dyDescent="0.15">
      <c r="B87" s="1">
        <v>13</v>
      </c>
      <c r="C87" s="52">
        <v>42363</v>
      </c>
      <c r="D87" s="53"/>
      <c r="E87" s="22" t="s">
        <v>18</v>
      </c>
      <c r="F87" s="23"/>
      <c r="G87" s="24"/>
    </row>
    <row r="88" spans="2:10" x14ac:dyDescent="0.15">
      <c r="B88" s="1">
        <v>14</v>
      </c>
      <c r="C88" s="52">
        <v>42366</v>
      </c>
      <c r="D88" s="53"/>
      <c r="E88" s="22" t="s">
        <v>18</v>
      </c>
      <c r="F88" s="23"/>
      <c r="G88" s="24"/>
    </row>
    <row r="89" spans="2:10" x14ac:dyDescent="0.15">
      <c r="B89" s="1">
        <v>15</v>
      </c>
      <c r="C89" s="52">
        <v>42367</v>
      </c>
      <c r="D89" s="53"/>
      <c r="E89" s="22" t="s">
        <v>18</v>
      </c>
      <c r="F89" s="23"/>
      <c r="G89" s="24"/>
    </row>
    <row r="90" spans="2:10" x14ac:dyDescent="0.15">
      <c r="B90" s="1">
        <v>16</v>
      </c>
      <c r="C90" s="52">
        <v>42368</v>
      </c>
      <c r="D90" s="53"/>
      <c r="E90" s="22" t="s">
        <v>18</v>
      </c>
      <c r="F90" s="23"/>
      <c r="G90" s="24"/>
    </row>
    <row r="91" spans="2:10" x14ac:dyDescent="0.15">
      <c r="B91" s="1">
        <v>17</v>
      </c>
      <c r="C91" s="52">
        <v>42369</v>
      </c>
      <c r="D91" s="53"/>
      <c r="E91" s="22" t="s">
        <v>18</v>
      </c>
      <c r="F91" s="23"/>
      <c r="G91" s="24"/>
    </row>
    <row r="92" spans="2:10" x14ac:dyDescent="0.15">
      <c r="B92" s="1">
        <v>18</v>
      </c>
      <c r="C92" s="52"/>
      <c r="D92" s="53"/>
      <c r="E92" s="22"/>
      <c r="F92" s="23"/>
      <c r="G92" s="24"/>
    </row>
    <row r="93" spans="2:10" x14ac:dyDescent="0.15">
      <c r="B93" s="1">
        <v>19</v>
      </c>
      <c r="C93" s="52"/>
      <c r="D93" s="53"/>
      <c r="E93" s="22"/>
      <c r="F93" s="23"/>
      <c r="G93" s="24"/>
    </row>
    <row r="95" spans="2:10" x14ac:dyDescent="0.15">
      <c r="B95" s="5" t="str">
        <f>CONCATENATE("Belgian national holidays in ",currentYear)</f>
        <v>Belgian national holidays in 2015</v>
      </c>
      <c r="C95" s="6"/>
      <c r="D95" s="6"/>
      <c r="E95" s="6"/>
      <c r="F95" s="6"/>
      <c r="G95" s="6"/>
      <c r="H95" s="6"/>
      <c r="I95" s="6"/>
      <c r="J95" s="6"/>
    </row>
    <row r="96" spans="2:10" x14ac:dyDescent="0.15">
      <c r="C96" s="12"/>
      <c r="D96" s="12"/>
    </row>
    <row r="97" spans="2:7" x14ac:dyDescent="0.15">
      <c r="B97" s="48" t="s">
        <v>10</v>
      </c>
      <c r="C97" s="58" t="s">
        <v>42</v>
      </c>
      <c r="D97" s="58"/>
      <c r="E97" s="59" t="s">
        <v>11</v>
      </c>
      <c r="F97" s="59"/>
      <c r="G97" s="59"/>
    </row>
    <row r="98" spans="2:7" x14ac:dyDescent="0.15">
      <c r="B98" s="1">
        <v>1</v>
      </c>
      <c r="C98" s="46">
        <v>42005</v>
      </c>
      <c r="D98" s="47"/>
      <c r="E98" s="22" t="s">
        <v>12</v>
      </c>
      <c r="F98" s="23"/>
      <c r="G98" s="24"/>
    </row>
    <row r="99" spans="2:7" x14ac:dyDescent="0.15">
      <c r="B99" s="1">
        <v>2</v>
      </c>
      <c r="C99" s="46">
        <v>42100</v>
      </c>
      <c r="D99" s="47"/>
      <c r="E99" s="22" t="s">
        <v>13</v>
      </c>
      <c r="F99" s="23"/>
      <c r="G99" s="24"/>
    </row>
    <row r="100" spans="2:7" x14ac:dyDescent="0.15">
      <c r="B100" s="1">
        <v>3</v>
      </c>
      <c r="C100" s="46">
        <v>42125</v>
      </c>
      <c r="D100" s="47"/>
      <c r="E100" s="22" t="s">
        <v>14</v>
      </c>
      <c r="F100" s="23"/>
      <c r="G100" s="24"/>
    </row>
    <row r="101" spans="2:7" x14ac:dyDescent="0.15">
      <c r="B101" s="1">
        <v>4</v>
      </c>
      <c r="C101" s="46">
        <v>42138</v>
      </c>
      <c r="D101" s="47"/>
      <c r="E101" s="22" t="s">
        <v>15</v>
      </c>
      <c r="F101" s="23"/>
      <c r="G101" s="24"/>
    </row>
    <row r="102" spans="2:7" x14ac:dyDescent="0.15">
      <c r="B102" s="1">
        <v>5</v>
      </c>
      <c r="C102" s="46">
        <v>42149</v>
      </c>
      <c r="D102" s="47"/>
      <c r="E102" s="22" t="s">
        <v>16</v>
      </c>
      <c r="F102" s="23"/>
      <c r="G102" s="24"/>
    </row>
    <row r="103" spans="2:7" x14ac:dyDescent="0.15">
      <c r="B103" s="1">
        <v>6</v>
      </c>
      <c r="C103" s="46">
        <v>42206</v>
      </c>
      <c r="D103" s="47"/>
      <c r="E103" s="22" t="s">
        <v>17</v>
      </c>
      <c r="F103" s="23"/>
      <c r="G103" s="24"/>
    </row>
    <row r="104" spans="2:7" x14ac:dyDescent="0.15">
      <c r="B104" s="1">
        <v>7</v>
      </c>
      <c r="C104" s="46">
        <v>42310</v>
      </c>
      <c r="D104" s="47"/>
      <c r="E104" s="51" t="s">
        <v>43</v>
      </c>
      <c r="F104" s="23"/>
      <c r="G104" s="24"/>
    </row>
    <row r="105" spans="2:7" x14ac:dyDescent="0.15">
      <c r="B105" s="1">
        <v>8</v>
      </c>
      <c r="C105" s="46">
        <v>42362</v>
      </c>
      <c r="D105" s="47"/>
      <c r="E105" s="51" t="s">
        <v>44</v>
      </c>
      <c r="F105" s="23"/>
      <c r="G105" s="24"/>
    </row>
    <row r="106" spans="2:7" x14ac:dyDescent="0.15">
      <c r="B106" s="1">
        <v>9</v>
      </c>
      <c r="C106" s="46">
        <v>42366</v>
      </c>
      <c r="D106" s="47"/>
      <c r="E106" s="51" t="s">
        <v>45</v>
      </c>
      <c r="F106" s="23"/>
      <c r="G106" s="24"/>
    </row>
    <row r="107" spans="2:7" x14ac:dyDescent="0.15">
      <c r="B107" s="1">
        <v>10</v>
      </c>
      <c r="C107" s="46">
        <v>42363</v>
      </c>
      <c r="D107" s="47"/>
      <c r="E107" s="22" t="s">
        <v>18</v>
      </c>
      <c r="F107" s="23"/>
      <c r="G107" s="24"/>
    </row>
  </sheetData>
  <sheetProtection password="A53C" sheet="1" objects="1" scenarios="1" selectLockedCells="1"/>
  <mergeCells count="12">
    <mergeCell ref="C97:D97"/>
    <mergeCell ref="E97:G97"/>
    <mergeCell ref="B15:C15"/>
    <mergeCell ref="B12:C12"/>
    <mergeCell ref="B7:C7"/>
    <mergeCell ref="B8:C8"/>
    <mergeCell ref="B9:C9"/>
    <mergeCell ref="B11:C11"/>
    <mergeCell ref="B14:C14"/>
    <mergeCell ref="B13:C13"/>
    <mergeCell ref="C74:D74"/>
    <mergeCell ref="E74:G74"/>
  </mergeCells>
  <conditionalFormatting sqref="B98:B107 F98:G107">
    <cfRule type="expression" dxfId="20" priority="14" stopIfTrue="1">
      <formula>COUNTIF(EPOffDays,$C98)&gt;0</formula>
    </cfRule>
  </conditionalFormatting>
  <conditionalFormatting sqref="I7:I9 I11:I12">
    <cfRule type="cellIs" dxfId="19" priority="15" stopIfTrue="1" operator="lessThan">
      <formula>0</formula>
    </cfRule>
  </conditionalFormatting>
  <conditionalFormatting sqref="I15">
    <cfRule type="cellIs" dxfId="18" priority="11" stopIfTrue="1" operator="lessThan">
      <formula>0</formula>
    </cfRule>
  </conditionalFormatting>
  <conditionalFormatting sqref="I14">
    <cfRule type="cellIs" dxfId="17" priority="7" stopIfTrue="1" operator="lessThan">
      <formula>0</formula>
    </cfRule>
  </conditionalFormatting>
  <conditionalFormatting sqref="I13">
    <cfRule type="cellIs" dxfId="16" priority="6" stopIfTrue="1" operator="lessThan">
      <formula>0</formula>
    </cfRule>
  </conditionalFormatting>
  <conditionalFormatting sqref="B75:C75 E75:G75 B88:B93 B76:B86">
    <cfRule type="expression" dxfId="15" priority="5" stopIfTrue="1">
      <formula>COUNTIF(BelgiumOffDays,$C75)&gt;0</formula>
    </cfRule>
  </conditionalFormatting>
  <conditionalFormatting sqref="B87">
    <cfRule type="expression" dxfId="14" priority="4" stopIfTrue="1">
      <formula>COUNTIF(BelgiumOffDays,$C87)&gt;0</formula>
    </cfRule>
  </conditionalFormatting>
  <conditionalFormatting sqref="C76:C93">
    <cfRule type="expression" dxfId="13" priority="3" stopIfTrue="1">
      <formula>COUNTIF(BelgiumOffDays,$C76)&gt;0</formula>
    </cfRule>
  </conditionalFormatting>
  <conditionalFormatting sqref="C98:E107">
    <cfRule type="expression" dxfId="12" priority="1" stopIfTrue="1">
      <formula>COUNTIF(EPOffDays,$C98)&gt;0</formula>
    </cfRule>
  </conditionalFormatting>
  <dataValidations count="1">
    <dataValidation type="list" allowBlank="1" showInputMessage="1" showErrorMessage="1" sqref="F24:F49">
      <formula1>$B$7:$B$15</formula1>
    </dataValidation>
  </dataValidations>
  <printOptions horizontalCentered="1"/>
  <pageMargins left="0.74803149606299213" right="0.74803149606299213" top="0.98425196850393704" bottom="0.98425196850393704" header="0.51181102362204722" footer="0.5118110236220472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09"/>
  <sheetViews>
    <sheetView showGridLines="0" showZeros="0" tabSelected="1" topLeftCell="A8" zoomScale="125" zoomScaleNormal="125" zoomScalePageLayoutView="125" workbookViewId="0">
      <selection activeCell="B28" sqref="B28"/>
    </sheetView>
  </sheetViews>
  <sheetFormatPr baseColWidth="10" defaultColWidth="8.83203125" defaultRowHeight="13" x14ac:dyDescent="0.15"/>
  <cols>
    <col min="2" max="3" width="12.83203125" customWidth="1"/>
    <col min="4" max="4" width="8.6640625" customWidth="1"/>
    <col min="5" max="5" width="15.6640625" customWidth="1"/>
    <col min="6" max="6" width="16.5" bestFit="1" customWidth="1"/>
    <col min="7" max="7" width="5.6640625" customWidth="1"/>
    <col min="8" max="11" width="11.5" customWidth="1"/>
  </cols>
  <sheetData>
    <row r="1" spans="2:10" x14ac:dyDescent="0.15">
      <c r="B1" s="3" t="s">
        <v>0</v>
      </c>
      <c r="C1">
        <v>2016</v>
      </c>
    </row>
    <row r="3" spans="2:10" x14ac:dyDescent="0.15">
      <c r="B3" s="5" t="s">
        <v>24</v>
      </c>
      <c r="C3" s="6"/>
      <c r="D3" s="6"/>
      <c r="E3" s="6"/>
      <c r="F3" s="6"/>
      <c r="G3" s="6"/>
      <c r="H3" s="6"/>
      <c r="I3" s="6"/>
      <c r="J3" s="6"/>
    </row>
    <row r="5" spans="2:10" x14ac:dyDescent="0.15">
      <c r="D5" s="26" t="s">
        <v>1</v>
      </c>
      <c r="E5" s="26" t="s">
        <v>2</v>
      </c>
      <c r="F5" s="26" t="s">
        <v>46</v>
      </c>
      <c r="H5" s="26" t="s">
        <v>47</v>
      </c>
      <c r="I5" s="26" t="s">
        <v>48</v>
      </c>
    </row>
    <row r="6" spans="2:10" x14ac:dyDescent="0.15">
      <c r="B6" s="25" t="str">
        <f>CONCATENATE("Left in ",currentYear-1)</f>
        <v>Left in 2015</v>
      </c>
      <c r="C6" s="25"/>
      <c r="D6" s="29"/>
      <c r="E6" s="25"/>
      <c r="F6" s="25"/>
      <c r="G6" s="29"/>
      <c r="H6" s="25"/>
      <c r="I6" s="25"/>
    </row>
    <row r="7" spans="2:10" x14ac:dyDescent="0.15">
      <c r="B7" s="62" t="str">
        <f>CONCATENATE("Client ",currentYear-1)</f>
        <v>Client 2015</v>
      </c>
      <c r="C7" s="62"/>
      <c r="D7" s="1">
        <v>136</v>
      </c>
      <c r="E7" s="27"/>
      <c r="F7" s="28">
        <f>DATE(currentYear,3,31)</f>
        <v>42460</v>
      </c>
      <c r="H7" s="27">
        <f>SUMIF($F$26:$F$51,B7,$E$26:$E$51)</f>
        <v>0</v>
      </c>
      <c r="I7" s="27">
        <f t="shared" ref="I7:I8" ca="1" si="0">IF(TODAY()&lt;=F7,E7-H7,0)</f>
        <v>0</v>
      </c>
    </row>
    <row r="8" spans="2:10" x14ac:dyDescent="0.15">
      <c r="B8" s="60" t="str">
        <f>"Recovery for "&amp;currentYear-1</f>
        <v>Recovery for 2015</v>
      </c>
      <c r="C8" s="61"/>
      <c r="D8" s="1">
        <v>136</v>
      </c>
      <c r="E8" s="8">
        <f ca="1">'2015'!I12</f>
        <v>0</v>
      </c>
      <c r="F8" s="28">
        <f>DATE(currentYear,3,31)</f>
        <v>42460</v>
      </c>
      <c r="H8" s="8">
        <f>SUMIF($F$26:$F$51,B8,$E$26:$E$51)</f>
        <v>0</v>
      </c>
      <c r="I8" s="27">
        <f t="shared" ca="1" si="0"/>
        <v>0</v>
      </c>
    </row>
    <row r="9" spans="2:10" x14ac:dyDescent="0.15">
      <c r="B9" s="63" t="str">
        <f>CONCATENATE("Education ",currentYear-1)</f>
        <v>Education 2015</v>
      </c>
      <c r="C9" s="64"/>
      <c r="D9" s="1">
        <v>224</v>
      </c>
      <c r="E9" s="8"/>
      <c r="F9" s="11">
        <v>41665</v>
      </c>
      <c r="H9" s="8">
        <f>SUMIF($F$26:$F$51,B9,$E$26:$E$51)</f>
        <v>0</v>
      </c>
      <c r="I9" s="27">
        <f ca="1">IF(TODAY()&lt;=F9,E9-H9,0)</f>
        <v>0</v>
      </c>
    </row>
    <row r="10" spans="2:10" x14ac:dyDescent="0.15">
      <c r="B10" s="25">
        <f>currentYear</f>
        <v>2016</v>
      </c>
      <c r="C10" s="25"/>
      <c r="D10" s="29"/>
      <c r="E10" s="25"/>
      <c r="F10" s="25"/>
      <c r="G10" s="29"/>
      <c r="H10" s="25"/>
      <c r="I10" s="25"/>
    </row>
    <row r="11" spans="2:10" x14ac:dyDescent="0.15">
      <c r="B11" s="60" t="s">
        <v>22</v>
      </c>
      <c r="C11" s="61"/>
      <c r="D11" s="1">
        <v>230</v>
      </c>
      <c r="E11" s="8">
        <f>ROUND(45.39/7.6,0.25)</f>
        <v>6</v>
      </c>
      <c r="F11" s="28">
        <f>DATE(currentYear,12,31)</f>
        <v>42735</v>
      </c>
      <c r="H11" s="8">
        <f>SUMIF($F$26:$F$51,B11,$E$26:$E$51)</f>
        <v>0</v>
      </c>
      <c r="I11" s="27">
        <f>E11-H11</f>
        <v>6</v>
      </c>
    </row>
    <row r="12" spans="2:10" x14ac:dyDescent="0.15">
      <c r="B12" s="63" t="str">
        <f>CONCATENATE("Client ",currentYear)</f>
        <v>Client 2016</v>
      </c>
      <c r="C12" s="64"/>
      <c r="D12" s="1">
        <v>136</v>
      </c>
      <c r="E12" s="8">
        <v>0.5</v>
      </c>
      <c r="F12" s="28">
        <f>DATE(currentYear+1,3,31)</f>
        <v>42825</v>
      </c>
      <c r="H12" s="8">
        <f t="shared" ref="H12" si="1">SUMIF($F$26:$F$51,B12,$E$26:$E$51)</f>
        <v>0</v>
      </c>
      <c r="I12" s="27">
        <f t="shared" ref="I12:I14" si="2">E12-H12</f>
        <v>0.5</v>
      </c>
    </row>
    <row r="13" spans="2:10" x14ac:dyDescent="0.15">
      <c r="B13" s="60" t="str">
        <f>"Recovery for "&amp;currentYear</f>
        <v>Recovery for 2016</v>
      </c>
      <c r="C13" s="61"/>
      <c r="D13" s="1">
        <v>136</v>
      </c>
      <c r="E13" s="8">
        <f>F72</f>
        <v>3</v>
      </c>
      <c r="F13" s="28">
        <f>DATE(currentYear+1,3,31)</f>
        <v>42825</v>
      </c>
      <c r="H13" s="8">
        <f>SUMIF($F$26:$F$51,B13,$E$26:$E$51)</f>
        <v>0</v>
      </c>
      <c r="I13" s="27">
        <f t="shared" si="2"/>
        <v>3</v>
      </c>
    </row>
    <row r="14" spans="2:10" x14ac:dyDescent="0.15">
      <c r="B14" s="61" t="str">
        <f>CONCATENATE("Education ",currentYear)</f>
        <v>Education 2016</v>
      </c>
      <c r="C14" s="61"/>
      <c r="D14" s="1">
        <v>224</v>
      </c>
      <c r="E14" s="8">
        <v>10</v>
      </c>
      <c r="F14" s="11">
        <v>42760</v>
      </c>
      <c r="H14" s="8">
        <f>SUMIF($F$26:$F$51,B14,$E$26:$E$51)</f>
        <v>2</v>
      </c>
      <c r="I14" s="27">
        <f t="shared" si="2"/>
        <v>8</v>
      </c>
    </row>
    <row r="15" spans="2:10" x14ac:dyDescent="0.15">
      <c r="B15" s="60" t="s">
        <v>21</v>
      </c>
      <c r="C15" s="61"/>
      <c r="D15" s="1">
        <v>50</v>
      </c>
      <c r="E15" s="31"/>
      <c r="F15" s="32"/>
      <c r="H15" s="8">
        <f>SUMIF($F$26:$F$51,B15,$E$26:$E$51)</f>
        <v>2</v>
      </c>
      <c r="I15" s="36"/>
    </row>
    <row r="16" spans="2:10" x14ac:dyDescent="0.15">
      <c r="B16" s="60" t="s">
        <v>19</v>
      </c>
      <c r="C16" s="61"/>
      <c r="D16" s="1">
        <v>235</v>
      </c>
      <c r="E16" s="31"/>
      <c r="F16" s="32"/>
      <c r="H16" s="8">
        <f>SUMIF($F$26:$F$51,B16,$E$26:$E$51)</f>
        <v>0</v>
      </c>
      <c r="I16" s="36"/>
    </row>
    <row r="17" spans="2:12" x14ac:dyDescent="0.15">
      <c r="B17" s="60" t="s">
        <v>20</v>
      </c>
      <c r="C17" s="61"/>
      <c r="D17" s="1">
        <v>428</v>
      </c>
      <c r="E17" s="31"/>
      <c r="F17" s="32"/>
      <c r="H17" s="8">
        <f>SUMIF($F$26:$F$51,B17,$E$26:$E$51)</f>
        <v>0</v>
      </c>
      <c r="I17" s="36"/>
    </row>
    <row r="18" spans="2:12" x14ac:dyDescent="0.15">
      <c r="H18" s="7"/>
      <c r="I18" s="7"/>
    </row>
    <row r="19" spans="2:12" s="3" customFormat="1" x14ac:dyDescent="0.15">
      <c r="B19" s="35" t="s">
        <v>3</v>
      </c>
      <c r="C19"/>
      <c r="E19" s="10">
        <f ca="1">SUM(E7:E17)</f>
        <v>19.5</v>
      </c>
      <c r="H19" s="10">
        <f>SUM(H7:H17)</f>
        <v>4</v>
      </c>
      <c r="I19" s="10">
        <f ca="1">SUM(I8:I17)</f>
        <v>17.5</v>
      </c>
    </row>
    <row r="20" spans="2:12" s="3" customFormat="1" x14ac:dyDescent="0.15">
      <c r="B20" s="34"/>
      <c r="C20"/>
      <c r="E20" s="33"/>
      <c r="H20" s="33"/>
      <c r="I20" s="10">
        <f ca="1">H19+I19</f>
        <v>21.5</v>
      </c>
      <c r="L20" s="44"/>
    </row>
    <row r="21" spans="2:12" s="3" customFormat="1" x14ac:dyDescent="0.15">
      <c r="B21" s="45"/>
      <c r="C21"/>
      <c r="E21" s="33"/>
      <c r="H21" s="33"/>
      <c r="I21" s="3" t="str">
        <f ca="1">IF(I20/5&lt;1,"",IF(I20/5&lt;2,"1 week ",FLOOR(I20/5,1)&amp;" weeks "))&amp;IF(MOD(I20,5)=0,"",IF(MOD(I20,5)&lt;=1,FLOOR(MOD(I20,5),0.01)&amp;" day",FLOOR(MOD(I20,5),0.01)&amp;" days"))</f>
        <v>4 weeks 1,5 days</v>
      </c>
      <c r="L21" s="44"/>
    </row>
    <row r="23" spans="2:12" x14ac:dyDescent="0.15">
      <c r="B23" s="5" t="s">
        <v>49</v>
      </c>
      <c r="C23" s="6"/>
      <c r="D23" s="6"/>
      <c r="E23" s="6"/>
      <c r="F23" s="6"/>
      <c r="G23" s="6"/>
      <c r="H23" s="6"/>
      <c r="I23" s="6"/>
      <c r="J23" s="6"/>
    </row>
    <row r="25" spans="2:12" s="3" customFormat="1" x14ac:dyDescent="0.15">
      <c r="B25" s="2" t="s">
        <v>4</v>
      </c>
      <c r="C25" s="2" t="s">
        <v>5</v>
      </c>
      <c r="E25" s="2" t="s">
        <v>2</v>
      </c>
      <c r="F25" s="2" t="s">
        <v>6</v>
      </c>
    </row>
    <row r="26" spans="2:12" x14ac:dyDescent="0.15">
      <c r="B26" s="17">
        <v>42439</v>
      </c>
      <c r="C26" s="17">
        <v>42440</v>
      </c>
      <c r="E26" s="30">
        <f t="shared" ref="E26:E51" si="3">IF(AND(NOT(ISBLANK(B26)),NOT(ISBLANK(C26))),NETWORKDAYS(B26,C26,BelgiumOffDays),0)</f>
        <v>2</v>
      </c>
      <c r="F26" s="18" t="s">
        <v>21</v>
      </c>
      <c r="I26" s="19">
        <f>IF(AND(NOT(ISBLANK(B26)),NOT(ISBLANK(C26))),SUMPRODUCT((EPOffDays&gt;=B26)*(EPOffDays&lt;=C26))-SUMPRODUCT((BelgiumOffDays&gt;=B26)*(BelgiumOffDays&lt;=C26)),0)</f>
        <v>0</v>
      </c>
    </row>
    <row r="27" spans="2:12" x14ac:dyDescent="0.15">
      <c r="B27" s="17">
        <v>42453</v>
      </c>
      <c r="C27" s="17">
        <v>42457</v>
      </c>
      <c r="E27" s="30">
        <f t="shared" si="3"/>
        <v>2</v>
      </c>
      <c r="F27" s="40" t="s">
        <v>66</v>
      </c>
      <c r="I27" s="19">
        <f t="shared" ref="I27:I47" si="4">IF(AND(NOT(ISBLANK(B27)),NOT(ISBLANK(C27))),SUMPRODUCT((EPOffDays&gt;=B27)*(EPOffDays&lt;=C27)),0)</f>
        <v>3</v>
      </c>
    </row>
    <row r="28" spans="2:12" x14ac:dyDescent="0.15">
      <c r="B28" s="17"/>
      <c r="C28" s="17"/>
      <c r="E28" s="30">
        <f t="shared" si="3"/>
        <v>0</v>
      </c>
      <c r="F28" s="18"/>
      <c r="I28" s="19">
        <f t="shared" si="4"/>
        <v>0</v>
      </c>
    </row>
    <row r="29" spans="2:12" x14ac:dyDescent="0.15">
      <c r="B29" s="17"/>
      <c r="C29" s="17"/>
      <c r="E29" s="30">
        <f t="shared" si="3"/>
        <v>0</v>
      </c>
      <c r="F29" s="18"/>
      <c r="I29" s="19">
        <f>IF(AND(NOT(ISBLANK(B29)),NOT(ISBLANK(C29))),SUMPRODUCT((EPOffDays&gt;=B29)*(EPOffDays&lt;=C29)),0)</f>
        <v>0</v>
      </c>
    </row>
    <row r="30" spans="2:12" x14ac:dyDescent="0.15">
      <c r="B30" s="17"/>
      <c r="C30" s="17"/>
      <c r="E30" s="30">
        <f t="shared" si="3"/>
        <v>0</v>
      </c>
      <c r="F30" s="18"/>
      <c r="I30" s="19">
        <f t="shared" si="4"/>
        <v>0</v>
      </c>
    </row>
    <row r="31" spans="2:12" x14ac:dyDescent="0.15">
      <c r="B31" s="17"/>
      <c r="C31" s="17"/>
      <c r="E31" s="30">
        <f t="shared" si="3"/>
        <v>0</v>
      </c>
      <c r="F31" s="18"/>
      <c r="I31" s="19">
        <f>IF(AND(NOT(ISBLANK(B31)),NOT(ISBLANK(C31))),SUMPRODUCT((EPOffDays&gt;=B31)*(EPOffDays&lt;=C31)),0)</f>
        <v>0</v>
      </c>
    </row>
    <row r="32" spans="2:12" x14ac:dyDescent="0.15">
      <c r="B32" s="17"/>
      <c r="C32" s="17"/>
      <c r="E32" s="30">
        <f t="shared" si="3"/>
        <v>0</v>
      </c>
      <c r="F32" s="18"/>
      <c r="I32" s="19">
        <f>IF(AND(NOT(ISBLANK(B32)),NOT(ISBLANK(C32))),SUMPRODUCT((EPOffDays&gt;=B32)*(EPOffDays&lt;=C32)),0)</f>
        <v>0</v>
      </c>
    </row>
    <row r="33" spans="2:9" x14ac:dyDescent="0.15">
      <c r="B33" s="17"/>
      <c r="C33" s="17"/>
      <c r="E33" s="30">
        <f t="shared" ref="E33" si="5">IF(AND(NOT(ISBLANK(B33)),NOT(ISBLANK(C33))),NETWORKDAYS(B33,C33,BelgiumOffDays),0)</f>
        <v>0</v>
      </c>
      <c r="F33" s="18"/>
      <c r="I33" s="19">
        <f>IF(AND(NOT(ISBLANK(B33)),NOT(ISBLANK(C33))),SUMPRODUCT((EPOffDays&gt;=B33)*(EPOffDays&lt;=C33)),0)</f>
        <v>0</v>
      </c>
    </row>
    <row r="34" spans="2:9" x14ac:dyDescent="0.15">
      <c r="B34" s="17"/>
      <c r="C34" s="17"/>
      <c r="E34" s="30">
        <f t="shared" si="3"/>
        <v>0</v>
      </c>
      <c r="F34" s="18"/>
      <c r="I34" s="19">
        <f t="shared" si="4"/>
        <v>0</v>
      </c>
    </row>
    <row r="35" spans="2:9" x14ac:dyDescent="0.15">
      <c r="B35" s="17"/>
      <c r="C35" s="17"/>
      <c r="E35" s="30">
        <f t="shared" si="3"/>
        <v>0</v>
      </c>
      <c r="F35" s="18"/>
      <c r="I35" s="19">
        <f t="shared" si="4"/>
        <v>0</v>
      </c>
    </row>
    <row r="36" spans="2:9" x14ac:dyDescent="0.15">
      <c r="B36" s="41"/>
      <c r="C36" s="41"/>
      <c r="D36" s="42"/>
      <c r="E36" s="30">
        <f t="shared" si="3"/>
        <v>0</v>
      </c>
      <c r="F36" s="43"/>
      <c r="I36" s="19">
        <f t="shared" si="4"/>
        <v>0</v>
      </c>
    </row>
    <row r="37" spans="2:9" x14ac:dyDescent="0.15">
      <c r="B37" s="17"/>
      <c r="C37" s="17"/>
      <c r="E37" s="30">
        <f t="shared" si="3"/>
        <v>0</v>
      </c>
      <c r="F37" s="18"/>
      <c r="I37" s="19">
        <f>IF(AND(NOT(ISBLANK(B37)),NOT(ISBLANK(C37))),SUMPRODUCT((EPOffDays&gt;=B37)*(EPOffDays&lt;=C37)),0)</f>
        <v>0</v>
      </c>
    </row>
    <row r="38" spans="2:9" x14ac:dyDescent="0.15">
      <c r="B38" s="17"/>
      <c r="C38" s="17"/>
      <c r="E38" s="30">
        <f t="shared" si="3"/>
        <v>0</v>
      </c>
      <c r="F38" s="18"/>
      <c r="I38" s="19">
        <f t="shared" si="4"/>
        <v>0</v>
      </c>
    </row>
    <row r="39" spans="2:9" x14ac:dyDescent="0.15">
      <c r="B39" s="17"/>
      <c r="C39" s="17"/>
      <c r="E39" s="30">
        <f t="shared" si="3"/>
        <v>0</v>
      </c>
      <c r="F39" s="18"/>
      <c r="I39" s="19">
        <f>IF(AND(NOT(ISBLANK(B39)),NOT(ISBLANK(C39))),SUMPRODUCT((EPOffDays&gt;=B39)*(EPOffDays&lt;=C39)),0)</f>
        <v>0</v>
      </c>
    </row>
    <row r="40" spans="2:9" x14ac:dyDescent="0.15">
      <c r="B40" s="17"/>
      <c r="C40" s="17"/>
      <c r="E40" s="30">
        <f t="shared" si="3"/>
        <v>0</v>
      </c>
      <c r="F40" s="18"/>
      <c r="I40" s="19">
        <f t="shared" ref="I40:I45" si="6">IF(AND(NOT(ISBLANK(B40)),NOT(ISBLANK(C40))),SUMPRODUCT((EPOffDays&gt;=B40)*(EPOffDays&lt;=C40)),0)</f>
        <v>0</v>
      </c>
    </row>
    <row r="41" spans="2:9" x14ac:dyDescent="0.15">
      <c r="B41" s="17"/>
      <c r="C41" s="17"/>
      <c r="E41" s="30">
        <f t="shared" si="3"/>
        <v>0</v>
      </c>
      <c r="F41" s="18"/>
      <c r="I41" s="19">
        <f t="shared" si="6"/>
        <v>0</v>
      </c>
    </row>
    <row r="42" spans="2:9" x14ac:dyDescent="0.15">
      <c r="B42" s="17"/>
      <c r="C42" s="17"/>
      <c r="E42" s="30">
        <f t="shared" si="3"/>
        <v>0</v>
      </c>
      <c r="F42" s="18"/>
      <c r="I42" s="19">
        <f t="shared" si="6"/>
        <v>0</v>
      </c>
    </row>
    <row r="43" spans="2:9" x14ac:dyDescent="0.15">
      <c r="B43" s="17"/>
      <c r="C43" s="17"/>
      <c r="E43" s="30">
        <f t="shared" si="3"/>
        <v>0</v>
      </c>
      <c r="F43" s="40"/>
      <c r="I43" s="19">
        <f t="shared" si="6"/>
        <v>0</v>
      </c>
    </row>
    <row r="44" spans="2:9" x14ac:dyDescent="0.15">
      <c r="B44" s="17"/>
      <c r="C44" s="17"/>
      <c r="E44" s="30">
        <f t="shared" si="3"/>
        <v>0</v>
      </c>
      <c r="F44" s="18"/>
      <c r="I44" s="19">
        <f t="shared" si="6"/>
        <v>0</v>
      </c>
    </row>
    <row r="45" spans="2:9" x14ac:dyDescent="0.15">
      <c r="B45" s="17"/>
      <c r="C45" s="17"/>
      <c r="E45" s="30">
        <f t="shared" si="3"/>
        <v>0</v>
      </c>
      <c r="F45" s="18"/>
      <c r="I45" s="19">
        <f t="shared" si="6"/>
        <v>0</v>
      </c>
    </row>
    <row r="46" spans="2:9" x14ac:dyDescent="0.15">
      <c r="B46" s="17"/>
      <c r="C46" s="17"/>
      <c r="E46" s="30">
        <f t="shared" si="3"/>
        <v>0</v>
      </c>
      <c r="F46" s="18"/>
      <c r="I46" s="19">
        <f t="shared" si="4"/>
        <v>0</v>
      </c>
    </row>
    <row r="47" spans="2:9" x14ac:dyDescent="0.15">
      <c r="B47" s="17"/>
      <c r="C47" s="17"/>
      <c r="E47" s="30">
        <f t="shared" si="3"/>
        <v>0</v>
      </c>
      <c r="F47" s="18"/>
      <c r="I47" s="19">
        <f t="shared" si="4"/>
        <v>0</v>
      </c>
    </row>
    <row r="48" spans="2:9" x14ac:dyDescent="0.15">
      <c r="B48" s="17"/>
      <c r="C48" s="18"/>
      <c r="E48" s="30">
        <f t="shared" si="3"/>
        <v>0</v>
      </c>
      <c r="F48" s="18"/>
      <c r="I48" s="19">
        <f>IF(AND(NOT(ISBLANK(B48)),NOT(ISBLANK(C49))),SUMPRODUCT((EPOffDays&gt;=B48)*(EPOffDays&lt;=C49)),0)</f>
        <v>0</v>
      </c>
    </row>
    <row r="49" spans="2:10" x14ac:dyDescent="0.15">
      <c r="B49" s="17"/>
      <c r="C49" s="17"/>
      <c r="E49" s="30">
        <f t="shared" si="3"/>
        <v>0</v>
      </c>
      <c r="F49" s="18"/>
      <c r="I49" s="19">
        <f>IF(AND(NOT(ISBLANK(B49)),NOT(ISBLANK(#REF!))),SUMPRODUCT((EPOffDays&gt;=B49)*(EPOffDays&lt;=#REF!)),0)</f>
        <v>0</v>
      </c>
    </row>
    <row r="50" spans="2:10" x14ac:dyDescent="0.15">
      <c r="B50" s="17"/>
      <c r="C50" s="17"/>
      <c r="E50" s="30">
        <f t="shared" si="3"/>
        <v>0</v>
      </c>
      <c r="F50" s="18"/>
      <c r="I50" s="19">
        <f>IF(AND(NOT(ISBLANK(B50)),NOT(ISBLANK(C50))),SUMPRODUCT((EPOffDays&gt;=B50)*(EPOffDays&lt;=C50)),0)</f>
        <v>0</v>
      </c>
    </row>
    <row r="51" spans="2:10" x14ac:dyDescent="0.15">
      <c r="B51" s="17"/>
      <c r="C51" s="17"/>
      <c r="E51" s="30">
        <f t="shared" si="3"/>
        <v>0</v>
      </c>
      <c r="F51" s="18"/>
      <c r="I51" s="19">
        <f>IF(AND(NOT(ISBLANK(B51)),NOT(ISBLANK(C51))),SUMPRODUCT((EPOffDays&gt;=B51)*(EPOffDays&lt;=C51)),0)</f>
        <v>0</v>
      </c>
    </row>
    <row r="52" spans="2:10" x14ac:dyDescent="0.15">
      <c r="B52" s="13"/>
      <c r="C52" s="13"/>
      <c r="E52" s="14"/>
      <c r="F52" s="14"/>
    </row>
    <row r="53" spans="2:10" x14ac:dyDescent="0.15">
      <c r="B53" s="2" t="s">
        <v>7</v>
      </c>
      <c r="C53" s="13"/>
      <c r="E53" s="10">
        <f>SUM(E26:E51)</f>
        <v>4</v>
      </c>
      <c r="F53" s="3" t="str">
        <f>IF(E53/5&lt;1,"",IF(E53/5&lt;2,"1 week ",FLOOR(E53/5,1)&amp;" weeks "))&amp;IF(MOD(E53,5)=0,"",IF(MOD(E53,5)&lt;=1,FLOOR(MOD(E53,5),0.01)&amp;" day",FLOOR(MOD(E53,5),0.01)&amp;" days"))</f>
        <v>4 days</v>
      </c>
    </row>
    <row r="54" spans="2:10" x14ac:dyDescent="0.15">
      <c r="B54" s="13"/>
      <c r="C54" s="13"/>
      <c r="F54" s="15"/>
    </row>
    <row r="55" spans="2:10" x14ac:dyDescent="0.15">
      <c r="B55" s="5" t="s">
        <v>26</v>
      </c>
      <c r="C55" s="6"/>
      <c r="D55" s="6"/>
      <c r="E55" s="6"/>
      <c r="F55" s="6"/>
      <c r="G55" s="6"/>
      <c r="H55" s="6"/>
      <c r="I55" s="6"/>
      <c r="J55" s="6"/>
    </row>
    <row r="56" spans="2:10" x14ac:dyDescent="0.15">
      <c r="B56" s="13"/>
      <c r="C56" s="13"/>
      <c r="E56" s="4"/>
      <c r="F56" s="15"/>
    </row>
    <row r="57" spans="2:10" x14ac:dyDescent="0.15">
      <c r="B57" s="13"/>
      <c r="C57" s="39" t="s">
        <v>67</v>
      </c>
      <c r="D57" s="38"/>
      <c r="E57" s="4"/>
      <c r="F57" s="15"/>
    </row>
    <row r="58" spans="2:10" x14ac:dyDescent="0.15">
      <c r="B58" s="21" t="s">
        <v>27</v>
      </c>
      <c r="C58" s="2" t="s">
        <v>28</v>
      </c>
      <c r="D58" s="37" t="s">
        <v>29</v>
      </c>
      <c r="F58" s="2" t="s">
        <v>9</v>
      </c>
    </row>
    <row r="59" spans="2:10" x14ac:dyDescent="0.15">
      <c r="B59" s="11" t="s">
        <v>50</v>
      </c>
      <c r="C59" s="1">
        <f>NETWORKDAYS(DATE(currentYear,1,1),DATE(currentYear,1,31),ClientClosedDays)</f>
        <v>20</v>
      </c>
      <c r="D59" s="9">
        <v>20</v>
      </c>
      <c r="F59" s="20">
        <f t="shared" ref="F59:F70" si="7">D59*24/456</f>
        <v>1.0526315789473684</v>
      </c>
    </row>
    <row r="60" spans="2:10" x14ac:dyDescent="0.15">
      <c r="B60" s="11" t="s">
        <v>51</v>
      </c>
      <c r="C60" s="1">
        <f>NETWORKDAYS(DATE(currentYear,2,1),DATE(currentYear,2,29),ClientClosedDays)</f>
        <v>21</v>
      </c>
      <c r="D60" s="9">
        <v>21</v>
      </c>
      <c r="F60" s="20">
        <f t="shared" si="7"/>
        <v>1.1052631578947369</v>
      </c>
    </row>
    <row r="61" spans="2:10" x14ac:dyDescent="0.15">
      <c r="B61" s="11" t="s">
        <v>52</v>
      </c>
      <c r="C61" s="1">
        <f>NETWORKDAYS(DATE(currentYear,3,1),DATE(currentYear,3,31),ClientClosedDays)</f>
        <v>20</v>
      </c>
      <c r="D61" s="9">
        <v>18</v>
      </c>
      <c r="F61" s="20">
        <f t="shared" si="7"/>
        <v>0.94736842105263153</v>
      </c>
    </row>
    <row r="62" spans="2:10" x14ac:dyDescent="0.15">
      <c r="B62" s="11" t="s">
        <v>53</v>
      </c>
      <c r="C62" s="1">
        <f>NETWORKDAYS(DATE(currentYear,4,1),DATE(currentYear,4,30),ClientClosedDays)</f>
        <v>21</v>
      </c>
      <c r="D62" s="9"/>
      <c r="F62" s="20">
        <f t="shared" si="7"/>
        <v>0</v>
      </c>
    </row>
    <row r="63" spans="2:10" x14ac:dyDescent="0.15">
      <c r="B63" s="11" t="s">
        <v>54</v>
      </c>
      <c r="C63" s="1">
        <f>NETWORKDAYS(DATE(currentYear,5,1),DATE(currentYear,5,31),ClientClosedDays)</f>
        <v>18</v>
      </c>
      <c r="D63" s="9"/>
      <c r="F63" s="20">
        <f t="shared" si="7"/>
        <v>0</v>
      </c>
    </row>
    <row r="64" spans="2:10" x14ac:dyDescent="0.15">
      <c r="B64" s="11" t="s">
        <v>55</v>
      </c>
      <c r="C64" s="1">
        <f>NETWORKDAYS(DATE(currentYear,6,1),DATE(currentYear,6,30),ClientClosedDays)</f>
        <v>22</v>
      </c>
      <c r="D64" s="9"/>
      <c r="F64" s="20">
        <f t="shared" si="7"/>
        <v>0</v>
      </c>
    </row>
    <row r="65" spans="2:10" x14ac:dyDescent="0.15">
      <c r="B65" s="11" t="s">
        <v>56</v>
      </c>
      <c r="C65" s="1">
        <f>NETWORKDAYS(DATE(currentYear,7,1),DATE(currentYear,7,31),ClientClosedDays)</f>
        <v>20</v>
      </c>
      <c r="D65" s="9"/>
      <c r="F65" s="20">
        <f t="shared" si="7"/>
        <v>0</v>
      </c>
    </row>
    <row r="66" spans="2:10" x14ac:dyDescent="0.15">
      <c r="B66" s="11" t="s">
        <v>57</v>
      </c>
      <c r="C66" s="1">
        <f>NETWORKDAYS(DATE(currentYear,8,1),DATE(currentYear,8,31),ClientClosedDays)</f>
        <v>22</v>
      </c>
      <c r="D66" s="9"/>
      <c r="F66" s="20">
        <f t="shared" si="7"/>
        <v>0</v>
      </c>
    </row>
    <row r="67" spans="2:10" x14ac:dyDescent="0.15">
      <c r="B67" s="11" t="s">
        <v>58</v>
      </c>
      <c r="C67" s="1">
        <f>NETWORKDAYS(DATE(currentYear,9,1),DATE(currentYear,9,30),ClientClosedDays)</f>
        <v>22</v>
      </c>
      <c r="D67" s="9"/>
      <c r="F67" s="20">
        <f t="shared" si="7"/>
        <v>0</v>
      </c>
    </row>
    <row r="68" spans="2:10" x14ac:dyDescent="0.15">
      <c r="B68" s="11" t="s">
        <v>59</v>
      </c>
      <c r="C68" s="1">
        <f>NETWORKDAYS(DATE(currentYear,10,1),DATE(currentYear,10,31),ClientClosedDays)</f>
        <v>21</v>
      </c>
      <c r="D68" s="9"/>
      <c r="F68" s="20">
        <f t="shared" si="7"/>
        <v>0</v>
      </c>
    </row>
    <row r="69" spans="2:10" x14ac:dyDescent="0.15">
      <c r="B69" s="11" t="s">
        <v>60</v>
      </c>
      <c r="C69" s="1">
        <f>NETWORKDAYS(DATE(currentYear,11,1),DATE(currentYear,11,30),ClientClosedDays)</f>
        <v>20</v>
      </c>
      <c r="D69" s="9"/>
      <c r="F69" s="20">
        <f t="shared" si="7"/>
        <v>0</v>
      </c>
    </row>
    <row r="70" spans="2:10" x14ac:dyDescent="0.15">
      <c r="B70" s="11" t="s">
        <v>61</v>
      </c>
      <c r="C70" s="1">
        <f>NETWORKDAYS(DATE(currentYear,12,1),DATE(currentYear,12,31),ClientClosedDays)</f>
        <v>17</v>
      </c>
      <c r="D70" s="9"/>
      <c r="F70" s="20">
        <f t="shared" si="7"/>
        <v>0</v>
      </c>
    </row>
    <row r="71" spans="2:10" x14ac:dyDescent="0.15">
      <c r="B71" s="13"/>
      <c r="D71" s="14"/>
      <c r="F71" s="15"/>
    </row>
    <row r="72" spans="2:10" x14ac:dyDescent="0.15">
      <c r="B72" s="11" t="s">
        <v>7</v>
      </c>
      <c r="C72" s="16">
        <f>SUM(C59:C70)</f>
        <v>244</v>
      </c>
      <c r="D72" s="16">
        <f>SUM(D59:D70)</f>
        <v>59</v>
      </c>
      <c r="F72" s="10">
        <f>FLOOR(SUM(F59:F70),0.25)</f>
        <v>3</v>
      </c>
    </row>
    <row r="74" spans="2:10" x14ac:dyDescent="0.15">
      <c r="B74" s="5" t="str">
        <f>CONCATENATE("Client closing days in ",currentYear)</f>
        <v>Client closing days in 2016</v>
      </c>
      <c r="C74" s="6"/>
      <c r="D74" s="6"/>
      <c r="E74" s="6"/>
      <c r="F74" s="6"/>
      <c r="G74" s="6"/>
      <c r="H74" s="6"/>
      <c r="I74" s="6"/>
      <c r="J74" s="6"/>
    </row>
    <row r="76" spans="2:10" x14ac:dyDescent="0.15">
      <c r="B76" s="57" t="s">
        <v>62</v>
      </c>
      <c r="C76" s="58" t="s">
        <v>42</v>
      </c>
      <c r="D76" s="58"/>
      <c r="E76" s="59" t="s">
        <v>11</v>
      </c>
      <c r="F76" s="59"/>
      <c r="G76" s="59"/>
    </row>
    <row r="77" spans="2:10" x14ac:dyDescent="0.15">
      <c r="B77" s="1">
        <v>1</v>
      </c>
      <c r="C77" s="52">
        <v>42370</v>
      </c>
      <c r="D77" s="53"/>
      <c r="E77" s="54" t="s">
        <v>12</v>
      </c>
      <c r="F77" s="55"/>
      <c r="G77" s="56"/>
    </row>
    <row r="78" spans="2:10" x14ac:dyDescent="0.15">
      <c r="B78" s="1">
        <v>2</v>
      </c>
      <c r="C78" s="52">
        <v>42453</v>
      </c>
      <c r="D78" s="53"/>
      <c r="E78" s="22" t="s">
        <v>35</v>
      </c>
      <c r="F78" s="23"/>
      <c r="G78" s="24"/>
    </row>
    <row r="79" spans="2:10" x14ac:dyDescent="0.15">
      <c r="B79" s="1">
        <v>3</v>
      </c>
      <c r="C79" s="52">
        <v>42454</v>
      </c>
      <c r="D79" s="53"/>
      <c r="E79" s="22" t="s">
        <v>36</v>
      </c>
      <c r="F79" s="23"/>
      <c r="G79" s="24"/>
    </row>
    <row r="80" spans="2:10" x14ac:dyDescent="0.15">
      <c r="B80" s="1">
        <v>4</v>
      </c>
      <c r="C80" s="52">
        <v>42457</v>
      </c>
      <c r="D80" s="53"/>
      <c r="E80" s="22" t="s">
        <v>13</v>
      </c>
      <c r="F80" s="23"/>
      <c r="G80" s="24"/>
    </row>
    <row r="81" spans="2:7" x14ac:dyDescent="0.15">
      <c r="B81" s="1">
        <v>5</v>
      </c>
      <c r="C81" s="52">
        <v>42495</v>
      </c>
      <c r="D81" s="53"/>
      <c r="E81" s="22" t="s">
        <v>37</v>
      </c>
      <c r="F81" s="23"/>
      <c r="G81" s="24"/>
    </row>
    <row r="82" spans="2:7" x14ac:dyDescent="0.15">
      <c r="B82" s="1">
        <v>6</v>
      </c>
      <c r="C82" s="52">
        <v>42496</v>
      </c>
      <c r="D82" s="53"/>
      <c r="E82" s="22" t="s">
        <v>38</v>
      </c>
      <c r="F82" s="23"/>
      <c r="G82" s="24"/>
    </row>
    <row r="83" spans="2:7" x14ac:dyDescent="0.15">
      <c r="B83" s="1">
        <v>7</v>
      </c>
      <c r="C83" s="52">
        <v>42499</v>
      </c>
      <c r="D83" s="53"/>
      <c r="E83" s="22"/>
      <c r="F83" s="23"/>
      <c r="G83" s="24"/>
    </row>
    <row r="84" spans="2:7" x14ac:dyDescent="0.15">
      <c r="B84" s="1">
        <v>8</v>
      </c>
      <c r="C84" s="52">
        <v>42506</v>
      </c>
      <c r="D84" s="53"/>
      <c r="E84" s="22" t="s">
        <v>39</v>
      </c>
      <c r="F84" s="23"/>
      <c r="G84" s="24"/>
    </row>
    <row r="85" spans="2:7" x14ac:dyDescent="0.15">
      <c r="B85" s="1">
        <v>9</v>
      </c>
      <c r="C85" s="52">
        <v>42572</v>
      </c>
      <c r="D85" s="53"/>
      <c r="E85" s="22" t="s">
        <v>40</v>
      </c>
      <c r="F85" s="23"/>
      <c r="G85" s="24"/>
    </row>
    <row r="86" spans="2:7" x14ac:dyDescent="0.15">
      <c r="B86" s="1">
        <v>10</v>
      </c>
      <c r="C86" s="52">
        <v>42597</v>
      </c>
      <c r="D86" s="53"/>
      <c r="E86" s="22" t="s">
        <v>63</v>
      </c>
      <c r="F86" s="23"/>
      <c r="G86" s="24"/>
    </row>
    <row r="87" spans="2:7" x14ac:dyDescent="0.15">
      <c r="B87" s="1">
        <v>11</v>
      </c>
      <c r="C87" s="52">
        <v>42675</v>
      </c>
      <c r="D87" s="53"/>
      <c r="E87" s="22" t="s">
        <v>41</v>
      </c>
      <c r="F87" s="23"/>
      <c r="G87" s="24"/>
    </row>
    <row r="88" spans="2:7" x14ac:dyDescent="0.15">
      <c r="B88" s="1">
        <v>12</v>
      </c>
      <c r="C88" s="52">
        <v>42676</v>
      </c>
      <c r="D88" s="53"/>
      <c r="E88" s="22"/>
      <c r="F88" s="23"/>
      <c r="G88" s="24"/>
    </row>
    <row r="89" spans="2:7" x14ac:dyDescent="0.15">
      <c r="B89" s="1">
        <v>13</v>
      </c>
      <c r="C89" s="52">
        <v>42730</v>
      </c>
      <c r="D89" s="53"/>
      <c r="E89" s="22" t="s">
        <v>18</v>
      </c>
      <c r="F89" s="23"/>
      <c r="G89" s="24"/>
    </row>
    <row r="90" spans="2:7" x14ac:dyDescent="0.15">
      <c r="B90" s="1">
        <v>14</v>
      </c>
      <c r="C90" s="52">
        <v>42731</v>
      </c>
      <c r="D90" s="53"/>
      <c r="E90" s="22" t="s">
        <v>18</v>
      </c>
      <c r="F90" s="23"/>
      <c r="G90" s="24"/>
    </row>
    <row r="91" spans="2:7" x14ac:dyDescent="0.15">
      <c r="B91" s="1">
        <v>15</v>
      </c>
      <c r="C91" s="52">
        <v>42732</v>
      </c>
      <c r="D91" s="53"/>
      <c r="E91" s="22" t="s">
        <v>18</v>
      </c>
      <c r="F91" s="23"/>
      <c r="G91" s="24"/>
    </row>
    <row r="92" spans="2:7" x14ac:dyDescent="0.15">
      <c r="B92" s="1">
        <v>16</v>
      </c>
      <c r="C92" s="52">
        <v>42733</v>
      </c>
      <c r="D92" s="53"/>
      <c r="E92" s="22" t="s">
        <v>18</v>
      </c>
      <c r="F92" s="23"/>
      <c r="G92" s="24"/>
    </row>
    <row r="93" spans="2:7" x14ac:dyDescent="0.15">
      <c r="B93" s="1">
        <v>17</v>
      </c>
      <c r="C93" s="52">
        <v>42734</v>
      </c>
      <c r="D93" s="53"/>
      <c r="E93" s="22" t="s">
        <v>18</v>
      </c>
      <c r="F93" s="23"/>
      <c r="G93" s="24"/>
    </row>
    <row r="94" spans="2:7" x14ac:dyDescent="0.15">
      <c r="B94" s="1">
        <v>18</v>
      </c>
      <c r="C94" s="52"/>
      <c r="D94" s="53"/>
      <c r="E94" s="22"/>
      <c r="F94" s="23"/>
      <c r="G94" s="24"/>
    </row>
    <row r="95" spans="2:7" x14ac:dyDescent="0.15">
      <c r="B95" s="1">
        <v>19</v>
      </c>
      <c r="C95" s="52"/>
      <c r="D95" s="53"/>
      <c r="E95" s="22"/>
      <c r="F95" s="23"/>
      <c r="G95" s="24"/>
    </row>
    <row r="97" spans="2:10" x14ac:dyDescent="0.15">
      <c r="B97" s="5" t="str">
        <f>CONCATENATE("Belgian national holidays in ",currentYear)</f>
        <v>Belgian national holidays in 2016</v>
      </c>
      <c r="C97" s="6"/>
      <c r="D97" s="6"/>
      <c r="E97" s="6"/>
      <c r="F97" s="6"/>
      <c r="G97" s="6"/>
      <c r="H97" s="6"/>
      <c r="I97" s="6"/>
      <c r="J97" s="6"/>
    </row>
    <row r="98" spans="2:10" x14ac:dyDescent="0.15">
      <c r="C98" s="12"/>
      <c r="D98" s="12"/>
    </row>
    <row r="99" spans="2:10" x14ac:dyDescent="0.15">
      <c r="B99" s="57" t="s">
        <v>62</v>
      </c>
      <c r="C99" s="58" t="s">
        <v>42</v>
      </c>
      <c r="D99" s="58"/>
      <c r="E99" s="59" t="s">
        <v>11</v>
      </c>
      <c r="F99" s="59"/>
      <c r="G99" s="59"/>
    </row>
    <row r="100" spans="2:10" x14ac:dyDescent="0.15">
      <c r="B100" s="1">
        <v>1</v>
      </c>
      <c r="C100" s="46">
        <v>42370</v>
      </c>
      <c r="D100" s="47"/>
      <c r="E100" s="22" t="s">
        <v>12</v>
      </c>
      <c r="F100" s="23"/>
      <c r="G100" s="24"/>
    </row>
    <row r="101" spans="2:10" x14ac:dyDescent="0.15">
      <c r="B101" s="1">
        <v>2</v>
      </c>
      <c r="C101" s="46">
        <v>42457</v>
      </c>
      <c r="D101" s="47"/>
      <c r="E101" s="22" t="s">
        <v>13</v>
      </c>
      <c r="F101" s="23"/>
      <c r="G101" s="24"/>
    </row>
    <row r="102" spans="2:10" x14ac:dyDescent="0.15">
      <c r="B102" s="1">
        <v>3</v>
      </c>
      <c r="C102" s="46">
        <v>42495</v>
      </c>
      <c r="D102" s="47"/>
      <c r="E102" s="22" t="s">
        <v>15</v>
      </c>
      <c r="F102" s="23"/>
      <c r="G102" s="24"/>
    </row>
    <row r="103" spans="2:10" x14ac:dyDescent="0.15">
      <c r="B103" s="1">
        <v>4</v>
      </c>
      <c r="C103" s="46">
        <v>42496</v>
      </c>
      <c r="D103" s="47"/>
      <c r="E103" s="22" t="s">
        <v>64</v>
      </c>
      <c r="F103" s="23"/>
      <c r="G103" s="24"/>
    </row>
    <row r="104" spans="2:10" x14ac:dyDescent="0.15">
      <c r="B104" s="1">
        <v>5</v>
      </c>
      <c r="C104" s="46">
        <v>42506</v>
      </c>
      <c r="D104" s="47"/>
      <c r="E104" s="22" t="s">
        <v>16</v>
      </c>
      <c r="F104" s="23"/>
      <c r="G104" s="24"/>
    </row>
    <row r="105" spans="2:10" x14ac:dyDescent="0.15">
      <c r="B105" s="1">
        <v>6</v>
      </c>
      <c r="C105" s="46">
        <v>42572</v>
      </c>
      <c r="D105" s="47"/>
      <c r="E105" s="22" t="s">
        <v>17</v>
      </c>
      <c r="F105" s="23"/>
      <c r="G105" s="24"/>
    </row>
    <row r="106" spans="2:10" x14ac:dyDescent="0.15">
      <c r="B106" s="1">
        <v>7</v>
      </c>
      <c r="C106" s="46">
        <v>42597</v>
      </c>
      <c r="D106" s="47"/>
      <c r="E106" s="51" t="s">
        <v>63</v>
      </c>
      <c r="F106" s="23"/>
      <c r="G106" s="24"/>
    </row>
    <row r="107" spans="2:10" x14ac:dyDescent="0.15">
      <c r="B107" s="1">
        <v>8</v>
      </c>
      <c r="C107" s="46">
        <v>42675</v>
      </c>
      <c r="D107" s="47"/>
      <c r="E107" s="51" t="s">
        <v>44</v>
      </c>
      <c r="F107" s="23"/>
      <c r="G107" s="24"/>
    </row>
    <row r="108" spans="2:10" x14ac:dyDescent="0.15">
      <c r="B108" s="1">
        <v>9</v>
      </c>
      <c r="C108" s="46">
        <v>42676</v>
      </c>
      <c r="D108" s="47"/>
      <c r="E108" s="51" t="s">
        <v>45</v>
      </c>
      <c r="F108" s="23"/>
      <c r="G108" s="24"/>
    </row>
    <row r="109" spans="2:10" x14ac:dyDescent="0.15">
      <c r="B109" s="1">
        <v>10</v>
      </c>
      <c r="C109" s="46">
        <v>42730</v>
      </c>
      <c r="D109" s="47"/>
      <c r="E109" s="22" t="s">
        <v>65</v>
      </c>
      <c r="F109" s="23"/>
      <c r="G109" s="24"/>
    </row>
  </sheetData>
  <sheetProtection password="A53C" sheet="1" objects="1" scenarios="1" selectLockedCells="1"/>
  <mergeCells count="14">
    <mergeCell ref="B13:C13"/>
    <mergeCell ref="B7:C7"/>
    <mergeCell ref="B8:C8"/>
    <mergeCell ref="B9:C9"/>
    <mergeCell ref="B11:C11"/>
    <mergeCell ref="B12:C12"/>
    <mergeCell ref="C99:D99"/>
    <mergeCell ref="E99:G99"/>
    <mergeCell ref="B14:C14"/>
    <mergeCell ref="B15:C15"/>
    <mergeCell ref="B16:C16"/>
    <mergeCell ref="B17:C17"/>
    <mergeCell ref="C76:D76"/>
    <mergeCell ref="E76:G76"/>
  </mergeCells>
  <conditionalFormatting sqref="F77:G77 B90:B95 B77:B88">
    <cfRule type="expression" dxfId="11" priority="10" stopIfTrue="1">
      <formula>COUNTIF(BelgiumOffDays,$C77)&gt;0</formula>
    </cfRule>
  </conditionalFormatting>
  <conditionalFormatting sqref="B100:B109 D100:G109">
    <cfRule type="expression" dxfId="10" priority="11" stopIfTrue="1">
      <formula>COUNTIF(EPOffDays,$C100)&gt;0</formula>
    </cfRule>
  </conditionalFormatting>
  <conditionalFormatting sqref="I17">
    <cfRule type="cellIs" dxfId="9" priority="12" stopIfTrue="1" operator="lessThan">
      <formula>0</formula>
    </cfRule>
  </conditionalFormatting>
  <conditionalFormatting sqref="I11:I14">
    <cfRule type="cellIs" dxfId="8" priority="9" stopIfTrue="1" operator="lessThan">
      <formula>0</formula>
    </cfRule>
  </conditionalFormatting>
  <conditionalFormatting sqref="I15">
    <cfRule type="cellIs" dxfId="7" priority="8" stopIfTrue="1" operator="lessThan">
      <formula>0</formula>
    </cfRule>
  </conditionalFormatting>
  <conditionalFormatting sqref="B89">
    <cfRule type="expression" dxfId="6" priority="7" stopIfTrue="1">
      <formula>COUNTIF(BelgiumOffDays,$C89)&gt;0</formula>
    </cfRule>
  </conditionalFormatting>
  <conditionalFormatting sqref="C94:C95">
    <cfRule type="expression" dxfId="5" priority="6" stopIfTrue="1">
      <formula>COUNTIF(BelgiumOffDays,$C94)&gt;0</formula>
    </cfRule>
  </conditionalFormatting>
  <conditionalFormatting sqref="I7:I9">
    <cfRule type="cellIs" dxfId="4" priority="5" stopIfTrue="1" operator="lessThan">
      <formula>0</formula>
    </cfRule>
  </conditionalFormatting>
  <conditionalFormatting sqref="I16">
    <cfRule type="cellIs" dxfId="3" priority="4" stopIfTrue="1" operator="lessThan">
      <formula>0</formula>
    </cfRule>
  </conditionalFormatting>
  <conditionalFormatting sqref="C100:C109">
    <cfRule type="expression" dxfId="2" priority="3" stopIfTrue="1">
      <formula>COUNTIF(EPOffDays,$C100)&gt;0</formula>
    </cfRule>
  </conditionalFormatting>
  <conditionalFormatting sqref="C77 E77">
    <cfRule type="expression" dxfId="1" priority="2" stopIfTrue="1">
      <formula>COUNTIF(BelgiumOffDays,$C77)&gt;0</formula>
    </cfRule>
  </conditionalFormatting>
  <conditionalFormatting sqref="C78:C93">
    <cfRule type="expression" dxfId="0" priority="1" stopIfTrue="1">
      <formula>COUNTIF(BelgiumOffDays,$C78)&gt;0</formula>
    </cfRule>
  </conditionalFormatting>
  <dataValidations count="1">
    <dataValidation type="list" allowBlank="1" showInputMessage="1" showErrorMessage="1" sqref="F26:F51">
      <formula1>$B$7:$B$17</formula1>
    </dataValidation>
  </dataValidations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/>
  <headerFooter alignWithMargins="0"/>
  <rowBreaks count="1" manualBreakCount="1">
    <brk id="73" max="16383" man="1"/>
  </row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Wilfried HOC</dc:creator>
  <cp:keywords/>
  <dc:description/>
  <cp:lastModifiedBy>Microsoft Office User</cp:lastModifiedBy>
  <cp:revision/>
  <dcterms:created xsi:type="dcterms:W3CDTF">2012-08-31T09:57:04Z</dcterms:created>
  <dcterms:modified xsi:type="dcterms:W3CDTF">2016-03-29T19:53:07Z</dcterms:modified>
</cp:coreProperties>
</file>